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arsakis\Desktop\"/>
    </mc:Choice>
  </mc:AlternateContent>
  <bookViews>
    <workbookView xWindow="-120" yWindow="-120" windowWidth="29040" windowHeight="15840"/>
  </bookViews>
  <sheets>
    <sheet name="Φύλλο1" sheetId="2" r:id="rId1"/>
  </sheets>
  <definedNames>
    <definedName name="_xlnm._FilterDatabase" localSheetId="0" hidden="1">Φύλλο1!$A$5:$B$280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946" i="2" l="1"/>
  <c r="B38945" i="2"/>
  <c r="B38944" i="2"/>
  <c r="B38943" i="2"/>
  <c r="B38942" i="2"/>
  <c r="B38941" i="2"/>
  <c r="B38940" i="2"/>
  <c r="B38939" i="2"/>
  <c r="B38938" i="2"/>
  <c r="B38937" i="2"/>
  <c r="B38936" i="2"/>
  <c r="B38935" i="2"/>
  <c r="B38934" i="2"/>
  <c r="B38933" i="2"/>
  <c r="B38932" i="2"/>
  <c r="B38931" i="2"/>
  <c r="B38930" i="2"/>
  <c r="B38929" i="2"/>
  <c r="B38928" i="2"/>
  <c r="B38927" i="2"/>
  <c r="B38926" i="2"/>
  <c r="B38925" i="2"/>
  <c r="B38924" i="2"/>
  <c r="B38923" i="2"/>
  <c r="B38922" i="2"/>
  <c r="B38921" i="2"/>
  <c r="B38920" i="2"/>
  <c r="B38919" i="2"/>
  <c r="B38918" i="2"/>
  <c r="B38917" i="2"/>
  <c r="B38916" i="2"/>
  <c r="B38915" i="2"/>
  <c r="B38914" i="2"/>
  <c r="B38913" i="2"/>
  <c r="B38912" i="2"/>
  <c r="B38911" i="2"/>
  <c r="B38910" i="2"/>
  <c r="B38909" i="2"/>
  <c r="B38908" i="2"/>
  <c r="B38907" i="2"/>
  <c r="B38906" i="2"/>
  <c r="B38905" i="2"/>
  <c r="B38904" i="2"/>
  <c r="B38903" i="2"/>
  <c r="B38902" i="2"/>
  <c r="B38901" i="2"/>
  <c r="B38900" i="2"/>
  <c r="B38899" i="2"/>
  <c r="B38898" i="2"/>
  <c r="B38897" i="2"/>
  <c r="B38896" i="2"/>
  <c r="B38895" i="2"/>
  <c r="B38894" i="2"/>
  <c r="B38893" i="2"/>
  <c r="B38892" i="2"/>
  <c r="B38891" i="2"/>
  <c r="B38890" i="2"/>
  <c r="B38889" i="2"/>
  <c r="B38888" i="2"/>
  <c r="B38887" i="2"/>
  <c r="B38886" i="2"/>
  <c r="B38885" i="2"/>
  <c r="B38884" i="2"/>
  <c r="B38883" i="2"/>
  <c r="B38882" i="2"/>
  <c r="B38881" i="2"/>
  <c r="B38880" i="2"/>
  <c r="B38879" i="2"/>
  <c r="B38878" i="2"/>
  <c r="B38877" i="2"/>
  <c r="B38876" i="2"/>
  <c r="B38875" i="2"/>
  <c r="B38874" i="2"/>
  <c r="B38873" i="2"/>
  <c r="B38872" i="2"/>
  <c r="B38871" i="2"/>
  <c r="B38870" i="2"/>
  <c r="B38869" i="2"/>
  <c r="B38868" i="2"/>
  <c r="B38867" i="2"/>
  <c r="B38866" i="2"/>
  <c r="B38865" i="2"/>
  <c r="B38864" i="2"/>
  <c r="B38863" i="2"/>
  <c r="B38862" i="2"/>
  <c r="B38861" i="2"/>
  <c r="B38860" i="2"/>
  <c r="B38859" i="2"/>
  <c r="B38858" i="2"/>
  <c r="B38857" i="2"/>
  <c r="B38856" i="2"/>
  <c r="B38855" i="2"/>
  <c r="B38854" i="2"/>
  <c r="B38853" i="2"/>
  <c r="B38852" i="2"/>
  <c r="B38851" i="2"/>
  <c r="B38850" i="2"/>
  <c r="B38849" i="2"/>
  <c r="B38848" i="2"/>
  <c r="B38847" i="2"/>
  <c r="B38846" i="2"/>
  <c r="B38845" i="2"/>
  <c r="B38844" i="2"/>
  <c r="B38843" i="2"/>
  <c r="B38842" i="2"/>
  <c r="B38841" i="2"/>
  <c r="B38840" i="2"/>
  <c r="B38839" i="2"/>
  <c r="B38838" i="2"/>
  <c r="B38837" i="2"/>
  <c r="B38836" i="2"/>
  <c r="B38835" i="2"/>
  <c r="B38834" i="2"/>
  <c r="B38833" i="2"/>
  <c r="B38832" i="2"/>
  <c r="B38831" i="2"/>
  <c r="B38830" i="2"/>
  <c r="B38829" i="2"/>
  <c r="B38828" i="2"/>
  <c r="B38827" i="2"/>
  <c r="B38826" i="2"/>
  <c r="B38825" i="2"/>
  <c r="B38824" i="2"/>
  <c r="B38823" i="2"/>
  <c r="B38822" i="2"/>
  <c r="B38821" i="2"/>
  <c r="B38820" i="2"/>
  <c r="B38819" i="2"/>
  <c r="B38818" i="2"/>
  <c r="B38817" i="2"/>
  <c r="B38816" i="2"/>
  <c r="B38815" i="2"/>
  <c r="B38814" i="2"/>
  <c r="B38813" i="2"/>
  <c r="B38812" i="2"/>
  <c r="B38811" i="2"/>
  <c r="B38810" i="2"/>
  <c r="B38809" i="2"/>
  <c r="B38808" i="2"/>
  <c r="B38807" i="2"/>
  <c r="B38806" i="2"/>
  <c r="B38805" i="2"/>
  <c r="B38804" i="2"/>
  <c r="B38803" i="2"/>
  <c r="B38802" i="2"/>
  <c r="B38801" i="2"/>
  <c r="B38800" i="2"/>
  <c r="B38799" i="2"/>
  <c r="B38798" i="2"/>
  <c r="B38797" i="2"/>
  <c r="B38796" i="2"/>
  <c r="B38795" i="2"/>
  <c r="B38794" i="2"/>
  <c r="B38793" i="2"/>
  <c r="B38792" i="2"/>
  <c r="B38791" i="2"/>
  <c r="B38790" i="2"/>
  <c r="B38789" i="2"/>
  <c r="B38788" i="2"/>
  <c r="B38787" i="2"/>
  <c r="B38786" i="2"/>
  <c r="B38785" i="2"/>
  <c r="B38784" i="2"/>
  <c r="B38783" i="2"/>
  <c r="B38782" i="2"/>
  <c r="B38781" i="2"/>
  <c r="B38780" i="2"/>
  <c r="B38779" i="2"/>
  <c r="B38778" i="2"/>
  <c r="B38777" i="2"/>
  <c r="B38776" i="2"/>
  <c r="B38775" i="2"/>
  <c r="B38774" i="2"/>
  <c r="B38773" i="2"/>
  <c r="B38772" i="2"/>
  <c r="B38771" i="2"/>
  <c r="B38770" i="2"/>
  <c r="B38769" i="2"/>
  <c r="B38768" i="2"/>
  <c r="B38767" i="2"/>
  <c r="B38766" i="2"/>
  <c r="B38765" i="2"/>
  <c r="B38764" i="2"/>
  <c r="B38763" i="2"/>
  <c r="B38762" i="2"/>
  <c r="B38761" i="2"/>
  <c r="B38760" i="2"/>
  <c r="B38759" i="2"/>
  <c r="B38758" i="2"/>
  <c r="B38757" i="2"/>
  <c r="B38756" i="2"/>
  <c r="B38755" i="2"/>
  <c r="B38754" i="2"/>
  <c r="B38753" i="2"/>
  <c r="B38752" i="2"/>
  <c r="B38751" i="2"/>
  <c r="B38750" i="2"/>
  <c r="B38749" i="2"/>
  <c r="B38748" i="2"/>
  <c r="B38747" i="2"/>
  <c r="B38746" i="2"/>
  <c r="B38745" i="2"/>
  <c r="B38744" i="2"/>
  <c r="B38743" i="2"/>
  <c r="B38742" i="2"/>
  <c r="B38741" i="2"/>
  <c r="B38740" i="2"/>
  <c r="B38739" i="2"/>
  <c r="B38738" i="2"/>
  <c r="B38737" i="2"/>
  <c r="B38736" i="2"/>
  <c r="B38735" i="2"/>
  <c r="B38734" i="2"/>
  <c r="B38733" i="2"/>
  <c r="B38732" i="2"/>
  <c r="B38731" i="2"/>
  <c r="B38730" i="2"/>
  <c r="B38729" i="2"/>
  <c r="B38728" i="2"/>
  <c r="B38727" i="2"/>
  <c r="B38726" i="2"/>
  <c r="B38725" i="2"/>
  <c r="B38724" i="2"/>
  <c r="B38723" i="2"/>
  <c r="B38722" i="2"/>
  <c r="B38721" i="2"/>
  <c r="B38720" i="2"/>
  <c r="B38719" i="2"/>
  <c r="B38718" i="2"/>
  <c r="B38717" i="2"/>
  <c r="B38716" i="2"/>
  <c r="B38715" i="2"/>
  <c r="B38714" i="2"/>
  <c r="B38713" i="2"/>
  <c r="B38712" i="2"/>
  <c r="B38711" i="2"/>
  <c r="B38710" i="2"/>
  <c r="B38709" i="2"/>
  <c r="B38708" i="2"/>
  <c r="B38707" i="2"/>
  <c r="B38706" i="2"/>
  <c r="B38705" i="2"/>
  <c r="B38704" i="2"/>
  <c r="B38703" i="2"/>
  <c r="B38702" i="2"/>
  <c r="B38701" i="2"/>
  <c r="B38700" i="2"/>
  <c r="B38699" i="2"/>
  <c r="B38698" i="2"/>
  <c r="B38697" i="2"/>
  <c r="B38696" i="2"/>
  <c r="B38695" i="2"/>
  <c r="B38694" i="2"/>
  <c r="B38693" i="2"/>
  <c r="B38692" i="2"/>
  <c r="B38691" i="2"/>
  <c r="B38690" i="2"/>
  <c r="B38689" i="2"/>
  <c r="B38688" i="2"/>
  <c r="B38687" i="2"/>
  <c r="B38686" i="2"/>
  <c r="B38685" i="2"/>
  <c r="B38684" i="2"/>
  <c r="B38683" i="2"/>
  <c r="B38682" i="2"/>
  <c r="B38681" i="2"/>
  <c r="B38680" i="2"/>
  <c r="B38679" i="2"/>
  <c r="B38678" i="2"/>
  <c r="B38677" i="2"/>
  <c r="B38676" i="2"/>
  <c r="B38675" i="2"/>
  <c r="B38674" i="2"/>
  <c r="B38673" i="2"/>
  <c r="B38672" i="2"/>
  <c r="B38671" i="2"/>
  <c r="B38670" i="2"/>
  <c r="B38669" i="2"/>
  <c r="B38668" i="2"/>
  <c r="B38667" i="2"/>
  <c r="B38666" i="2"/>
  <c r="B38665" i="2"/>
  <c r="B38664" i="2"/>
  <c r="B38663" i="2"/>
  <c r="B38662" i="2"/>
  <c r="B38661" i="2"/>
  <c r="B38660" i="2"/>
  <c r="B38659" i="2"/>
  <c r="B38658" i="2"/>
  <c r="B38657" i="2"/>
  <c r="B38656" i="2"/>
  <c r="B38655" i="2"/>
  <c r="B38654" i="2"/>
  <c r="B38653" i="2"/>
  <c r="B38652" i="2"/>
  <c r="B38651" i="2"/>
  <c r="B38650" i="2"/>
  <c r="B38649" i="2"/>
  <c r="B38648" i="2"/>
  <c r="B38647" i="2"/>
  <c r="B38646" i="2"/>
  <c r="B38645" i="2"/>
  <c r="B38644" i="2"/>
  <c r="B38643" i="2"/>
  <c r="B38642" i="2"/>
  <c r="B38641" i="2"/>
  <c r="B38640" i="2"/>
  <c r="B38639" i="2"/>
  <c r="B38638" i="2"/>
  <c r="B38637" i="2"/>
  <c r="B38636" i="2"/>
  <c r="B38635" i="2"/>
  <c r="B38634" i="2"/>
  <c r="B38633" i="2"/>
  <c r="B38632" i="2"/>
  <c r="B38631" i="2"/>
  <c r="B38630" i="2"/>
  <c r="B38629" i="2"/>
  <c r="B38628" i="2"/>
  <c r="B38627" i="2"/>
  <c r="B38626" i="2"/>
  <c r="B38625" i="2"/>
  <c r="B38624" i="2"/>
  <c r="B38623" i="2"/>
  <c r="B38622" i="2"/>
  <c r="B38621" i="2"/>
  <c r="B38620" i="2"/>
  <c r="B38619" i="2"/>
  <c r="B38618" i="2"/>
  <c r="B38617" i="2"/>
  <c r="B38616" i="2"/>
  <c r="B38615" i="2"/>
  <c r="B38614" i="2"/>
  <c r="B38613" i="2"/>
  <c r="B38612" i="2"/>
  <c r="B38611" i="2"/>
  <c r="B38610" i="2"/>
  <c r="B38609" i="2"/>
  <c r="B38608" i="2"/>
  <c r="B38607" i="2"/>
  <c r="B38606" i="2"/>
  <c r="B38605" i="2"/>
  <c r="B38604" i="2"/>
  <c r="B38603" i="2"/>
  <c r="B38602" i="2"/>
  <c r="B38601" i="2"/>
  <c r="B38600" i="2"/>
  <c r="B38599" i="2"/>
  <c r="B38598" i="2"/>
  <c r="B38597" i="2"/>
  <c r="B38596" i="2"/>
  <c r="B38595" i="2"/>
  <c r="B38594" i="2"/>
  <c r="B38593" i="2"/>
  <c r="B38592" i="2"/>
  <c r="B38591" i="2"/>
  <c r="B38590" i="2"/>
  <c r="B38589" i="2"/>
  <c r="B38588" i="2"/>
  <c r="B38587" i="2"/>
  <c r="B38586" i="2"/>
  <c r="B38585" i="2"/>
  <c r="B38584" i="2"/>
  <c r="B38583" i="2"/>
  <c r="B38582" i="2"/>
  <c r="B38581" i="2"/>
  <c r="B38580" i="2"/>
  <c r="B38579" i="2"/>
  <c r="B38578" i="2"/>
  <c r="B38577" i="2"/>
  <c r="B38576" i="2"/>
  <c r="B38575" i="2"/>
  <c r="B38574" i="2"/>
  <c r="B38573" i="2"/>
  <c r="B38572" i="2"/>
  <c r="B38571" i="2"/>
  <c r="B38570" i="2"/>
  <c r="B38569" i="2"/>
  <c r="B38568" i="2"/>
  <c r="B38567" i="2"/>
  <c r="B38566" i="2"/>
  <c r="B38565" i="2"/>
  <c r="B38564" i="2"/>
  <c r="B38563" i="2"/>
  <c r="B38562" i="2"/>
  <c r="B38561" i="2"/>
  <c r="B38560" i="2"/>
  <c r="B38559" i="2"/>
  <c r="B38558" i="2"/>
  <c r="B38557" i="2"/>
  <c r="B38556" i="2"/>
  <c r="B38555" i="2"/>
  <c r="B38554" i="2"/>
  <c r="B38553" i="2"/>
  <c r="B38552" i="2"/>
  <c r="B38551" i="2"/>
  <c r="B38550" i="2"/>
  <c r="B38549" i="2"/>
  <c r="B38548" i="2"/>
  <c r="B38547" i="2"/>
  <c r="B38546" i="2"/>
  <c r="B38545" i="2"/>
  <c r="B38544" i="2"/>
  <c r="B38543" i="2"/>
  <c r="B38542" i="2"/>
  <c r="B38541" i="2"/>
  <c r="B38540" i="2"/>
  <c r="B38539" i="2"/>
  <c r="B38538" i="2"/>
  <c r="B38537" i="2"/>
  <c r="B38536" i="2"/>
  <c r="B38535" i="2"/>
  <c r="B38534" i="2"/>
  <c r="B38533" i="2"/>
  <c r="B38532" i="2"/>
  <c r="B38531" i="2"/>
  <c r="B38530" i="2"/>
  <c r="B38529" i="2"/>
  <c r="B38528" i="2"/>
  <c r="B38527" i="2"/>
  <c r="B38526" i="2"/>
  <c r="B38525" i="2"/>
  <c r="B38524" i="2"/>
  <c r="B38523" i="2"/>
  <c r="B38522" i="2"/>
  <c r="B38521" i="2"/>
  <c r="B38520" i="2"/>
  <c r="B38519" i="2"/>
  <c r="B38518" i="2"/>
  <c r="B38517" i="2"/>
  <c r="B38516" i="2"/>
  <c r="B38515" i="2"/>
  <c r="B38514" i="2"/>
  <c r="B38513" i="2"/>
  <c r="B38512" i="2"/>
  <c r="B38511" i="2"/>
  <c r="B38510" i="2"/>
  <c r="B38509" i="2"/>
  <c r="B38508" i="2"/>
  <c r="B38507" i="2"/>
  <c r="B38506" i="2"/>
  <c r="B38505" i="2"/>
  <c r="B38504" i="2"/>
  <c r="B38503" i="2"/>
  <c r="B38502" i="2"/>
  <c r="B38501" i="2"/>
  <c r="B38500" i="2"/>
  <c r="B38499" i="2"/>
  <c r="B38498" i="2"/>
  <c r="B38497" i="2"/>
  <c r="B38496" i="2"/>
  <c r="B38495" i="2"/>
  <c r="B38494" i="2"/>
  <c r="B38493" i="2"/>
  <c r="B38492" i="2"/>
  <c r="B38491" i="2"/>
  <c r="B38490" i="2"/>
  <c r="B38489" i="2"/>
  <c r="B38488" i="2"/>
  <c r="B38487" i="2"/>
  <c r="B38486" i="2"/>
  <c r="B38485" i="2"/>
  <c r="B38484" i="2"/>
  <c r="B38483" i="2"/>
  <c r="B38482" i="2"/>
  <c r="B38481" i="2"/>
  <c r="B38480" i="2"/>
  <c r="B38479" i="2"/>
  <c r="B38478" i="2"/>
  <c r="B38477" i="2"/>
  <c r="B38476" i="2"/>
  <c r="B38475" i="2"/>
  <c r="B38474" i="2"/>
  <c r="B38473" i="2"/>
  <c r="B38472" i="2"/>
  <c r="B38471" i="2"/>
  <c r="B38470" i="2"/>
  <c r="B38469" i="2"/>
  <c r="B38468" i="2"/>
  <c r="B38467" i="2"/>
  <c r="B38466" i="2"/>
  <c r="B38465" i="2"/>
  <c r="B38464" i="2"/>
  <c r="B38463" i="2"/>
  <c r="B38462" i="2"/>
  <c r="B38461" i="2"/>
  <c r="B38460" i="2"/>
  <c r="B38459" i="2"/>
  <c r="B38458" i="2"/>
  <c r="B38457" i="2"/>
  <c r="B38456" i="2"/>
  <c r="B38455" i="2"/>
  <c r="B38454" i="2"/>
  <c r="B38453" i="2"/>
  <c r="B38452" i="2"/>
  <c r="B38451" i="2"/>
  <c r="B38450" i="2"/>
  <c r="B38449" i="2"/>
  <c r="B38448" i="2"/>
  <c r="B38447" i="2"/>
  <c r="B38446" i="2"/>
  <c r="B38445" i="2"/>
  <c r="B38444" i="2"/>
  <c r="B38443" i="2"/>
  <c r="B38442" i="2"/>
  <c r="B38441" i="2"/>
  <c r="B38440" i="2"/>
  <c r="B38439" i="2"/>
  <c r="B38438" i="2"/>
  <c r="B38437" i="2"/>
  <c r="B38436" i="2"/>
  <c r="B38435" i="2"/>
  <c r="B38434" i="2"/>
  <c r="B38433" i="2"/>
  <c r="B38432" i="2"/>
  <c r="B38431" i="2"/>
  <c r="B38430" i="2"/>
  <c r="B38429" i="2"/>
  <c r="B38428" i="2"/>
  <c r="B38427" i="2"/>
  <c r="B38426" i="2"/>
  <c r="B38425" i="2"/>
  <c r="B38424" i="2"/>
  <c r="B38423" i="2"/>
  <c r="B38422" i="2"/>
  <c r="B38421" i="2"/>
  <c r="B38420" i="2"/>
  <c r="B38419" i="2"/>
  <c r="B38418" i="2"/>
  <c r="B38417" i="2"/>
  <c r="B38416" i="2"/>
  <c r="B38415" i="2"/>
  <c r="B38414" i="2"/>
  <c r="B38413" i="2"/>
  <c r="B38412" i="2"/>
  <c r="B38411" i="2"/>
  <c r="B38410" i="2"/>
  <c r="B38409" i="2"/>
  <c r="B38408" i="2"/>
  <c r="B38407" i="2"/>
  <c r="B38406" i="2"/>
  <c r="B38405" i="2"/>
  <c r="B38404" i="2"/>
  <c r="B38403" i="2"/>
  <c r="B38402" i="2"/>
  <c r="B38401" i="2"/>
  <c r="B38400" i="2"/>
  <c r="B38399" i="2"/>
  <c r="B38398" i="2"/>
  <c r="B38397" i="2"/>
  <c r="B38396" i="2"/>
  <c r="B38395" i="2"/>
  <c r="B38394" i="2"/>
  <c r="B38393" i="2"/>
  <c r="B38392" i="2"/>
  <c r="B38391" i="2"/>
  <c r="B38390" i="2"/>
  <c r="B38389" i="2"/>
  <c r="B38388" i="2"/>
  <c r="B38387" i="2"/>
  <c r="B38386" i="2"/>
  <c r="B38385" i="2"/>
  <c r="B38384" i="2"/>
  <c r="B38383" i="2"/>
  <c r="B38382" i="2"/>
  <c r="B38381" i="2"/>
  <c r="B38380" i="2"/>
  <c r="B38379" i="2"/>
  <c r="B38378" i="2"/>
  <c r="B38377" i="2"/>
  <c r="B38376" i="2"/>
  <c r="B38375" i="2"/>
  <c r="B38374" i="2"/>
  <c r="B38373" i="2"/>
  <c r="B38372" i="2"/>
  <c r="B38371" i="2"/>
  <c r="B38370" i="2"/>
  <c r="B38369" i="2"/>
  <c r="B38368" i="2"/>
  <c r="B38367" i="2"/>
  <c r="B38366" i="2"/>
  <c r="B38365" i="2"/>
  <c r="B38364" i="2"/>
  <c r="B38363" i="2"/>
  <c r="B38362" i="2"/>
  <c r="B38361" i="2"/>
  <c r="B38360" i="2"/>
  <c r="B38359" i="2"/>
  <c r="B38358" i="2"/>
  <c r="B38357" i="2"/>
  <c r="B38356" i="2"/>
  <c r="B38355" i="2"/>
  <c r="B38354" i="2"/>
  <c r="B38353" i="2"/>
  <c r="B38352" i="2"/>
  <c r="B38351" i="2"/>
  <c r="B38350" i="2"/>
  <c r="B38349" i="2"/>
  <c r="B38348" i="2"/>
  <c r="B38347" i="2"/>
  <c r="B38346" i="2"/>
  <c r="B38345" i="2"/>
  <c r="B38344" i="2"/>
  <c r="B38343" i="2"/>
  <c r="B38342" i="2"/>
  <c r="B38341" i="2"/>
  <c r="B38340" i="2"/>
  <c r="B38339" i="2"/>
  <c r="B38338" i="2"/>
  <c r="B38337" i="2"/>
  <c r="B38336" i="2"/>
  <c r="B38335" i="2"/>
  <c r="B38334" i="2"/>
  <c r="B38333" i="2"/>
  <c r="B38332" i="2"/>
  <c r="B38331" i="2"/>
  <c r="B38330" i="2"/>
  <c r="B38329" i="2"/>
  <c r="B38328" i="2"/>
  <c r="B38327" i="2"/>
  <c r="B38326" i="2"/>
  <c r="B38325" i="2"/>
  <c r="B38324" i="2"/>
  <c r="B38323" i="2"/>
  <c r="B38322" i="2"/>
  <c r="B38321" i="2"/>
  <c r="B38320" i="2"/>
  <c r="B38319" i="2"/>
  <c r="B38318" i="2"/>
  <c r="B38317" i="2"/>
  <c r="B38316" i="2"/>
  <c r="B38315" i="2"/>
  <c r="B38314" i="2"/>
  <c r="B38313" i="2"/>
  <c r="B38312" i="2"/>
  <c r="B38311" i="2"/>
  <c r="B38310" i="2"/>
  <c r="B38309" i="2"/>
  <c r="B38308" i="2"/>
  <c r="B38307" i="2"/>
  <c r="B38306" i="2"/>
  <c r="B38305" i="2"/>
  <c r="B38304" i="2"/>
  <c r="B38303" i="2"/>
  <c r="B38302" i="2"/>
  <c r="B38301" i="2"/>
  <c r="B38300" i="2"/>
  <c r="B38299" i="2"/>
  <c r="B38298" i="2"/>
  <c r="B38297" i="2"/>
  <c r="B38296" i="2"/>
  <c r="B38295" i="2"/>
  <c r="B38294" i="2"/>
  <c r="B38293" i="2"/>
  <c r="B38292" i="2"/>
  <c r="B38291" i="2"/>
  <c r="B38290" i="2"/>
  <c r="B38289" i="2"/>
  <c r="B38288" i="2"/>
  <c r="B38287" i="2"/>
  <c r="B38286" i="2"/>
  <c r="B38285" i="2"/>
  <c r="B38284" i="2"/>
  <c r="B38283" i="2"/>
  <c r="B38282" i="2"/>
  <c r="B38281" i="2"/>
  <c r="B38280" i="2"/>
  <c r="B38279" i="2"/>
  <c r="B38278" i="2"/>
  <c r="B38277" i="2"/>
  <c r="B38276" i="2"/>
  <c r="B38275" i="2"/>
  <c r="B38274" i="2"/>
  <c r="B38273" i="2"/>
  <c r="B38272" i="2"/>
  <c r="B38271" i="2"/>
  <c r="B38270" i="2"/>
  <c r="B38269" i="2"/>
  <c r="B38268" i="2"/>
  <c r="B38267" i="2"/>
  <c r="B38266" i="2"/>
  <c r="B38265" i="2"/>
  <c r="B38264" i="2"/>
  <c r="B38263" i="2"/>
  <c r="B38262" i="2"/>
  <c r="B38261" i="2"/>
  <c r="B38260" i="2"/>
  <c r="B38259" i="2"/>
  <c r="B38258" i="2"/>
  <c r="B38257" i="2"/>
  <c r="B38256" i="2"/>
  <c r="B38255" i="2"/>
  <c r="B38254" i="2"/>
  <c r="B38253" i="2"/>
  <c r="B38252" i="2"/>
  <c r="B38251" i="2"/>
  <c r="B38250" i="2"/>
  <c r="B38249" i="2"/>
  <c r="B38248" i="2"/>
  <c r="B38247" i="2"/>
  <c r="B38246" i="2"/>
  <c r="B38245" i="2"/>
  <c r="B38244" i="2"/>
  <c r="B38243" i="2"/>
  <c r="B38242" i="2"/>
  <c r="B38241" i="2"/>
  <c r="B38240" i="2"/>
  <c r="B38239" i="2"/>
  <c r="B38238" i="2"/>
  <c r="B38237" i="2"/>
  <c r="B38236" i="2"/>
  <c r="B38235" i="2"/>
  <c r="B38234" i="2"/>
  <c r="B38233" i="2"/>
  <c r="B38232" i="2"/>
  <c r="B38231" i="2"/>
  <c r="B38230" i="2"/>
  <c r="B38229" i="2"/>
  <c r="B38228" i="2"/>
  <c r="B38227" i="2"/>
  <c r="B38226" i="2"/>
  <c r="B38225" i="2"/>
  <c r="B38224" i="2"/>
  <c r="B38223" i="2"/>
  <c r="B38222" i="2"/>
  <c r="B38221" i="2"/>
  <c r="B38220" i="2"/>
  <c r="B38219" i="2"/>
  <c r="B38218" i="2"/>
  <c r="B38217" i="2"/>
  <c r="B38216" i="2"/>
  <c r="B38215" i="2"/>
  <c r="B38214" i="2"/>
  <c r="B38213" i="2"/>
  <c r="B38212" i="2"/>
  <c r="B38211" i="2"/>
  <c r="B38210" i="2"/>
  <c r="B38209" i="2"/>
  <c r="B38208" i="2"/>
  <c r="B38207" i="2"/>
  <c r="B38206" i="2"/>
  <c r="B38205" i="2"/>
  <c r="B38204" i="2"/>
  <c r="B38203" i="2"/>
  <c r="B38202" i="2"/>
  <c r="B38201" i="2"/>
  <c r="B38200" i="2"/>
  <c r="B38199" i="2"/>
  <c r="B38198" i="2"/>
  <c r="B38197" i="2"/>
  <c r="B38196" i="2"/>
  <c r="B38195" i="2"/>
  <c r="B38194" i="2"/>
  <c r="B38193" i="2"/>
  <c r="B38192" i="2"/>
  <c r="B38191" i="2"/>
  <c r="B38190" i="2"/>
  <c r="B38189" i="2"/>
  <c r="B38188" i="2"/>
  <c r="B38187" i="2"/>
  <c r="B38186" i="2"/>
  <c r="B38185" i="2"/>
  <c r="B38184" i="2"/>
  <c r="B38183" i="2"/>
  <c r="B38182" i="2"/>
  <c r="B38181" i="2"/>
  <c r="B38180" i="2"/>
  <c r="B38179" i="2"/>
  <c r="B38178" i="2"/>
  <c r="B38177" i="2"/>
  <c r="B38176" i="2"/>
  <c r="B38175" i="2"/>
  <c r="B38174" i="2"/>
  <c r="B38173" i="2"/>
  <c r="B38172" i="2"/>
  <c r="B38171" i="2"/>
  <c r="B38170" i="2"/>
  <c r="B38169" i="2"/>
  <c r="B38168" i="2"/>
  <c r="B38167" i="2"/>
  <c r="B38166" i="2"/>
  <c r="B38165" i="2"/>
  <c r="B38164" i="2"/>
  <c r="B38163" i="2"/>
  <c r="B38162" i="2"/>
  <c r="B38161" i="2"/>
  <c r="B38160" i="2"/>
  <c r="B38159" i="2"/>
  <c r="B38158" i="2"/>
  <c r="B38157" i="2"/>
  <c r="B38156" i="2"/>
  <c r="B38155" i="2"/>
  <c r="B38154" i="2"/>
  <c r="B38153" i="2"/>
  <c r="B38152" i="2"/>
  <c r="B38151" i="2"/>
  <c r="B38150" i="2"/>
  <c r="B38149" i="2"/>
  <c r="B38148" i="2"/>
  <c r="B38147" i="2"/>
  <c r="B38146" i="2"/>
  <c r="B38145" i="2"/>
  <c r="B38144" i="2"/>
  <c r="B38143" i="2"/>
  <c r="B38142" i="2"/>
  <c r="B38141" i="2"/>
  <c r="B38140" i="2"/>
  <c r="B38139" i="2"/>
  <c r="B38138" i="2"/>
  <c r="B38137" i="2"/>
  <c r="B38136" i="2"/>
  <c r="B38135" i="2"/>
  <c r="B38134" i="2"/>
  <c r="B38133" i="2"/>
  <c r="B38132" i="2"/>
  <c r="B38131" i="2"/>
  <c r="B38130" i="2"/>
  <c r="B38129" i="2"/>
  <c r="B38128" i="2"/>
  <c r="B38127" i="2"/>
  <c r="B38126" i="2"/>
  <c r="B38125" i="2"/>
  <c r="B38124" i="2"/>
  <c r="B38123" i="2"/>
  <c r="B38122" i="2"/>
  <c r="B38121" i="2"/>
  <c r="B38120" i="2"/>
  <c r="B38119" i="2"/>
  <c r="B38118" i="2"/>
  <c r="B38117" i="2"/>
  <c r="B38116" i="2"/>
  <c r="B38115" i="2"/>
  <c r="B38114" i="2"/>
  <c r="B38113" i="2"/>
  <c r="B38112" i="2"/>
  <c r="B38111" i="2"/>
  <c r="B38110" i="2"/>
  <c r="B38109" i="2"/>
  <c r="B38108" i="2"/>
  <c r="B38107" i="2"/>
  <c r="B38106" i="2"/>
  <c r="B38105" i="2"/>
  <c r="B38104" i="2"/>
  <c r="B38103" i="2"/>
  <c r="B38102" i="2"/>
  <c r="B38101" i="2"/>
  <c r="B38100" i="2"/>
  <c r="B38099" i="2"/>
  <c r="B38098" i="2"/>
  <c r="B38097" i="2"/>
  <c r="B38096" i="2"/>
  <c r="B38095" i="2"/>
  <c r="B38094" i="2"/>
  <c r="B38093" i="2"/>
  <c r="B38092" i="2"/>
  <c r="B38091" i="2"/>
  <c r="B38090" i="2"/>
  <c r="B38089" i="2"/>
  <c r="B38088" i="2"/>
  <c r="B38087" i="2"/>
  <c r="B38086" i="2"/>
  <c r="B38085" i="2"/>
  <c r="B38084" i="2"/>
  <c r="B38083" i="2"/>
  <c r="B38082" i="2"/>
  <c r="B38081" i="2"/>
  <c r="B38080" i="2"/>
  <c r="B38079" i="2"/>
  <c r="B38078" i="2"/>
  <c r="B38077" i="2"/>
  <c r="B38076" i="2"/>
  <c r="B38075" i="2"/>
  <c r="B38074" i="2"/>
  <c r="B38073" i="2"/>
  <c r="B38072" i="2"/>
  <c r="B38071" i="2"/>
  <c r="B38070" i="2"/>
  <c r="B38069" i="2"/>
  <c r="B38068" i="2"/>
  <c r="B38067" i="2"/>
  <c r="B38066" i="2"/>
  <c r="B38065" i="2"/>
  <c r="B38064" i="2"/>
  <c r="B38063" i="2"/>
  <c r="B38062" i="2"/>
  <c r="B38061" i="2"/>
  <c r="B38060" i="2"/>
  <c r="B38059" i="2"/>
  <c r="B38058" i="2"/>
  <c r="B38057" i="2"/>
  <c r="B38056" i="2"/>
  <c r="B38055" i="2"/>
  <c r="B38054" i="2"/>
  <c r="B38053" i="2"/>
  <c r="B38052" i="2"/>
  <c r="B38051" i="2"/>
  <c r="B38050" i="2"/>
  <c r="B38049" i="2"/>
  <c r="B38048" i="2"/>
  <c r="B38047" i="2"/>
  <c r="B38046" i="2"/>
  <c r="B38045" i="2"/>
  <c r="B38044" i="2"/>
  <c r="B38043" i="2"/>
  <c r="B38042" i="2"/>
  <c r="B38041" i="2"/>
  <c r="B38040" i="2"/>
  <c r="B38039" i="2"/>
  <c r="B38038" i="2"/>
  <c r="B38037" i="2"/>
  <c r="B38036" i="2"/>
  <c r="B38035" i="2"/>
  <c r="B38034" i="2"/>
  <c r="B38033" i="2"/>
  <c r="B38032" i="2"/>
  <c r="B38031" i="2"/>
  <c r="B38030" i="2"/>
  <c r="B38029" i="2"/>
  <c r="B38028" i="2"/>
  <c r="B38027" i="2"/>
  <c r="B38026" i="2"/>
  <c r="B38025" i="2"/>
  <c r="B38024" i="2"/>
  <c r="B38023" i="2"/>
  <c r="B38022" i="2"/>
  <c r="B38021" i="2"/>
  <c r="B38020" i="2"/>
  <c r="B38019" i="2"/>
  <c r="B38018" i="2"/>
  <c r="B38017" i="2"/>
  <c r="B38016" i="2"/>
  <c r="B38015" i="2"/>
  <c r="B38014" i="2"/>
  <c r="B38013" i="2"/>
  <c r="B38012" i="2"/>
  <c r="B38011" i="2"/>
  <c r="B38010" i="2"/>
  <c r="B38009" i="2"/>
  <c r="B38008" i="2"/>
  <c r="B38007" i="2"/>
  <c r="B38006" i="2"/>
  <c r="B38005" i="2"/>
  <c r="B38004" i="2"/>
  <c r="B38003" i="2"/>
  <c r="B38002" i="2"/>
  <c r="B38001" i="2"/>
  <c r="B38000" i="2"/>
  <c r="B37999" i="2"/>
  <c r="B37998" i="2"/>
  <c r="B37997" i="2"/>
  <c r="B37996" i="2"/>
  <c r="B37995" i="2"/>
  <c r="B37994" i="2"/>
  <c r="B37993" i="2"/>
  <c r="B37992" i="2"/>
  <c r="B37991" i="2"/>
  <c r="B37990" i="2"/>
  <c r="B37989" i="2"/>
  <c r="B37988" i="2"/>
  <c r="B37987" i="2"/>
  <c r="B37986" i="2"/>
  <c r="B37985" i="2"/>
  <c r="B37984" i="2"/>
  <c r="B37983" i="2"/>
  <c r="B37982" i="2"/>
  <c r="B37981" i="2"/>
  <c r="B37980" i="2"/>
  <c r="B37979" i="2"/>
  <c r="B37978" i="2"/>
  <c r="B37977" i="2"/>
  <c r="B37976" i="2"/>
  <c r="B37975" i="2"/>
  <c r="B37974" i="2"/>
  <c r="B37973" i="2"/>
  <c r="B37972" i="2"/>
  <c r="B37971" i="2"/>
  <c r="B37970" i="2"/>
  <c r="B37969" i="2"/>
  <c r="B37968" i="2"/>
  <c r="B37967" i="2"/>
  <c r="B37966" i="2"/>
  <c r="B37965" i="2"/>
  <c r="B37964" i="2"/>
  <c r="B37963" i="2"/>
  <c r="B37962" i="2"/>
  <c r="B37961" i="2"/>
  <c r="B37960" i="2"/>
  <c r="B37959" i="2"/>
  <c r="B37958" i="2"/>
  <c r="B37957" i="2"/>
  <c r="B37956" i="2"/>
  <c r="B37955" i="2"/>
  <c r="B37954" i="2"/>
  <c r="B37953" i="2"/>
  <c r="B37952" i="2"/>
  <c r="B37951" i="2"/>
  <c r="B37950" i="2"/>
  <c r="B37949" i="2"/>
  <c r="B37948" i="2"/>
  <c r="B37947" i="2"/>
  <c r="B37946" i="2"/>
  <c r="B37945" i="2"/>
  <c r="B37944" i="2"/>
  <c r="B37943" i="2"/>
  <c r="B37942" i="2"/>
  <c r="B37941" i="2"/>
  <c r="B37940" i="2"/>
  <c r="B37939" i="2"/>
  <c r="B37938" i="2"/>
  <c r="B37937" i="2"/>
  <c r="B37936" i="2"/>
  <c r="B37935" i="2"/>
  <c r="B37934" i="2"/>
  <c r="B37933" i="2"/>
  <c r="B37932" i="2"/>
  <c r="B37931" i="2"/>
  <c r="B37930" i="2"/>
  <c r="B37929" i="2"/>
  <c r="B37928" i="2"/>
  <c r="B37927" i="2"/>
  <c r="B37926" i="2"/>
  <c r="B37925" i="2"/>
  <c r="B37924" i="2"/>
  <c r="B37923" i="2"/>
  <c r="B37922" i="2"/>
  <c r="B37921" i="2"/>
  <c r="B37920" i="2"/>
  <c r="B37919" i="2"/>
  <c r="B37918" i="2"/>
  <c r="B37917" i="2"/>
  <c r="B37916" i="2"/>
  <c r="B37915" i="2"/>
  <c r="B37914" i="2"/>
  <c r="B37913" i="2"/>
  <c r="B37912" i="2"/>
  <c r="B37911" i="2"/>
  <c r="B37910" i="2"/>
  <c r="B37909" i="2"/>
  <c r="B37908" i="2"/>
  <c r="B37907" i="2"/>
  <c r="B37906" i="2"/>
  <c r="B37905" i="2"/>
  <c r="B37904" i="2"/>
  <c r="B37903" i="2"/>
  <c r="B37902" i="2"/>
  <c r="B37901" i="2"/>
  <c r="B37900" i="2"/>
  <c r="B37899" i="2"/>
  <c r="B37898" i="2"/>
  <c r="B37897" i="2"/>
  <c r="B37896" i="2"/>
  <c r="B37895" i="2"/>
  <c r="B37894" i="2"/>
  <c r="B37893" i="2"/>
  <c r="B37892" i="2"/>
  <c r="B37891" i="2"/>
  <c r="B37890" i="2"/>
  <c r="B37889" i="2"/>
  <c r="B37888" i="2"/>
  <c r="B37887" i="2"/>
  <c r="B37886" i="2"/>
  <c r="B37885" i="2"/>
  <c r="B37884" i="2"/>
  <c r="B37883" i="2"/>
  <c r="B37882" i="2"/>
  <c r="B37881" i="2"/>
  <c r="B37880" i="2"/>
  <c r="B37879" i="2"/>
  <c r="B37878" i="2"/>
  <c r="B37877" i="2"/>
  <c r="B37876" i="2"/>
  <c r="B37875" i="2"/>
  <c r="B37874" i="2"/>
  <c r="B37873" i="2"/>
  <c r="B37872" i="2"/>
  <c r="B37871" i="2"/>
  <c r="B37870" i="2"/>
  <c r="B37869" i="2"/>
  <c r="B37868" i="2"/>
  <c r="B37867" i="2"/>
  <c r="B37866" i="2"/>
  <c r="B37865" i="2"/>
  <c r="B37864" i="2"/>
  <c r="B37863" i="2"/>
  <c r="B37862" i="2"/>
  <c r="B37861" i="2"/>
  <c r="B37860" i="2"/>
  <c r="B37859" i="2"/>
  <c r="B37858" i="2"/>
  <c r="B37857" i="2"/>
  <c r="B37856" i="2"/>
  <c r="B37855" i="2"/>
  <c r="B37854" i="2"/>
  <c r="B37853" i="2"/>
  <c r="B37852" i="2"/>
  <c r="B37851" i="2"/>
  <c r="B37850" i="2"/>
  <c r="B37849" i="2"/>
  <c r="B37848" i="2"/>
  <c r="B37847" i="2"/>
  <c r="B37846" i="2"/>
  <c r="B37845" i="2"/>
  <c r="B37844" i="2"/>
  <c r="B37843" i="2"/>
  <c r="B37842" i="2"/>
  <c r="B37841" i="2"/>
  <c r="B37840" i="2"/>
  <c r="B37839" i="2"/>
  <c r="B37838" i="2"/>
  <c r="B37837" i="2"/>
  <c r="B37836" i="2"/>
  <c r="B37835" i="2"/>
  <c r="B37834" i="2"/>
  <c r="B37833" i="2"/>
  <c r="B37832" i="2"/>
  <c r="B37831" i="2"/>
  <c r="B37830" i="2"/>
  <c r="B37829" i="2"/>
  <c r="B37828" i="2"/>
  <c r="B37827" i="2"/>
  <c r="B37826" i="2"/>
  <c r="B37825" i="2"/>
  <c r="B37824" i="2"/>
  <c r="B37823" i="2"/>
  <c r="B37822" i="2"/>
  <c r="B37821" i="2"/>
  <c r="B37820" i="2"/>
  <c r="B37819" i="2"/>
  <c r="B37818" i="2"/>
  <c r="B37817" i="2"/>
  <c r="B37816" i="2"/>
  <c r="B37815" i="2"/>
  <c r="B37814" i="2"/>
  <c r="B37813" i="2"/>
  <c r="B37812" i="2"/>
  <c r="B37811" i="2"/>
  <c r="B37810" i="2"/>
  <c r="B37809" i="2"/>
  <c r="B37808" i="2"/>
  <c r="B37807" i="2"/>
  <c r="B37806" i="2"/>
  <c r="B37805" i="2"/>
  <c r="B37804" i="2"/>
  <c r="B37803" i="2"/>
  <c r="B37802" i="2"/>
  <c r="B37801" i="2"/>
  <c r="B37800" i="2"/>
  <c r="B37799" i="2"/>
  <c r="B37798" i="2"/>
  <c r="B37797" i="2"/>
  <c r="B37796" i="2"/>
  <c r="B37795" i="2"/>
  <c r="B37794" i="2"/>
  <c r="B37793" i="2"/>
  <c r="B37792" i="2"/>
  <c r="B37791" i="2"/>
  <c r="B37790" i="2"/>
  <c r="B37789" i="2"/>
  <c r="B37788" i="2"/>
  <c r="B37787" i="2"/>
  <c r="B37786" i="2"/>
  <c r="B37785" i="2"/>
  <c r="B37784" i="2"/>
  <c r="B37783" i="2"/>
  <c r="B37782" i="2"/>
  <c r="B37781" i="2"/>
  <c r="B37780" i="2"/>
  <c r="B37779" i="2"/>
  <c r="B37778" i="2"/>
  <c r="B37777" i="2"/>
  <c r="B37776" i="2"/>
  <c r="B37775" i="2"/>
  <c r="B37774" i="2"/>
  <c r="B37773" i="2"/>
  <c r="B37772" i="2"/>
  <c r="B37771" i="2"/>
  <c r="B37770" i="2"/>
  <c r="B37769" i="2"/>
  <c r="B37768" i="2"/>
  <c r="B37767" i="2"/>
  <c r="B37766" i="2"/>
  <c r="B37765" i="2"/>
  <c r="B37764" i="2"/>
  <c r="B37763" i="2"/>
  <c r="B37762" i="2"/>
  <c r="B37761" i="2"/>
  <c r="B37760" i="2"/>
  <c r="B37759" i="2"/>
  <c r="B37758" i="2"/>
  <c r="B37757" i="2"/>
  <c r="B37756" i="2"/>
  <c r="B37755" i="2"/>
  <c r="B37754" i="2"/>
  <c r="B37753" i="2"/>
  <c r="B37752" i="2"/>
  <c r="B37751" i="2"/>
  <c r="B37750" i="2"/>
  <c r="B37749" i="2"/>
  <c r="B37748" i="2"/>
  <c r="B37747" i="2"/>
  <c r="B37746" i="2"/>
  <c r="B37745" i="2"/>
  <c r="B37744" i="2"/>
  <c r="B37743" i="2"/>
  <c r="B37742" i="2"/>
  <c r="B37741" i="2"/>
  <c r="B37740" i="2"/>
  <c r="B37739" i="2"/>
  <c r="B37738" i="2"/>
  <c r="B37737" i="2"/>
  <c r="B37736" i="2"/>
  <c r="B37735" i="2"/>
  <c r="B37734" i="2"/>
  <c r="B37733" i="2"/>
  <c r="B37732" i="2"/>
  <c r="B37731" i="2"/>
  <c r="B37730" i="2"/>
  <c r="B37729" i="2"/>
  <c r="B37728" i="2"/>
  <c r="B37727" i="2"/>
  <c r="B37726" i="2"/>
  <c r="B37725" i="2"/>
  <c r="B37724" i="2"/>
  <c r="B37723" i="2"/>
  <c r="B37722" i="2"/>
  <c r="B37721" i="2"/>
  <c r="B37720" i="2"/>
  <c r="B37719" i="2"/>
  <c r="B37718" i="2"/>
  <c r="B37717" i="2"/>
  <c r="B37716" i="2"/>
  <c r="B37715" i="2"/>
  <c r="B37714" i="2"/>
  <c r="B37713" i="2"/>
  <c r="B37712" i="2"/>
  <c r="B37711" i="2"/>
  <c r="B37710" i="2"/>
  <c r="B37709" i="2"/>
  <c r="B37708" i="2"/>
  <c r="B37707" i="2"/>
  <c r="B37706" i="2"/>
  <c r="B37705" i="2"/>
  <c r="B37704" i="2"/>
  <c r="B37703" i="2"/>
  <c r="B37702" i="2"/>
  <c r="B37701" i="2"/>
  <c r="B37700" i="2"/>
  <c r="B37699" i="2"/>
  <c r="B37698" i="2"/>
  <c r="B37697" i="2"/>
  <c r="B37696" i="2"/>
  <c r="B37695" i="2"/>
  <c r="B37694" i="2"/>
  <c r="B37693" i="2"/>
  <c r="B37692" i="2"/>
  <c r="B37691" i="2"/>
  <c r="B37690" i="2"/>
  <c r="B37689" i="2"/>
  <c r="B37688" i="2"/>
  <c r="B37687" i="2"/>
  <c r="B37686" i="2"/>
  <c r="B37685" i="2"/>
  <c r="B37684" i="2"/>
  <c r="B37683" i="2"/>
  <c r="B37682" i="2"/>
  <c r="B37681" i="2"/>
  <c r="B37680" i="2"/>
  <c r="B37679" i="2"/>
  <c r="B37678" i="2"/>
  <c r="B37677" i="2"/>
  <c r="B37676" i="2"/>
  <c r="B37675" i="2"/>
  <c r="B37674" i="2"/>
  <c r="B37673" i="2"/>
  <c r="B37672" i="2"/>
  <c r="B37671" i="2"/>
  <c r="B37670" i="2"/>
  <c r="B37669" i="2"/>
  <c r="B37668" i="2"/>
  <c r="B37667" i="2"/>
  <c r="B37666" i="2"/>
  <c r="B37665" i="2"/>
  <c r="B37664" i="2"/>
  <c r="B37663" i="2"/>
  <c r="B37662" i="2"/>
  <c r="B37661" i="2"/>
  <c r="B37660" i="2"/>
  <c r="B37659" i="2"/>
  <c r="B37658" i="2"/>
  <c r="B37657" i="2"/>
  <c r="B37656" i="2"/>
  <c r="B37655" i="2"/>
  <c r="B37654" i="2"/>
  <c r="B37653" i="2"/>
  <c r="B37652" i="2"/>
  <c r="B37651" i="2"/>
  <c r="B37650" i="2"/>
  <c r="B37649" i="2"/>
  <c r="B37648" i="2"/>
  <c r="B37647" i="2"/>
  <c r="B37646" i="2"/>
  <c r="B37645" i="2"/>
  <c r="B37644" i="2"/>
  <c r="B37643" i="2"/>
  <c r="B37642" i="2"/>
  <c r="B37641" i="2"/>
  <c r="B37640" i="2"/>
  <c r="B37639" i="2"/>
  <c r="B37638" i="2"/>
  <c r="B37637" i="2"/>
  <c r="B37636" i="2"/>
  <c r="B37635" i="2"/>
  <c r="B37634" i="2"/>
  <c r="B37633" i="2"/>
  <c r="B37632" i="2"/>
  <c r="B37631" i="2"/>
  <c r="B37630" i="2"/>
  <c r="B37629" i="2"/>
  <c r="B37628" i="2"/>
  <c r="B37627" i="2"/>
  <c r="B37626" i="2"/>
  <c r="B37625" i="2"/>
  <c r="B37624" i="2"/>
  <c r="B37623" i="2"/>
  <c r="B37622" i="2"/>
  <c r="B37621" i="2"/>
  <c r="B37620" i="2"/>
  <c r="B37619" i="2"/>
  <c r="B37618" i="2"/>
  <c r="B37617" i="2"/>
  <c r="B37616" i="2"/>
  <c r="B37615" i="2"/>
  <c r="B37614" i="2"/>
  <c r="B37613" i="2"/>
  <c r="B37612" i="2"/>
  <c r="B37611" i="2"/>
  <c r="B37610" i="2"/>
  <c r="B37609" i="2"/>
  <c r="B37608" i="2"/>
  <c r="B37607" i="2"/>
  <c r="B37606" i="2"/>
  <c r="B37605" i="2"/>
  <c r="B37604" i="2"/>
  <c r="B37603" i="2"/>
  <c r="B37602" i="2"/>
  <c r="B37601" i="2"/>
  <c r="B37600" i="2"/>
  <c r="B37599" i="2"/>
  <c r="B37598" i="2"/>
  <c r="B37597" i="2"/>
  <c r="B37596" i="2"/>
  <c r="B37595" i="2"/>
  <c r="B37594" i="2"/>
  <c r="B37593" i="2"/>
  <c r="B37592" i="2"/>
  <c r="B37591" i="2"/>
  <c r="B37590" i="2"/>
  <c r="B37589" i="2"/>
  <c r="B37588" i="2"/>
  <c r="B37587" i="2"/>
  <c r="B37586" i="2"/>
  <c r="B37585" i="2"/>
  <c r="B37584" i="2"/>
  <c r="B37583" i="2"/>
  <c r="B37582" i="2"/>
  <c r="B37581" i="2"/>
  <c r="B37580" i="2"/>
  <c r="B37579" i="2"/>
  <c r="B37578" i="2"/>
  <c r="B37577" i="2"/>
  <c r="B37576" i="2"/>
  <c r="B37575" i="2"/>
  <c r="B37574" i="2"/>
  <c r="B37573" i="2"/>
  <c r="B37572" i="2"/>
  <c r="B37571" i="2"/>
  <c r="B37570" i="2"/>
  <c r="B37569" i="2"/>
  <c r="B37568" i="2"/>
  <c r="B37567" i="2"/>
  <c r="B37566" i="2"/>
  <c r="B37565" i="2"/>
  <c r="B37564" i="2"/>
  <c r="B37563" i="2"/>
  <c r="B37562" i="2"/>
  <c r="B37561" i="2"/>
  <c r="B37560" i="2"/>
  <c r="B37559" i="2"/>
  <c r="B37558" i="2"/>
  <c r="B37557" i="2"/>
  <c r="B37556" i="2"/>
  <c r="B37555" i="2"/>
  <c r="B37554" i="2"/>
  <c r="B37553" i="2"/>
  <c r="B37552" i="2"/>
  <c r="B37551" i="2"/>
  <c r="B37550" i="2"/>
  <c r="B37549" i="2"/>
  <c r="B37548" i="2"/>
  <c r="B37547" i="2"/>
  <c r="B37546" i="2"/>
  <c r="B37545" i="2"/>
  <c r="B37544" i="2"/>
  <c r="B37543" i="2"/>
  <c r="B37542" i="2"/>
  <c r="B37541" i="2"/>
  <c r="B37540" i="2"/>
  <c r="B37539" i="2"/>
  <c r="B37538" i="2"/>
  <c r="B37537" i="2"/>
  <c r="B37536" i="2"/>
  <c r="B37535" i="2"/>
  <c r="B37534" i="2"/>
  <c r="B37533" i="2"/>
  <c r="B37532" i="2"/>
  <c r="B37531" i="2"/>
  <c r="B37530" i="2"/>
  <c r="B37529" i="2"/>
  <c r="B37528" i="2"/>
  <c r="B37527" i="2"/>
  <c r="B37526" i="2"/>
  <c r="B37525" i="2"/>
  <c r="B37524" i="2"/>
  <c r="B37523" i="2"/>
  <c r="B37522" i="2"/>
  <c r="B37521" i="2"/>
  <c r="B37520" i="2"/>
  <c r="B37519" i="2"/>
  <c r="B37518" i="2"/>
  <c r="B37517" i="2"/>
  <c r="B37516" i="2"/>
  <c r="B37515" i="2"/>
  <c r="B37514" i="2"/>
  <c r="B37513" i="2"/>
  <c r="B37512" i="2"/>
  <c r="B37511" i="2"/>
  <c r="B37510" i="2"/>
  <c r="B37509" i="2"/>
  <c r="B37508" i="2"/>
  <c r="B37507" i="2"/>
  <c r="B37506" i="2"/>
  <c r="B37505" i="2"/>
  <c r="B37504" i="2"/>
  <c r="B37503" i="2"/>
  <c r="B37502" i="2"/>
  <c r="B37501" i="2"/>
  <c r="B37500" i="2"/>
  <c r="B37499" i="2"/>
  <c r="B37498" i="2"/>
  <c r="B37497" i="2"/>
  <c r="B37496" i="2"/>
  <c r="B37495" i="2"/>
  <c r="B37494" i="2"/>
  <c r="B37493" i="2"/>
  <c r="B37492" i="2"/>
  <c r="B37491" i="2"/>
  <c r="B37490" i="2"/>
  <c r="B37489" i="2"/>
  <c r="B37488" i="2"/>
  <c r="B37487" i="2"/>
  <c r="B37486" i="2"/>
  <c r="B37485" i="2"/>
  <c r="B37484" i="2"/>
  <c r="B37483" i="2"/>
  <c r="B37482" i="2"/>
  <c r="B37481" i="2"/>
  <c r="B37480" i="2"/>
  <c r="B37479" i="2"/>
  <c r="B37478" i="2"/>
  <c r="B37477" i="2"/>
  <c r="B37476" i="2"/>
  <c r="B37475" i="2"/>
  <c r="B37474" i="2"/>
  <c r="B37473" i="2"/>
  <c r="B37472" i="2"/>
  <c r="B37471" i="2"/>
  <c r="B37470" i="2"/>
  <c r="B37469" i="2"/>
  <c r="B37468" i="2"/>
  <c r="B37467" i="2"/>
  <c r="B37466" i="2"/>
  <c r="B37465" i="2"/>
  <c r="B37464" i="2"/>
  <c r="B37463" i="2"/>
  <c r="B37462" i="2"/>
  <c r="B37461" i="2"/>
  <c r="B37460" i="2"/>
  <c r="B37459" i="2"/>
  <c r="B37458" i="2"/>
  <c r="B37457" i="2"/>
  <c r="B37456" i="2"/>
  <c r="B37455" i="2"/>
  <c r="B37454" i="2"/>
  <c r="B37453" i="2"/>
  <c r="B37452" i="2"/>
  <c r="B37451" i="2"/>
  <c r="B37450" i="2"/>
  <c r="B37449" i="2"/>
  <c r="B37448" i="2"/>
  <c r="B37447" i="2"/>
  <c r="B37446" i="2"/>
  <c r="B37445" i="2"/>
  <c r="B37444" i="2"/>
  <c r="B37443" i="2"/>
  <c r="B37442" i="2"/>
  <c r="B37441" i="2"/>
  <c r="B37440" i="2"/>
  <c r="B37439" i="2"/>
  <c r="B37438" i="2"/>
  <c r="B37437" i="2"/>
  <c r="B37436" i="2"/>
  <c r="B37435" i="2"/>
  <c r="B37434" i="2"/>
  <c r="B37433" i="2"/>
  <c r="B37432" i="2"/>
  <c r="B37431" i="2"/>
  <c r="B37430" i="2"/>
  <c r="B37429" i="2"/>
  <c r="B37428" i="2"/>
  <c r="B37427" i="2"/>
  <c r="B37426" i="2"/>
  <c r="B37425" i="2"/>
  <c r="B37424" i="2"/>
  <c r="B37423" i="2"/>
  <c r="B37422" i="2"/>
  <c r="B37421" i="2"/>
  <c r="B37420" i="2"/>
  <c r="B37419" i="2"/>
  <c r="B37418" i="2"/>
  <c r="B37417" i="2"/>
  <c r="B37416" i="2"/>
  <c r="B37415" i="2"/>
  <c r="B37414" i="2"/>
  <c r="B37413" i="2"/>
  <c r="B37412" i="2"/>
  <c r="B37411" i="2"/>
  <c r="B37410" i="2"/>
  <c r="B37409" i="2"/>
  <c r="B37408" i="2"/>
  <c r="B37407" i="2"/>
  <c r="B37406" i="2"/>
  <c r="B37405" i="2"/>
  <c r="B37404" i="2"/>
  <c r="B37403" i="2"/>
  <c r="B37402" i="2"/>
  <c r="B37401" i="2"/>
  <c r="B37400" i="2"/>
  <c r="B37399" i="2"/>
  <c r="B37398" i="2"/>
  <c r="B37397" i="2"/>
  <c r="B37396" i="2"/>
  <c r="B37395" i="2"/>
  <c r="B37394" i="2"/>
  <c r="B37393" i="2"/>
  <c r="B37392" i="2"/>
  <c r="B37391" i="2"/>
  <c r="B37390" i="2"/>
  <c r="B37389" i="2"/>
  <c r="B37388" i="2"/>
  <c r="B37387" i="2"/>
  <c r="B37386" i="2"/>
  <c r="B37385" i="2"/>
  <c r="B37384" i="2"/>
  <c r="B37383" i="2"/>
  <c r="B37382" i="2"/>
  <c r="B37381" i="2"/>
  <c r="B37380" i="2"/>
  <c r="B37379" i="2"/>
  <c r="B37378" i="2"/>
  <c r="B37377" i="2"/>
  <c r="B37376" i="2"/>
  <c r="B37375" i="2"/>
  <c r="B37374" i="2"/>
  <c r="B37373" i="2"/>
  <c r="B37372" i="2"/>
  <c r="B37371" i="2"/>
  <c r="B37370" i="2"/>
  <c r="B37369" i="2"/>
  <c r="B37368" i="2"/>
  <c r="B37367" i="2"/>
  <c r="B37366" i="2"/>
  <c r="B37365" i="2"/>
  <c r="B37364" i="2"/>
  <c r="B37363" i="2"/>
  <c r="B37362" i="2"/>
  <c r="B37361" i="2"/>
  <c r="B37360" i="2"/>
  <c r="B37359" i="2"/>
  <c r="B37358" i="2"/>
  <c r="B37357" i="2"/>
  <c r="B37356" i="2"/>
  <c r="B37355" i="2"/>
  <c r="B37354" i="2"/>
  <c r="B37353" i="2"/>
  <c r="B37352" i="2"/>
  <c r="B37351" i="2"/>
  <c r="B37350" i="2"/>
  <c r="B37349" i="2"/>
  <c r="B37348" i="2"/>
  <c r="B37347" i="2"/>
  <c r="B37346" i="2"/>
  <c r="B37345" i="2"/>
  <c r="B37344" i="2"/>
  <c r="B37343" i="2"/>
  <c r="B37342" i="2"/>
  <c r="B37341" i="2"/>
  <c r="B37340" i="2"/>
  <c r="B37339" i="2"/>
  <c r="B37338" i="2"/>
  <c r="B37337" i="2"/>
  <c r="B37336" i="2"/>
  <c r="B37335" i="2"/>
  <c r="B37334" i="2"/>
  <c r="B37333" i="2"/>
  <c r="B37332" i="2"/>
  <c r="B37331" i="2"/>
  <c r="B37330" i="2"/>
  <c r="B37329" i="2"/>
  <c r="B37328" i="2"/>
  <c r="B37327" i="2"/>
  <c r="B37326" i="2"/>
  <c r="B37325" i="2"/>
  <c r="B37324" i="2"/>
  <c r="B37323" i="2"/>
  <c r="B37322" i="2"/>
  <c r="B37321" i="2"/>
  <c r="B37320" i="2"/>
  <c r="B37319" i="2"/>
  <c r="B37318" i="2"/>
  <c r="B37317" i="2"/>
  <c r="B37316" i="2"/>
  <c r="B37315" i="2"/>
  <c r="B37314" i="2"/>
  <c r="B37313" i="2"/>
  <c r="B37312" i="2"/>
  <c r="B37311" i="2"/>
  <c r="B37310" i="2"/>
  <c r="B37309" i="2"/>
  <c r="B37308" i="2"/>
  <c r="B37307" i="2"/>
  <c r="B37306" i="2"/>
  <c r="B37305" i="2"/>
  <c r="B37304" i="2"/>
  <c r="B37303" i="2"/>
  <c r="B37302" i="2"/>
  <c r="B37301" i="2"/>
  <c r="B37300" i="2"/>
  <c r="B37299" i="2"/>
  <c r="B37298" i="2"/>
  <c r="B37297" i="2"/>
  <c r="B37296" i="2"/>
  <c r="B37295" i="2"/>
  <c r="B37294" i="2"/>
  <c r="B37293" i="2"/>
  <c r="B37292" i="2"/>
  <c r="B37291" i="2"/>
  <c r="B37290" i="2"/>
  <c r="B37289" i="2"/>
  <c r="B37288" i="2"/>
  <c r="B37287" i="2"/>
  <c r="B37286" i="2"/>
  <c r="B37285" i="2"/>
  <c r="B37284" i="2"/>
  <c r="B37283" i="2"/>
  <c r="B37282" i="2"/>
  <c r="B37281" i="2"/>
  <c r="B37280" i="2"/>
  <c r="B37279" i="2"/>
  <c r="B37278" i="2"/>
  <c r="B37277" i="2"/>
  <c r="B37276" i="2"/>
  <c r="B37275" i="2"/>
  <c r="B37274" i="2"/>
  <c r="B37273" i="2"/>
  <c r="B37272" i="2"/>
  <c r="B37271" i="2"/>
  <c r="B37270" i="2"/>
  <c r="B37269" i="2"/>
  <c r="B37268" i="2"/>
  <c r="B37267" i="2"/>
  <c r="B37266" i="2"/>
  <c r="B37265" i="2"/>
  <c r="B37264" i="2"/>
  <c r="B37263" i="2"/>
  <c r="B37262" i="2"/>
  <c r="B37261" i="2"/>
  <c r="B37260" i="2"/>
  <c r="B37259" i="2"/>
  <c r="B37258" i="2"/>
  <c r="B37257" i="2"/>
  <c r="B37256" i="2"/>
  <c r="B37255" i="2"/>
  <c r="B37254" i="2"/>
  <c r="B37253" i="2"/>
  <c r="B37252" i="2"/>
  <c r="B37251" i="2"/>
  <c r="B37250" i="2"/>
  <c r="B37249" i="2"/>
  <c r="B37248" i="2"/>
  <c r="B37247" i="2"/>
  <c r="B37246" i="2"/>
  <c r="B37245" i="2"/>
  <c r="B37244" i="2"/>
  <c r="B37243" i="2"/>
  <c r="B37242" i="2"/>
  <c r="B37241" i="2"/>
  <c r="B37240" i="2"/>
  <c r="B37239" i="2"/>
  <c r="B37238" i="2"/>
  <c r="B37237" i="2"/>
  <c r="B37236" i="2"/>
  <c r="B37235" i="2"/>
  <c r="B37234" i="2"/>
  <c r="B37233" i="2"/>
  <c r="B37232" i="2"/>
  <c r="B37231" i="2"/>
  <c r="B37230" i="2"/>
  <c r="B37229" i="2"/>
  <c r="B37228" i="2"/>
  <c r="B37227" i="2"/>
  <c r="B37226" i="2"/>
  <c r="B37225" i="2"/>
  <c r="B37224" i="2"/>
  <c r="B37223" i="2"/>
  <c r="B37222" i="2"/>
  <c r="B37221" i="2"/>
  <c r="B37220" i="2"/>
  <c r="B37219" i="2"/>
  <c r="B37218" i="2"/>
  <c r="B37217" i="2"/>
  <c r="B37216" i="2"/>
  <c r="B37215" i="2"/>
  <c r="B37214" i="2"/>
  <c r="B37213" i="2"/>
  <c r="B37212" i="2"/>
  <c r="B37211" i="2"/>
  <c r="B37210" i="2"/>
  <c r="B37209" i="2"/>
  <c r="B37208" i="2"/>
  <c r="B37207" i="2"/>
  <c r="B37206" i="2"/>
  <c r="B37205" i="2"/>
  <c r="B37204" i="2"/>
  <c r="B37203" i="2"/>
  <c r="B37202" i="2"/>
  <c r="B37201" i="2"/>
  <c r="B37200" i="2"/>
  <c r="B37199" i="2"/>
  <c r="B37198" i="2"/>
  <c r="B37197" i="2"/>
  <c r="B37196" i="2"/>
  <c r="B37195" i="2"/>
  <c r="B37194" i="2"/>
  <c r="B37193" i="2"/>
  <c r="B37192" i="2"/>
  <c r="B37191" i="2"/>
  <c r="B37190" i="2"/>
  <c r="B37189" i="2"/>
  <c r="B37188" i="2"/>
  <c r="B37187" i="2"/>
  <c r="B37186" i="2"/>
  <c r="B37185" i="2"/>
  <c r="B37184" i="2"/>
  <c r="B37183" i="2"/>
  <c r="B37182" i="2"/>
  <c r="B37181" i="2"/>
  <c r="B37180" i="2"/>
  <c r="B37179" i="2"/>
  <c r="B37178" i="2"/>
  <c r="B37177" i="2"/>
  <c r="B37176" i="2"/>
  <c r="B37175" i="2"/>
  <c r="B37174" i="2"/>
  <c r="B37173" i="2"/>
  <c r="B37172" i="2"/>
  <c r="B37171" i="2"/>
  <c r="B37170" i="2"/>
  <c r="B37169" i="2"/>
  <c r="B37168" i="2"/>
  <c r="B37167" i="2"/>
  <c r="B37166" i="2"/>
  <c r="B37165" i="2"/>
  <c r="B37164" i="2"/>
  <c r="B37163" i="2"/>
  <c r="B37162" i="2"/>
  <c r="B37161" i="2"/>
  <c r="B37160" i="2"/>
  <c r="B37159" i="2"/>
  <c r="B37158" i="2"/>
  <c r="B37157" i="2"/>
  <c r="B37156" i="2"/>
  <c r="B37155" i="2"/>
  <c r="B37154" i="2"/>
  <c r="B37153" i="2"/>
  <c r="B37152" i="2"/>
  <c r="B37151" i="2"/>
  <c r="B37150" i="2"/>
  <c r="B37149" i="2"/>
  <c r="B37148" i="2"/>
  <c r="B37147" i="2"/>
  <c r="B37146" i="2"/>
  <c r="B37145" i="2"/>
  <c r="B37144" i="2"/>
  <c r="B37143" i="2"/>
  <c r="B37142" i="2"/>
  <c r="B37141" i="2"/>
  <c r="B37140" i="2"/>
  <c r="B37139" i="2"/>
  <c r="B37138" i="2"/>
  <c r="B37137" i="2"/>
  <c r="B37136" i="2"/>
  <c r="B37135" i="2"/>
  <c r="B37134" i="2"/>
  <c r="B37133" i="2"/>
  <c r="B37132" i="2"/>
  <c r="B37131" i="2"/>
  <c r="B37130" i="2"/>
  <c r="B37129" i="2"/>
  <c r="B37128" i="2"/>
  <c r="B37127" i="2"/>
  <c r="B37126" i="2"/>
  <c r="B37125" i="2"/>
  <c r="B37124" i="2"/>
  <c r="B37123" i="2"/>
  <c r="B37122" i="2"/>
  <c r="B37121" i="2"/>
  <c r="B37120" i="2"/>
  <c r="B37119" i="2"/>
  <c r="B37118" i="2"/>
  <c r="B37117" i="2"/>
  <c r="B37116" i="2"/>
  <c r="B37115" i="2"/>
  <c r="B37114" i="2"/>
  <c r="B37113" i="2"/>
  <c r="B37112" i="2"/>
  <c r="B37111" i="2"/>
  <c r="B37110" i="2"/>
  <c r="B37109" i="2"/>
  <c r="B37108" i="2"/>
  <c r="B37107" i="2"/>
  <c r="B37106" i="2"/>
  <c r="B37105" i="2"/>
  <c r="B37104" i="2"/>
  <c r="B37103" i="2"/>
  <c r="B37102" i="2"/>
  <c r="B37101" i="2"/>
  <c r="B37100" i="2"/>
  <c r="B37099" i="2"/>
  <c r="B37098" i="2"/>
  <c r="B37097" i="2"/>
  <c r="B37096" i="2"/>
  <c r="B37095" i="2"/>
  <c r="B37094" i="2"/>
  <c r="B37093" i="2"/>
  <c r="B37092" i="2"/>
  <c r="B37091" i="2"/>
  <c r="B37090" i="2"/>
  <c r="B37089" i="2"/>
  <c r="B37088" i="2"/>
  <c r="B37087" i="2"/>
  <c r="B37086" i="2"/>
  <c r="B37085" i="2"/>
  <c r="B37084" i="2"/>
  <c r="B37083" i="2"/>
  <c r="B37082" i="2"/>
  <c r="B37081" i="2"/>
  <c r="B37080" i="2"/>
  <c r="B37079" i="2"/>
  <c r="B37078" i="2"/>
  <c r="B37077" i="2"/>
  <c r="B37076" i="2"/>
  <c r="B37075" i="2"/>
  <c r="B37074" i="2"/>
  <c r="B37073" i="2"/>
  <c r="B37072" i="2"/>
  <c r="B37071" i="2"/>
  <c r="B37070" i="2"/>
  <c r="B37069" i="2"/>
  <c r="B37068" i="2"/>
  <c r="B37067" i="2"/>
  <c r="B37066" i="2"/>
  <c r="B37065" i="2"/>
  <c r="B37064" i="2"/>
  <c r="B37063" i="2"/>
  <c r="B37062" i="2"/>
  <c r="B37061" i="2"/>
  <c r="B37060" i="2"/>
  <c r="B37059" i="2"/>
  <c r="B37058" i="2"/>
  <c r="B37057" i="2"/>
  <c r="B37056" i="2"/>
  <c r="B37055" i="2"/>
  <c r="B37054" i="2"/>
  <c r="B37053" i="2"/>
  <c r="B37052" i="2"/>
  <c r="B37051" i="2"/>
  <c r="B37050" i="2"/>
  <c r="B37049" i="2"/>
  <c r="B37048" i="2"/>
  <c r="B37047" i="2"/>
  <c r="B37046" i="2"/>
  <c r="B37045" i="2"/>
  <c r="B37044" i="2"/>
  <c r="B37043" i="2"/>
  <c r="B37042" i="2"/>
  <c r="B37041" i="2"/>
  <c r="B37040" i="2"/>
  <c r="B37039" i="2"/>
  <c r="B37038" i="2"/>
  <c r="B37037" i="2"/>
  <c r="B37036" i="2"/>
  <c r="B37035" i="2"/>
  <c r="B37034" i="2"/>
  <c r="B37033" i="2"/>
  <c r="B37032" i="2"/>
  <c r="B37031" i="2"/>
  <c r="B37030" i="2"/>
  <c r="B37029" i="2"/>
  <c r="B37028" i="2"/>
  <c r="B37027" i="2"/>
  <c r="B37026" i="2"/>
  <c r="B37025" i="2"/>
  <c r="B37024" i="2"/>
  <c r="B37023" i="2"/>
  <c r="B37022" i="2"/>
  <c r="B37021" i="2"/>
  <c r="B37020" i="2"/>
  <c r="B37019" i="2"/>
  <c r="B37018" i="2"/>
  <c r="B37017" i="2"/>
  <c r="B37016" i="2"/>
  <c r="B37015" i="2"/>
  <c r="B37014" i="2"/>
  <c r="B37013" i="2"/>
  <c r="B37012" i="2"/>
  <c r="B37011" i="2"/>
  <c r="B37010" i="2"/>
  <c r="B37009" i="2"/>
  <c r="B37008" i="2"/>
  <c r="B37007" i="2"/>
  <c r="B37006" i="2"/>
  <c r="B37005" i="2"/>
  <c r="B37004" i="2"/>
  <c r="B37003" i="2"/>
  <c r="B37002" i="2"/>
  <c r="B37001" i="2"/>
  <c r="B37000" i="2"/>
  <c r="B36999" i="2"/>
  <c r="B36998" i="2"/>
  <c r="B36997" i="2"/>
  <c r="B36996" i="2"/>
  <c r="B36995" i="2"/>
  <c r="B36994" i="2"/>
  <c r="B36993" i="2"/>
  <c r="B36992" i="2"/>
  <c r="B36991" i="2"/>
  <c r="B36990" i="2"/>
  <c r="B36989" i="2"/>
  <c r="B36988" i="2"/>
  <c r="B36987" i="2"/>
  <c r="B36986" i="2"/>
  <c r="B36985" i="2"/>
  <c r="B36984" i="2"/>
  <c r="B36983" i="2"/>
  <c r="B36982" i="2"/>
  <c r="B36981" i="2"/>
  <c r="B36980" i="2"/>
  <c r="B36979" i="2"/>
  <c r="B36978" i="2"/>
  <c r="B36977" i="2"/>
  <c r="B36976" i="2"/>
  <c r="B36975" i="2"/>
  <c r="B36974" i="2"/>
  <c r="B36973" i="2"/>
  <c r="B36972" i="2"/>
  <c r="B36971" i="2"/>
  <c r="B36970" i="2"/>
  <c r="B36969" i="2"/>
  <c r="B36968" i="2"/>
  <c r="B36967" i="2"/>
  <c r="B36966" i="2"/>
  <c r="B36965" i="2"/>
  <c r="B36964" i="2"/>
  <c r="B36963" i="2"/>
  <c r="B36962" i="2"/>
  <c r="B36961" i="2"/>
  <c r="B36960" i="2"/>
  <c r="B36959" i="2"/>
  <c r="B36958" i="2"/>
  <c r="B36957" i="2"/>
  <c r="B36956" i="2"/>
  <c r="B36955" i="2"/>
  <c r="B36954" i="2"/>
  <c r="B36953" i="2"/>
  <c r="B36952" i="2"/>
  <c r="B36951" i="2"/>
  <c r="B36950" i="2"/>
  <c r="B36949" i="2"/>
  <c r="B36948" i="2"/>
  <c r="B36947" i="2"/>
  <c r="B36946" i="2"/>
  <c r="B36945" i="2"/>
  <c r="B36944" i="2"/>
  <c r="B36943" i="2"/>
  <c r="B36942" i="2"/>
  <c r="B36941" i="2"/>
  <c r="B36940" i="2"/>
  <c r="B36939" i="2"/>
  <c r="B36938" i="2"/>
  <c r="B36937" i="2"/>
  <c r="B36936" i="2"/>
  <c r="B36935" i="2"/>
  <c r="B36934" i="2"/>
  <c r="B36933" i="2"/>
  <c r="B36932" i="2"/>
  <c r="B36931" i="2"/>
  <c r="B36930" i="2"/>
  <c r="B36929" i="2"/>
  <c r="B36928" i="2"/>
  <c r="B36927" i="2"/>
  <c r="B36926" i="2"/>
  <c r="B36925" i="2"/>
  <c r="B36924" i="2"/>
  <c r="B36923" i="2"/>
  <c r="B36922" i="2"/>
  <c r="B36921" i="2"/>
  <c r="B36920" i="2"/>
  <c r="B36919" i="2"/>
  <c r="B36918" i="2"/>
  <c r="B36917" i="2"/>
  <c r="B36916" i="2"/>
  <c r="B36915" i="2"/>
  <c r="B36914" i="2"/>
  <c r="B36913" i="2"/>
  <c r="B36912" i="2"/>
  <c r="B36911" i="2"/>
  <c r="B36910" i="2"/>
  <c r="B36909" i="2"/>
  <c r="B36908" i="2"/>
  <c r="B36907" i="2"/>
  <c r="B36906" i="2"/>
  <c r="B36905" i="2"/>
  <c r="B36904" i="2"/>
  <c r="B36903" i="2"/>
  <c r="B36902" i="2"/>
  <c r="B36901" i="2"/>
  <c r="B36900" i="2"/>
  <c r="B36899" i="2"/>
  <c r="B36898" i="2"/>
  <c r="B36897" i="2"/>
  <c r="B36896" i="2"/>
  <c r="B36895" i="2"/>
  <c r="B36894" i="2"/>
  <c r="B36893" i="2"/>
  <c r="B36892" i="2"/>
  <c r="B36891" i="2"/>
  <c r="B36890" i="2"/>
  <c r="B36889" i="2"/>
  <c r="B36888" i="2"/>
  <c r="B36887" i="2"/>
  <c r="B36886" i="2"/>
  <c r="B36885" i="2"/>
  <c r="B36884" i="2"/>
  <c r="B36883" i="2"/>
  <c r="B36882" i="2"/>
  <c r="B36881" i="2"/>
  <c r="B36880" i="2"/>
  <c r="B36879" i="2"/>
  <c r="B36878" i="2"/>
  <c r="B36877" i="2"/>
  <c r="B36876" i="2"/>
  <c r="B36875" i="2"/>
  <c r="B36874" i="2"/>
  <c r="B36873" i="2"/>
  <c r="B36872" i="2"/>
  <c r="B36871" i="2"/>
  <c r="B36870" i="2"/>
  <c r="B36869" i="2"/>
  <c r="B36868" i="2"/>
  <c r="B36867" i="2"/>
  <c r="B36866" i="2"/>
  <c r="B36865" i="2"/>
  <c r="B36864" i="2"/>
  <c r="B36863" i="2"/>
  <c r="B36862" i="2"/>
  <c r="B36861" i="2"/>
  <c r="B36860" i="2"/>
  <c r="B36859" i="2"/>
  <c r="B36858" i="2"/>
  <c r="B36857" i="2"/>
  <c r="B36856" i="2"/>
  <c r="B36855" i="2"/>
  <c r="B36854" i="2"/>
  <c r="B36853" i="2"/>
  <c r="B36852" i="2"/>
  <c r="B36851" i="2"/>
  <c r="B36850" i="2"/>
  <c r="B36849" i="2"/>
  <c r="B36848" i="2"/>
  <c r="B36847" i="2"/>
  <c r="B36846" i="2"/>
  <c r="B36845" i="2"/>
  <c r="B36844" i="2"/>
  <c r="B36843" i="2"/>
  <c r="B36842" i="2"/>
  <c r="B36841" i="2"/>
  <c r="B36840" i="2"/>
  <c r="B36839" i="2"/>
  <c r="B36838" i="2"/>
  <c r="B36837" i="2"/>
  <c r="B36836" i="2"/>
  <c r="B36835" i="2"/>
  <c r="B36834" i="2"/>
  <c r="B36833" i="2"/>
  <c r="B36832" i="2"/>
  <c r="B36831" i="2"/>
  <c r="B36830" i="2"/>
  <c r="B36829" i="2"/>
  <c r="B36828" i="2"/>
  <c r="B36827" i="2"/>
  <c r="B36826" i="2"/>
  <c r="B36825" i="2"/>
  <c r="B36824" i="2"/>
  <c r="B36823" i="2"/>
  <c r="B36822" i="2"/>
  <c r="B36821" i="2"/>
  <c r="B36820" i="2"/>
  <c r="B36819" i="2"/>
  <c r="B36818" i="2"/>
  <c r="B36817" i="2"/>
  <c r="B36816" i="2"/>
  <c r="B36815" i="2"/>
  <c r="B36814" i="2"/>
  <c r="B36813" i="2"/>
  <c r="B36812" i="2"/>
  <c r="B36811" i="2"/>
  <c r="B36810" i="2"/>
  <c r="B36809" i="2"/>
  <c r="B36808" i="2"/>
  <c r="B36807" i="2"/>
  <c r="B36806" i="2"/>
  <c r="B36805" i="2"/>
  <c r="B36804" i="2"/>
  <c r="B36803" i="2"/>
  <c r="B36802" i="2"/>
  <c r="B36801" i="2"/>
  <c r="B36800" i="2"/>
  <c r="B36799" i="2"/>
  <c r="B36798" i="2"/>
  <c r="B36797" i="2"/>
  <c r="B36796" i="2"/>
  <c r="B36795" i="2"/>
  <c r="B36794" i="2"/>
  <c r="B36793" i="2"/>
  <c r="B36792" i="2"/>
  <c r="B36791" i="2"/>
  <c r="B36790" i="2"/>
  <c r="B36789" i="2"/>
  <c r="B36788" i="2"/>
  <c r="B36787" i="2"/>
  <c r="B36786" i="2"/>
  <c r="B36785" i="2"/>
  <c r="B36784" i="2"/>
  <c r="B36783" i="2"/>
  <c r="B36782" i="2"/>
  <c r="B36781" i="2"/>
  <c r="B36780" i="2"/>
  <c r="B36779" i="2"/>
  <c r="B36778" i="2"/>
  <c r="B36777" i="2"/>
  <c r="B36776" i="2"/>
  <c r="B36775" i="2"/>
  <c r="B36774" i="2"/>
  <c r="B36773" i="2"/>
  <c r="B36772" i="2"/>
  <c r="B36771" i="2"/>
  <c r="B36770" i="2"/>
  <c r="B36769" i="2"/>
  <c r="B36768" i="2"/>
  <c r="B36767" i="2"/>
  <c r="B36766" i="2"/>
  <c r="B36765" i="2"/>
  <c r="B36764" i="2"/>
  <c r="B36763" i="2"/>
  <c r="B36762" i="2"/>
  <c r="B36761" i="2"/>
  <c r="B36760" i="2"/>
  <c r="B36759" i="2"/>
  <c r="B36758" i="2"/>
  <c r="B36757" i="2"/>
  <c r="B36756" i="2"/>
  <c r="B36755" i="2"/>
  <c r="B36754" i="2"/>
  <c r="B36753" i="2"/>
  <c r="B36752" i="2"/>
  <c r="B36751" i="2"/>
  <c r="B36750" i="2"/>
  <c r="B36749" i="2"/>
  <c r="B36748" i="2"/>
  <c r="B36747" i="2"/>
  <c r="B36746" i="2"/>
  <c r="B36745" i="2"/>
  <c r="B36744" i="2"/>
  <c r="B36743" i="2"/>
  <c r="B36742" i="2"/>
  <c r="B36741" i="2"/>
  <c r="B36740" i="2"/>
  <c r="B36739" i="2"/>
  <c r="B36738" i="2"/>
  <c r="B36737" i="2"/>
  <c r="B36736" i="2"/>
  <c r="B36735" i="2"/>
  <c r="B36734" i="2"/>
  <c r="B36733" i="2"/>
  <c r="B36732" i="2"/>
  <c r="B36731" i="2"/>
  <c r="B36730" i="2"/>
  <c r="B36729" i="2"/>
  <c r="B36728" i="2"/>
  <c r="B36727" i="2"/>
  <c r="B36726" i="2"/>
  <c r="B36725" i="2"/>
  <c r="B36724" i="2"/>
  <c r="B36723" i="2"/>
  <c r="B36722" i="2"/>
  <c r="B36721" i="2"/>
  <c r="B36720" i="2"/>
  <c r="B36719" i="2"/>
  <c r="B36718" i="2"/>
  <c r="B36717" i="2"/>
  <c r="B36716" i="2"/>
  <c r="B36715" i="2"/>
  <c r="B36714" i="2"/>
  <c r="B36713" i="2"/>
  <c r="B36712" i="2"/>
  <c r="B36711" i="2"/>
  <c r="B36710" i="2"/>
  <c r="B36709" i="2"/>
  <c r="B36708" i="2"/>
  <c r="B36707" i="2"/>
  <c r="B36706" i="2"/>
  <c r="B36705" i="2"/>
  <c r="B36704" i="2"/>
  <c r="B36703" i="2"/>
  <c r="B36702" i="2"/>
  <c r="B36701" i="2"/>
  <c r="B36700" i="2"/>
  <c r="B36699" i="2"/>
  <c r="B36698" i="2"/>
  <c r="B36697" i="2"/>
  <c r="B36696" i="2"/>
  <c r="B36695" i="2"/>
  <c r="B36694" i="2"/>
  <c r="B36693" i="2"/>
  <c r="B36692" i="2"/>
  <c r="B36691" i="2"/>
  <c r="B36690" i="2"/>
  <c r="B36689" i="2"/>
  <c r="B36688" i="2"/>
  <c r="B36687" i="2"/>
  <c r="B36686" i="2"/>
  <c r="B36685" i="2"/>
  <c r="B36684" i="2"/>
  <c r="B36683" i="2"/>
  <c r="B36682" i="2"/>
  <c r="B36681" i="2"/>
  <c r="B36680" i="2"/>
  <c r="B36679" i="2"/>
  <c r="B36678" i="2"/>
  <c r="B36677" i="2"/>
  <c r="B36676" i="2"/>
  <c r="B36675" i="2"/>
  <c r="B36674" i="2"/>
  <c r="B36673" i="2"/>
  <c r="B36672" i="2"/>
  <c r="B36671" i="2"/>
  <c r="B36670" i="2"/>
  <c r="B36669" i="2"/>
  <c r="B36668" i="2"/>
  <c r="B36667" i="2"/>
  <c r="B36666" i="2"/>
  <c r="B36665" i="2"/>
  <c r="B36664" i="2"/>
  <c r="B36663" i="2"/>
  <c r="B36662" i="2"/>
  <c r="B36661" i="2"/>
  <c r="B36660" i="2"/>
  <c r="B36659" i="2"/>
  <c r="B36658" i="2"/>
  <c r="B36657" i="2"/>
  <c r="B36656" i="2"/>
  <c r="B36655" i="2"/>
  <c r="B36654" i="2"/>
  <c r="B36653" i="2"/>
  <c r="B36652" i="2"/>
  <c r="B36651" i="2"/>
  <c r="B36650" i="2"/>
  <c r="B36649" i="2"/>
  <c r="B36648" i="2"/>
  <c r="B36647" i="2"/>
  <c r="B36646" i="2"/>
  <c r="B36645" i="2"/>
  <c r="B36644" i="2"/>
  <c r="B36643" i="2"/>
  <c r="B36642" i="2"/>
  <c r="B36641" i="2"/>
  <c r="B36640" i="2"/>
  <c r="B36639" i="2"/>
  <c r="B36638" i="2"/>
  <c r="B36637" i="2"/>
  <c r="B36636" i="2"/>
  <c r="B36635" i="2"/>
  <c r="B36634" i="2"/>
  <c r="B36633" i="2"/>
  <c r="B36632" i="2"/>
  <c r="B36631" i="2"/>
  <c r="B36630" i="2"/>
  <c r="B36629" i="2"/>
  <c r="B36628" i="2"/>
  <c r="B36627" i="2"/>
  <c r="B36626" i="2"/>
  <c r="B36625" i="2"/>
  <c r="B36624" i="2"/>
  <c r="B36623" i="2"/>
  <c r="B36622" i="2"/>
  <c r="B36621" i="2"/>
  <c r="B36620" i="2"/>
  <c r="B36619" i="2"/>
  <c r="B36618" i="2"/>
  <c r="B36617" i="2"/>
  <c r="B36616" i="2"/>
  <c r="B36615" i="2"/>
  <c r="B36614" i="2"/>
  <c r="B36613" i="2"/>
  <c r="B36612" i="2"/>
  <c r="B36611" i="2"/>
  <c r="B36610" i="2"/>
  <c r="B36609" i="2"/>
  <c r="B36608" i="2"/>
  <c r="B36607" i="2"/>
  <c r="B36606" i="2"/>
  <c r="B36605" i="2"/>
  <c r="B36604" i="2"/>
  <c r="B36603" i="2"/>
  <c r="B36602" i="2"/>
  <c r="B36601" i="2"/>
  <c r="B36600" i="2"/>
  <c r="B36599" i="2"/>
  <c r="B36598" i="2"/>
  <c r="B36597" i="2"/>
  <c r="B36596" i="2"/>
  <c r="B36595" i="2"/>
  <c r="B36594" i="2"/>
  <c r="B36593" i="2"/>
  <c r="B36592" i="2"/>
  <c r="B36591" i="2"/>
  <c r="B36590" i="2"/>
  <c r="B36589" i="2"/>
  <c r="B36588" i="2"/>
  <c r="B36587" i="2"/>
  <c r="B36586" i="2"/>
  <c r="B36585" i="2"/>
  <c r="B36584" i="2"/>
  <c r="B36583" i="2"/>
  <c r="B36582" i="2"/>
  <c r="B36581" i="2"/>
  <c r="B36580" i="2"/>
  <c r="B36579" i="2"/>
  <c r="B36578" i="2"/>
  <c r="B36577" i="2"/>
  <c r="B36576" i="2"/>
  <c r="B36575" i="2"/>
  <c r="B36574" i="2"/>
  <c r="B36573" i="2"/>
  <c r="B36572" i="2"/>
  <c r="B36571" i="2"/>
  <c r="B36570" i="2"/>
  <c r="B36569" i="2"/>
  <c r="B36568" i="2"/>
  <c r="B36567" i="2"/>
  <c r="B36566" i="2"/>
  <c r="B36565" i="2"/>
  <c r="B36564" i="2"/>
  <c r="B36563" i="2"/>
  <c r="B36562" i="2"/>
  <c r="B36561" i="2"/>
  <c r="B36560" i="2"/>
  <c r="B36559" i="2"/>
  <c r="B36558" i="2"/>
  <c r="B36557" i="2"/>
  <c r="B36556" i="2"/>
  <c r="B36555" i="2"/>
  <c r="B36554" i="2"/>
  <c r="B36553" i="2"/>
  <c r="B36552" i="2"/>
  <c r="B36551" i="2"/>
  <c r="B36550" i="2"/>
  <c r="B36549" i="2"/>
  <c r="B36548" i="2"/>
  <c r="B36547" i="2"/>
  <c r="B36546" i="2"/>
  <c r="B36545" i="2"/>
  <c r="B36544" i="2"/>
  <c r="B36543" i="2"/>
  <c r="B36542" i="2"/>
  <c r="B36541" i="2"/>
  <c r="B36540" i="2"/>
  <c r="B36539" i="2"/>
  <c r="B36538" i="2"/>
  <c r="B36537" i="2"/>
  <c r="B36536" i="2"/>
  <c r="B36535" i="2"/>
  <c r="B36534" i="2"/>
  <c r="B36533" i="2"/>
  <c r="B36532" i="2"/>
  <c r="B36531" i="2"/>
  <c r="B36530" i="2"/>
  <c r="B36529" i="2"/>
  <c r="B36528" i="2"/>
  <c r="B36527" i="2"/>
  <c r="B36526" i="2"/>
  <c r="B36525" i="2"/>
  <c r="B36524" i="2"/>
  <c r="B36523" i="2"/>
  <c r="B36522" i="2"/>
  <c r="B36521" i="2"/>
  <c r="B36520" i="2"/>
  <c r="B36519" i="2"/>
  <c r="B36518" i="2"/>
  <c r="B36517" i="2"/>
  <c r="B36516" i="2"/>
  <c r="B36515" i="2"/>
  <c r="B36514" i="2"/>
  <c r="B36513" i="2"/>
  <c r="B36512" i="2"/>
  <c r="B36511" i="2"/>
  <c r="B36510" i="2"/>
  <c r="B36509" i="2"/>
  <c r="B36508" i="2"/>
  <c r="B36507" i="2"/>
  <c r="B36506" i="2"/>
  <c r="B36505" i="2"/>
  <c r="B36504" i="2"/>
  <c r="B36503" i="2"/>
  <c r="B36502" i="2"/>
  <c r="B36501" i="2"/>
  <c r="B36500" i="2"/>
  <c r="B36499" i="2"/>
  <c r="B36498" i="2"/>
  <c r="B36497" i="2"/>
  <c r="B36496" i="2"/>
  <c r="B36495" i="2"/>
  <c r="B36494" i="2"/>
  <c r="B36493" i="2"/>
  <c r="B36492" i="2"/>
  <c r="B36491" i="2"/>
  <c r="B36490" i="2"/>
  <c r="B36489" i="2"/>
  <c r="B36488" i="2"/>
  <c r="B36487" i="2"/>
  <c r="B36486" i="2"/>
  <c r="B36485" i="2"/>
  <c r="B36484" i="2"/>
  <c r="B36483" i="2"/>
  <c r="B36482" i="2"/>
  <c r="B36481" i="2"/>
  <c r="B36480" i="2"/>
  <c r="B36479" i="2"/>
  <c r="B36478" i="2"/>
  <c r="B36477" i="2"/>
  <c r="B36476" i="2"/>
  <c r="B36475" i="2"/>
  <c r="B36474" i="2"/>
  <c r="B36473" i="2"/>
  <c r="B36472" i="2"/>
  <c r="B36471" i="2"/>
  <c r="B36470" i="2"/>
  <c r="B36469" i="2"/>
  <c r="B36468" i="2"/>
  <c r="B36467" i="2"/>
  <c r="B36466" i="2"/>
  <c r="B36465" i="2"/>
  <c r="B36464" i="2"/>
  <c r="B36463" i="2"/>
  <c r="B36462" i="2"/>
  <c r="B36461" i="2"/>
  <c r="B36460" i="2"/>
  <c r="B36459" i="2"/>
  <c r="B36458" i="2"/>
  <c r="B36457" i="2"/>
  <c r="B36456" i="2"/>
  <c r="B36455" i="2"/>
  <c r="B36454" i="2"/>
  <c r="B36453" i="2"/>
  <c r="B36452" i="2"/>
  <c r="B36451" i="2"/>
  <c r="B36450" i="2"/>
  <c r="B36449" i="2"/>
  <c r="B36448" i="2"/>
  <c r="B36447" i="2"/>
  <c r="B36446" i="2"/>
  <c r="B36445" i="2"/>
  <c r="B36444" i="2"/>
  <c r="B36443" i="2"/>
  <c r="B36442" i="2"/>
  <c r="B36441" i="2"/>
  <c r="B36440" i="2"/>
  <c r="B36439" i="2"/>
  <c r="B36438" i="2"/>
  <c r="B36437" i="2"/>
  <c r="B36436" i="2"/>
  <c r="B36435" i="2"/>
  <c r="B36434" i="2"/>
  <c r="B36433" i="2"/>
  <c r="B36432" i="2"/>
  <c r="B36431" i="2"/>
  <c r="B36430" i="2"/>
  <c r="B36429" i="2"/>
  <c r="B36428" i="2"/>
  <c r="B36427" i="2"/>
  <c r="B36426" i="2"/>
  <c r="B36425" i="2"/>
  <c r="B36424" i="2"/>
  <c r="B36423" i="2"/>
  <c r="B36422" i="2"/>
  <c r="B36421" i="2"/>
  <c r="B36420" i="2"/>
  <c r="B36419" i="2"/>
  <c r="B36418" i="2"/>
  <c r="B36417" i="2"/>
  <c r="B36416" i="2"/>
  <c r="B36415" i="2"/>
  <c r="B36414" i="2"/>
  <c r="B36413" i="2"/>
  <c r="B36412" i="2"/>
  <c r="B36411" i="2"/>
  <c r="B36410" i="2"/>
  <c r="B36409" i="2"/>
  <c r="B36408" i="2"/>
  <c r="B36407" i="2"/>
  <c r="B36406" i="2"/>
  <c r="B36405" i="2"/>
  <c r="B36404" i="2"/>
  <c r="B36403" i="2"/>
  <c r="B36402" i="2"/>
  <c r="B36401" i="2"/>
  <c r="B36400" i="2"/>
  <c r="B36399" i="2"/>
  <c r="B36398" i="2"/>
  <c r="B36397" i="2"/>
  <c r="B36396" i="2"/>
  <c r="B36395" i="2"/>
  <c r="B36394" i="2"/>
  <c r="B36393" i="2"/>
  <c r="B36392" i="2"/>
  <c r="B36391" i="2"/>
  <c r="B36390" i="2"/>
  <c r="B36389" i="2"/>
  <c r="B36388" i="2"/>
  <c r="B36387" i="2"/>
  <c r="B36386" i="2"/>
  <c r="B36385" i="2"/>
  <c r="B36384" i="2"/>
  <c r="B36383" i="2"/>
  <c r="B36382" i="2"/>
  <c r="B36381" i="2"/>
  <c r="B36380" i="2"/>
  <c r="B36379" i="2"/>
  <c r="B36378" i="2"/>
  <c r="B36377" i="2"/>
  <c r="B36376" i="2"/>
  <c r="B36375" i="2"/>
  <c r="B36374" i="2"/>
  <c r="B36373" i="2"/>
  <c r="B36372" i="2"/>
  <c r="B36371" i="2"/>
  <c r="B36370" i="2"/>
  <c r="B36369" i="2"/>
  <c r="B36368" i="2"/>
  <c r="B36367" i="2"/>
  <c r="B36366" i="2"/>
  <c r="B36365" i="2"/>
  <c r="B36364" i="2"/>
  <c r="B36363" i="2"/>
  <c r="B36362" i="2"/>
  <c r="B36361" i="2"/>
  <c r="B36360" i="2"/>
  <c r="B36359" i="2"/>
  <c r="B36358" i="2"/>
  <c r="B36357" i="2"/>
  <c r="B36356" i="2"/>
  <c r="B36355" i="2"/>
  <c r="B36354" i="2"/>
  <c r="B36353" i="2"/>
  <c r="B36352" i="2"/>
  <c r="B36351" i="2"/>
  <c r="B36350" i="2"/>
  <c r="B36349" i="2"/>
  <c r="B36348" i="2"/>
  <c r="B36347" i="2"/>
  <c r="B36346" i="2"/>
  <c r="B36345" i="2"/>
  <c r="B36344" i="2"/>
  <c r="B36343" i="2"/>
  <c r="B36342" i="2"/>
  <c r="B36341" i="2"/>
  <c r="B36340" i="2"/>
  <c r="B36339" i="2"/>
  <c r="B36338" i="2"/>
  <c r="B36337" i="2"/>
  <c r="B36336" i="2"/>
  <c r="B36335" i="2"/>
  <c r="B36334" i="2"/>
  <c r="B36333" i="2"/>
  <c r="B36332" i="2"/>
  <c r="B36331" i="2"/>
  <c r="B36330" i="2"/>
  <c r="B36329" i="2"/>
  <c r="B36328" i="2"/>
  <c r="B36327" i="2"/>
  <c r="B36326" i="2"/>
  <c r="B36325" i="2"/>
  <c r="B36324" i="2"/>
  <c r="B36323" i="2"/>
  <c r="B36322" i="2"/>
  <c r="B36321" i="2"/>
  <c r="B36320" i="2"/>
  <c r="B36319" i="2"/>
  <c r="B36318" i="2"/>
  <c r="B36317" i="2"/>
  <c r="B36316" i="2"/>
  <c r="B36315" i="2"/>
  <c r="B36314" i="2"/>
  <c r="B36313" i="2"/>
  <c r="B36312" i="2"/>
  <c r="B36311" i="2"/>
  <c r="B36310" i="2"/>
  <c r="B36309" i="2"/>
  <c r="B36308" i="2"/>
  <c r="B36307" i="2"/>
  <c r="B36306" i="2"/>
  <c r="B36305" i="2"/>
  <c r="B36304" i="2"/>
  <c r="B36303" i="2"/>
  <c r="B36302" i="2"/>
  <c r="B36301" i="2"/>
  <c r="B36300" i="2"/>
  <c r="B36299" i="2"/>
  <c r="B36298" i="2"/>
  <c r="B36297" i="2"/>
  <c r="B36296" i="2"/>
  <c r="B36295" i="2"/>
  <c r="B36294" i="2"/>
  <c r="B36293" i="2"/>
  <c r="B36292" i="2"/>
  <c r="B36291" i="2"/>
  <c r="B36290" i="2"/>
  <c r="B36289" i="2"/>
  <c r="B36288" i="2"/>
  <c r="B36287" i="2"/>
  <c r="B36286" i="2"/>
  <c r="B36285" i="2"/>
  <c r="B36284" i="2"/>
  <c r="B36283" i="2"/>
  <c r="B36282" i="2"/>
  <c r="B36281" i="2"/>
  <c r="B36280" i="2"/>
  <c r="B36279" i="2"/>
  <c r="B36278" i="2"/>
  <c r="B36277" i="2"/>
  <c r="B36276" i="2"/>
  <c r="B36275" i="2"/>
  <c r="B36274" i="2"/>
  <c r="B36273" i="2"/>
  <c r="B36272" i="2"/>
  <c r="B36271" i="2"/>
  <c r="B36270" i="2"/>
  <c r="B36269" i="2"/>
  <c r="B36268" i="2"/>
  <c r="B36267" i="2"/>
  <c r="B36266" i="2"/>
  <c r="B36265" i="2"/>
  <c r="B36264" i="2"/>
  <c r="B36263" i="2"/>
  <c r="B36262" i="2"/>
  <c r="B36261" i="2"/>
  <c r="B36260" i="2"/>
  <c r="B36259" i="2"/>
  <c r="B36258" i="2"/>
  <c r="B36257" i="2"/>
  <c r="B36256" i="2"/>
  <c r="B36255" i="2"/>
  <c r="B36254" i="2"/>
  <c r="B36253" i="2"/>
  <c r="B36252" i="2"/>
  <c r="B36251" i="2"/>
  <c r="B36250" i="2"/>
  <c r="B36249" i="2"/>
  <c r="B36248" i="2"/>
  <c r="B36247" i="2"/>
  <c r="B36246" i="2"/>
  <c r="B36245" i="2"/>
  <c r="B36244" i="2"/>
  <c r="B36243" i="2"/>
  <c r="B36242" i="2"/>
  <c r="B36241" i="2"/>
  <c r="B36240" i="2"/>
  <c r="B36239" i="2"/>
  <c r="B36238" i="2"/>
  <c r="B36237" i="2"/>
  <c r="B36236" i="2"/>
  <c r="B36235" i="2"/>
  <c r="B36234" i="2"/>
  <c r="B36233" i="2"/>
  <c r="B36232" i="2"/>
  <c r="B36231" i="2"/>
  <c r="B36230" i="2"/>
  <c r="B36229" i="2"/>
  <c r="B36228" i="2"/>
  <c r="B36227" i="2"/>
  <c r="B36226" i="2"/>
  <c r="B36225" i="2"/>
  <c r="B36224" i="2"/>
  <c r="B36223" i="2"/>
  <c r="B36222" i="2"/>
  <c r="B36221" i="2"/>
  <c r="B36220" i="2"/>
  <c r="B36219" i="2"/>
  <c r="B36218" i="2"/>
  <c r="B36217" i="2"/>
  <c r="B36216" i="2"/>
  <c r="B36215" i="2"/>
  <c r="B36214" i="2"/>
  <c r="B36213" i="2"/>
  <c r="B36212" i="2"/>
  <c r="B36211" i="2"/>
  <c r="B36210" i="2"/>
  <c r="B36209" i="2"/>
  <c r="B36208" i="2"/>
  <c r="B36207" i="2"/>
  <c r="B36206" i="2"/>
  <c r="B36205" i="2"/>
  <c r="B36204" i="2"/>
  <c r="B36203" i="2"/>
  <c r="B36202" i="2"/>
  <c r="B36201" i="2"/>
  <c r="B36200" i="2"/>
  <c r="B36199" i="2"/>
  <c r="B36198" i="2"/>
  <c r="B36197" i="2"/>
  <c r="B36196" i="2"/>
  <c r="B36195" i="2"/>
  <c r="B36194" i="2"/>
  <c r="B36193" i="2"/>
  <c r="B36192" i="2"/>
  <c r="B36191" i="2"/>
  <c r="B36190" i="2"/>
  <c r="B36189" i="2"/>
  <c r="B36188" i="2"/>
  <c r="B36187" i="2"/>
  <c r="B36186" i="2"/>
  <c r="B36185" i="2"/>
  <c r="B36184" i="2"/>
  <c r="B36183" i="2"/>
  <c r="B36182" i="2"/>
  <c r="B36181" i="2"/>
  <c r="B36180" i="2"/>
  <c r="B36179" i="2"/>
  <c r="B36178" i="2"/>
  <c r="B36177" i="2"/>
  <c r="B36176" i="2"/>
  <c r="B36175" i="2"/>
  <c r="B36174" i="2"/>
  <c r="B36173" i="2"/>
  <c r="B36172" i="2"/>
  <c r="B36171" i="2"/>
  <c r="B36170" i="2"/>
  <c r="B36169" i="2"/>
  <c r="B36168" i="2"/>
  <c r="B36167" i="2"/>
  <c r="B36166" i="2"/>
  <c r="B36165" i="2"/>
  <c r="B36164" i="2"/>
  <c r="B36163" i="2"/>
  <c r="B36162" i="2"/>
  <c r="B36161" i="2"/>
  <c r="B36160" i="2"/>
  <c r="B36159" i="2"/>
  <c r="B36158" i="2"/>
  <c r="B36157" i="2"/>
  <c r="B36156" i="2"/>
  <c r="B36155" i="2"/>
  <c r="B36154" i="2"/>
  <c r="B36153" i="2"/>
  <c r="B36152" i="2"/>
  <c r="B36151" i="2"/>
  <c r="B36150" i="2"/>
  <c r="B36149" i="2"/>
  <c r="B36148" i="2"/>
  <c r="B36147" i="2"/>
  <c r="B36146" i="2"/>
  <c r="B36145" i="2"/>
  <c r="B36144" i="2"/>
  <c r="B36143" i="2"/>
  <c r="B36142" i="2"/>
  <c r="B36141" i="2"/>
  <c r="B36140" i="2"/>
  <c r="B36139" i="2"/>
  <c r="B36138" i="2"/>
  <c r="B36137" i="2"/>
  <c r="B36136" i="2"/>
  <c r="B36135" i="2"/>
  <c r="B36134" i="2"/>
  <c r="B36133" i="2"/>
  <c r="B36132" i="2"/>
  <c r="B36131" i="2"/>
  <c r="B36130" i="2"/>
  <c r="B36129" i="2"/>
  <c r="B36128" i="2"/>
  <c r="B36127" i="2"/>
  <c r="B36126" i="2"/>
  <c r="B36125" i="2"/>
  <c r="B36124" i="2"/>
  <c r="B36123" i="2"/>
  <c r="B36122" i="2"/>
  <c r="B36121" i="2"/>
  <c r="B36120" i="2"/>
  <c r="B36119" i="2"/>
  <c r="B36118" i="2"/>
  <c r="B36117" i="2"/>
  <c r="B36116" i="2"/>
  <c r="B36115" i="2"/>
  <c r="B36114" i="2"/>
  <c r="B36113" i="2"/>
  <c r="B36112" i="2"/>
  <c r="B36111" i="2"/>
  <c r="B36110" i="2"/>
  <c r="B36109" i="2"/>
  <c r="B36108" i="2"/>
  <c r="B36107" i="2"/>
  <c r="B36106" i="2"/>
  <c r="B36105" i="2"/>
  <c r="B36104" i="2"/>
  <c r="B36103" i="2"/>
  <c r="B36102" i="2"/>
  <c r="B36101" i="2"/>
  <c r="B36100" i="2"/>
  <c r="B36099" i="2"/>
  <c r="B36098" i="2"/>
  <c r="B36097" i="2"/>
  <c r="B36096" i="2"/>
  <c r="B36095" i="2"/>
  <c r="B36094" i="2"/>
  <c r="B36093" i="2"/>
  <c r="B36092" i="2"/>
  <c r="B36091" i="2"/>
  <c r="B36090" i="2"/>
  <c r="B36089" i="2"/>
  <c r="B36088" i="2"/>
  <c r="B36087" i="2"/>
  <c r="B36086" i="2"/>
  <c r="B36085" i="2"/>
  <c r="B36084" i="2"/>
  <c r="B36083" i="2"/>
  <c r="B36082" i="2"/>
  <c r="B36081" i="2"/>
  <c r="B36080" i="2"/>
  <c r="B36079" i="2"/>
  <c r="B36078" i="2"/>
  <c r="B36077" i="2"/>
  <c r="B36076" i="2"/>
  <c r="B36075" i="2"/>
  <c r="B36074" i="2"/>
  <c r="B36073" i="2"/>
  <c r="B36072" i="2"/>
  <c r="B36071" i="2"/>
  <c r="B36070" i="2"/>
  <c r="B36069" i="2"/>
  <c r="B36068" i="2"/>
  <c r="B36067" i="2"/>
  <c r="B36066" i="2"/>
  <c r="B36065" i="2"/>
  <c r="B36064" i="2"/>
  <c r="B36063" i="2"/>
  <c r="B36062" i="2"/>
  <c r="B36061" i="2"/>
  <c r="B36060" i="2"/>
  <c r="B36059" i="2"/>
  <c r="B36058" i="2"/>
  <c r="B36057" i="2"/>
  <c r="B36056" i="2"/>
  <c r="B36055" i="2"/>
  <c r="B36054" i="2"/>
  <c r="B36053" i="2"/>
  <c r="B36052" i="2"/>
  <c r="B36051" i="2"/>
  <c r="B36050" i="2"/>
  <c r="B36049" i="2"/>
  <c r="B36048" i="2"/>
  <c r="B36047" i="2"/>
  <c r="B36046" i="2"/>
  <c r="B36045" i="2"/>
  <c r="B36044" i="2"/>
  <c r="B36043" i="2"/>
  <c r="B36042" i="2"/>
  <c r="B36041" i="2"/>
  <c r="B36040" i="2"/>
  <c r="B36039" i="2"/>
  <c r="B36038" i="2"/>
  <c r="B36037" i="2"/>
  <c r="B36036" i="2"/>
  <c r="B36035" i="2"/>
  <c r="B36034" i="2"/>
  <c r="B36033" i="2"/>
  <c r="B36032" i="2"/>
  <c r="B36031" i="2"/>
  <c r="B36030" i="2"/>
  <c r="B36029" i="2"/>
  <c r="B36028" i="2"/>
  <c r="B36027" i="2"/>
  <c r="B36026" i="2"/>
  <c r="B36025" i="2"/>
  <c r="B36024" i="2"/>
  <c r="B36023" i="2"/>
  <c r="B36022" i="2"/>
  <c r="B36021" i="2"/>
  <c r="B36020" i="2"/>
  <c r="B36019" i="2"/>
  <c r="B36018" i="2"/>
  <c r="B36017" i="2"/>
  <c r="B36016" i="2"/>
  <c r="B36015" i="2"/>
  <c r="B36014" i="2"/>
  <c r="B36013" i="2"/>
  <c r="B36012" i="2"/>
  <c r="B36011" i="2"/>
  <c r="B36010" i="2"/>
  <c r="B36009" i="2"/>
  <c r="B36008" i="2"/>
  <c r="B36007" i="2"/>
  <c r="B36006" i="2"/>
  <c r="B36005" i="2"/>
  <c r="B36004" i="2"/>
  <c r="B36003" i="2"/>
  <c r="B36002" i="2"/>
  <c r="B36001" i="2"/>
  <c r="B36000" i="2"/>
  <c r="B35999" i="2"/>
  <c r="B35998" i="2"/>
  <c r="B35997" i="2"/>
  <c r="B35996" i="2"/>
  <c r="B35995" i="2"/>
  <c r="B35994" i="2"/>
  <c r="B35993" i="2"/>
  <c r="B35992" i="2"/>
  <c r="B35991" i="2"/>
  <c r="B35990" i="2"/>
  <c r="B35989" i="2"/>
  <c r="B35988" i="2"/>
  <c r="B35987" i="2"/>
  <c r="B35986" i="2"/>
  <c r="B35985" i="2"/>
  <c r="B35984" i="2"/>
  <c r="B35983" i="2"/>
  <c r="B35982" i="2"/>
  <c r="B35981" i="2"/>
  <c r="B35980" i="2"/>
  <c r="B35979" i="2"/>
  <c r="B35978" i="2"/>
  <c r="B35977" i="2"/>
  <c r="B35976" i="2"/>
  <c r="B35975" i="2"/>
  <c r="B35974" i="2"/>
  <c r="B35973" i="2"/>
  <c r="B35972" i="2"/>
  <c r="B35971" i="2"/>
  <c r="B35970" i="2"/>
  <c r="B35969" i="2"/>
  <c r="B35968" i="2"/>
  <c r="B35967" i="2"/>
  <c r="B35966" i="2"/>
  <c r="B35965" i="2"/>
  <c r="B35964" i="2"/>
  <c r="B35963" i="2"/>
  <c r="B35962" i="2"/>
  <c r="B35961" i="2"/>
  <c r="B35960" i="2"/>
  <c r="B35959" i="2"/>
  <c r="B35958" i="2"/>
  <c r="B35957" i="2"/>
  <c r="B35956" i="2"/>
  <c r="B35955" i="2"/>
  <c r="B35954" i="2"/>
  <c r="B35953" i="2"/>
  <c r="B35952" i="2"/>
  <c r="B35951" i="2"/>
  <c r="B35950" i="2"/>
  <c r="B35949" i="2"/>
  <c r="B35948" i="2"/>
  <c r="B35947" i="2"/>
  <c r="B35946" i="2"/>
  <c r="B35945" i="2"/>
  <c r="B35944" i="2"/>
  <c r="B35943" i="2"/>
  <c r="B35942" i="2"/>
  <c r="B35941" i="2"/>
  <c r="B35940" i="2"/>
  <c r="B35939" i="2"/>
  <c r="B35938" i="2"/>
  <c r="B35937" i="2"/>
  <c r="B35936" i="2"/>
  <c r="B35935" i="2"/>
  <c r="B35934" i="2"/>
  <c r="B35933" i="2"/>
  <c r="B35932" i="2"/>
  <c r="B35931" i="2"/>
  <c r="B35930" i="2"/>
  <c r="B35929" i="2"/>
  <c r="B35928" i="2"/>
  <c r="B35927" i="2"/>
  <c r="B35926" i="2"/>
  <c r="B35925" i="2"/>
  <c r="B35924" i="2"/>
  <c r="B35923" i="2"/>
  <c r="B35922" i="2"/>
  <c r="B35921" i="2"/>
  <c r="B35920" i="2"/>
  <c r="B35919" i="2"/>
  <c r="B35918" i="2"/>
  <c r="B35917" i="2"/>
  <c r="B35916" i="2"/>
  <c r="B35915" i="2"/>
  <c r="B35914" i="2"/>
  <c r="B35913" i="2"/>
  <c r="B35912" i="2"/>
  <c r="B35911" i="2"/>
  <c r="B35910" i="2"/>
  <c r="B35909" i="2"/>
  <c r="B35908" i="2"/>
  <c r="B35907" i="2"/>
  <c r="B35906" i="2"/>
  <c r="B35905" i="2"/>
  <c r="B35904" i="2"/>
  <c r="B35903" i="2"/>
  <c r="B35902" i="2"/>
  <c r="B35901" i="2"/>
  <c r="B35900" i="2"/>
  <c r="B35899" i="2"/>
  <c r="B35898" i="2"/>
  <c r="B35897" i="2"/>
  <c r="B35896" i="2"/>
  <c r="B35895" i="2"/>
  <c r="B35894" i="2"/>
  <c r="B35893" i="2"/>
  <c r="B35892" i="2"/>
  <c r="B35891" i="2"/>
  <c r="B35890" i="2"/>
  <c r="B35889" i="2"/>
  <c r="B35888" i="2"/>
  <c r="B35887" i="2"/>
  <c r="B35886" i="2"/>
  <c r="B35885" i="2"/>
  <c r="B35884" i="2"/>
  <c r="B35883" i="2"/>
  <c r="B35882" i="2"/>
  <c r="B35881" i="2"/>
  <c r="B35880" i="2"/>
  <c r="B35879" i="2"/>
  <c r="B35878" i="2"/>
  <c r="B35877" i="2"/>
  <c r="B35876" i="2"/>
  <c r="B35875" i="2"/>
  <c r="B35874" i="2"/>
  <c r="B35873" i="2"/>
  <c r="B35872" i="2"/>
  <c r="B35871" i="2"/>
  <c r="B35870" i="2"/>
  <c r="B35869" i="2"/>
  <c r="B35868" i="2"/>
  <c r="B35867" i="2"/>
  <c r="B35866" i="2"/>
  <c r="B35865" i="2"/>
  <c r="B35864" i="2"/>
  <c r="B35863" i="2"/>
  <c r="B35862" i="2"/>
  <c r="B35861" i="2"/>
  <c r="B35860" i="2"/>
  <c r="B35859" i="2"/>
  <c r="B35858" i="2"/>
  <c r="B35857" i="2"/>
  <c r="B35856" i="2"/>
  <c r="B35855" i="2"/>
  <c r="B35854" i="2"/>
  <c r="B35853" i="2"/>
  <c r="B35852" i="2"/>
  <c r="B35851" i="2"/>
  <c r="B35850" i="2"/>
  <c r="B35849" i="2"/>
  <c r="B35848" i="2"/>
  <c r="B35847" i="2"/>
  <c r="B35846" i="2"/>
  <c r="B35845" i="2"/>
  <c r="B35844" i="2"/>
  <c r="B35843" i="2"/>
  <c r="B35842" i="2"/>
  <c r="B35841" i="2"/>
  <c r="B35840" i="2"/>
  <c r="B35839" i="2"/>
  <c r="B35838" i="2"/>
  <c r="B35837" i="2"/>
  <c r="B35836" i="2"/>
  <c r="B35835" i="2"/>
  <c r="B35834" i="2"/>
  <c r="B35833" i="2"/>
  <c r="B35832" i="2"/>
  <c r="B35831" i="2"/>
  <c r="B35830" i="2"/>
  <c r="B35829" i="2"/>
  <c r="B35828" i="2"/>
  <c r="B35827" i="2"/>
  <c r="B35826" i="2"/>
  <c r="B35825" i="2"/>
  <c r="B35824" i="2"/>
  <c r="B35823" i="2"/>
  <c r="B35822" i="2"/>
  <c r="B35821" i="2"/>
  <c r="B35820" i="2"/>
  <c r="B35819" i="2"/>
  <c r="B35818" i="2"/>
  <c r="B35817" i="2"/>
  <c r="B35816" i="2"/>
  <c r="B35815" i="2"/>
  <c r="B35814" i="2"/>
  <c r="B35813" i="2"/>
  <c r="B35812" i="2"/>
  <c r="B35811" i="2"/>
  <c r="B35810" i="2"/>
  <c r="B35809" i="2"/>
  <c r="B35808" i="2"/>
  <c r="B35807" i="2"/>
  <c r="B35806" i="2"/>
  <c r="B35805" i="2"/>
  <c r="B35804" i="2"/>
  <c r="B35803" i="2"/>
  <c r="B35802" i="2"/>
  <c r="B35801" i="2"/>
  <c r="B35800" i="2"/>
  <c r="B35799" i="2"/>
  <c r="B35798" i="2"/>
  <c r="B35797" i="2"/>
  <c r="B35796" i="2"/>
  <c r="B35795" i="2"/>
  <c r="B35794" i="2"/>
  <c r="B35793" i="2"/>
  <c r="B35792" i="2"/>
  <c r="B35791" i="2"/>
  <c r="B35790" i="2"/>
  <c r="B35789" i="2"/>
  <c r="B35788" i="2"/>
  <c r="B35787" i="2"/>
  <c r="B35786" i="2"/>
  <c r="B35785" i="2"/>
  <c r="B35784" i="2"/>
  <c r="B35783" i="2"/>
  <c r="B35782" i="2"/>
  <c r="B35781" i="2"/>
  <c r="B35780" i="2"/>
  <c r="B35779" i="2"/>
  <c r="B35778" i="2"/>
  <c r="B35777" i="2"/>
  <c r="B35776" i="2"/>
  <c r="B35775" i="2"/>
  <c r="B35774" i="2"/>
  <c r="B35773" i="2"/>
  <c r="B35772" i="2"/>
  <c r="B35771" i="2"/>
  <c r="B35770" i="2"/>
  <c r="B35769" i="2"/>
  <c r="B35768" i="2"/>
  <c r="B35767" i="2"/>
  <c r="B35766" i="2"/>
  <c r="B35765" i="2"/>
  <c r="B35764" i="2"/>
  <c r="B35763" i="2"/>
  <c r="B35762" i="2"/>
  <c r="B35761" i="2"/>
  <c r="B35760" i="2"/>
  <c r="B35759" i="2"/>
  <c r="B35758" i="2"/>
  <c r="B35757" i="2"/>
  <c r="B35756" i="2"/>
  <c r="B35755" i="2"/>
  <c r="B35754" i="2"/>
  <c r="B35753" i="2"/>
  <c r="B35752" i="2"/>
  <c r="B35751" i="2"/>
  <c r="B35750" i="2"/>
  <c r="B35749" i="2"/>
  <c r="B35748" i="2"/>
  <c r="B35747" i="2"/>
  <c r="B35746" i="2"/>
  <c r="B35745" i="2"/>
  <c r="B35744" i="2"/>
  <c r="B35743" i="2"/>
  <c r="B35742" i="2"/>
  <c r="B35741" i="2"/>
  <c r="B35740" i="2"/>
  <c r="B35739" i="2"/>
  <c r="B35738" i="2"/>
  <c r="B35737" i="2"/>
  <c r="B35736" i="2"/>
  <c r="B35735" i="2"/>
  <c r="B35734" i="2"/>
  <c r="B35733" i="2"/>
  <c r="B35732" i="2"/>
  <c r="B35731" i="2"/>
  <c r="B35730" i="2"/>
  <c r="B35729" i="2"/>
  <c r="B35728" i="2"/>
  <c r="B35727" i="2"/>
  <c r="B35726" i="2"/>
  <c r="B35725" i="2"/>
  <c r="B35724" i="2"/>
  <c r="B35723" i="2"/>
  <c r="B35722" i="2"/>
  <c r="B35721" i="2"/>
  <c r="B35720" i="2"/>
  <c r="B35719" i="2"/>
  <c r="B35718" i="2"/>
  <c r="B35717" i="2"/>
  <c r="B35716" i="2"/>
  <c r="B35715" i="2"/>
  <c r="B35714" i="2"/>
  <c r="B35713" i="2"/>
  <c r="B35712" i="2"/>
  <c r="B35711" i="2"/>
  <c r="B35710" i="2"/>
  <c r="B35709" i="2"/>
  <c r="B35708" i="2"/>
  <c r="B35707" i="2"/>
  <c r="B35706" i="2"/>
  <c r="B35705" i="2"/>
  <c r="B35704" i="2"/>
  <c r="B35703" i="2"/>
  <c r="B35702" i="2"/>
  <c r="B35701" i="2"/>
  <c r="B35700" i="2"/>
  <c r="B35699" i="2"/>
  <c r="B35698" i="2"/>
  <c r="B35697" i="2"/>
  <c r="B35696" i="2"/>
  <c r="B35695" i="2"/>
  <c r="B35694" i="2"/>
  <c r="B35693" i="2"/>
  <c r="B35692" i="2"/>
  <c r="B35691" i="2"/>
  <c r="B35690" i="2"/>
  <c r="B35689" i="2"/>
  <c r="B35688" i="2"/>
  <c r="B35687" i="2"/>
  <c r="B35686" i="2"/>
  <c r="B35685" i="2"/>
  <c r="B35684" i="2"/>
  <c r="B35683" i="2"/>
  <c r="B35682" i="2"/>
  <c r="B35681" i="2"/>
  <c r="B35680" i="2"/>
  <c r="B35679" i="2"/>
  <c r="B35678" i="2"/>
  <c r="B35677" i="2"/>
  <c r="B35676" i="2"/>
  <c r="B35675" i="2"/>
  <c r="B35674" i="2"/>
  <c r="B35673" i="2"/>
  <c r="B35672" i="2"/>
  <c r="B35671" i="2"/>
  <c r="B35670" i="2"/>
  <c r="B35669" i="2"/>
  <c r="B35668" i="2"/>
  <c r="B35667" i="2"/>
  <c r="B35666" i="2"/>
  <c r="B35665" i="2"/>
  <c r="B35664" i="2"/>
  <c r="B35663" i="2"/>
  <c r="B35662" i="2"/>
  <c r="B35661" i="2"/>
  <c r="B35660" i="2"/>
  <c r="B35659" i="2"/>
  <c r="B35658" i="2"/>
  <c r="B35657" i="2"/>
  <c r="B35656" i="2"/>
  <c r="B35655" i="2"/>
  <c r="B35654" i="2"/>
  <c r="B35653" i="2"/>
  <c r="B35652" i="2"/>
  <c r="B35651" i="2"/>
  <c r="B35650" i="2"/>
  <c r="B35649" i="2"/>
  <c r="B35648" i="2"/>
  <c r="B35647" i="2"/>
  <c r="B35646" i="2"/>
  <c r="B35645" i="2"/>
  <c r="B35644" i="2"/>
  <c r="B35643" i="2"/>
  <c r="B35642" i="2"/>
  <c r="B35641" i="2"/>
  <c r="B35640" i="2"/>
  <c r="B35639" i="2"/>
  <c r="B35638" i="2"/>
  <c r="B35637" i="2"/>
  <c r="B35636" i="2"/>
  <c r="B35635" i="2"/>
  <c r="B35634" i="2"/>
  <c r="B35633" i="2"/>
  <c r="B35632" i="2"/>
  <c r="B35631" i="2"/>
  <c r="B35630" i="2"/>
  <c r="B35629" i="2"/>
  <c r="B35628" i="2"/>
  <c r="B35627" i="2"/>
  <c r="B35626" i="2"/>
  <c r="B35625" i="2"/>
  <c r="B35624" i="2"/>
  <c r="B35623" i="2"/>
  <c r="B35622" i="2"/>
  <c r="B35621" i="2"/>
  <c r="B35620" i="2"/>
  <c r="B35619" i="2"/>
  <c r="B35618" i="2"/>
  <c r="B35617" i="2"/>
  <c r="B35616" i="2"/>
  <c r="B35615" i="2"/>
  <c r="B35614" i="2"/>
  <c r="B35613" i="2"/>
  <c r="B35612" i="2"/>
  <c r="B35611" i="2"/>
  <c r="B35610" i="2"/>
  <c r="B35609" i="2"/>
  <c r="B35608" i="2"/>
  <c r="B35607" i="2"/>
  <c r="B35606" i="2"/>
  <c r="B35605" i="2"/>
  <c r="B35604" i="2"/>
  <c r="B35603" i="2"/>
  <c r="B35602" i="2"/>
  <c r="B35601" i="2"/>
  <c r="B35600" i="2"/>
  <c r="B35599" i="2"/>
  <c r="B35598" i="2"/>
  <c r="B35597" i="2"/>
  <c r="B35596" i="2"/>
  <c r="B35595" i="2"/>
  <c r="B35594" i="2"/>
  <c r="B35593" i="2"/>
  <c r="B35592" i="2"/>
  <c r="B35591" i="2"/>
  <c r="B35590" i="2"/>
  <c r="B35589" i="2"/>
  <c r="B35588" i="2"/>
  <c r="B35587" i="2"/>
  <c r="B35586" i="2"/>
  <c r="B35585" i="2"/>
  <c r="B35584" i="2"/>
  <c r="B35583" i="2"/>
  <c r="B35582" i="2"/>
  <c r="B35581" i="2"/>
  <c r="B35580" i="2"/>
  <c r="B35579" i="2"/>
  <c r="B35578" i="2"/>
  <c r="B35577" i="2"/>
  <c r="B35576" i="2"/>
  <c r="B35575" i="2"/>
  <c r="B35574" i="2"/>
  <c r="B35573" i="2"/>
  <c r="B35572" i="2"/>
  <c r="B35571" i="2"/>
  <c r="B35570" i="2"/>
  <c r="B35569" i="2"/>
  <c r="B35568" i="2"/>
  <c r="B35567" i="2"/>
  <c r="B35566" i="2"/>
  <c r="B35565" i="2"/>
  <c r="B35564" i="2"/>
  <c r="B35563" i="2"/>
  <c r="B35562" i="2"/>
  <c r="B35561" i="2"/>
  <c r="B35560" i="2"/>
  <c r="B35559" i="2"/>
  <c r="B35558" i="2"/>
  <c r="B35557" i="2"/>
  <c r="B35556" i="2"/>
  <c r="B35555" i="2"/>
  <c r="B35554" i="2"/>
  <c r="B35553" i="2"/>
  <c r="B35552" i="2"/>
  <c r="B35551" i="2"/>
  <c r="B35550" i="2"/>
  <c r="B35549" i="2"/>
  <c r="B35548" i="2"/>
  <c r="B35547" i="2"/>
  <c r="B35546" i="2"/>
  <c r="B35545" i="2"/>
  <c r="B35544" i="2"/>
  <c r="B35543" i="2"/>
  <c r="B35542" i="2"/>
  <c r="B35541" i="2"/>
  <c r="B35540" i="2"/>
  <c r="B35539" i="2"/>
  <c r="B35538" i="2"/>
  <c r="B35537" i="2"/>
  <c r="B35536" i="2"/>
  <c r="B35535" i="2"/>
  <c r="B35534" i="2"/>
  <c r="B35533" i="2"/>
  <c r="B35532" i="2"/>
  <c r="B35531" i="2"/>
  <c r="B35530" i="2"/>
  <c r="B35529" i="2"/>
  <c r="B35528" i="2"/>
  <c r="B35527" i="2"/>
  <c r="B35526" i="2"/>
  <c r="B35525" i="2"/>
  <c r="B35524" i="2"/>
  <c r="B35523" i="2"/>
  <c r="B35522" i="2"/>
  <c r="B35521" i="2"/>
  <c r="B35520" i="2"/>
  <c r="B35519" i="2"/>
  <c r="B35518" i="2"/>
  <c r="B35517" i="2"/>
  <c r="B35516" i="2"/>
  <c r="B35515" i="2"/>
  <c r="B35514" i="2"/>
  <c r="B35513" i="2"/>
  <c r="B35512" i="2"/>
  <c r="B35511" i="2"/>
  <c r="B35510" i="2"/>
  <c r="B35509" i="2"/>
  <c r="B35508" i="2"/>
  <c r="B35507" i="2"/>
  <c r="B35506" i="2"/>
  <c r="B35505" i="2"/>
  <c r="B35504" i="2"/>
  <c r="B35503" i="2"/>
  <c r="B35502" i="2"/>
  <c r="B35501" i="2"/>
  <c r="B35500" i="2"/>
  <c r="B35499" i="2"/>
  <c r="B35498" i="2"/>
  <c r="B35497" i="2"/>
  <c r="B35496" i="2"/>
  <c r="B35495" i="2"/>
  <c r="B35494" i="2"/>
  <c r="B35493" i="2"/>
  <c r="B35492" i="2"/>
  <c r="B35491" i="2"/>
  <c r="B35490" i="2"/>
  <c r="B35489" i="2"/>
  <c r="B35488" i="2"/>
  <c r="B35487" i="2"/>
  <c r="B35486" i="2"/>
  <c r="B35485" i="2"/>
  <c r="B35484" i="2"/>
  <c r="B35483" i="2"/>
  <c r="B35482" i="2"/>
  <c r="B35481" i="2"/>
  <c r="B35480" i="2"/>
  <c r="B35479" i="2"/>
  <c r="B35478" i="2"/>
  <c r="B35477" i="2"/>
  <c r="B35476" i="2"/>
  <c r="B35475" i="2"/>
  <c r="B35474" i="2"/>
  <c r="B35473" i="2"/>
  <c r="B35472" i="2"/>
  <c r="B35471" i="2"/>
  <c r="B35470" i="2"/>
  <c r="B35469" i="2"/>
  <c r="B35468" i="2"/>
  <c r="B35467" i="2"/>
  <c r="B35466" i="2"/>
  <c r="B35465" i="2"/>
  <c r="B35464" i="2"/>
  <c r="B35463" i="2"/>
  <c r="B35462" i="2"/>
  <c r="B35461" i="2"/>
  <c r="B35460" i="2"/>
  <c r="B35459" i="2"/>
  <c r="B35458" i="2"/>
  <c r="B35457" i="2"/>
  <c r="B35456" i="2"/>
  <c r="B35455" i="2"/>
  <c r="B35454" i="2"/>
  <c r="B35453" i="2"/>
  <c r="B35452" i="2"/>
  <c r="B35451" i="2"/>
  <c r="B35450" i="2"/>
  <c r="B35449" i="2"/>
  <c r="B35448" i="2"/>
  <c r="B35447" i="2"/>
  <c r="B35446" i="2"/>
  <c r="B35445" i="2"/>
  <c r="B35444" i="2"/>
  <c r="B35443" i="2"/>
  <c r="B35442" i="2"/>
  <c r="B35441" i="2"/>
  <c r="B35440" i="2"/>
  <c r="B35439" i="2"/>
  <c r="B35438" i="2"/>
  <c r="B35437" i="2"/>
  <c r="B35436" i="2"/>
  <c r="B35435" i="2"/>
  <c r="B35434" i="2"/>
  <c r="B35433" i="2"/>
  <c r="B35432" i="2"/>
  <c r="B35431" i="2"/>
  <c r="B35430" i="2"/>
  <c r="B35429" i="2"/>
  <c r="B35428" i="2"/>
  <c r="B35427" i="2"/>
  <c r="B35426" i="2"/>
  <c r="B35425" i="2"/>
  <c r="B35424" i="2"/>
  <c r="B35423" i="2"/>
  <c r="B35422" i="2"/>
  <c r="B35421" i="2"/>
  <c r="B35420" i="2"/>
  <c r="B35419" i="2"/>
  <c r="B35418" i="2"/>
  <c r="B35417" i="2"/>
  <c r="B35416" i="2"/>
  <c r="B35415" i="2"/>
  <c r="B35414" i="2"/>
  <c r="B35413" i="2"/>
  <c r="B35412" i="2"/>
  <c r="B35411" i="2"/>
  <c r="B35410" i="2"/>
  <c r="B35409" i="2"/>
  <c r="B35408" i="2"/>
  <c r="B35407" i="2"/>
  <c r="B35406" i="2"/>
  <c r="B35405" i="2"/>
  <c r="B35404" i="2"/>
  <c r="B35403" i="2"/>
  <c r="B35402" i="2"/>
  <c r="B35401" i="2"/>
  <c r="B35400" i="2"/>
  <c r="B35399" i="2"/>
  <c r="B35398" i="2"/>
  <c r="B35397" i="2"/>
  <c r="B35396" i="2"/>
  <c r="B35395" i="2"/>
  <c r="B35394" i="2"/>
  <c r="B35393" i="2"/>
  <c r="B35392" i="2"/>
  <c r="B35391" i="2"/>
  <c r="B35390" i="2"/>
  <c r="B35389" i="2"/>
  <c r="B35388" i="2"/>
  <c r="B35387" i="2"/>
  <c r="B35386" i="2"/>
  <c r="B35385" i="2"/>
  <c r="B35384" i="2"/>
  <c r="B35383" i="2"/>
  <c r="B35382" i="2"/>
  <c r="B35381" i="2"/>
  <c r="B35380" i="2"/>
  <c r="B35379" i="2"/>
  <c r="B35378" i="2"/>
  <c r="B35377" i="2"/>
  <c r="B35376" i="2"/>
  <c r="B35375" i="2"/>
  <c r="B35374" i="2"/>
  <c r="B35373" i="2"/>
  <c r="B35372" i="2"/>
  <c r="B35371" i="2"/>
  <c r="B35370" i="2"/>
  <c r="B35369" i="2"/>
  <c r="B35368" i="2"/>
  <c r="B35367" i="2"/>
  <c r="B35366" i="2"/>
  <c r="B35365" i="2"/>
  <c r="B35364" i="2"/>
  <c r="B35363" i="2"/>
  <c r="B35362" i="2"/>
  <c r="B35361" i="2"/>
  <c r="B35360" i="2"/>
  <c r="B35359" i="2"/>
  <c r="B35358" i="2"/>
  <c r="B35357" i="2"/>
  <c r="B35356" i="2"/>
  <c r="B35355" i="2"/>
  <c r="B35354" i="2"/>
  <c r="B35353" i="2"/>
  <c r="B35352" i="2"/>
  <c r="B35351" i="2"/>
  <c r="B35350" i="2"/>
  <c r="B35349" i="2"/>
  <c r="B35348" i="2"/>
  <c r="B35347" i="2"/>
  <c r="B35346" i="2"/>
  <c r="B35345" i="2"/>
  <c r="B35344" i="2"/>
  <c r="B35343" i="2"/>
  <c r="B35342" i="2"/>
  <c r="B35341" i="2"/>
  <c r="B35340" i="2"/>
  <c r="B35339" i="2"/>
  <c r="B35338" i="2"/>
  <c r="B35337" i="2"/>
  <c r="B35336" i="2"/>
  <c r="B35335" i="2"/>
  <c r="B35334" i="2"/>
  <c r="B35333" i="2"/>
  <c r="B35332" i="2"/>
  <c r="B35331" i="2"/>
  <c r="B35330" i="2"/>
  <c r="B35329" i="2"/>
  <c r="B35328" i="2"/>
  <c r="B35327" i="2"/>
  <c r="B35326" i="2"/>
  <c r="B35325" i="2"/>
  <c r="B35324" i="2"/>
  <c r="B35323" i="2"/>
  <c r="B35322" i="2"/>
  <c r="B35321" i="2"/>
  <c r="B35320" i="2"/>
  <c r="B35319" i="2"/>
  <c r="B35318" i="2"/>
  <c r="B35317" i="2"/>
  <c r="B35316" i="2"/>
  <c r="B35315" i="2"/>
  <c r="B35314" i="2"/>
  <c r="B35313" i="2"/>
  <c r="B35312" i="2"/>
  <c r="B35311" i="2"/>
  <c r="B35310" i="2"/>
  <c r="B35309" i="2"/>
  <c r="B35308" i="2"/>
  <c r="B35307" i="2"/>
  <c r="B35306" i="2"/>
  <c r="B35305" i="2"/>
  <c r="B35304" i="2"/>
  <c r="B35303" i="2"/>
  <c r="B35302" i="2"/>
  <c r="B35301" i="2"/>
  <c r="B35300" i="2"/>
  <c r="B35299" i="2"/>
  <c r="B35298" i="2"/>
  <c r="B35297" i="2"/>
  <c r="B35296" i="2"/>
  <c r="B35295" i="2"/>
  <c r="B35294" i="2"/>
  <c r="B35293" i="2"/>
  <c r="B35292" i="2"/>
  <c r="B35291" i="2"/>
  <c r="B35290" i="2"/>
  <c r="B35289" i="2"/>
  <c r="B35288" i="2"/>
  <c r="B35287" i="2"/>
  <c r="B35286" i="2"/>
  <c r="B35285" i="2"/>
  <c r="B35284" i="2"/>
  <c r="B35283" i="2"/>
  <c r="B35282" i="2"/>
  <c r="B35281" i="2"/>
  <c r="B35280" i="2"/>
  <c r="B35279" i="2"/>
  <c r="B35278" i="2"/>
  <c r="B35277" i="2"/>
  <c r="B35276" i="2"/>
  <c r="B35275" i="2"/>
  <c r="B35274" i="2"/>
  <c r="B35273" i="2"/>
  <c r="B35272" i="2"/>
  <c r="B35271" i="2"/>
  <c r="B35270" i="2"/>
  <c r="B35269" i="2"/>
  <c r="B35268" i="2"/>
  <c r="B35267" i="2"/>
  <c r="B35266" i="2"/>
  <c r="B35265" i="2"/>
  <c r="B35264" i="2"/>
  <c r="B35263" i="2"/>
  <c r="B35262" i="2"/>
  <c r="B35261" i="2"/>
  <c r="B35260" i="2"/>
  <c r="B35259" i="2"/>
  <c r="B35258" i="2"/>
  <c r="B35257" i="2"/>
  <c r="B35256" i="2"/>
  <c r="B35255" i="2"/>
  <c r="B35254" i="2"/>
  <c r="B35253" i="2"/>
  <c r="B35252" i="2"/>
  <c r="B35251" i="2"/>
  <c r="B35250" i="2"/>
  <c r="B35249" i="2"/>
  <c r="B35248" i="2"/>
  <c r="B35247" i="2"/>
  <c r="B35246" i="2"/>
  <c r="B35245" i="2"/>
  <c r="B35244" i="2"/>
  <c r="B35243" i="2"/>
  <c r="B35242" i="2"/>
  <c r="B35241" i="2"/>
  <c r="B35240" i="2"/>
  <c r="B35239" i="2"/>
  <c r="B35238" i="2"/>
  <c r="B35237" i="2"/>
  <c r="B35236" i="2"/>
  <c r="B35235" i="2"/>
  <c r="B35234" i="2"/>
  <c r="B35233" i="2"/>
  <c r="B35232" i="2"/>
  <c r="B35231" i="2"/>
  <c r="B35230" i="2"/>
  <c r="B35229" i="2"/>
  <c r="B35228" i="2"/>
  <c r="B35227" i="2"/>
  <c r="B35226" i="2"/>
  <c r="B35225" i="2"/>
  <c r="B35224" i="2"/>
  <c r="B35223" i="2"/>
  <c r="B35222" i="2"/>
  <c r="B35221" i="2"/>
  <c r="B35220" i="2"/>
  <c r="B35219" i="2"/>
  <c r="B35218" i="2"/>
  <c r="B35217" i="2"/>
  <c r="B35216" i="2"/>
  <c r="B35215" i="2"/>
  <c r="B35214" i="2"/>
  <c r="B35213" i="2"/>
  <c r="B35212" i="2"/>
  <c r="B35211" i="2"/>
  <c r="B35210" i="2"/>
  <c r="B35209" i="2"/>
  <c r="B35208" i="2"/>
  <c r="B35207" i="2"/>
  <c r="B35206" i="2"/>
  <c r="B35205" i="2"/>
  <c r="B35204" i="2"/>
  <c r="B35203" i="2"/>
  <c r="B35202" i="2"/>
  <c r="B35201" i="2"/>
  <c r="B35200" i="2"/>
  <c r="B35199" i="2"/>
  <c r="B35198" i="2"/>
  <c r="B35197" i="2"/>
  <c r="B35196" i="2"/>
  <c r="B35195" i="2"/>
  <c r="B35194" i="2"/>
  <c r="B35193" i="2"/>
  <c r="B35192" i="2"/>
  <c r="B35191" i="2"/>
  <c r="B35190" i="2"/>
  <c r="B35189" i="2"/>
  <c r="B35188" i="2"/>
  <c r="B35187" i="2"/>
  <c r="B35186" i="2"/>
  <c r="B35185" i="2"/>
  <c r="B35184" i="2"/>
  <c r="B35183" i="2"/>
  <c r="B35182" i="2"/>
  <c r="B35181" i="2"/>
  <c r="B35180" i="2"/>
  <c r="B35179" i="2"/>
  <c r="B35178" i="2"/>
  <c r="B35177" i="2"/>
  <c r="B35176" i="2"/>
  <c r="B35175" i="2"/>
  <c r="B35174" i="2"/>
  <c r="B35173" i="2"/>
  <c r="B35172" i="2"/>
  <c r="B35171" i="2"/>
  <c r="B35170" i="2"/>
  <c r="B35169" i="2"/>
  <c r="B35168" i="2"/>
  <c r="B35167" i="2"/>
  <c r="B35166" i="2"/>
  <c r="B35165" i="2"/>
  <c r="B35164" i="2"/>
  <c r="B35163" i="2"/>
  <c r="B35162" i="2"/>
  <c r="B35161" i="2"/>
  <c r="B35160" i="2"/>
  <c r="B35159" i="2"/>
  <c r="B35158" i="2"/>
  <c r="B35157" i="2"/>
  <c r="B35156" i="2"/>
  <c r="B35155" i="2"/>
  <c r="B35154" i="2"/>
  <c r="B35153" i="2"/>
  <c r="B35152" i="2"/>
  <c r="B35151" i="2"/>
  <c r="B35150" i="2"/>
  <c r="B35149" i="2"/>
  <c r="B35148" i="2"/>
  <c r="B35147" i="2"/>
  <c r="B35146" i="2"/>
  <c r="B35145" i="2"/>
  <c r="B35144" i="2"/>
  <c r="B35143" i="2"/>
  <c r="B35142" i="2"/>
  <c r="B35141" i="2"/>
  <c r="B35140" i="2"/>
  <c r="B35139" i="2"/>
  <c r="B35138" i="2"/>
  <c r="B35137" i="2"/>
  <c r="B35136" i="2"/>
  <c r="B35135" i="2"/>
  <c r="B35134" i="2"/>
  <c r="B35133" i="2"/>
  <c r="B35132" i="2"/>
  <c r="B35131" i="2"/>
  <c r="B35130" i="2"/>
  <c r="B35129" i="2"/>
  <c r="B35128" i="2"/>
  <c r="B35127" i="2"/>
  <c r="B35126" i="2"/>
  <c r="B35125" i="2"/>
  <c r="B35124" i="2"/>
  <c r="B35123" i="2"/>
  <c r="B35122" i="2"/>
  <c r="B35121" i="2"/>
  <c r="B35120" i="2"/>
  <c r="B35119" i="2"/>
  <c r="B35118" i="2"/>
  <c r="B35117" i="2"/>
  <c r="B35116" i="2"/>
  <c r="B35115" i="2"/>
  <c r="B35114" i="2"/>
  <c r="B35113" i="2"/>
  <c r="B35112" i="2"/>
  <c r="B35111" i="2"/>
  <c r="B35110" i="2"/>
  <c r="B35109" i="2"/>
  <c r="B35108" i="2"/>
  <c r="B35107" i="2"/>
  <c r="B35106" i="2"/>
  <c r="B35105" i="2"/>
  <c r="B35104" i="2"/>
  <c r="B35103" i="2"/>
  <c r="B35102" i="2"/>
  <c r="B35101" i="2"/>
  <c r="B35100" i="2"/>
  <c r="B35099" i="2"/>
  <c r="B35098" i="2"/>
  <c r="B35097" i="2"/>
  <c r="B35096" i="2"/>
  <c r="B35095" i="2"/>
  <c r="B35094" i="2"/>
  <c r="B35093" i="2"/>
  <c r="B35092" i="2"/>
  <c r="B35091" i="2"/>
  <c r="B35090" i="2"/>
  <c r="B35089" i="2"/>
  <c r="B35088" i="2"/>
  <c r="B35087" i="2"/>
  <c r="B35086" i="2"/>
  <c r="B35085" i="2"/>
  <c r="B35084" i="2"/>
  <c r="B35083" i="2"/>
  <c r="B35082" i="2"/>
  <c r="B35081" i="2"/>
  <c r="B35080" i="2"/>
  <c r="B35079" i="2"/>
  <c r="B35078" i="2"/>
  <c r="B35077" i="2"/>
  <c r="B35076" i="2"/>
  <c r="B35075" i="2"/>
  <c r="B35074" i="2"/>
  <c r="B35073" i="2"/>
  <c r="B35072" i="2"/>
  <c r="B35071" i="2"/>
  <c r="B35070" i="2"/>
  <c r="B35069" i="2"/>
  <c r="B35068" i="2"/>
  <c r="B35067" i="2"/>
  <c r="B35066" i="2"/>
  <c r="B35065" i="2"/>
  <c r="B35064" i="2"/>
  <c r="B35063" i="2"/>
  <c r="B35062" i="2"/>
  <c r="B35061" i="2"/>
  <c r="B35060" i="2"/>
  <c r="B35059" i="2"/>
  <c r="B35058" i="2"/>
  <c r="B35057" i="2"/>
  <c r="B35056" i="2"/>
  <c r="B35055" i="2"/>
  <c r="B35054" i="2"/>
  <c r="B35053" i="2"/>
  <c r="B35052" i="2"/>
  <c r="B35051" i="2"/>
  <c r="B35050" i="2"/>
  <c r="B35049" i="2"/>
  <c r="B35048" i="2"/>
  <c r="B35047" i="2"/>
  <c r="B35046" i="2"/>
  <c r="B35045" i="2"/>
  <c r="B35044" i="2"/>
  <c r="B35043" i="2"/>
  <c r="B35042" i="2"/>
  <c r="B35041" i="2"/>
  <c r="B35040" i="2"/>
  <c r="B35039" i="2"/>
  <c r="B35038" i="2"/>
  <c r="B35037" i="2"/>
  <c r="B35036" i="2"/>
  <c r="B35035" i="2"/>
  <c r="B35034" i="2"/>
  <c r="B35033" i="2"/>
  <c r="B35032" i="2"/>
  <c r="B35031" i="2"/>
  <c r="B35030" i="2"/>
  <c r="B35029" i="2"/>
  <c r="B35028" i="2"/>
  <c r="B35027" i="2"/>
  <c r="B35026" i="2"/>
  <c r="B35025" i="2"/>
  <c r="B35024" i="2"/>
  <c r="B35023" i="2"/>
  <c r="B35022" i="2"/>
  <c r="B35021" i="2"/>
  <c r="B35020" i="2"/>
  <c r="B35019" i="2"/>
  <c r="B35018" i="2"/>
  <c r="B35017" i="2"/>
  <c r="B35016" i="2"/>
  <c r="B35015" i="2"/>
  <c r="B35014" i="2"/>
  <c r="B35013" i="2"/>
  <c r="B35012" i="2"/>
  <c r="B35011" i="2"/>
  <c r="B35010" i="2"/>
  <c r="B35009" i="2"/>
  <c r="B35008" i="2"/>
  <c r="B35007" i="2"/>
  <c r="B35006" i="2"/>
  <c r="B35005" i="2"/>
  <c r="B35004" i="2"/>
  <c r="B35003" i="2"/>
  <c r="B35002" i="2"/>
  <c r="B35001" i="2"/>
  <c r="B35000" i="2"/>
  <c r="B34999" i="2"/>
  <c r="B34998" i="2"/>
  <c r="B34997" i="2"/>
  <c r="B34996" i="2"/>
  <c r="B34995" i="2"/>
  <c r="B34994" i="2"/>
  <c r="B34993" i="2"/>
  <c r="B34992" i="2"/>
  <c r="B34991" i="2"/>
  <c r="B34990" i="2"/>
  <c r="B34989" i="2"/>
  <c r="B34988" i="2"/>
  <c r="B34987" i="2"/>
  <c r="B34986" i="2"/>
  <c r="B34985" i="2"/>
  <c r="B34984" i="2"/>
  <c r="B34983" i="2"/>
  <c r="B34982" i="2"/>
  <c r="B34981" i="2"/>
  <c r="B34980" i="2"/>
  <c r="B34979" i="2"/>
  <c r="B34978" i="2"/>
  <c r="B34977" i="2"/>
  <c r="B34976" i="2"/>
  <c r="B34975" i="2"/>
  <c r="B34974" i="2"/>
  <c r="B34973" i="2"/>
  <c r="B34972" i="2"/>
  <c r="B34971" i="2"/>
  <c r="B34970" i="2"/>
  <c r="B34969" i="2"/>
  <c r="B34968" i="2"/>
  <c r="B34967" i="2"/>
  <c r="B34966" i="2"/>
  <c r="B34965" i="2"/>
  <c r="B34964" i="2"/>
  <c r="B34963" i="2"/>
  <c r="B34962" i="2"/>
  <c r="B34961" i="2"/>
  <c r="B34960" i="2"/>
  <c r="B34959" i="2"/>
  <c r="B34958" i="2"/>
  <c r="B34957" i="2"/>
  <c r="B34956" i="2"/>
  <c r="B34955" i="2"/>
  <c r="B34954" i="2"/>
  <c r="B34953" i="2"/>
  <c r="B34952" i="2"/>
  <c r="B34951" i="2"/>
  <c r="B34950" i="2"/>
  <c r="B34949" i="2"/>
  <c r="B34948" i="2"/>
  <c r="B34947" i="2"/>
  <c r="B34946" i="2"/>
  <c r="B34945" i="2"/>
  <c r="B34944" i="2"/>
  <c r="B34943" i="2"/>
  <c r="B34942" i="2"/>
  <c r="B34941" i="2"/>
  <c r="B34940" i="2"/>
  <c r="B34939" i="2"/>
  <c r="B34938" i="2"/>
  <c r="B34937" i="2"/>
  <c r="B34936" i="2"/>
  <c r="B34935" i="2"/>
  <c r="B34934" i="2"/>
  <c r="B34933" i="2"/>
  <c r="B34932" i="2"/>
  <c r="B34931" i="2"/>
  <c r="B34930" i="2"/>
  <c r="B34929" i="2"/>
  <c r="B34928" i="2"/>
  <c r="B34927" i="2"/>
  <c r="B34926" i="2"/>
  <c r="B34925" i="2"/>
  <c r="B34924" i="2"/>
  <c r="B34923" i="2"/>
  <c r="B34922" i="2"/>
  <c r="B34921" i="2"/>
  <c r="B34920" i="2"/>
  <c r="B34919" i="2"/>
  <c r="B34918" i="2"/>
  <c r="B34917" i="2"/>
  <c r="B34916" i="2"/>
  <c r="B34915" i="2"/>
  <c r="B34914" i="2"/>
  <c r="B34913" i="2"/>
  <c r="B34912" i="2"/>
  <c r="B34911" i="2"/>
  <c r="B34910" i="2"/>
  <c r="B34909" i="2"/>
  <c r="B34908" i="2"/>
  <c r="B34907" i="2"/>
  <c r="B34906" i="2"/>
  <c r="B34905" i="2"/>
  <c r="B34904" i="2"/>
  <c r="B34903" i="2"/>
  <c r="B34902" i="2"/>
  <c r="B34901" i="2"/>
  <c r="B34900" i="2"/>
  <c r="B34899" i="2"/>
  <c r="B34898" i="2"/>
  <c r="B34897" i="2"/>
  <c r="B34896" i="2"/>
  <c r="B34895" i="2"/>
  <c r="B34894" i="2"/>
  <c r="B34893" i="2"/>
  <c r="B34892" i="2"/>
  <c r="B34891" i="2"/>
  <c r="B34890" i="2"/>
  <c r="B34889" i="2"/>
  <c r="B34888" i="2"/>
  <c r="B34887" i="2"/>
  <c r="B34886" i="2"/>
  <c r="B34885" i="2"/>
  <c r="B34884" i="2"/>
  <c r="B34883" i="2"/>
  <c r="B34882" i="2"/>
  <c r="B34881" i="2"/>
  <c r="B34880" i="2"/>
  <c r="B34879" i="2"/>
  <c r="B34878" i="2"/>
  <c r="B34877" i="2"/>
  <c r="B34876" i="2"/>
  <c r="B34875" i="2"/>
  <c r="B34874" i="2"/>
  <c r="B34873" i="2"/>
  <c r="B34872" i="2"/>
  <c r="B34871" i="2"/>
  <c r="B34870" i="2"/>
  <c r="B34869" i="2"/>
  <c r="B34868" i="2"/>
  <c r="B34867" i="2"/>
  <c r="B34866" i="2"/>
  <c r="B34865" i="2"/>
  <c r="B34864" i="2"/>
  <c r="B34863" i="2"/>
  <c r="B34862" i="2"/>
  <c r="B34861" i="2"/>
  <c r="B34860" i="2"/>
  <c r="B34859" i="2"/>
  <c r="B34858" i="2"/>
  <c r="B34857" i="2"/>
  <c r="B34856" i="2"/>
  <c r="B34855" i="2"/>
  <c r="B34854" i="2"/>
  <c r="B34853" i="2"/>
  <c r="B34852" i="2"/>
  <c r="B34851" i="2"/>
  <c r="B34850" i="2"/>
  <c r="B34849" i="2"/>
  <c r="B34848" i="2"/>
  <c r="B34847" i="2"/>
  <c r="B34846" i="2"/>
  <c r="B34845" i="2"/>
  <c r="B34844" i="2"/>
  <c r="B34843" i="2"/>
  <c r="B34842" i="2"/>
  <c r="B34841" i="2"/>
  <c r="B34840" i="2"/>
  <c r="B34839" i="2"/>
  <c r="B34838" i="2"/>
  <c r="B34837" i="2"/>
  <c r="B34836" i="2"/>
  <c r="B34835" i="2"/>
  <c r="B34834" i="2"/>
  <c r="B34833" i="2"/>
  <c r="B34832" i="2"/>
  <c r="B34831" i="2"/>
  <c r="B34830" i="2"/>
  <c r="B34829" i="2"/>
  <c r="B34828" i="2"/>
  <c r="B34827" i="2"/>
  <c r="B34826" i="2"/>
  <c r="B34825" i="2"/>
  <c r="B34824" i="2"/>
  <c r="B34823" i="2"/>
  <c r="B34822" i="2"/>
  <c r="B34821" i="2"/>
  <c r="B34820" i="2"/>
  <c r="B34819" i="2"/>
  <c r="B34818" i="2"/>
  <c r="B34817" i="2"/>
  <c r="B34816" i="2"/>
  <c r="B34815" i="2"/>
  <c r="B34814" i="2"/>
  <c r="B34813" i="2"/>
  <c r="B34812" i="2"/>
  <c r="B34811" i="2"/>
  <c r="B34810" i="2"/>
  <c r="B34809" i="2"/>
  <c r="B34808" i="2"/>
  <c r="B34807" i="2"/>
  <c r="B34806" i="2"/>
  <c r="B34805" i="2"/>
  <c r="B34804" i="2"/>
  <c r="B34803" i="2"/>
  <c r="B34802" i="2"/>
  <c r="B34801" i="2"/>
  <c r="B34800" i="2"/>
  <c r="B34799" i="2"/>
  <c r="B34798" i="2"/>
  <c r="B34797" i="2"/>
  <c r="B34796" i="2"/>
  <c r="B34795" i="2"/>
  <c r="B34794" i="2"/>
  <c r="B34793" i="2"/>
  <c r="B34792" i="2"/>
  <c r="B34791" i="2"/>
  <c r="B34790" i="2"/>
  <c r="B34789" i="2"/>
  <c r="B34788" i="2"/>
  <c r="B34787" i="2"/>
  <c r="B34786" i="2"/>
  <c r="B34785" i="2"/>
  <c r="B34784" i="2"/>
  <c r="B34783" i="2"/>
  <c r="B34782" i="2"/>
  <c r="B34781" i="2"/>
  <c r="B34780" i="2"/>
  <c r="B34779" i="2"/>
  <c r="B34778" i="2"/>
  <c r="B34777" i="2"/>
  <c r="B34776" i="2"/>
  <c r="B34775" i="2"/>
  <c r="B34774" i="2"/>
  <c r="B34773" i="2"/>
  <c r="B34772" i="2"/>
  <c r="B34771" i="2"/>
  <c r="B34770" i="2"/>
  <c r="B34769" i="2"/>
  <c r="B34768" i="2"/>
  <c r="B34767" i="2"/>
  <c r="B34766" i="2"/>
  <c r="B34765" i="2"/>
  <c r="B34764" i="2"/>
  <c r="B34763" i="2"/>
  <c r="B34762" i="2"/>
  <c r="B34761" i="2"/>
  <c r="B34760" i="2"/>
  <c r="B34759" i="2"/>
  <c r="B34758" i="2"/>
  <c r="B34757" i="2"/>
  <c r="B34756" i="2"/>
  <c r="B34755" i="2"/>
  <c r="B34754" i="2"/>
  <c r="B34753" i="2"/>
  <c r="B34752" i="2"/>
  <c r="B34751" i="2"/>
  <c r="B34750" i="2"/>
  <c r="B34749" i="2"/>
  <c r="B34748" i="2"/>
  <c r="B34747" i="2"/>
  <c r="B34746" i="2"/>
  <c r="B34745" i="2"/>
  <c r="B34744" i="2"/>
  <c r="B34743" i="2"/>
  <c r="B34742" i="2"/>
  <c r="B34741" i="2"/>
  <c r="B34740" i="2"/>
  <c r="B34739" i="2"/>
  <c r="B34738" i="2"/>
  <c r="B34737" i="2"/>
  <c r="B34736" i="2"/>
  <c r="B34735" i="2"/>
  <c r="B34734" i="2"/>
  <c r="B34733" i="2"/>
  <c r="B34732" i="2"/>
  <c r="B34731" i="2"/>
  <c r="B34730" i="2"/>
  <c r="B34729" i="2"/>
  <c r="B34728" i="2"/>
  <c r="B34727" i="2"/>
  <c r="B34726" i="2"/>
  <c r="B34725" i="2"/>
  <c r="B34724" i="2"/>
  <c r="B34723" i="2"/>
  <c r="B34722" i="2"/>
  <c r="B34721" i="2"/>
  <c r="B34720" i="2"/>
  <c r="B34719" i="2"/>
  <c r="B34718" i="2"/>
  <c r="B34717" i="2"/>
  <c r="B34716" i="2"/>
  <c r="B34715" i="2"/>
  <c r="B34714" i="2"/>
  <c r="B34713" i="2"/>
  <c r="B34712" i="2"/>
  <c r="B34711" i="2"/>
  <c r="B34710" i="2"/>
  <c r="B34709" i="2"/>
  <c r="B34708" i="2"/>
  <c r="B34707" i="2"/>
  <c r="B34706" i="2"/>
  <c r="B34705" i="2"/>
  <c r="B34704" i="2"/>
  <c r="B34703" i="2"/>
  <c r="B34702" i="2"/>
  <c r="B34701" i="2"/>
  <c r="B34700" i="2"/>
  <c r="B34699" i="2"/>
  <c r="B34698" i="2"/>
  <c r="B34697" i="2"/>
  <c r="B34696" i="2"/>
  <c r="B34695" i="2"/>
  <c r="B34694" i="2"/>
  <c r="B34693" i="2"/>
  <c r="B34692" i="2"/>
  <c r="B34691" i="2"/>
  <c r="B34690" i="2"/>
  <c r="B34689" i="2"/>
  <c r="B34688" i="2"/>
  <c r="B34687" i="2"/>
  <c r="B34686" i="2"/>
  <c r="B34685" i="2"/>
  <c r="B34684" i="2"/>
  <c r="B34683" i="2"/>
  <c r="B34682" i="2"/>
  <c r="B34681" i="2"/>
  <c r="B34680" i="2"/>
  <c r="B34679" i="2"/>
  <c r="B34678" i="2"/>
  <c r="B34677" i="2"/>
  <c r="B34676" i="2"/>
  <c r="B34675" i="2"/>
  <c r="B34674" i="2"/>
  <c r="B34673" i="2"/>
  <c r="B34672" i="2"/>
  <c r="B34671" i="2"/>
  <c r="B34670" i="2"/>
  <c r="B34669" i="2"/>
  <c r="B34668" i="2"/>
  <c r="B34667" i="2"/>
  <c r="B34666" i="2"/>
  <c r="B34665" i="2"/>
  <c r="B34664" i="2"/>
  <c r="B34663" i="2"/>
  <c r="B34662" i="2"/>
  <c r="B34661" i="2"/>
  <c r="B34660" i="2"/>
  <c r="B34659" i="2"/>
  <c r="B34658" i="2"/>
  <c r="B34657" i="2"/>
  <c r="B34656" i="2"/>
  <c r="B34655" i="2"/>
  <c r="B34654" i="2"/>
  <c r="B34653" i="2"/>
  <c r="B34652" i="2"/>
  <c r="B34651" i="2"/>
  <c r="B34650" i="2"/>
  <c r="B34649" i="2"/>
  <c r="B34648" i="2"/>
  <c r="B34647" i="2"/>
  <c r="B34646" i="2"/>
  <c r="B34645" i="2"/>
  <c r="B34644" i="2"/>
  <c r="B34643" i="2"/>
  <c r="B34642" i="2"/>
  <c r="B34641" i="2"/>
  <c r="B34640" i="2"/>
  <c r="B34639" i="2"/>
  <c r="B34638" i="2"/>
  <c r="B34637" i="2"/>
  <c r="B34636" i="2"/>
  <c r="B34635" i="2"/>
  <c r="B34634" i="2"/>
  <c r="B34633" i="2"/>
  <c r="B34632" i="2"/>
  <c r="B34631" i="2"/>
  <c r="B34630" i="2"/>
  <c r="B34629" i="2"/>
  <c r="B34628" i="2"/>
  <c r="B34627" i="2"/>
  <c r="B34626" i="2"/>
  <c r="B34625" i="2"/>
  <c r="B34624" i="2"/>
  <c r="B34623" i="2"/>
  <c r="B34622" i="2"/>
  <c r="B34621" i="2"/>
  <c r="B34620" i="2"/>
  <c r="B34619" i="2"/>
  <c r="B34618" i="2"/>
  <c r="B34617" i="2"/>
  <c r="B34616" i="2"/>
  <c r="B34615" i="2"/>
  <c r="B34614" i="2"/>
  <c r="B34613" i="2"/>
  <c r="B34612" i="2"/>
  <c r="B34611" i="2"/>
  <c r="B34610" i="2"/>
  <c r="B34609" i="2"/>
  <c r="B34608" i="2"/>
  <c r="B34607" i="2"/>
  <c r="B34606" i="2"/>
  <c r="B34605" i="2"/>
  <c r="B34604" i="2"/>
  <c r="B34603" i="2"/>
  <c r="B34602" i="2"/>
  <c r="B34601" i="2"/>
  <c r="B34600" i="2"/>
  <c r="B34599" i="2"/>
  <c r="B34598" i="2"/>
  <c r="B34597" i="2"/>
  <c r="B34596" i="2"/>
  <c r="B34595" i="2"/>
  <c r="B34594" i="2"/>
  <c r="B34593" i="2"/>
  <c r="B34592" i="2"/>
  <c r="B34591" i="2"/>
  <c r="B34590" i="2"/>
  <c r="B34589" i="2"/>
  <c r="B34588" i="2"/>
  <c r="B34587" i="2"/>
  <c r="B34586" i="2"/>
  <c r="B34585" i="2"/>
  <c r="B34584" i="2"/>
  <c r="B34583" i="2"/>
  <c r="B34582" i="2"/>
  <c r="B34581" i="2"/>
  <c r="B34580" i="2"/>
  <c r="B34579" i="2"/>
  <c r="B34578" i="2"/>
  <c r="B34577" i="2"/>
  <c r="B34576" i="2"/>
  <c r="B34575" i="2"/>
  <c r="B34574" i="2"/>
  <c r="B34573" i="2"/>
  <c r="B34572" i="2"/>
  <c r="B34571" i="2"/>
  <c r="B34570" i="2"/>
  <c r="B34569" i="2"/>
  <c r="B34568" i="2"/>
  <c r="B34567" i="2"/>
  <c r="B34566" i="2"/>
  <c r="B34565" i="2"/>
  <c r="B34564" i="2"/>
  <c r="B34563" i="2"/>
  <c r="B34562" i="2"/>
  <c r="B34561" i="2"/>
  <c r="B34560" i="2"/>
  <c r="B34559" i="2"/>
  <c r="B34558" i="2"/>
  <c r="B34557" i="2"/>
  <c r="B34556" i="2"/>
  <c r="B34555" i="2"/>
  <c r="B34554" i="2"/>
  <c r="B34553" i="2"/>
  <c r="B34552" i="2"/>
  <c r="B34551" i="2"/>
  <c r="B34550" i="2"/>
  <c r="B34549" i="2"/>
  <c r="B34548" i="2"/>
  <c r="B34547" i="2"/>
  <c r="B34546" i="2"/>
  <c r="B34545" i="2"/>
  <c r="B34544" i="2"/>
  <c r="B34543" i="2"/>
  <c r="B34542" i="2"/>
  <c r="B34541" i="2"/>
  <c r="B34540" i="2"/>
  <c r="B34539" i="2"/>
  <c r="B34538" i="2"/>
  <c r="B34537" i="2"/>
  <c r="B34536" i="2"/>
  <c r="B34535" i="2"/>
  <c r="B34534" i="2"/>
  <c r="B34533" i="2"/>
  <c r="B34532" i="2"/>
  <c r="B34531" i="2"/>
  <c r="B34530" i="2"/>
  <c r="B34529" i="2"/>
  <c r="B34528" i="2"/>
  <c r="B34527" i="2"/>
  <c r="B34526" i="2"/>
  <c r="B34525" i="2"/>
  <c r="B34524" i="2"/>
  <c r="B34523" i="2"/>
  <c r="B34522" i="2"/>
  <c r="B34521" i="2"/>
  <c r="B34520" i="2"/>
  <c r="B34519" i="2"/>
  <c r="B34518" i="2"/>
  <c r="B34517" i="2"/>
  <c r="B34516" i="2"/>
  <c r="B34515" i="2"/>
  <c r="B34514" i="2"/>
  <c r="B34513" i="2"/>
  <c r="B34512" i="2"/>
  <c r="B34511" i="2"/>
  <c r="B34510" i="2"/>
  <c r="B34509" i="2"/>
  <c r="B34508" i="2"/>
  <c r="B34507" i="2"/>
  <c r="B34506" i="2"/>
  <c r="B34505" i="2"/>
  <c r="B34504" i="2"/>
  <c r="B34503" i="2"/>
  <c r="B34502" i="2"/>
  <c r="B34501" i="2"/>
  <c r="B34500" i="2"/>
  <c r="B34499" i="2"/>
  <c r="B34498" i="2"/>
  <c r="B34497" i="2"/>
  <c r="B34496" i="2"/>
  <c r="B34495" i="2"/>
  <c r="B34494" i="2"/>
  <c r="B34493" i="2"/>
  <c r="B34492" i="2"/>
  <c r="B34491" i="2"/>
  <c r="B34490" i="2"/>
  <c r="B34489" i="2"/>
  <c r="B34488" i="2"/>
  <c r="B34487" i="2"/>
  <c r="B34486" i="2"/>
  <c r="B34485" i="2"/>
  <c r="B34484" i="2"/>
  <c r="B34483" i="2"/>
  <c r="B34482" i="2"/>
  <c r="B34481" i="2"/>
  <c r="B34480" i="2"/>
  <c r="B34479" i="2"/>
  <c r="B34478" i="2"/>
  <c r="B34477" i="2"/>
  <c r="B34476" i="2"/>
  <c r="B34475" i="2"/>
  <c r="B34474" i="2"/>
  <c r="B34473" i="2"/>
  <c r="B34472" i="2"/>
  <c r="B34471" i="2"/>
  <c r="B34470" i="2"/>
  <c r="B34469" i="2"/>
  <c r="B34468" i="2"/>
  <c r="B34467" i="2"/>
  <c r="B34466" i="2"/>
  <c r="B34465" i="2"/>
  <c r="B34464" i="2"/>
  <c r="B34463" i="2"/>
  <c r="B34462" i="2"/>
  <c r="B34461" i="2"/>
  <c r="B34460" i="2"/>
  <c r="B34459" i="2"/>
  <c r="B34458" i="2"/>
  <c r="B34457" i="2"/>
  <c r="B34456" i="2"/>
  <c r="B34455" i="2"/>
  <c r="B34454" i="2"/>
  <c r="B34453" i="2"/>
  <c r="B34452" i="2"/>
  <c r="B34451" i="2"/>
  <c r="B34450" i="2"/>
  <c r="B34449" i="2"/>
  <c r="B34448" i="2"/>
  <c r="B34447" i="2"/>
  <c r="B34446" i="2"/>
  <c r="B34445" i="2"/>
  <c r="B34444" i="2"/>
  <c r="B34443" i="2"/>
  <c r="B34442" i="2"/>
  <c r="B34441" i="2"/>
  <c r="B34440" i="2"/>
  <c r="B34439" i="2"/>
  <c r="B34438" i="2"/>
  <c r="B34437" i="2"/>
  <c r="B34436" i="2"/>
  <c r="B34435" i="2"/>
  <c r="B34434" i="2"/>
  <c r="B34433" i="2"/>
  <c r="B34432" i="2"/>
  <c r="B34431" i="2"/>
  <c r="B34430" i="2"/>
  <c r="B34429" i="2"/>
  <c r="B34428" i="2"/>
  <c r="B34427" i="2"/>
  <c r="B34426" i="2"/>
  <c r="B34425" i="2"/>
  <c r="B34424" i="2"/>
  <c r="B34423" i="2"/>
  <c r="B34422" i="2"/>
  <c r="B34421" i="2"/>
  <c r="B34420" i="2"/>
  <c r="B34419" i="2"/>
  <c r="B34418" i="2"/>
  <c r="B34417" i="2"/>
  <c r="B34416" i="2"/>
  <c r="B34415" i="2"/>
  <c r="B34414" i="2"/>
  <c r="B34413" i="2"/>
  <c r="B34412" i="2"/>
  <c r="B34411" i="2"/>
  <c r="B34410" i="2"/>
  <c r="B34409" i="2"/>
  <c r="B34408" i="2"/>
  <c r="B34407" i="2"/>
  <c r="B34406" i="2"/>
  <c r="B34405" i="2"/>
  <c r="B34404" i="2"/>
  <c r="B34403" i="2"/>
  <c r="B34402" i="2"/>
  <c r="B34401" i="2"/>
  <c r="B34400" i="2"/>
  <c r="B34399" i="2"/>
  <c r="B34398" i="2"/>
  <c r="B34397" i="2"/>
  <c r="B34396" i="2"/>
  <c r="B34395" i="2"/>
  <c r="B34394" i="2"/>
  <c r="B34393" i="2"/>
  <c r="B34392" i="2"/>
  <c r="B34391" i="2"/>
  <c r="B34390" i="2"/>
  <c r="B34389" i="2"/>
  <c r="B34388" i="2"/>
  <c r="B34387" i="2"/>
  <c r="B34386" i="2"/>
  <c r="B34385" i="2"/>
  <c r="B34384" i="2"/>
  <c r="B34383" i="2"/>
  <c r="B34382" i="2"/>
  <c r="B34381" i="2"/>
  <c r="B34380" i="2"/>
  <c r="B34379" i="2"/>
  <c r="B34378" i="2"/>
  <c r="B34377" i="2"/>
  <c r="B34376" i="2"/>
  <c r="B34375" i="2"/>
  <c r="B34374" i="2"/>
  <c r="B34373" i="2"/>
  <c r="B34372" i="2"/>
  <c r="B34371" i="2"/>
  <c r="B34370" i="2"/>
  <c r="B34369" i="2"/>
  <c r="B34368" i="2"/>
  <c r="B34367" i="2"/>
  <c r="B34366" i="2"/>
  <c r="B34365" i="2"/>
  <c r="B34364" i="2"/>
  <c r="B34363" i="2"/>
  <c r="B34362" i="2"/>
  <c r="B34361" i="2"/>
  <c r="B34360" i="2"/>
  <c r="B34359" i="2"/>
  <c r="B34358" i="2"/>
  <c r="B34357" i="2"/>
  <c r="B34356" i="2"/>
  <c r="B34355" i="2"/>
  <c r="B34354" i="2"/>
  <c r="B34353" i="2"/>
  <c r="B34352" i="2"/>
  <c r="B34351" i="2"/>
  <c r="B34350" i="2"/>
  <c r="B34349" i="2"/>
  <c r="B34348" i="2"/>
  <c r="B34347" i="2"/>
  <c r="B34346" i="2"/>
  <c r="B34345" i="2"/>
  <c r="B34344" i="2"/>
  <c r="B34343" i="2"/>
  <c r="B34342" i="2"/>
  <c r="B34341" i="2"/>
  <c r="B34340" i="2"/>
  <c r="B34339" i="2"/>
  <c r="B34338" i="2"/>
  <c r="B34337" i="2"/>
  <c r="B34336" i="2"/>
  <c r="B34335" i="2"/>
  <c r="B34334" i="2"/>
  <c r="B34333" i="2"/>
  <c r="B34332" i="2"/>
  <c r="B34331" i="2"/>
  <c r="B34330" i="2"/>
  <c r="B34329" i="2"/>
  <c r="B34328" i="2"/>
  <c r="B34327" i="2"/>
  <c r="B34326" i="2"/>
  <c r="B34325" i="2"/>
  <c r="B34324" i="2"/>
  <c r="B34323" i="2"/>
  <c r="B34322" i="2"/>
  <c r="B34321" i="2"/>
  <c r="B34320" i="2"/>
  <c r="B34319" i="2"/>
  <c r="B34318" i="2"/>
  <c r="B34317" i="2"/>
  <c r="B34316" i="2"/>
  <c r="B34315" i="2"/>
  <c r="B34314" i="2"/>
  <c r="B34313" i="2"/>
  <c r="B34312" i="2"/>
  <c r="B34311" i="2"/>
  <c r="B34310" i="2"/>
  <c r="B34309" i="2"/>
  <c r="B34308" i="2"/>
  <c r="B34307" i="2"/>
  <c r="B34306" i="2"/>
  <c r="B34305" i="2"/>
  <c r="B34304" i="2"/>
  <c r="B34303" i="2"/>
  <c r="B34302" i="2"/>
  <c r="B34301" i="2"/>
  <c r="B34300" i="2"/>
  <c r="B34299" i="2"/>
  <c r="B34298" i="2"/>
  <c r="B34297" i="2"/>
  <c r="B34296" i="2"/>
  <c r="B34295" i="2"/>
  <c r="B34294" i="2"/>
  <c r="B34293" i="2"/>
  <c r="B34292" i="2"/>
  <c r="B34291" i="2"/>
  <c r="B34290" i="2"/>
  <c r="B34289" i="2"/>
  <c r="B34288" i="2"/>
  <c r="B34287" i="2"/>
  <c r="B34286" i="2"/>
  <c r="B34285" i="2"/>
  <c r="B34284" i="2"/>
  <c r="B34283" i="2"/>
  <c r="B34282" i="2"/>
  <c r="B34281" i="2"/>
  <c r="B34280" i="2"/>
  <c r="B34279" i="2"/>
  <c r="B34278" i="2"/>
  <c r="B34277" i="2"/>
  <c r="B34276" i="2"/>
  <c r="B34275" i="2"/>
  <c r="B34274" i="2"/>
  <c r="B34273" i="2"/>
  <c r="B34272" i="2"/>
  <c r="B34271" i="2"/>
  <c r="B34270" i="2"/>
  <c r="B34269" i="2"/>
  <c r="B34268" i="2"/>
  <c r="B34267" i="2"/>
  <c r="B34266" i="2"/>
  <c r="B34265" i="2"/>
  <c r="B34264" i="2"/>
  <c r="B34263" i="2"/>
  <c r="B34262" i="2"/>
  <c r="B34261" i="2"/>
  <c r="B34260" i="2"/>
  <c r="B34259" i="2"/>
  <c r="B34258" i="2"/>
  <c r="B34257" i="2"/>
  <c r="B34256" i="2"/>
  <c r="B34255" i="2"/>
  <c r="B34254" i="2"/>
  <c r="B34253" i="2"/>
  <c r="B34252" i="2"/>
  <c r="B34251" i="2"/>
  <c r="B34250" i="2"/>
  <c r="B34249" i="2"/>
  <c r="B34248" i="2"/>
  <c r="B34247" i="2"/>
  <c r="B34246" i="2"/>
  <c r="B34245" i="2"/>
  <c r="B34244" i="2"/>
  <c r="B34243" i="2"/>
  <c r="B34242" i="2"/>
  <c r="B34241" i="2"/>
  <c r="B34240" i="2"/>
  <c r="B34239" i="2"/>
  <c r="B34238" i="2"/>
  <c r="B34237" i="2"/>
  <c r="B34236" i="2"/>
  <c r="B34235" i="2"/>
  <c r="B34234" i="2"/>
  <c r="B34233" i="2"/>
  <c r="B34232" i="2"/>
  <c r="B34231" i="2"/>
  <c r="B34230" i="2"/>
  <c r="B34229" i="2"/>
  <c r="B34228" i="2"/>
  <c r="B34227" i="2"/>
  <c r="B34226" i="2"/>
  <c r="B34225" i="2"/>
  <c r="B34224" i="2"/>
  <c r="B34223" i="2"/>
  <c r="B34222" i="2"/>
  <c r="B34221" i="2"/>
  <c r="B34220" i="2"/>
  <c r="B34219" i="2"/>
  <c r="B34218" i="2"/>
  <c r="B34217" i="2"/>
  <c r="B34216" i="2"/>
  <c r="B34215" i="2"/>
  <c r="B34214" i="2"/>
  <c r="B34213" i="2"/>
  <c r="B34212" i="2"/>
  <c r="B34211" i="2"/>
  <c r="B34210" i="2"/>
  <c r="B34209" i="2"/>
  <c r="B34208" i="2"/>
  <c r="B34207" i="2"/>
  <c r="B34206" i="2"/>
  <c r="B34205" i="2"/>
  <c r="B34204" i="2"/>
  <c r="B34203" i="2"/>
  <c r="B34202" i="2"/>
  <c r="B34201" i="2"/>
  <c r="B34200" i="2"/>
  <c r="B34199" i="2"/>
  <c r="B34198" i="2"/>
  <c r="B34197" i="2"/>
  <c r="B34196" i="2"/>
  <c r="B34195" i="2"/>
  <c r="B34194" i="2"/>
  <c r="B34193" i="2"/>
  <c r="B34192" i="2"/>
  <c r="B34191" i="2"/>
  <c r="B34190" i="2"/>
  <c r="B34189" i="2"/>
  <c r="B34188" i="2"/>
  <c r="B34187" i="2"/>
  <c r="B34186" i="2"/>
  <c r="B34185" i="2"/>
  <c r="B34184" i="2"/>
  <c r="B34183" i="2"/>
  <c r="B34182" i="2"/>
  <c r="B34181" i="2"/>
  <c r="B34180" i="2"/>
  <c r="B34179" i="2"/>
  <c r="B34178" i="2"/>
  <c r="B34177" i="2"/>
  <c r="B34176" i="2"/>
  <c r="B34175" i="2"/>
  <c r="B34174" i="2"/>
  <c r="B34173" i="2"/>
  <c r="B34172" i="2"/>
  <c r="B34171" i="2"/>
  <c r="B34170" i="2"/>
  <c r="B34169" i="2"/>
  <c r="B34168" i="2"/>
  <c r="B34167" i="2"/>
  <c r="B34166" i="2"/>
  <c r="B34165" i="2"/>
  <c r="B34164" i="2"/>
  <c r="B34163" i="2"/>
  <c r="B34162" i="2"/>
  <c r="B34161" i="2"/>
  <c r="B34160" i="2"/>
  <c r="B34159" i="2"/>
  <c r="B34158" i="2"/>
  <c r="B34157" i="2"/>
  <c r="B34156" i="2"/>
  <c r="B34155" i="2"/>
  <c r="B34154" i="2"/>
  <c r="B34153" i="2"/>
  <c r="B34152" i="2"/>
  <c r="B34151" i="2"/>
  <c r="B34150" i="2"/>
  <c r="B34149" i="2"/>
  <c r="B34148" i="2"/>
  <c r="B34147" i="2"/>
  <c r="B34146" i="2"/>
  <c r="B34145" i="2"/>
  <c r="B34144" i="2"/>
  <c r="B34143" i="2"/>
  <c r="B34142" i="2"/>
  <c r="B34141" i="2"/>
  <c r="B34140" i="2"/>
  <c r="B34139" i="2"/>
  <c r="B34138" i="2"/>
  <c r="B34137" i="2"/>
  <c r="B34136" i="2"/>
  <c r="B34135" i="2"/>
  <c r="B34134" i="2"/>
  <c r="B34133" i="2"/>
  <c r="B34132" i="2"/>
  <c r="B34131" i="2"/>
  <c r="B34130" i="2"/>
  <c r="B34129" i="2"/>
  <c r="B34128" i="2"/>
  <c r="B34127" i="2"/>
  <c r="B34126" i="2"/>
  <c r="B34125" i="2"/>
  <c r="B34124" i="2"/>
  <c r="B34123" i="2"/>
  <c r="B34122" i="2"/>
  <c r="B34121" i="2"/>
  <c r="B34120" i="2"/>
  <c r="B34119" i="2"/>
  <c r="B34118" i="2"/>
  <c r="B34117" i="2"/>
  <c r="B34116" i="2"/>
  <c r="B34115" i="2"/>
  <c r="B34114" i="2"/>
  <c r="B34113" i="2"/>
  <c r="B34112" i="2"/>
  <c r="B34111" i="2"/>
  <c r="B34110" i="2"/>
  <c r="B34109" i="2"/>
  <c r="B34108" i="2"/>
  <c r="B34107" i="2"/>
  <c r="B34106" i="2"/>
  <c r="B34105" i="2"/>
  <c r="B34104" i="2"/>
  <c r="B34103" i="2"/>
  <c r="B34102" i="2"/>
  <c r="B34101" i="2"/>
  <c r="B34100" i="2"/>
  <c r="B34099" i="2"/>
  <c r="B34098" i="2"/>
  <c r="B34097" i="2"/>
  <c r="B34096" i="2"/>
  <c r="B34095" i="2"/>
  <c r="B34094" i="2"/>
  <c r="B34093" i="2"/>
  <c r="B34092" i="2"/>
  <c r="B34091" i="2"/>
  <c r="B34090" i="2"/>
  <c r="B34089" i="2"/>
  <c r="B34088" i="2"/>
  <c r="B34087" i="2"/>
  <c r="B34086" i="2"/>
  <c r="B34085" i="2"/>
  <c r="B34084" i="2"/>
  <c r="B34083" i="2"/>
  <c r="B34082" i="2"/>
  <c r="B34081" i="2"/>
  <c r="B34080" i="2"/>
  <c r="B34079" i="2"/>
  <c r="B34078" i="2"/>
  <c r="B34077" i="2"/>
  <c r="B34076" i="2"/>
  <c r="B34075" i="2"/>
  <c r="B34074" i="2"/>
  <c r="B34073" i="2"/>
  <c r="B34072" i="2"/>
  <c r="B34071" i="2"/>
  <c r="B34070" i="2"/>
  <c r="B34069" i="2"/>
  <c r="B34068" i="2"/>
  <c r="B34067" i="2"/>
  <c r="B34066" i="2"/>
  <c r="B34065" i="2"/>
  <c r="B34064" i="2"/>
  <c r="B34063" i="2"/>
  <c r="B34062" i="2"/>
  <c r="B34061" i="2"/>
  <c r="B34060" i="2"/>
  <c r="B34059" i="2"/>
  <c r="B34058" i="2"/>
  <c r="B34057" i="2"/>
  <c r="B34056" i="2"/>
  <c r="B34055" i="2"/>
  <c r="B34054" i="2"/>
  <c r="B34053" i="2"/>
  <c r="B34052" i="2"/>
  <c r="B34051" i="2"/>
  <c r="B34050" i="2"/>
  <c r="B34049" i="2"/>
  <c r="B34048" i="2"/>
  <c r="B34047" i="2"/>
  <c r="B34046" i="2"/>
  <c r="B34045" i="2"/>
  <c r="B34044" i="2"/>
  <c r="B34043" i="2"/>
  <c r="B34042" i="2"/>
  <c r="B34041" i="2"/>
  <c r="B34040" i="2"/>
  <c r="B34039" i="2"/>
  <c r="B34038" i="2"/>
  <c r="B34037" i="2"/>
  <c r="B34036" i="2"/>
  <c r="B34035" i="2"/>
  <c r="B34034" i="2"/>
  <c r="B34033" i="2"/>
  <c r="B34032" i="2"/>
  <c r="B34031" i="2"/>
  <c r="B34030" i="2"/>
  <c r="B34029" i="2"/>
  <c r="B34028" i="2"/>
  <c r="B34027" i="2"/>
  <c r="B34026" i="2"/>
  <c r="B34025" i="2"/>
  <c r="B34024" i="2"/>
  <c r="B34023" i="2"/>
  <c r="B34022" i="2"/>
  <c r="B34021" i="2"/>
  <c r="B34020" i="2"/>
  <c r="B34019" i="2"/>
  <c r="B34018" i="2"/>
  <c r="B34017" i="2"/>
  <c r="B34016" i="2"/>
  <c r="B34015" i="2"/>
  <c r="B34014" i="2"/>
  <c r="B34013" i="2"/>
  <c r="B34012" i="2"/>
  <c r="B34011" i="2"/>
  <c r="B34010" i="2"/>
  <c r="B34009" i="2"/>
  <c r="B34008" i="2"/>
  <c r="B34007" i="2"/>
  <c r="B34006" i="2"/>
  <c r="B34005" i="2"/>
  <c r="B34004" i="2"/>
  <c r="B34003" i="2"/>
  <c r="B34002" i="2"/>
  <c r="B34001" i="2"/>
  <c r="B34000" i="2"/>
  <c r="B33999" i="2"/>
  <c r="B33998" i="2"/>
  <c r="B33997" i="2"/>
  <c r="B33996" i="2"/>
  <c r="B33995" i="2"/>
  <c r="B33994" i="2"/>
  <c r="B33993" i="2"/>
  <c r="B33992" i="2"/>
  <c r="B33991" i="2"/>
  <c r="B33990" i="2"/>
  <c r="B33989" i="2"/>
  <c r="B33988" i="2"/>
  <c r="B33987" i="2"/>
  <c r="B33986" i="2"/>
  <c r="B33985" i="2"/>
  <c r="B33984" i="2"/>
  <c r="B33983" i="2"/>
  <c r="B33982" i="2"/>
  <c r="B33981" i="2"/>
  <c r="B33980" i="2"/>
  <c r="B33979" i="2"/>
  <c r="B33978" i="2"/>
  <c r="B33977" i="2"/>
  <c r="B33976" i="2"/>
  <c r="B33975" i="2"/>
  <c r="B33974" i="2"/>
  <c r="B33973" i="2"/>
  <c r="B33972" i="2"/>
  <c r="B33971" i="2"/>
  <c r="B33970" i="2"/>
  <c r="B33969" i="2"/>
  <c r="B33968" i="2"/>
  <c r="B33967" i="2"/>
  <c r="B33966" i="2"/>
  <c r="B33965" i="2"/>
  <c r="B33964" i="2"/>
  <c r="B33963" i="2"/>
  <c r="B33962" i="2"/>
  <c r="B33961" i="2"/>
  <c r="B33960" i="2"/>
  <c r="B33959" i="2"/>
  <c r="B33958" i="2"/>
  <c r="B33957" i="2"/>
  <c r="B33956" i="2"/>
  <c r="B33955" i="2"/>
  <c r="B33954" i="2"/>
  <c r="B33953" i="2"/>
  <c r="B33952" i="2"/>
  <c r="B33951" i="2"/>
  <c r="B33950" i="2"/>
  <c r="B33949" i="2"/>
  <c r="B33948" i="2"/>
  <c r="B33947" i="2"/>
  <c r="B33946" i="2"/>
  <c r="B33945" i="2"/>
  <c r="B33944" i="2"/>
  <c r="B33943" i="2"/>
  <c r="B33942" i="2"/>
  <c r="B33941" i="2"/>
  <c r="B33940" i="2"/>
  <c r="B33939" i="2"/>
  <c r="B33938" i="2"/>
  <c r="B33937" i="2"/>
  <c r="B33936" i="2"/>
  <c r="B33935" i="2"/>
  <c r="B33934" i="2"/>
  <c r="B33933" i="2"/>
  <c r="B33932" i="2"/>
  <c r="B33931" i="2"/>
  <c r="B33930" i="2"/>
  <c r="B33929" i="2"/>
  <c r="B33928" i="2"/>
  <c r="B33927" i="2"/>
  <c r="B33926" i="2"/>
  <c r="B33925" i="2"/>
  <c r="B33924" i="2"/>
  <c r="B33923" i="2"/>
  <c r="B33922" i="2"/>
  <c r="B33921" i="2"/>
  <c r="B33920" i="2"/>
  <c r="B33919" i="2"/>
  <c r="B33918" i="2"/>
  <c r="B33917" i="2"/>
  <c r="B33916" i="2"/>
  <c r="B33915" i="2"/>
  <c r="B33914" i="2"/>
  <c r="B33913" i="2"/>
  <c r="B33912" i="2"/>
  <c r="B33911" i="2"/>
  <c r="B33910" i="2"/>
  <c r="B33909" i="2"/>
  <c r="B33908" i="2"/>
  <c r="B33907" i="2"/>
  <c r="B33906" i="2"/>
  <c r="B33905" i="2"/>
  <c r="B33904" i="2"/>
  <c r="B33903" i="2"/>
  <c r="B33902" i="2"/>
  <c r="B33901" i="2"/>
  <c r="B33900" i="2"/>
  <c r="B33899" i="2"/>
  <c r="B33898" i="2"/>
  <c r="B33897" i="2"/>
  <c r="B33896" i="2"/>
  <c r="B33895" i="2"/>
  <c r="B33894" i="2"/>
  <c r="B33893" i="2"/>
  <c r="B33892" i="2"/>
  <c r="B33891" i="2"/>
  <c r="B33890" i="2"/>
  <c r="B33889" i="2"/>
  <c r="B33888" i="2"/>
  <c r="B33887" i="2"/>
  <c r="B33886" i="2"/>
  <c r="B33885" i="2"/>
  <c r="B33884" i="2"/>
  <c r="B33883" i="2"/>
  <c r="B33882" i="2"/>
  <c r="B33881" i="2"/>
  <c r="B33880" i="2"/>
  <c r="B33879" i="2"/>
  <c r="B33878" i="2"/>
  <c r="B33877" i="2"/>
  <c r="B33876" i="2"/>
  <c r="B33875" i="2"/>
  <c r="B33874" i="2"/>
  <c r="B33873" i="2"/>
  <c r="B33872" i="2"/>
  <c r="B33871" i="2"/>
  <c r="B33870" i="2"/>
  <c r="B33869" i="2"/>
  <c r="B33868" i="2"/>
  <c r="B33867" i="2"/>
  <c r="B33866" i="2"/>
  <c r="B33865" i="2"/>
  <c r="B33864" i="2"/>
  <c r="B33863" i="2"/>
  <c r="B33862" i="2"/>
  <c r="B33861" i="2"/>
  <c r="B33860" i="2"/>
  <c r="B33859" i="2"/>
  <c r="B33858" i="2"/>
  <c r="B33857" i="2"/>
  <c r="B33856" i="2"/>
  <c r="B33855" i="2"/>
  <c r="B33854" i="2"/>
  <c r="B33853" i="2"/>
  <c r="B33852" i="2"/>
  <c r="B33851" i="2"/>
  <c r="B33850" i="2"/>
  <c r="B33849" i="2"/>
  <c r="B33848" i="2"/>
  <c r="B33847" i="2"/>
  <c r="B33846" i="2"/>
  <c r="B33845" i="2"/>
  <c r="B33844" i="2"/>
  <c r="B33843" i="2"/>
  <c r="B33842" i="2"/>
  <c r="B33841" i="2"/>
  <c r="B33840" i="2"/>
  <c r="B33839" i="2"/>
  <c r="B33838" i="2"/>
  <c r="B33837" i="2"/>
  <c r="B33836" i="2"/>
  <c r="B33835" i="2"/>
  <c r="B33834" i="2"/>
  <c r="B33833" i="2"/>
  <c r="B33832" i="2"/>
  <c r="B33831" i="2"/>
  <c r="B33830" i="2"/>
  <c r="B33829" i="2"/>
  <c r="B33828" i="2"/>
  <c r="B33827" i="2"/>
  <c r="B33826" i="2"/>
  <c r="B33825" i="2"/>
  <c r="B33824" i="2"/>
  <c r="B33823" i="2"/>
  <c r="B33822" i="2"/>
  <c r="B33821" i="2"/>
  <c r="B33820" i="2"/>
  <c r="B33819" i="2"/>
  <c r="B33818" i="2"/>
  <c r="B33817" i="2"/>
  <c r="B33816" i="2"/>
  <c r="B33815" i="2"/>
  <c r="B33814" i="2"/>
  <c r="B33813" i="2"/>
  <c r="B33812" i="2"/>
  <c r="B33811" i="2"/>
  <c r="B33810" i="2"/>
  <c r="B33809" i="2"/>
  <c r="B33808" i="2"/>
  <c r="B33807" i="2"/>
  <c r="B33806" i="2"/>
  <c r="B33805" i="2"/>
  <c r="B33804" i="2"/>
  <c r="B33803" i="2"/>
  <c r="B33802" i="2"/>
  <c r="B33801" i="2"/>
  <c r="B33800" i="2"/>
  <c r="B33799" i="2"/>
  <c r="B33798" i="2"/>
  <c r="B33797" i="2"/>
  <c r="B33796" i="2"/>
  <c r="B33795" i="2"/>
  <c r="B33794" i="2"/>
  <c r="B33793" i="2"/>
  <c r="B33792" i="2"/>
  <c r="B33791" i="2"/>
  <c r="B33790" i="2"/>
  <c r="B33789" i="2"/>
  <c r="B33788" i="2"/>
  <c r="B33787" i="2"/>
  <c r="B33786" i="2"/>
  <c r="B33785" i="2"/>
  <c r="B33784" i="2"/>
  <c r="B33783" i="2"/>
  <c r="B33782" i="2"/>
  <c r="B33781" i="2"/>
  <c r="B33780" i="2"/>
  <c r="B33779" i="2"/>
  <c r="B33778" i="2"/>
  <c r="B33777" i="2"/>
  <c r="B33776" i="2"/>
  <c r="B33775" i="2"/>
  <c r="B33774" i="2"/>
  <c r="B33773" i="2"/>
  <c r="B33772" i="2"/>
  <c r="B33771" i="2"/>
  <c r="B33770" i="2"/>
  <c r="B33769" i="2"/>
  <c r="B33768" i="2"/>
  <c r="B33767" i="2"/>
  <c r="B33766" i="2"/>
  <c r="B33765" i="2"/>
  <c r="B33764" i="2"/>
  <c r="B33763" i="2"/>
  <c r="B33762" i="2"/>
  <c r="B33761" i="2"/>
  <c r="B33760" i="2"/>
  <c r="B33759" i="2"/>
  <c r="B33758" i="2"/>
  <c r="B33757" i="2"/>
  <c r="B33756" i="2"/>
  <c r="B33755" i="2"/>
  <c r="B33754" i="2"/>
  <c r="B33753" i="2"/>
  <c r="B33752" i="2"/>
  <c r="B33751" i="2"/>
  <c r="B33750" i="2"/>
  <c r="B33749" i="2"/>
  <c r="B33748" i="2"/>
  <c r="B33747" i="2"/>
  <c r="B33746" i="2"/>
  <c r="B33745" i="2"/>
  <c r="B33744" i="2"/>
  <c r="B33743" i="2"/>
  <c r="B33742" i="2"/>
  <c r="B33741" i="2"/>
  <c r="B33740" i="2"/>
  <c r="B33739" i="2"/>
  <c r="B33738" i="2"/>
  <c r="B33737" i="2"/>
  <c r="B33736" i="2"/>
  <c r="B33735" i="2"/>
  <c r="B33734" i="2"/>
  <c r="B33733" i="2"/>
  <c r="B33732" i="2"/>
  <c r="B33731" i="2"/>
  <c r="B33730" i="2"/>
  <c r="B33729" i="2"/>
  <c r="B33728" i="2"/>
  <c r="B33727" i="2"/>
  <c r="B33726" i="2"/>
  <c r="B33725" i="2"/>
  <c r="B33724" i="2"/>
  <c r="B33723" i="2"/>
  <c r="B33722" i="2"/>
  <c r="B33721" i="2"/>
  <c r="B33720" i="2"/>
  <c r="B33719" i="2"/>
  <c r="B33718" i="2"/>
  <c r="B33717" i="2"/>
  <c r="B33716" i="2"/>
  <c r="B33715" i="2"/>
  <c r="B33714" i="2"/>
  <c r="B33713" i="2"/>
  <c r="B33712" i="2"/>
  <c r="B33711" i="2"/>
  <c r="B33710" i="2"/>
  <c r="B33709" i="2"/>
  <c r="B33708" i="2"/>
  <c r="B33707" i="2"/>
  <c r="B33706" i="2"/>
  <c r="B33705" i="2"/>
  <c r="B33704" i="2"/>
  <c r="B33703" i="2"/>
  <c r="B33702" i="2"/>
  <c r="B33701" i="2"/>
  <c r="B33700" i="2"/>
  <c r="B33699" i="2"/>
  <c r="B33698" i="2"/>
  <c r="B33697" i="2"/>
  <c r="B33696" i="2"/>
  <c r="B33695" i="2"/>
  <c r="B33694" i="2"/>
  <c r="B33693" i="2"/>
  <c r="B33692" i="2"/>
  <c r="B33691" i="2"/>
  <c r="B33690" i="2"/>
  <c r="B33689" i="2"/>
  <c r="B33688" i="2"/>
  <c r="B33687" i="2"/>
  <c r="B33686" i="2"/>
  <c r="B33685" i="2"/>
  <c r="B33684" i="2"/>
  <c r="B33683" i="2"/>
  <c r="B33682" i="2"/>
  <c r="B33681" i="2"/>
  <c r="B33680" i="2"/>
  <c r="B33679" i="2"/>
  <c r="B33678" i="2"/>
  <c r="B33677" i="2"/>
  <c r="B33676" i="2"/>
  <c r="B33675" i="2"/>
  <c r="B33674" i="2"/>
  <c r="B33673" i="2"/>
  <c r="B33672" i="2"/>
  <c r="B33671" i="2"/>
  <c r="B33670" i="2"/>
  <c r="B33669" i="2"/>
  <c r="B33668" i="2"/>
  <c r="B33667" i="2"/>
  <c r="B33666" i="2"/>
  <c r="B33665" i="2"/>
  <c r="B33664" i="2"/>
  <c r="B33663" i="2"/>
  <c r="B33662" i="2"/>
  <c r="B33661" i="2"/>
  <c r="B33660" i="2"/>
  <c r="B33659" i="2"/>
  <c r="B33658" i="2"/>
  <c r="B33657" i="2"/>
  <c r="B33656" i="2"/>
  <c r="B33655" i="2"/>
  <c r="B33654" i="2"/>
  <c r="B33653" i="2"/>
  <c r="B33652" i="2"/>
  <c r="B33651" i="2"/>
  <c r="B33650" i="2"/>
  <c r="B33649" i="2"/>
  <c r="B33648" i="2"/>
  <c r="B33647" i="2"/>
  <c r="B33646" i="2"/>
  <c r="B33645" i="2"/>
  <c r="B33644" i="2"/>
  <c r="B33643" i="2"/>
  <c r="B33642" i="2"/>
  <c r="B33641" i="2"/>
  <c r="B33640" i="2"/>
  <c r="B33639" i="2"/>
  <c r="B33638" i="2"/>
  <c r="B33637" i="2"/>
  <c r="B33636" i="2"/>
  <c r="B33635" i="2"/>
  <c r="B33634" i="2"/>
  <c r="B33633" i="2"/>
  <c r="B33632" i="2"/>
  <c r="B33631" i="2"/>
  <c r="B33630" i="2"/>
  <c r="B33629" i="2"/>
  <c r="B33628" i="2"/>
  <c r="B33627" i="2"/>
  <c r="B33626" i="2"/>
  <c r="B33625" i="2"/>
  <c r="B33624" i="2"/>
  <c r="B33623" i="2"/>
  <c r="B33622" i="2"/>
  <c r="B33621" i="2"/>
  <c r="B33620" i="2"/>
  <c r="B33619" i="2"/>
  <c r="B33618" i="2"/>
  <c r="B33617" i="2"/>
  <c r="B33616" i="2"/>
  <c r="B33615" i="2"/>
  <c r="B33614" i="2"/>
  <c r="B33613" i="2"/>
  <c r="B33612" i="2"/>
  <c r="B33611" i="2"/>
  <c r="B33610" i="2"/>
  <c r="B33609" i="2"/>
  <c r="B33608" i="2"/>
  <c r="B33607" i="2"/>
  <c r="B33606" i="2"/>
  <c r="B33605" i="2"/>
  <c r="B33604" i="2"/>
  <c r="B33603" i="2"/>
  <c r="B33602" i="2"/>
  <c r="B33601" i="2"/>
  <c r="B33600" i="2"/>
  <c r="B33599" i="2"/>
  <c r="B33598" i="2"/>
  <c r="B33597" i="2"/>
  <c r="B33596" i="2"/>
  <c r="B33595" i="2"/>
  <c r="B33594" i="2"/>
  <c r="B33593" i="2"/>
  <c r="B33592" i="2"/>
  <c r="B33591" i="2"/>
  <c r="B33590" i="2"/>
  <c r="B33589" i="2"/>
  <c r="B33588" i="2"/>
  <c r="B33587" i="2"/>
  <c r="B33586" i="2"/>
  <c r="B33585" i="2"/>
  <c r="B33584" i="2"/>
  <c r="B33583" i="2"/>
  <c r="B33582" i="2"/>
  <c r="B33581" i="2"/>
  <c r="B33580" i="2"/>
  <c r="B33579" i="2"/>
  <c r="B33578" i="2"/>
  <c r="B33577" i="2"/>
  <c r="B33576" i="2"/>
  <c r="B33575" i="2"/>
  <c r="B33574" i="2"/>
  <c r="B33573" i="2"/>
  <c r="B33572" i="2"/>
  <c r="B33571" i="2"/>
  <c r="B33570" i="2"/>
  <c r="B33569" i="2"/>
  <c r="B33568" i="2"/>
  <c r="B33567" i="2"/>
  <c r="B33566" i="2"/>
  <c r="B33565" i="2"/>
  <c r="B33564" i="2"/>
  <c r="B33563" i="2"/>
  <c r="B33562" i="2"/>
  <c r="B33561" i="2"/>
  <c r="B33560" i="2"/>
  <c r="B33559" i="2"/>
  <c r="B33558" i="2"/>
  <c r="B33557" i="2"/>
  <c r="B33556" i="2"/>
  <c r="B33555" i="2"/>
  <c r="B33554" i="2"/>
  <c r="B33553" i="2"/>
  <c r="B33552" i="2"/>
  <c r="B33551" i="2"/>
  <c r="B33550" i="2"/>
  <c r="B33549" i="2"/>
  <c r="B33548" i="2"/>
  <c r="B33547" i="2"/>
  <c r="B33546" i="2"/>
  <c r="B33545" i="2"/>
  <c r="B33544" i="2"/>
  <c r="B33543" i="2"/>
  <c r="B33542" i="2"/>
  <c r="B33541" i="2"/>
  <c r="B33540" i="2"/>
  <c r="B33539" i="2"/>
  <c r="B33538" i="2"/>
  <c r="B33537" i="2"/>
  <c r="B33536" i="2"/>
  <c r="B33535" i="2"/>
  <c r="B33534" i="2"/>
  <c r="B33533" i="2"/>
  <c r="B33532" i="2"/>
  <c r="B33531" i="2"/>
  <c r="B33530" i="2"/>
  <c r="B33529" i="2"/>
  <c r="B33528" i="2"/>
  <c r="B33527" i="2"/>
  <c r="B33526" i="2"/>
  <c r="B33525" i="2"/>
  <c r="B33524" i="2"/>
  <c r="B33523" i="2"/>
  <c r="B33522" i="2"/>
  <c r="B33521" i="2"/>
  <c r="B33520" i="2"/>
  <c r="B33519" i="2"/>
  <c r="B33518" i="2"/>
  <c r="B33517" i="2"/>
  <c r="B33516" i="2"/>
  <c r="B33515" i="2"/>
  <c r="B33514" i="2"/>
  <c r="B33513" i="2"/>
  <c r="B33512" i="2"/>
  <c r="B33511" i="2"/>
  <c r="B33510" i="2"/>
  <c r="B33509" i="2"/>
  <c r="B33508" i="2"/>
  <c r="B33507" i="2"/>
  <c r="B33506" i="2"/>
  <c r="B33505" i="2"/>
  <c r="B33504" i="2"/>
  <c r="B33503" i="2"/>
  <c r="B33502" i="2"/>
  <c r="B33501" i="2"/>
  <c r="B33500" i="2"/>
  <c r="B33499" i="2"/>
  <c r="B33498" i="2"/>
  <c r="B33497" i="2"/>
  <c r="B33496" i="2"/>
  <c r="B33495" i="2"/>
  <c r="B33494" i="2"/>
  <c r="B33493" i="2"/>
  <c r="B33492" i="2"/>
  <c r="B33491" i="2"/>
  <c r="B33490" i="2"/>
  <c r="B33489" i="2"/>
  <c r="B33488" i="2"/>
  <c r="B33487" i="2"/>
  <c r="B33486" i="2"/>
  <c r="B33485" i="2"/>
  <c r="B33484" i="2"/>
  <c r="B33483" i="2"/>
  <c r="B33482" i="2"/>
  <c r="B33481" i="2"/>
  <c r="B33480" i="2"/>
  <c r="B33479" i="2"/>
  <c r="B33478" i="2"/>
  <c r="B33477" i="2"/>
  <c r="B33476" i="2"/>
  <c r="B33475" i="2"/>
  <c r="B33474" i="2"/>
  <c r="B33473" i="2"/>
  <c r="B33472" i="2"/>
  <c r="B33471" i="2"/>
  <c r="B33470" i="2"/>
  <c r="B33469" i="2"/>
  <c r="B33468" i="2"/>
  <c r="B33467" i="2"/>
  <c r="B33466" i="2"/>
  <c r="B33465" i="2"/>
  <c r="B33464" i="2"/>
  <c r="B33463" i="2"/>
  <c r="B33462" i="2"/>
  <c r="B33461" i="2"/>
  <c r="B33460" i="2"/>
  <c r="B33459" i="2"/>
  <c r="B33458" i="2"/>
  <c r="B33457" i="2"/>
  <c r="B33456" i="2"/>
  <c r="B33455" i="2"/>
  <c r="B33454" i="2"/>
  <c r="B33453" i="2"/>
  <c r="B33452" i="2"/>
  <c r="B33451" i="2"/>
  <c r="B33450" i="2"/>
  <c r="B33449" i="2"/>
  <c r="B33448" i="2"/>
  <c r="B33447" i="2"/>
  <c r="B33446" i="2"/>
  <c r="B33445" i="2"/>
  <c r="B33444" i="2"/>
  <c r="B33443" i="2"/>
  <c r="B33442" i="2"/>
  <c r="B33441" i="2"/>
  <c r="B33440" i="2"/>
  <c r="B33439" i="2"/>
  <c r="B33438" i="2"/>
  <c r="B33437" i="2"/>
  <c r="B33436" i="2"/>
  <c r="B33435" i="2"/>
  <c r="B33434" i="2"/>
  <c r="B33433" i="2"/>
  <c r="B33432" i="2"/>
  <c r="B33431" i="2"/>
  <c r="B33430" i="2"/>
  <c r="B33429" i="2"/>
  <c r="B33428" i="2"/>
  <c r="B33427" i="2"/>
  <c r="B33426" i="2"/>
  <c r="B33425" i="2"/>
  <c r="B33424" i="2"/>
  <c r="B33423" i="2"/>
  <c r="B33422" i="2"/>
  <c r="B33421" i="2"/>
  <c r="B33420" i="2"/>
  <c r="B33419" i="2"/>
  <c r="B33418" i="2"/>
  <c r="B33417" i="2"/>
  <c r="B33416" i="2"/>
  <c r="B33415" i="2"/>
  <c r="B33414" i="2"/>
  <c r="B33413" i="2"/>
  <c r="B33412" i="2"/>
  <c r="B33411" i="2"/>
  <c r="B33410" i="2"/>
  <c r="B33409" i="2"/>
  <c r="B33408" i="2"/>
  <c r="B33407" i="2"/>
  <c r="B33406" i="2"/>
  <c r="B33405" i="2"/>
  <c r="B33404" i="2"/>
  <c r="B33403" i="2"/>
  <c r="B33402" i="2"/>
  <c r="B33401" i="2"/>
  <c r="B33400" i="2"/>
  <c r="B33399" i="2"/>
  <c r="B33398" i="2"/>
  <c r="B33397" i="2"/>
  <c r="B33396" i="2"/>
  <c r="B33395" i="2"/>
  <c r="B33394" i="2"/>
  <c r="B33393" i="2"/>
  <c r="B33392" i="2"/>
  <c r="B33391" i="2"/>
  <c r="B33390" i="2"/>
  <c r="B33389" i="2"/>
  <c r="B33388" i="2"/>
  <c r="B33387" i="2"/>
  <c r="B33386" i="2"/>
  <c r="B33385" i="2"/>
  <c r="B33384" i="2"/>
  <c r="B33383" i="2"/>
  <c r="B33382" i="2"/>
  <c r="B33381" i="2"/>
  <c r="B33380" i="2"/>
  <c r="B33379" i="2"/>
  <c r="B33378" i="2"/>
  <c r="B33377" i="2"/>
  <c r="B33376" i="2"/>
  <c r="B33375" i="2"/>
  <c r="B33374" i="2"/>
  <c r="B33373" i="2"/>
  <c r="B33372" i="2"/>
  <c r="B33371" i="2"/>
  <c r="B33370" i="2"/>
  <c r="B33369" i="2"/>
  <c r="B33368" i="2"/>
  <c r="B33367" i="2"/>
  <c r="B33366" i="2"/>
  <c r="B33365" i="2"/>
  <c r="B33364" i="2"/>
  <c r="B33363" i="2"/>
  <c r="B33362" i="2"/>
  <c r="B33361" i="2"/>
  <c r="B33360" i="2"/>
  <c r="B33359" i="2"/>
  <c r="B33358" i="2"/>
  <c r="B33357" i="2"/>
  <c r="B33356" i="2"/>
  <c r="B33355" i="2"/>
  <c r="B33354" i="2"/>
  <c r="B33353" i="2"/>
  <c r="B33352" i="2"/>
  <c r="B33351" i="2"/>
  <c r="B33350" i="2"/>
  <c r="B33349" i="2"/>
  <c r="B33348" i="2"/>
  <c r="B33347" i="2"/>
  <c r="B33346" i="2"/>
  <c r="B33345" i="2"/>
  <c r="B33344" i="2"/>
  <c r="B33343" i="2"/>
  <c r="B33342" i="2"/>
  <c r="B33341" i="2"/>
  <c r="B33340" i="2"/>
  <c r="B33339" i="2"/>
  <c r="B33338" i="2"/>
  <c r="B33337" i="2"/>
  <c r="B33336" i="2"/>
  <c r="B33335" i="2"/>
  <c r="B33334" i="2"/>
  <c r="B33333" i="2"/>
  <c r="B33332" i="2"/>
  <c r="B33331" i="2"/>
  <c r="B33330" i="2"/>
  <c r="B33329" i="2"/>
  <c r="B33328" i="2"/>
  <c r="B33327" i="2"/>
  <c r="B33326" i="2"/>
  <c r="B33325" i="2"/>
  <c r="B33324" i="2"/>
  <c r="B33323" i="2"/>
  <c r="B33322" i="2"/>
  <c r="B33321" i="2"/>
  <c r="B33320" i="2"/>
  <c r="B33319" i="2"/>
  <c r="B33318" i="2"/>
  <c r="B33317" i="2"/>
  <c r="B33316" i="2"/>
  <c r="B33315" i="2"/>
  <c r="B33314" i="2"/>
  <c r="B33313" i="2"/>
  <c r="B33312" i="2"/>
  <c r="B33311" i="2"/>
  <c r="B33310" i="2"/>
  <c r="B33309" i="2"/>
  <c r="B33308" i="2"/>
  <c r="B33307" i="2"/>
  <c r="B33306" i="2"/>
  <c r="B33305" i="2"/>
  <c r="B33304" i="2"/>
  <c r="B33303" i="2"/>
  <c r="B33302" i="2"/>
  <c r="B33301" i="2"/>
  <c r="B33300" i="2"/>
  <c r="B33299" i="2"/>
  <c r="B33298" i="2"/>
  <c r="B33297" i="2"/>
  <c r="B33296" i="2"/>
  <c r="B33295" i="2"/>
  <c r="B33294" i="2"/>
  <c r="B33293" i="2"/>
  <c r="B33292" i="2"/>
  <c r="B33291" i="2"/>
  <c r="B33290" i="2"/>
  <c r="B33289" i="2"/>
  <c r="B33288" i="2"/>
  <c r="B33287" i="2"/>
  <c r="B33286" i="2"/>
  <c r="B33285" i="2"/>
  <c r="B33284" i="2"/>
  <c r="B33283" i="2"/>
  <c r="B33282" i="2"/>
  <c r="B33281" i="2"/>
  <c r="B33280" i="2"/>
  <c r="B33279" i="2"/>
  <c r="B33278" i="2"/>
  <c r="B33277" i="2"/>
  <c r="B33276" i="2"/>
  <c r="B33275" i="2"/>
  <c r="B33274" i="2"/>
  <c r="B33273" i="2"/>
  <c r="B33272" i="2"/>
  <c r="B33271" i="2"/>
  <c r="B33270" i="2"/>
  <c r="B33269" i="2"/>
  <c r="B33268" i="2"/>
  <c r="B33267" i="2"/>
  <c r="B33266" i="2"/>
  <c r="B33265" i="2"/>
  <c r="B33264" i="2"/>
  <c r="B33263" i="2"/>
  <c r="B33262" i="2"/>
  <c r="B33261" i="2"/>
  <c r="B33260" i="2"/>
  <c r="B33259" i="2"/>
  <c r="B33258" i="2"/>
  <c r="B33257" i="2"/>
  <c r="B33256" i="2"/>
  <c r="B33255" i="2"/>
  <c r="B33254" i="2"/>
  <c r="B33253" i="2"/>
  <c r="B33252" i="2"/>
  <c r="B33251" i="2"/>
  <c r="B33250" i="2"/>
  <c r="B33249" i="2"/>
  <c r="B33248" i="2"/>
  <c r="B33247" i="2"/>
  <c r="B33246" i="2"/>
  <c r="B33245" i="2"/>
  <c r="B33244" i="2"/>
  <c r="B33243" i="2"/>
  <c r="B33242" i="2"/>
  <c r="B33241" i="2"/>
  <c r="B33240" i="2"/>
  <c r="B33239" i="2"/>
  <c r="B33238" i="2"/>
  <c r="B33237" i="2"/>
  <c r="B33236" i="2"/>
  <c r="B33235" i="2"/>
  <c r="B33234" i="2"/>
  <c r="B33233" i="2"/>
  <c r="B33232" i="2"/>
  <c r="B33231" i="2"/>
  <c r="B33230" i="2"/>
  <c r="B33229" i="2"/>
  <c r="B33228" i="2"/>
  <c r="B33227" i="2"/>
  <c r="B33226" i="2"/>
  <c r="B33225" i="2"/>
  <c r="B33224" i="2"/>
  <c r="B33223" i="2"/>
  <c r="B33222" i="2"/>
  <c r="B33221" i="2"/>
  <c r="B33220" i="2"/>
  <c r="B33219" i="2"/>
  <c r="B33218" i="2"/>
  <c r="B33217" i="2"/>
  <c r="B33216" i="2"/>
  <c r="B33215" i="2"/>
  <c r="B33214" i="2"/>
  <c r="B33213" i="2"/>
  <c r="B33212" i="2"/>
  <c r="B33211" i="2"/>
  <c r="B33210" i="2"/>
  <c r="B33209" i="2"/>
  <c r="B33208" i="2"/>
  <c r="B33207" i="2"/>
  <c r="B33206" i="2"/>
  <c r="B33205" i="2"/>
  <c r="B33204" i="2"/>
  <c r="B33203" i="2"/>
  <c r="B33202" i="2"/>
  <c r="B33201" i="2"/>
  <c r="B33200" i="2"/>
  <c r="B33199" i="2"/>
  <c r="B33198" i="2"/>
  <c r="B33197" i="2"/>
  <c r="B33196" i="2"/>
  <c r="B33195" i="2"/>
  <c r="B33194" i="2"/>
  <c r="B33193" i="2"/>
  <c r="B33192" i="2"/>
  <c r="B33191" i="2"/>
  <c r="B33190" i="2"/>
  <c r="B33189" i="2"/>
  <c r="B33188" i="2"/>
  <c r="B33187" i="2"/>
  <c r="B33186" i="2"/>
  <c r="B33185" i="2"/>
  <c r="B33184" i="2"/>
  <c r="B33183" i="2"/>
  <c r="B33182" i="2"/>
  <c r="B33181" i="2"/>
  <c r="B33180" i="2"/>
  <c r="B33179" i="2"/>
  <c r="B33178" i="2"/>
  <c r="B33177" i="2"/>
  <c r="B33176" i="2"/>
  <c r="B33175" i="2"/>
  <c r="B33174" i="2"/>
  <c r="B33173" i="2"/>
  <c r="B33172" i="2"/>
  <c r="B33171" i="2"/>
  <c r="B33170" i="2"/>
  <c r="B33169" i="2"/>
  <c r="B33168" i="2"/>
  <c r="B33167" i="2"/>
  <c r="B33166" i="2"/>
  <c r="B33165" i="2"/>
  <c r="B33164" i="2"/>
  <c r="B33163" i="2"/>
  <c r="B33162" i="2"/>
  <c r="B33161" i="2"/>
  <c r="B33160" i="2"/>
  <c r="B33159" i="2"/>
  <c r="B33158" i="2"/>
  <c r="B33157" i="2"/>
  <c r="B33156" i="2"/>
  <c r="B33155" i="2"/>
  <c r="B33154" i="2"/>
  <c r="B33153" i="2"/>
  <c r="B33152" i="2"/>
  <c r="B33151" i="2"/>
  <c r="B33150" i="2"/>
  <c r="B33149" i="2"/>
  <c r="B33148" i="2"/>
  <c r="B33147" i="2"/>
  <c r="B33146" i="2"/>
  <c r="B33145" i="2"/>
  <c r="B33144" i="2"/>
  <c r="B33143" i="2"/>
  <c r="B33142" i="2"/>
  <c r="B33141" i="2"/>
  <c r="B33140" i="2"/>
  <c r="B33139" i="2"/>
  <c r="B33138" i="2"/>
  <c r="B33137" i="2"/>
  <c r="B33136" i="2"/>
  <c r="B33135" i="2"/>
  <c r="B33134" i="2"/>
  <c r="B33133" i="2"/>
  <c r="B33132" i="2"/>
  <c r="B33131" i="2"/>
  <c r="B33130" i="2"/>
  <c r="B33129" i="2"/>
  <c r="B33128" i="2"/>
  <c r="B33127" i="2"/>
  <c r="B33126" i="2"/>
  <c r="B33125" i="2"/>
  <c r="B33124" i="2"/>
  <c r="B33123" i="2"/>
  <c r="B33122" i="2"/>
  <c r="B33121" i="2"/>
  <c r="B33120" i="2"/>
  <c r="B33119" i="2"/>
  <c r="B33118" i="2"/>
  <c r="B33117" i="2"/>
  <c r="B33116" i="2"/>
  <c r="B33115" i="2"/>
  <c r="B33114" i="2"/>
  <c r="B33113" i="2"/>
  <c r="B33112" i="2"/>
  <c r="B33111" i="2"/>
  <c r="B33110" i="2"/>
  <c r="B33109" i="2"/>
  <c r="B33108" i="2"/>
  <c r="B33107" i="2"/>
  <c r="B33106" i="2"/>
  <c r="B33105" i="2"/>
  <c r="B33104" i="2"/>
  <c r="B33103" i="2"/>
  <c r="B33102" i="2"/>
  <c r="B33101" i="2"/>
  <c r="B33100" i="2"/>
  <c r="B33099" i="2"/>
  <c r="B33098" i="2"/>
  <c r="B33097" i="2"/>
  <c r="B33096" i="2"/>
  <c r="B33095" i="2"/>
  <c r="B33094" i="2"/>
  <c r="B33093" i="2"/>
  <c r="B33092" i="2"/>
  <c r="B33091" i="2"/>
  <c r="B33090" i="2"/>
  <c r="B33089" i="2"/>
  <c r="B33088" i="2"/>
  <c r="B33087" i="2"/>
  <c r="B33086" i="2"/>
  <c r="B33085" i="2"/>
  <c r="B33084" i="2"/>
  <c r="B33083" i="2"/>
  <c r="B33082" i="2"/>
  <c r="B33081" i="2"/>
  <c r="B33080" i="2"/>
  <c r="B33079" i="2"/>
  <c r="B33078" i="2"/>
  <c r="B33077" i="2"/>
  <c r="B33076" i="2"/>
  <c r="B33075" i="2"/>
  <c r="B33074" i="2"/>
  <c r="B33073" i="2"/>
  <c r="B33072" i="2"/>
  <c r="B33071" i="2"/>
  <c r="B33070" i="2"/>
  <c r="B33069" i="2"/>
  <c r="B33068" i="2"/>
  <c r="B33067" i="2"/>
  <c r="B33066" i="2"/>
  <c r="B33065" i="2"/>
  <c r="B33064" i="2"/>
  <c r="B33063" i="2"/>
  <c r="B33062" i="2"/>
  <c r="B33061" i="2"/>
  <c r="B33060" i="2"/>
  <c r="B33059" i="2"/>
  <c r="B33058" i="2"/>
  <c r="B33057" i="2"/>
  <c r="B33056" i="2"/>
  <c r="B33055" i="2"/>
  <c r="B33054" i="2"/>
  <c r="B33053" i="2"/>
  <c r="B33052" i="2"/>
  <c r="B33051" i="2"/>
  <c r="B33050" i="2"/>
  <c r="B33049" i="2"/>
  <c r="B33048" i="2"/>
  <c r="B33047" i="2"/>
  <c r="B33046" i="2"/>
  <c r="B33045" i="2"/>
  <c r="B33044" i="2"/>
  <c r="B33043" i="2"/>
  <c r="B33042" i="2"/>
  <c r="B33041" i="2"/>
  <c r="B33040" i="2"/>
  <c r="B33039" i="2"/>
  <c r="B33038" i="2"/>
  <c r="B33037" i="2"/>
  <c r="B33036" i="2"/>
  <c r="B33035" i="2"/>
  <c r="B33034" i="2"/>
  <c r="B33033" i="2"/>
  <c r="B33032" i="2"/>
  <c r="B33031" i="2"/>
  <c r="B33030" i="2"/>
  <c r="B33029" i="2"/>
  <c r="B33028" i="2"/>
  <c r="B33027" i="2"/>
  <c r="B33026" i="2"/>
  <c r="B33025" i="2"/>
  <c r="B33024" i="2"/>
  <c r="B33023" i="2"/>
  <c r="B33022" i="2"/>
  <c r="B33021" i="2"/>
  <c r="B33020" i="2"/>
  <c r="B33019" i="2"/>
  <c r="B33018" i="2"/>
  <c r="B33017" i="2"/>
  <c r="B33016" i="2"/>
  <c r="B33015" i="2"/>
  <c r="B33014" i="2"/>
  <c r="B33013" i="2"/>
  <c r="B33012" i="2"/>
  <c r="B33011" i="2"/>
  <c r="B33010" i="2"/>
  <c r="B33009" i="2"/>
  <c r="B33008" i="2"/>
  <c r="B33007" i="2"/>
  <c r="B33006" i="2"/>
  <c r="B33005" i="2"/>
  <c r="B33004" i="2"/>
  <c r="B33003" i="2"/>
  <c r="B33002" i="2"/>
  <c r="B33001" i="2"/>
  <c r="B33000" i="2"/>
  <c r="B32999" i="2"/>
  <c r="B32998" i="2"/>
  <c r="B32997" i="2"/>
  <c r="B32996" i="2"/>
  <c r="B32995" i="2"/>
  <c r="B32994" i="2"/>
  <c r="B32993" i="2"/>
  <c r="B32992" i="2"/>
  <c r="B32991" i="2"/>
  <c r="B32990" i="2"/>
  <c r="B32989" i="2"/>
  <c r="B32988" i="2"/>
  <c r="B32987" i="2"/>
  <c r="B32986" i="2"/>
  <c r="B32985" i="2"/>
  <c r="B32984" i="2"/>
  <c r="B32983" i="2"/>
  <c r="B32982" i="2"/>
  <c r="B32981" i="2"/>
  <c r="B32980" i="2"/>
  <c r="B32979" i="2"/>
  <c r="B32978" i="2"/>
  <c r="B32977" i="2"/>
  <c r="B32976" i="2"/>
  <c r="B32975" i="2"/>
  <c r="B32974" i="2"/>
  <c r="B32973" i="2"/>
  <c r="B32972" i="2"/>
  <c r="B32971" i="2"/>
  <c r="B32970" i="2"/>
  <c r="B32969" i="2"/>
  <c r="B32968" i="2"/>
  <c r="B32967" i="2"/>
  <c r="B32966" i="2"/>
  <c r="B32965" i="2"/>
  <c r="B32964" i="2"/>
  <c r="B32963" i="2"/>
  <c r="B32962" i="2"/>
  <c r="B32961" i="2"/>
  <c r="B32960" i="2"/>
  <c r="B32959" i="2"/>
  <c r="B32958" i="2"/>
  <c r="B32957" i="2"/>
  <c r="B32956" i="2"/>
  <c r="B32955" i="2"/>
  <c r="B32954" i="2"/>
  <c r="B32953" i="2"/>
  <c r="B32952" i="2"/>
  <c r="B32951" i="2"/>
  <c r="B32950" i="2"/>
  <c r="B32949" i="2"/>
  <c r="B32948" i="2"/>
  <c r="B32947" i="2"/>
  <c r="B32946" i="2"/>
  <c r="B32945" i="2"/>
  <c r="B32944" i="2"/>
  <c r="B32943" i="2"/>
  <c r="B32942" i="2"/>
  <c r="B32941" i="2"/>
  <c r="B32940" i="2"/>
  <c r="B32939" i="2"/>
  <c r="B32938" i="2"/>
  <c r="B32937" i="2"/>
  <c r="B32936" i="2"/>
  <c r="B32935" i="2"/>
  <c r="B32934" i="2"/>
  <c r="B32933" i="2"/>
  <c r="B32932" i="2"/>
  <c r="B32931" i="2"/>
  <c r="B32930" i="2"/>
  <c r="B32929" i="2"/>
  <c r="B32928" i="2"/>
  <c r="B32927" i="2"/>
  <c r="B32926" i="2"/>
  <c r="B32925" i="2"/>
  <c r="B32924" i="2"/>
  <c r="B32923" i="2"/>
  <c r="B32922" i="2"/>
  <c r="B32921" i="2"/>
  <c r="B32920" i="2"/>
  <c r="B32919" i="2"/>
  <c r="B32918" i="2"/>
  <c r="B32917" i="2"/>
  <c r="B32916" i="2"/>
  <c r="B32915" i="2"/>
  <c r="B32914" i="2"/>
  <c r="B32913" i="2"/>
  <c r="B32912" i="2"/>
  <c r="B32911" i="2"/>
  <c r="B32910" i="2"/>
  <c r="B32909" i="2"/>
  <c r="B32908" i="2"/>
  <c r="B32907" i="2"/>
  <c r="B32906" i="2"/>
  <c r="B32905" i="2"/>
  <c r="B32904" i="2"/>
  <c r="B32903" i="2"/>
  <c r="B32902" i="2"/>
  <c r="B32901" i="2"/>
  <c r="B32900" i="2"/>
  <c r="B32899" i="2"/>
  <c r="B32898" i="2"/>
  <c r="B32897" i="2"/>
  <c r="B32896" i="2"/>
  <c r="B32895" i="2"/>
  <c r="B32894" i="2"/>
  <c r="B32893" i="2"/>
  <c r="B32892" i="2"/>
  <c r="B32891" i="2"/>
  <c r="B32890" i="2"/>
  <c r="B32889" i="2"/>
  <c r="B32888" i="2"/>
  <c r="B32887" i="2"/>
  <c r="B32886" i="2"/>
  <c r="B32885" i="2"/>
  <c r="B32884" i="2"/>
  <c r="B32883" i="2"/>
  <c r="B32882" i="2"/>
  <c r="B32881" i="2"/>
  <c r="B32880" i="2"/>
  <c r="B32879" i="2"/>
  <c r="B32878" i="2"/>
  <c r="B32877" i="2"/>
  <c r="B32876" i="2"/>
  <c r="B32875" i="2"/>
  <c r="B32874" i="2"/>
  <c r="B32873" i="2"/>
  <c r="B32872" i="2"/>
  <c r="B32871" i="2"/>
  <c r="B32870" i="2"/>
  <c r="B32869" i="2"/>
  <c r="B32868" i="2"/>
  <c r="B32867" i="2"/>
  <c r="B32866" i="2"/>
  <c r="B32865" i="2"/>
  <c r="B32864" i="2"/>
  <c r="B32863" i="2"/>
  <c r="B32862" i="2"/>
  <c r="B32861" i="2"/>
  <c r="B32860" i="2"/>
  <c r="B32859" i="2"/>
  <c r="B32858" i="2"/>
  <c r="B32857" i="2"/>
  <c r="B32856" i="2"/>
  <c r="B32855" i="2"/>
  <c r="B32854" i="2"/>
  <c r="B32853" i="2"/>
  <c r="B32852" i="2"/>
  <c r="B32851" i="2"/>
  <c r="B32850" i="2"/>
  <c r="B32849" i="2"/>
  <c r="B32848" i="2"/>
  <c r="B32847" i="2"/>
  <c r="B32846" i="2"/>
  <c r="B32845" i="2"/>
  <c r="B32844" i="2"/>
  <c r="B32843" i="2"/>
  <c r="B32842" i="2"/>
  <c r="B32841" i="2"/>
  <c r="B32840" i="2"/>
  <c r="B32839" i="2"/>
  <c r="B32838" i="2"/>
  <c r="B32837" i="2"/>
  <c r="B32836" i="2"/>
  <c r="B32835" i="2"/>
  <c r="B32834" i="2"/>
  <c r="B32833" i="2"/>
  <c r="B32832" i="2"/>
  <c r="B32831" i="2"/>
  <c r="B32830" i="2"/>
  <c r="B32829" i="2"/>
  <c r="B32828" i="2"/>
  <c r="B32827" i="2"/>
  <c r="B32826" i="2"/>
  <c r="B32825" i="2"/>
  <c r="B32824" i="2"/>
  <c r="B32823" i="2"/>
  <c r="B32822" i="2"/>
  <c r="B32821" i="2"/>
  <c r="B32820" i="2"/>
  <c r="B32819" i="2"/>
  <c r="B32818" i="2"/>
  <c r="B32817" i="2"/>
  <c r="B32816" i="2"/>
  <c r="B32815" i="2"/>
  <c r="B32814" i="2"/>
  <c r="B32813" i="2"/>
  <c r="B32812" i="2"/>
  <c r="B32811" i="2"/>
  <c r="B32810" i="2"/>
  <c r="B32809" i="2"/>
  <c r="B32808" i="2"/>
  <c r="B32807" i="2"/>
  <c r="B32806" i="2"/>
  <c r="B32805" i="2"/>
  <c r="B32804" i="2"/>
  <c r="B32803" i="2"/>
  <c r="B32802" i="2"/>
  <c r="B32801" i="2"/>
  <c r="B32800" i="2"/>
  <c r="B32799" i="2"/>
  <c r="B32798" i="2"/>
  <c r="B32797" i="2"/>
  <c r="B32796" i="2"/>
  <c r="B32795" i="2"/>
  <c r="B32794" i="2"/>
  <c r="B32793" i="2"/>
  <c r="B32792" i="2"/>
  <c r="B32791" i="2"/>
  <c r="B32790" i="2"/>
  <c r="B32789" i="2"/>
  <c r="B32788" i="2"/>
  <c r="B32787" i="2"/>
  <c r="B32786" i="2"/>
  <c r="B32785" i="2"/>
  <c r="B32784" i="2"/>
  <c r="B32783" i="2"/>
  <c r="B32782" i="2"/>
  <c r="B32781" i="2"/>
  <c r="B32780" i="2"/>
  <c r="B32779" i="2"/>
  <c r="B32778" i="2"/>
  <c r="B32777" i="2"/>
  <c r="B32776" i="2"/>
  <c r="B32775" i="2"/>
  <c r="B32774" i="2"/>
  <c r="B32773" i="2"/>
  <c r="B32772" i="2"/>
  <c r="B32771" i="2"/>
  <c r="B32770" i="2"/>
  <c r="B32769" i="2"/>
  <c r="B32768" i="2"/>
  <c r="B32767" i="2"/>
  <c r="B32766" i="2"/>
  <c r="B32765" i="2"/>
  <c r="B32764" i="2"/>
  <c r="B32763" i="2"/>
  <c r="B32762" i="2"/>
  <c r="B32761" i="2"/>
  <c r="B32760" i="2"/>
  <c r="B32759" i="2"/>
  <c r="B32758" i="2"/>
  <c r="B32757" i="2"/>
  <c r="B32756" i="2"/>
  <c r="B32755" i="2"/>
  <c r="B32754" i="2"/>
  <c r="B32753" i="2"/>
  <c r="B32752" i="2"/>
  <c r="B32751" i="2"/>
  <c r="B32750" i="2"/>
  <c r="B32749" i="2"/>
  <c r="B32748" i="2"/>
  <c r="B32747" i="2"/>
  <c r="B32746" i="2"/>
  <c r="B32745" i="2"/>
  <c r="B32744" i="2"/>
  <c r="B32743" i="2"/>
  <c r="B32742" i="2"/>
  <c r="B32741" i="2"/>
  <c r="B32740" i="2"/>
  <c r="B32739" i="2"/>
  <c r="B32738" i="2"/>
  <c r="B32737" i="2"/>
  <c r="B32736" i="2"/>
  <c r="B32735" i="2"/>
  <c r="B32734" i="2"/>
  <c r="B32733" i="2"/>
  <c r="B32732" i="2"/>
  <c r="B32731" i="2"/>
  <c r="B32730" i="2"/>
  <c r="B32729" i="2"/>
  <c r="B32728" i="2"/>
  <c r="B32727" i="2"/>
  <c r="B32726" i="2"/>
  <c r="B32725" i="2"/>
  <c r="B32724" i="2"/>
  <c r="B32723" i="2"/>
  <c r="B32722" i="2"/>
  <c r="B32721" i="2"/>
  <c r="B32720" i="2"/>
  <c r="B32719" i="2"/>
  <c r="B32718" i="2"/>
  <c r="B32717" i="2"/>
  <c r="B32716" i="2"/>
  <c r="B32715" i="2"/>
  <c r="B32714" i="2"/>
  <c r="B32713" i="2"/>
  <c r="B32712" i="2"/>
  <c r="B32711" i="2"/>
  <c r="B32710" i="2"/>
  <c r="B32709" i="2"/>
  <c r="B32708" i="2"/>
  <c r="B32707" i="2"/>
  <c r="B32706" i="2"/>
  <c r="B32705" i="2"/>
  <c r="B32704" i="2"/>
  <c r="B32703" i="2"/>
  <c r="B32702" i="2"/>
  <c r="B32701" i="2"/>
  <c r="B32700" i="2"/>
  <c r="B32699" i="2"/>
  <c r="B32698" i="2"/>
  <c r="B32697" i="2"/>
  <c r="B32696" i="2"/>
  <c r="B32695" i="2"/>
  <c r="B32694" i="2"/>
  <c r="B32693" i="2"/>
  <c r="B32692" i="2"/>
  <c r="B32691" i="2"/>
  <c r="B32690" i="2"/>
  <c r="B32689" i="2"/>
  <c r="B32688" i="2"/>
  <c r="B32687" i="2"/>
  <c r="B32686" i="2"/>
  <c r="B32685" i="2"/>
  <c r="B32684" i="2"/>
  <c r="B32683" i="2"/>
  <c r="B32682" i="2"/>
  <c r="B32681" i="2"/>
  <c r="B32680" i="2"/>
  <c r="B32679" i="2"/>
  <c r="B32678" i="2"/>
  <c r="B32677" i="2"/>
  <c r="B32676" i="2"/>
  <c r="B32675" i="2"/>
  <c r="B32674" i="2"/>
  <c r="B32673" i="2"/>
  <c r="B32672" i="2"/>
  <c r="B32671" i="2"/>
  <c r="B32670" i="2"/>
  <c r="B32669" i="2"/>
  <c r="B32668" i="2"/>
  <c r="B32667" i="2"/>
  <c r="B32666" i="2"/>
  <c r="B32665" i="2"/>
  <c r="B32664" i="2"/>
  <c r="B32663" i="2"/>
  <c r="B32662" i="2"/>
  <c r="B32661" i="2"/>
  <c r="B32660" i="2"/>
  <c r="B32659" i="2"/>
  <c r="B32658" i="2"/>
  <c r="B32657" i="2"/>
  <c r="B32656" i="2"/>
  <c r="B32655" i="2"/>
  <c r="B32654" i="2"/>
  <c r="B32653" i="2"/>
  <c r="B32652" i="2"/>
  <c r="B32651" i="2"/>
  <c r="B32650" i="2"/>
  <c r="B32649" i="2"/>
  <c r="B32648" i="2"/>
  <c r="B32647" i="2"/>
  <c r="B32646" i="2"/>
  <c r="B32645" i="2"/>
  <c r="B32644" i="2"/>
  <c r="B32643" i="2"/>
  <c r="B32642" i="2"/>
  <c r="B32641" i="2"/>
  <c r="B32640" i="2"/>
  <c r="B32639" i="2"/>
  <c r="B32638" i="2"/>
  <c r="B32637" i="2"/>
  <c r="B32636" i="2"/>
  <c r="B32635" i="2"/>
  <c r="B32634" i="2"/>
  <c r="B32633" i="2"/>
  <c r="B32632" i="2"/>
  <c r="B32631" i="2"/>
  <c r="B32630" i="2"/>
  <c r="B32629" i="2"/>
  <c r="B32628" i="2"/>
  <c r="B32627" i="2"/>
  <c r="B32626" i="2"/>
  <c r="B32625" i="2"/>
  <c r="B32624" i="2"/>
  <c r="B32623" i="2"/>
  <c r="B32622" i="2"/>
  <c r="B32621" i="2"/>
  <c r="B32620" i="2"/>
  <c r="B32619" i="2"/>
  <c r="B32618" i="2"/>
  <c r="B32617" i="2"/>
  <c r="B32616" i="2"/>
  <c r="B32615" i="2"/>
  <c r="B32614" i="2"/>
  <c r="B32613" i="2"/>
  <c r="B32612" i="2"/>
  <c r="B32611" i="2"/>
  <c r="B32610" i="2"/>
  <c r="B32609" i="2"/>
  <c r="B32608" i="2"/>
  <c r="B32607" i="2"/>
  <c r="B32606" i="2"/>
  <c r="B32605" i="2"/>
  <c r="B32604" i="2"/>
  <c r="B32603" i="2"/>
  <c r="B32602" i="2"/>
  <c r="B32601" i="2"/>
  <c r="B32600" i="2"/>
  <c r="B32599" i="2"/>
  <c r="B32598" i="2"/>
  <c r="B32597" i="2"/>
  <c r="B32596" i="2"/>
  <c r="B32595" i="2"/>
  <c r="B32594" i="2"/>
  <c r="B32593" i="2"/>
  <c r="B32592" i="2"/>
  <c r="B32591" i="2"/>
  <c r="B32590" i="2"/>
  <c r="B32589" i="2"/>
  <c r="B32588" i="2"/>
  <c r="B32587" i="2"/>
  <c r="B32586" i="2"/>
  <c r="B32585" i="2"/>
  <c r="B32584" i="2"/>
  <c r="B32583" i="2"/>
  <c r="B32582" i="2"/>
  <c r="B32581" i="2"/>
  <c r="B32580" i="2"/>
  <c r="B32579" i="2"/>
  <c r="B32578" i="2"/>
  <c r="B32577" i="2"/>
  <c r="B32576" i="2"/>
  <c r="B32575" i="2"/>
  <c r="B32574" i="2"/>
  <c r="B32573" i="2"/>
  <c r="B32572" i="2"/>
  <c r="B32571" i="2"/>
  <c r="B32570" i="2"/>
  <c r="B32569" i="2"/>
  <c r="B32568" i="2"/>
  <c r="B32567" i="2"/>
  <c r="B32566" i="2"/>
  <c r="B32565" i="2"/>
  <c r="B32564" i="2"/>
  <c r="B32563" i="2"/>
  <c r="B32562" i="2"/>
  <c r="B32561" i="2"/>
  <c r="B32560" i="2"/>
  <c r="B32559" i="2"/>
  <c r="B32558" i="2"/>
  <c r="B32557" i="2"/>
  <c r="B32556" i="2"/>
  <c r="B32555" i="2"/>
  <c r="B32554" i="2"/>
  <c r="B32553" i="2"/>
  <c r="B32552" i="2"/>
  <c r="B32551" i="2"/>
  <c r="B32550" i="2"/>
  <c r="B32549" i="2"/>
  <c r="B32548" i="2"/>
  <c r="B32547" i="2"/>
  <c r="B32546" i="2"/>
  <c r="B32545" i="2"/>
  <c r="B32544" i="2"/>
  <c r="B32543" i="2"/>
  <c r="B32542" i="2"/>
  <c r="B32541" i="2"/>
  <c r="B32540" i="2"/>
  <c r="B32539" i="2"/>
  <c r="B32538" i="2"/>
  <c r="B32537" i="2"/>
  <c r="B32536" i="2"/>
  <c r="B32535" i="2"/>
  <c r="B32534" i="2"/>
  <c r="B32533" i="2"/>
  <c r="B32532" i="2"/>
  <c r="B32531" i="2"/>
  <c r="B32530" i="2"/>
  <c r="B32529" i="2"/>
  <c r="B32528" i="2"/>
  <c r="B32527" i="2"/>
  <c r="B32526" i="2"/>
  <c r="B32525" i="2"/>
  <c r="B32524" i="2"/>
  <c r="B32523" i="2"/>
  <c r="B32522" i="2"/>
  <c r="B32521" i="2"/>
  <c r="B32520" i="2"/>
  <c r="B32519" i="2"/>
  <c r="B32518" i="2"/>
  <c r="B32517" i="2"/>
  <c r="B32516" i="2"/>
  <c r="B32515" i="2"/>
  <c r="B32514" i="2"/>
  <c r="B32513" i="2"/>
  <c r="B32512" i="2"/>
  <c r="B32511" i="2"/>
  <c r="B32510" i="2"/>
  <c r="B32509" i="2"/>
  <c r="B32508" i="2"/>
  <c r="B32507" i="2"/>
  <c r="B32506" i="2"/>
  <c r="B32505" i="2"/>
  <c r="B32504" i="2"/>
  <c r="B32503" i="2"/>
  <c r="B32502" i="2"/>
  <c r="B32501" i="2"/>
  <c r="B32500" i="2"/>
  <c r="B32499" i="2"/>
  <c r="B32498" i="2"/>
  <c r="B32497" i="2"/>
  <c r="B32496" i="2"/>
  <c r="B32495" i="2"/>
  <c r="B32494" i="2"/>
  <c r="B32493" i="2"/>
  <c r="B32492" i="2"/>
  <c r="B32491" i="2"/>
  <c r="B32490" i="2"/>
  <c r="B32489" i="2"/>
  <c r="B32488" i="2"/>
  <c r="B32487" i="2"/>
  <c r="B32486" i="2"/>
  <c r="B32485" i="2"/>
  <c r="B32484" i="2"/>
  <c r="B32483" i="2"/>
  <c r="B32482" i="2"/>
  <c r="B32481" i="2"/>
  <c r="B32480" i="2"/>
  <c r="B32479" i="2"/>
  <c r="B32478" i="2"/>
  <c r="B32477" i="2"/>
  <c r="B32476" i="2"/>
  <c r="B32475" i="2"/>
  <c r="B32474" i="2"/>
  <c r="B32473" i="2"/>
  <c r="B32472" i="2"/>
  <c r="B32471" i="2"/>
  <c r="B32470" i="2"/>
  <c r="B32469" i="2"/>
  <c r="B32468" i="2"/>
  <c r="B32467" i="2"/>
  <c r="B32466" i="2"/>
  <c r="B32465" i="2"/>
  <c r="B32464" i="2"/>
  <c r="B32463" i="2"/>
  <c r="B32462" i="2"/>
  <c r="B32461" i="2"/>
  <c r="B32460" i="2"/>
  <c r="B32459" i="2"/>
  <c r="B32458" i="2"/>
  <c r="B32457" i="2"/>
  <c r="B32456" i="2"/>
  <c r="B32455" i="2"/>
  <c r="B32454" i="2"/>
  <c r="B32453" i="2"/>
  <c r="B32452" i="2"/>
  <c r="B32451" i="2"/>
  <c r="B32450" i="2"/>
  <c r="B32449" i="2"/>
  <c r="B32448" i="2"/>
  <c r="B32447" i="2"/>
  <c r="B32446" i="2"/>
  <c r="B32445" i="2"/>
  <c r="B32444" i="2"/>
  <c r="B32443" i="2"/>
  <c r="B32442" i="2"/>
  <c r="B32441" i="2"/>
  <c r="B32440" i="2"/>
  <c r="B32439" i="2"/>
  <c r="B32438" i="2"/>
  <c r="B32437" i="2"/>
  <c r="B32436" i="2"/>
  <c r="B32435" i="2"/>
  <c r="B32434" i="2"/>
  <c r="B32433" i="2"/>
  <c r="B32432" i="2"/>
  <c r="B32431" i="2"/>
  <c r="B32430" i="2"/>
  <c r="B32429" i="2"/>
  <c r="B32428" i="2"/>
  <c r="B32427" i="2"/>
  <c r="B32426" i="2"/>
  <c r="B32425" i="2"/>
  <c r="B32424" i="2"/>
  <c r="B32423" i="2"/>
  <c r="B32422" i="2"/>
  <c r="B32421" i="2"/>
  <c r="B32420" i="2"/>
  <c r="B32419" i="2"/>
  <c r="B32418" i="2"/>
  <c r="B32417" i="2"/>
  <c r="B32416" i="2"/>
  <c r="B32415" i="2"/>
  <c r="B32414" i="2"/>
  <c r="B32413" i="2"/>
  <c r="B32412" i="2"/>
  <c r="B32411" i="2"/>
  <c r="B32410" i="2"/>
  <c r="B32409" i="2"/>
  <c r="B32408" i="2"/>
  <c r="B32407" i="2"/>
  <c r="B32406" i="2"/>
  <c r="B32405" i="2"/>
  <c r="B32404" i="2"/>
  <c r="B32403" i="2"/>
  <c r="B32402" i="2"/>
  <c r="B32401" i="2"/>
  <c r="B32400" i="2"/>
  <c r="B32399" i="2"/>
  <c r="B32398" i="2"/>
  <c r="B32397" i="2"/>
  <c r="B32396" i="2"/>
  <c r="B32395" i="2"/>
  <c r="B32394" i="2"/>
  <c r="B32393" i="2"/>
  <c r="B32392" i="2"/>
  <c r="B32391" i="2"/>
  <c r="B32390" i="2"/>
  <c r="B32389" i="2"/>
  <c r="B32388" i="2"/>
  <c r="B32387" i="2"/>
  <c r="B32386" i="2"/>
  <c r="B32385" i="2"/>
  <c r="B32384" i="2"/>
  <c r="B32383" i="2"/>
  <c r="B32382" i="2"/>
  <c r="B32381" i="2"/>
  <c r="B32380" i="2"/>
  <c r="B32379" i="2"/>
  <c r="B32378" i="2"/>
  <c r="B32377" i="2"/>
  <c r="B32376" i="2"/>
  <c r="B32375" i="2"/>
  <c r="B32374" i="2"/>
  <c r="B32373" i="2"/>
  <c r="B32372" i="2"/>
  <c r="B32371" i="2"/>
  <c r="B32370" i="2"/>
  <c r="B32369" i="2"/>
  <c r="B32368" i="2"/>
  <c r="B32367" i="2"/>
  <c r="B32366" i="2"/>
  <c r="B32365" i="2"/>
  <c r="B32364" i="2"/>
  <c r="B32363" i="2"/>
  <c r="B32362" i="2"/>
  <c r="B32361" i="2"/>
  <c r="B32360" i="2"/>
  <c r="B32359" i="2"/>
  <c r="B32358" i="2"/>
  <c r="B32357" i="2"/>
  <c r="B32356" i="2"/>
  <c r="B32355" i="2"/>
  <c r="B32354" i="2"/>
  <c r="B32353" i="2"/>
  <c r="B32352" i="2"/>
  <c r="B32351" i="2"/>
  <c r="B32350" i="2"/>
  <c r="B32349" i="2"/>
  <c r="B32348" i="2"/>
  <c r="B32347" i="2"/>
  <c r="B32346" i="2"/>
  <c r="B32345" i="2"/>
  <c r="B32344" i="2"/>
  <c r="B32343" i="2"/>
  <c r="B32342" i="2"/>
  <c r="B32341" i="2"/>
  <c r="B32340" i="2"/>
  <c r="B32339" i="2"/>
  <c r="B32338" i="2"/>
  <c r="B32337" i="2"/>
  <c r="B32336" i="2"/>
  <c r="B32335" i="2"/>
  <c r="B32334" i="2"/>
  <c r="B32333" i="2"/>
  <c r="B32332" i="2"/>
  <c r="B32331" i="2"/>
  <c r="B32330" i="2"/>
  <c r="B32329" i="2"/>
  <c r="B32328" i="2"/>
  <c r="B32327" i="2"/>
  <c r="B32326" i="2"/>
  <c r="B32325" i="2"/>
  <c r="B32324" i="2"/>
  <c r="B32323" i="2"/>
  <c r="B32322" i="2"/>
  <c r="B32321" i="2"/>
  <c r="B32320" i="2"/>
  <c r="B32319" i="2"/>
  <c r="B32318" i="2"/>
  <c r="B32317" i="2"/>
  <c r="B32316" i="2"/>
  <c r="B32315" i="2"/>
  <c r="B32314" i="2"/>
  <c r="B32313" i="2"/>
  <c r="B32312" i="2"/>
  <c r="B32311" i="2"/>
  <c r="B32310" i="2"/>
  <c r="B32309" i="2"/>
  <c r="B32308" i="2"/>
  <c r="B32307" i="2"/>
  <c r="B32306" i="2"/>
  <c r="B32305" i="2"/>
  <c r="B32304" i="2"/>
  <c r="B32303" i="2"/>
  <c r="B32302" i="2"/>
  <c r="B32301" i="2"/>
  <c r="B32300" i="2"/>
  <c r="B32299" i="2"/>
  <c r="B32298" i="2"/>
  <c r="B32297" i="2"/>
  <c r="B32296" i="2"/>
  <c r="B32295" i="2"/>
  <c r="B32294" i="2"/>
  <c r="B32293" i="2"/>
  <c r="B32292" i="2"/>
  <c r="B32291" i="2"/>
  <c r="B32290" i="2"/>
  <c r="B32289" i="2"/>
  <c r="B32288" i="2"/>
  <c r="B32287" i="2"/>
  <c r="B32286" i="2"/>
  <c r="B32285" i="2"/>
  <c r="B32284" i="2"/>
  <c r="B32283" i="2"/>
  <c r="B32282" i="2"/>
  <c r="B32281" i="2"/>
  <c r="B32280" i="2"/>
  <c r="B32279" i="2"/>
  <c r="B32278" i="2"/>
  <c r="B32277" i="2"/>
  <c r="B32276" i="2"/>
  <c r="B32275" i="2"/>
  <c r="B32274" i="2"/>
  <c r="B32273" i="2"/>
  <c r="B32272" i="2"/>
  <c r="B32271" i="2"/>
  <c r="B32270" i="2"/>
  <c r="B32269" i="2"/>
  <c r="B32268" i="2"/>
  <c r="B32267" i="2"/>
  <c r="B32266" i="2"/>
  <c r="B32265" i="2"/>
  <c r="B32264" i="2"/>
  <c r="B32263" i="2"/>
  <c r="B32262" i="2"/>
  <c r="B32261" i="2"/>
  <c r="B32260" i="2"/>
  <c r="B32259" i="2"/>
  <c r="B32258" i="2"/>
  <c r="B32257" i="2"/>
  <c r="B32256" i="2"/>
  <c r="B32255" i="2"/>
  <c r="B32254" i="2"/>
  <c r="B32253" i="2"/>
  <c r="B32252" i="2"/>
  <c r="B32251" i="2"/>
  <c r="B32250" i="2"/>
  <c r="B32249" i="2"/>
  <c r="B32248" i="2"/>
  <c r="B32247" i="2"/>
  <c r="B32246" i="2"/>
  <c r="B32245" i="2"/>
  <c r="B32244" i="2"/>
  <c r="B32243" i="2"/>
  <c r="B32242" i="2"/>
  <c r="B32241" i="2"/>
  <c r="B32240" i="2"/>
  <c r="B32239" i="2"/>
  <c r="B32238" i="2"/>
  <c r="B32237" i="2"/>
  <c r="B32236" i="2"/>
  <c r="B32235" i="2"/>
  <c r="B32234" i="2"/>
  <c r="B32233" i="2"/>
  <c r="B32232" i="2"/>
  <c r="B32231" i="2"/>
  <c r="B32230" i="2"/>
  <c r="B32229" i="2"/>
  <c r="B32228" i="2"/>
  <c r="B32227" i="2"/>
  <c r="B32226" i="2"/>
  <c r="B32225" i="2"/>
  <c r="B32224" i="2"/>
  <c r="B32223" i="2"/>
  <c r="B32222" i="2"/>
  <c r="B32221" i="2"/>
  <c r="B32220" i="2"/>
  <c r="B32219" i="2"/>
  <c r="B32218" i="2"/>
  <c r="B32217" i="2"/>
  <c r="B32216" i="2"/>
  <c r="B32215" i="2"/>
  <c r="B32214" i="2"/>
  <c r="B32213" i="2"/>
  <c r="B32212" i="2"/>
  <c r="B32211" i="2"/>
  <c r="B32210" i="2"/>
  <c r="B32209" i="2"/>
  <c r="B32208" i="2"/>
  <c r="B32207" i="2"/>
  <c r="B32206" i="2"/>
  <c r="B32205" i="2"/>
  <c r="B32204" i="2"/>
  <c r="B32203" i="2"/>
  <c r="B32202" i="2"/>
  <c r="B32201" i="2"/>
  <c r="B32200" i="2"/>
  <c r="B32199" i="2"/>
  <c r="B32198" i="2"/>
  <c r="B32197" i="2"/>
  <c r="B32196" i="2"/>
  <c r="B32195" i="2"/>
  <c r="B32194" i="2"/>
  <c r="B32193" i="2"/>
  <c r="B32192" i="2"/>
  <c r="B32191" i="2"/>
  <c r="B32190" i="2"/>
  <c r="B32189" i="2"/>
  <c r="B32188" i="2"/>
  <c r="B32187" i="2"/>
  <c r="B32186" i="2"/>
  <c r="B32185" i="2"/>
  <c r="B32184" i="2"/>
  <c r="B32183" i="2"/>
  <c r="B32182" i="2"/>
  <c r="B32181" i="2"/>
  <c r="B32180" i="2"/>
  <c r="B32179" i="2"/>
  <c r="B32178" i="2"/>
  <c r="B32177" i="2"/>
  <c r="B32176" i="2"/>
  <c r="B32175" i="2"/>
  <c r="B32174" i="2"/>
  <c r="B32173" i="2"/>
  <c r="B32172" i="2"/>
  <c r="B32171" i="2"/>
  <c r="B32170" i="2"/>
  <c r="B32169" i="2"/>
  <c r="B32168" i="2"/>
  <c r="B32167" i="2"/>
  <c r="B32166" i="2"/>
  <c r="B32165" i="2"/>
  <c r="B32164" i="2"/>
  <c r="B32163" i="2"/>
  <c r="B32162" i="2"/>
  <c r="B32161" i="2"/>
  <c r="B32160" i="2"/>
  <c r="B32159" i="2"/>
  <c r="B32158" i="2"/>
  <c r="B32157" i="2"/>
  <c r="B32156" i="2"/>
  <c r="B32155" i="2"/>
  <c r="B32154" i="2"/>
  <c r="B32153" i="2"/>
  <c r="B32152" i="2"/>
  <c r="B32151" i="2"/>
  <c r="B32150" i="2"/>
  <c r="B32149" i="2"/>
  <c r="B32148" i="2"/>
  <c r="B32147" i="2"/>
  <c r="B32146" i="2"/>
  <c r="B32145" i="2"/>
  <c r="B32144" i="2"/>
  <c r="B32143" i="2"/>
  <c r="B32142" i="2"/>
  <c r="B32141" i="2"/>
  <c r="B32140" i="2"/>
  <c r="B32139" i="2"/>
  <c r="B32138" i="2"/>
  <c r="B32137" i="2"/>
  <c r="B32136" i="2"/>
  <c r="B32135" i="2"/>
  <c r="B32134" i="2"/>
  <c r="B32133" i="2"/>
  <c r="B32132" i="2"/>
  <c r="B32131" i="2"/>
  <c r="B32130" i="2"/>
  <c r="B32129" i="2"/>
  <c r="B32128" i="2"/>
  <c r="B32127" i="2"/>
  <c r="B32126" i="2"/>
  <c r="B32125" i="2"/>
  <c r="B32124" i="2"/>
  <c r="B32123" i="2"/>
  <c r="B32122" i="2"/>
  <c r="B32121" i="2"/>
  <c r="B32120" i="2"/>
  <c r="B32119" i="2"/>
  <c r="B32118" i="2"/>
  <c r="B32117" i="2"/>
  <c r="B32116" i="2"/>
  <c r="B32115" i="2"/>
  <c r="B32114" i="2"/>
  <c r="B32113" i="2"/>
  <c r="B32112" i="2"/>
  <c r="B32111" i="2"/>
  <c r="B32110" i="2"/>
  <c r="B32109" i="2"/>
  <c r="B32108" i="2"/>
  <c r="B32107" i="2"/>
  <c r="B32106" i="2"/>
  <c r="B32105" i="2"/>
  <c r="B32104" i="2"/>
  <c r="B32103" i="2"/>
  <c r="B32102" i="2"/>
  <c r="B32101" i="2"/>
  <c r="B32100" i="2"/>
  <c r="B32099" i="2"/>
  <c r="B32098" i="2"/>
  <c r="B32097" i="2"/>
  <c r="B32096" i="2"/>
  <c r="B32095" i="2"/>
  <c r="B32094" i="2"/>
  <c r="B32093" i="2"/>
  <c r="B32092" i="2"/>
  <c r="B32091" i="2"/>
  <c r="B32090" i="2"/>
  <c r="B32089" i="2"/>
  <c r="B32088" i="2"/>
  <c r="B32087" i="2"/>
  <c r="B32086" i="2"/>
  <c r="B32085" i="2"/>
  <c r="B32084" i="2"/>
  <c r="B32083" i="2"/>
  <c r="B32082" i="2"/>
  <c r="B32081" i="2"/>
  <c r="B32080" i="2"/>
  <c r="B32079" i="2"/>
  <c r="B32078" i="2"/>
  <c r="B32077" i="2"/>
  <c r="B32076" i="2"/>
  <c r="B32075" i="2"/>
  <c r="B32074" i="2"/>
  <c r="B32073" i="2"/>
  <c r="B32072" i="2"/>
  <c r="B32071" i="2"/>
  <c r="B32070" i="2"/>
  <c r="B32069" i="2"/>
  <c r="B32068" i="2"/>
  <c r="B32067" i="2"/>
  <c r="B32066" i="2"/>
  <c r="B32065" i="2"/>
  <c r="B32064" i="2"/>
  <c r="B32063" i="2"/>
  <c r="B32062" i="2"/>
  <c r="B32061" i="2"/>
  <c r="B32060" i="2"/>
  <c r="B32059" i="2"/>
  <c r="B32058" i="2"/>
  <c r="B32057" i="2"/>
  <c r="B32056" i="2"/>
  <c r="B32055" i="2"/>
  <c r="B32054" i="2"/>
  <c r="B32053" i="2"/>
  <c r="B32052" i="2"/>
  <c r="B32051" i="2"/>
  <c r="B32050" i="2"/>
  <c r="B32049" i="2"/>
  <c r="B32048" i="2"/>
  <c r="B32047" i="2"/>
  <c r="B32046" i="2"/>
  <c r="B32045" i="2"/>
  <c r="B32044" i="2"/>
  <c r="B32043" i="2"/>
  <c r="B32042" i="2"/>
  <c r="B32041" i="2"/>
  <c r="B32040" i="2"/>
  <c r="B32039" i="2"/>
  <c r="B32038" i="2"/>
  <c r="B32037" i="2"/>
  <c r="B32036" i="2"/>
  <c r="B32035" i="2"/>
  <c r="B32034" i="2"/>
  <c r="B32033" i="2"/>
  <c r="B32032" i="2"/>
  <c r="B32031" i="2"/>
  <c r="B32030" i="2"/>
  <c r="B32029" i="2"/>
  <c r="B32028" i="2"/>
  <c r="B32027" i="2"/>
  <c r="B32026" i="2"/>
  <c r="B32025" i="2"/>
  <c r="B32024" i="2"/>
  <c r="B32023" i="2"/>
  <c r="B32022" i="2"/>
  <c r="B32021" i="2"/>
  <c r="B32020" i="2"/>
  <c r="B32019" i="2"/>
  <c r="B32018" i="2"/>
  <c r="B32017" i="2"/>
  <c r="B32016" i="2"/>
  <c r="B32015" i="2"/>
  <c r="B32014" i="2"/>
  <c r="B32013" i="2"/>
  <c r="B32012" i="2"/>
  <c r="B32011" i="2"/>
  <c r="B32010" i="2"/>
  <c r="B32009" i="2"/>
  <c r="B32008" i="2"/>
  <c r="B32007" i="2"/>
  <c r="B32006" i="2"/>
  <c r="B32005" i="2"/>
  <c r="B32004" i="2"/>
  <c r="B32003" i="2"/>
  <c r="B32002" i="2"/>
  <c r="B32001" i="2"/>
  <c r="B32000" i="2"/>
  <c r="B31999" i="2"/>
  <c r="B31998" i="2"/>
  <c r="B31997" i="2"/>
  <c r="B31996" i="2"/>
  <c r="B31995" i="2"/>
  <c r="B31994" i="2"/>
  <c r="B31993" i="2"/>
  <c r="B31992" i="2"/>
  <c r="B31991" i="2"/>
  <c r="B31990" i="2"/>
  <c r="B31989" i="2"/>
  <c r="B31988" i="2"/>
  <c r="B31987" i="2"/>
  <c r="B31986" i="2"/>
  <c r="B31985" i="2"/>
  <c r="B31984" i="2"/>
  <c r="B31983" i="2"/>
  <c r="B31982" i="2"/>
  <c r="B31981" i="2"/>
  <c r="B31980" i="2"/>
  <c r="B31979" i="2"/>
  <c r="B31978" i="2"/>
  <c r="B31977" i="2"/>
  <c r="B31976" i="2"/>
  <c r="B31975" i="2"/>
  <c r="B31974" i="2"/>
  <c r="B31973" i="2"/>
  <c r="B31972" i="2"/>
  <c r="B31971" i="2"/>
  <c r="B31970" i="2"/>
  <c r="B31969" i="2"/>
  <c r="B31968" i="2"/>
  <c r="B31967" i="2"/>
  <c r="B31966" i="2"/>
  <c r="B31965" i="2"/>
  <c r="B31964" i="2"/>
  <c r="B31963" i="2"/>
  <c r="B31962" i="2"/>
  <c r="B31961" i="2"/>
  <c r="B31960" i="2"/>
  <c r="B31959" i="2"/>
  <c r="B31958" i="2"/>
  <c r="B31957" i="2"/>
  <c r="B31956" i="2"/>
  <c r="B31955" i="2"/>
  <c r="B31954" i="2"/>
  <c r="B31953" i="2"/>
  <c r="B31952" i="2"/>
  <c r="B31951" i="2"/>
  <c r="B31950" i="2"/>
  <c r="B31949" i="2"/>
  <c r="B31948" i="2"/>
  <c r="B31947" i="2"/>
  <c r="B31946" i="2"/>
  <c r="B31945" i="2"/>
  <c r="B31944" i="2"/>
  <c r="B31943" i="2"/>
  <c r="B31942" i="2"/>
  <c r="B31941" i="2"/>
  <c r="B31940" i="2"/>
  <c r="B31939" i="2"/>
  <c r="B31938" i="2"/>
  <c r="B31937" i="2"/>
  <c r="B31936" i="2"/>
  <c r="B31935" i="2"/>
  <c r="B31934" i="2"/>
  <c r="B31933" i="2"/>
  <c r="B31932" i="2"/>
  <c r="B31931" i="2"/>
  <c r="B31930" i="2"/>
  <c r="B31929" i="2"/>
  <c r="B31928" i="2"/>
  <c r="B31927" i="2"/>
  <c r="B31926" i="2"/>
  <c r="B31925" i="2"/>
  <c r="B31924" i="2"/>
  <c r="B31923" i="2"/>
  <c r="B31922" i="2"/>
  <c r="B31921" i="2"/>
  <c r="B31920" i="2"/>
  <c r="B31919" i="2"/>
  <c r="B31918" i="2"/>
  <c r="B31917" i="2"/>
  <c r="B31916" i="2"/>
  <c r="B31915" i="2"/>
  <c r="B31914" i="2"/>
  <c r="B31913" i="2"/>
  <c r="B31912" i="2"/>
  <c r="B31911" i="2"/>
  <c r="B31910" i="2"/>
  <c r="B31909" i="2"/>
  <c r="B31908" i="2"/>
  <c r="B31907" i="2"/>
  <c r="B31906" i="2"/>
  <c r="B31905" i="2"/>
  <c r="B31904" i="2"/>
  <c r="B31903" i="2"/>
  <c r="B31902" i="2"/>
  <c r="B31901" i="2"/>
  <c r="B31900" i="2"/>
  <c r="B31899" i="2"/>
  <c r="B31898" i="2"/>
  <c r="B31897" i="2"/>
  <c r="B31896" i="2"/>
  <c r="B31895" i="2"/>
  <c r="B31894" i="2"/>
  <c r="B31893" i="2"/>
  <c r="B31892" i="2"/>
  <c r="B31891" i="2"/>
  <c r="B31890" i="2"/>
  <c r="B31889" i="2"/>
  <c r="B31888" i="2"/>
  <c r="B31887" i="2"/>
  <c r="B31886" i="2"/>
  <c r="B31885" i="2"/>
  <c r="B31884" i="2"/>
  <c r="B31883" i="2"/>
  <c r="B31882" i="2"/>
  <c r="B31881" i="2"/>
  <c r="B31880" i="2"/>
  <c r="B31879" i="2"/>
  <c r="B31878" i="2"/>
  <c r="B31877" i="2"/>
  <c r="B31876" i="2"/>
  <c r="B31875" i="2"/>
  <c r="B31874" i="2"/>
  <c r="B31873" i="2"/>
  <c r="B31872" i="2"/>
  <c r="B31871" i="2"/>
  <c r="B31870" i="2"/>
  <c r="B31869" i="2"/>
  <c r="B31868" i="2"/>
  <c r="B31867" i="2"/>
  <c r="B31866" i="2"/>
  <c r="B31865" i="2"/>
  <c r="B31864" i="2"/>
  <c r="B31863" i="2"/>
  <c r="B31862" i="2"/>
  <c r="B31861" i="2"/>
  <c r="B31860" i="2"/>
  <c r="B31859" i="2"/>
  <c r="B31858" i="2"/>
  <c r="B31857" i="2"/>
  <c r="B31856" i="2"/>
  <c r="B31855" i="2"/>
  <c r="B31854" i="2"/>
  <c r="B31853" i="2"/>
  <c r="B31852" i="2"/>
  <c r="B31851" i="2"/>
  <c r="B31850" i="2"/>
  <c r="B31849" i="2"/>
  <c r="B31848" i="2"/>
  <c r="B31847" i="2"/>
  <c r="B31846" i="2"/>
  <c r="B31845" i="2"/>
  <c r="B31844" i="2"/>
  <c r="B31843" i="2"/>
  <c r="B31842" i="2"/>
  <c r="B31841" i="2"/>
  <c r="B31840" i="2"/>
  <c r="B31839" i="2"/>
  <c r="B31838" i="2"/>
  <c r="B31837" i="2"/>
  <c r="B31836" i="2"/>
  <c r="B31835" i="2"/>
  <c r="B31834" i="2"/>
  <c r="B31833" i="2"/>
  <c r="B31832" i="2"/>
  <c r="B31831" i="2"/>
  <c r="B31830" i="2"/>
  <c r="B31829" i="2"/>
  <c r="B31828" i="2"/>
  <c r="B31827" i="2"/>
  <c r="B31826" i="2"/>
  <c r="B31825" i="2"/>
  <c r="B31824" i="2"/>
  <c r="B31823" i="2"/>
  <c r="B31822" i="2"/>
  <c r="B31821" i="2"/>
  <c r="B31820" i="2"/>
  <c r="B31819" i="2"/>
  <c r="B31818" i="2"/>
  <c r="B31817" i="2"/>
  <c r="B31816" i="2"/>
  <c r="B31815" i="2"/>
  <c r="B31814" i="2"/>
  <c r="B31813" i="2"/>
  <c r="B31812" i="2"/>
  <c r="B31811" i="2"/>
  <c r="B31810" i="2"/>
  <c r="B31809" i="2"/>
  <c r="B31808" i="2"/>
  <c r="B31807" i="2"/>
  <c r="B31806" i="2"/>
  <c r="B31805" i="2"/>
  <c r="B31804" i="2"/>
  <c r="B31803" i="2"/>
  <c r="B31802" i="2"/>
  <c r="B31801" i="2"/>
  <c r="B31800" i="2"/>
  <c r="B31799" i="2"/>
  <c r="B31798" i="2"/>
  <c r="B31797" i="2"/>
  <c r="B31796" i="2"/>
  <c r="B31795" i="2"/>
  <c r="B31794" i="2"/>
  <c r="B31793" i="2"/>
  <c r="B31792" i="2"/>
  <c r="B31791" i="2"/>
  <c r="B31790" i="2"/>
  <c r="B31789" i="2"/>
  <c r="B31788" i="2"/>
  <c r="B31787" i="2"/>
  <c r="B31786" i="2"/>
  <c r="B31785" i="2"/>
  <c r="B31784" i="2"/>
  <c r="B31783" i="2"/>
  <c r="B31782" i="2"/>
  <c r="B31781" i="2"/>
  <c r="B31780" i="2"/>
  <c r="B31779" i="2"/>
  <c r="B31778" i="2"/>
  <c r="B31777" i="2"/>
  <c r="B31776" i="2"/>
  <c r="B31775" i="2"/>
  <c r="B31774" i="2"/>
  <c r="B31773" i="2"/>
  <c r="B31772" i="2"/>
  <c r="B31771" i="2"/>
  <c r="B31770" i="2"/>
  <c r="B31769" i="2"/>
  <c r="B31768" i="2"/>
  <c r="B31767" i="2"/>
  <c r="B31766" i="2"/>
  <c r="B31765" i="2"/>
  <c r="B31764" i="2"/>
  <c r="B31763" i="2"/>
  <c r="B31762" i="2"/>
  <c r="B31761" i="2"/>
  <c r="B31760" i="2"/>
  <c r="B31759" i="2"/>
  <c r="B31758" i="2"/>
  <c r="B31757" i="2"/>
  <c r="B31756" i="2"/>
  <c r="B31755" i="2"/>
  <c r="B31754" i="2"/>
  <c r="B31753" i="2"/>
  <c r="B31752" i="2"/>
  <c r="B31751" i="2"/>
  <c r="B31750" i="2"/>
  <c r="B31749" i="2"/>
  <c r="B31748" i="2"/>
  <c r="B31747" i="2"/>
  <c r="B31746" i="2"/>
  <c r="B31745" i="2"/>
  <c r="B31744" i="2"/>
  <c r="B31743" i="2"/>
  <c r="B31742" i="2"/>
  <c r="B31741" i="2"/>
  <c r="B31740" i="2"/>
  <c r="B31739" i="2"/>
  <c r="B31738" i="2"/>
  <c r="B31737" i="2"/>
  <c r="B31736" i="2"/>
  <c r="B31735" i="2"/>
  <c r="B31734" i="2"/>
  <c r="B31733" i="2"/>
  <c r="B31732" i="2"/>
  <c r="B31731" i="2"/>
  <c r="B31730" i="2"/>
  <c r="B31729" i="2"/>
  <c r="B31728" i="2"/>
  <c r="B31727" i="2"/>
  <c r="B31726" i="2"/>
  <c r="B31725" i="2"/>
  <c r="B31724" i="2"/>
  <c r="B31723" i="2"/>
  <c r="B31722" i="2"/>
  <c r="B31721" i="2"/>
  <c r="B31720" i="2"/>
  <c r="B31719" i="2"/>
  <c r="B31718" i="2"/>
  <c r="B31717" i="2"/>
  <c r="B31716" i="2"/>
  <c r="B31715" i="2"/>
  <c r="B31714" i="2"/>
  <c r="B31713" i="2"/>
  <c r="B31712" i="2"/>
  <c r="B31711" i="2"/>
  <c r="B31710" i="2"/>
  <c r="B31709" i="2"/>
  <c r="B31708" i="2"/>
  <c r="B31707" i="2"/>
  <c r="B31706" i="2"/>
  <c r="B31705" i="2"/>
  <c r="B31704" i="2"/>
  <c r="B31703" i="2"/>
  <c r="B31702" i="2"/>
  <c r="B31701" i="2"/>
  <c r="B31700" i="2"/>
  <c r="B31699" i="2"/>
  <c r="B31698" i="2"/>
  <c r="B31697" i="2"/>
  <c r="B31696" i="2"/>
  <c r="B31695" i="2"/>
  <c r="B31694" i="2"/>
  <c r="B31693" i="2"/>
  <c r="B31692" i="2"/>
  <c r="B31691" i="2"/>
  <c r="B31690" i="2"/>
  <c r="B31689" i="2"/>
  <c r="B31688" i="2"/>
  <c r="B31687" i="2"/>
  <c r="B31686" i="2"/>
  <c r="B31685" i="2"/>
  <c r="B31684" i="2"/>
  <c r="B31683" i="2"/>
  <c r="B31682" i="2"/>
  <c r="B31681" i="2"/>
  <c r="B31680" i="2"/>
  <c r="B31679" i="2"/>
  <c r="B31678" i="2"/>
  <c r="B31677" i="2"/>
  <c r="B31676" i="2"/>
  <c r="B31675" i="2"/>
  <c r="B31674" i="2"/>
  <c r="B31673" i="2"/>
  <c r="B31672" i="2"/>
  <c r="B31671" i="2"/>
  <c r="B31670" i="2"/>
  <c r="B31669" i="2"/>
  <c r="B31668" i="2"/>
  <c r="B31667" i="2"/>
  <c r="B31666" i="2"/>
  <c r="B31665" i="2"/>
  <c r="B31664" i="2"/>
  <c r="B31663" i="2"/>
  <c r="B31662" i="2"/>
  <c r="B31661" i="2"/>
  <c r="B31660" i="2"/>
  <c r="B31659" i="2"/>
  <c r="B31658" i="2"/>
  <c r="B31657" i="2"/>
  <c r="B31656" i="2"/>
  <c r="B31655" i="2"/>
  <c r="B31654" i="2"/>
  <c r="B31653" i="2"/>
  <c r="B31652" i="2"/>
  <c r="B31651" i="2"/>
  <c r="B31650" i="2"/>
  <c r="B31649" i="2"/>
  <c r="B31648" i="2"/>
  <c r="B31647" i="2"/>
  <c r="B31646" i="2"/>
  <c r="B31645" i="2"/>
  <c r="B31644" i="2"/>
  <c r="B31643" i="2"/>
  <c r="B31642" i="2"/>
  <c r="B31641" i="2"/>
  <c r="B31640" i="2"/>
  <c r="B31639" i="2"/>
  <c r="B31638" i="2"/>
  <c r="B31637" i="2"/>
  <c r="B31636" i="2"/>
  <c r="B31635" i="2"/>
  <c r="B31634" i="2"/>
  <c r="B31633" i="2"/>
  <c r="B31632" i="2"/>
  <c r="B31631" i="2"/>
  <c r="B31630" i="2"/>
  <c r="B31629" i="2"/>
  <c r="B31628" i="2"/>
  <c r="B31627" i="2"/>
  <c r="B31626" i="2"/>
  <c r="B31625" i="2"/>
  <c r="B31624" i="2"/>
  <c r="B31623" i="2"/>
  <c r="B31622" i="2"/>
  <c r="B31621" i="2"/>
  <c r="B31620" i="2"/>
  <c r="B31619" i="2"/>
  <c r="B31618" i="2"/>
  <c r="B31617" i="2"/>
  <c r="B31616" i="2"/>
  <c r="B31615" i="2"/>
  <c r="B31614" i="2"/>
  <c r="B31613" i="2"/>
  <c r="B31612" i="2"/>
  <c r="B31611" i="2"/>
  <c r="B31610" i="2"/>
  <c r="B31609" i="2"/>
  <c r="B31608" i="2"/>
  <c r="B31607" i="2"/>
  <c r="B31606" i="2"/>
  <c r="B31605" i="2"/>
  <c r="B31604" i="2"/>
  <c r="B31603" i="2"/>
  <c r="B31602" i="2"/>
  <c r="B31601" i="2"/>
  <c r="B31600" i="2"/>
  <c r="B31599" i="2"/>
  <c r="B31598" i="2"/>
  <c r="B31597" i="2"/>
  <c r="B31596" i="2"/>
  <c r="B31595" i="2"/>
  <c r="B31594" i="2"/>
  <c r="B31593" i="2"/>
  <c r="B31592" i="2"/>
  <c r="B31591" i="2"/>
  <c r="B31590" i="2"/>
  <c r="B31589" i="2"/>
  <c r="B31588" i="2"/>
  <c r="B31587" i="2"/>
  <c r="B31586" i="2"/>
  <c r="B31585" i="2"/>
  <c r="B31584" i="2"/>
  <c r="B31583" i="2"/>
  <c r="B31582" i="2"/>
  <c r="B31581" i="2"/>
  <c r="B31580" i="2"/>
  <c r="B31579" i="2"/>
  <c r="B31578" i="2"/>
  <c r="B31577" i="2"/>
  <c r="B31576" i="2"/>
  <c r="B31575" i="2"/>
  <c r="B31574" i="2"/>
  <c r="B31573" i="2"/>
  <c r="B31572" i="2"/>
  <c r="B31571" i="2"/>
  <c r="B31570" i="2"/>
  <c r="B31569" i="2"/>
  <c r="B31568" i="2"/>
  <c r="B31567" i="2"/>
  <c r="B31566" i="2"/>
  <c r="B31565" i="2"/>
  <c r="B31564" i="2"/>
  <c r="B31563" i="2"/>
  <c r="B31562" i="2"/>
  <c r="B31561" i="2"/>
  <c r="B31560" i="2"/>
  <c r="B31559" i="2"/>
  <c r="B31558" i="2"/>
  <c r="B31557" i="2"/>
  <c r="B31556" i="2"/>
  <c r="B31555" i="2"/>
  <c r="B31554" i="2"/>
  <c r="B31553" i="2"/>
  <c r="B31552" i="2"/>
  <c r="B31551" i="2"/>
  <c r="B31550" i="2"/>
  <c r="B31549" i="2"/>
  <c r="B31548" i="2"/>
  <c r="B31547" i="2"/>
  <c r="B31546" i="2"/>
  <c r="B31545" i="2"/>
  <c r="B31544" i="2"/>
  <c r="B31543" i="2"/>
  <c r="B31542" i="2"/>
  <c r="B31541" i="2"/>
  <c r="B31540" i="2"/>
  <c r="B31539" i="2"/>
  <c r="B31538" i="2"/>
  <c r="B31537" i="2"/>
  <c r="B31536" i="2"/>
  <c r="B31535" i="2"/>
  <c r="B31534" i="2"/>
  <c r="B31533" i="2"/>
  <c r="B31532" i="2"/>
  <c r="B31531" i="2"/>
  <c r="B31530" i="2"/>
  <c r="B31529" i="2"/>
  <c r="B31528" i="2"/>
  <c r="B31527" i="2"/>
  <c r="B31526" i="2"/>
  <c r="B31525" i="2"/>
  <c r="B31524" i="2"/>
  <c r="B31523" i="2"/>
  <c r="B31522" i="2"/>
  <c r="B31521" i="2"/>
  <c r="B31520" i="2"/>
  <c r="B31519" i="2"/>
  <c r="B31518" i="2"/>
  <c r="B31517" i="2"/>
  <c r="B31516" i="2"/>
  <c r="B31515" i="2"/>
  <c r="B31514" i="2"/>
  <c r="B31513" i="2"/>
  <c r="B31512" i="2"/>
  <c r="B31511" i="2"/>
  <c r="B31510" i="2"/>
  <c r="B31509" i="2"/>
  <c r="B31508" i="2"/>
  <c r="B31507" i="2"/>
  <c r="B31506" i="2"/>
  <c r="B31505" i="2"/>
  <c r="B31504" i="2"/>
  <c r="B31503" i="2"/>
  <c r="B31502" i="2"/>
  <c r="B31501" i="2"/>
  <c r="B31500" i="2"/>
  <c r="B31499" i="2"/>
  <c r="B31498" i="2"/>
  <c r="B31497" i="2"/>
  <c r="B31496" i="2"/>
  <c r="B31495" i="2"/>
  <c r="B31494" i="2"/>
  <c r="B31493" i="2"/>
  <c r="B31492" i="2"/>
  <c r="B31491" i="2"/>
  <c r="B31490" i="2"/>
  <c r="B31489" i="2"/>
  <c r="B31488" i="2"/>
  <c r="B31487" i="2"/>
  <c r="B31486" i="2"/>
  <c r="B31485" i="2"/>
  <c r="B31484" i="2"/>
  <c r="B31483" i="2"/>
  <c r="B31482" i="2"/>
  <c r="B31481" i="2"/>
  <c r="B31480" i="2"/>
  <c r="B31479" i="2"/>
  <c r="B31478" i="2"/>
  <c r="B31477" i="2"/>
  <c r="B31476" i="2"/>
  <c r="B31475" i="2"/>
  <c r="B31474" i="2"/>
  <c r="B31473" i="2"/>
  <c r="B31472" i="2"/>
  <c r="B31471" i="2"/>
  <c r="B31470" i="2"/>
  <c r="B31469" i="2"/>
  <c r="B31468" i="2"/>
  <c r="B31467" i="2"/>
  <c r="B31466" i="2"/>
  <c r="B31465" i="2"/>
  <c r="B31464" i="2"/>
  <c r="B31463" i="2"/>
  <c r="B31462" i="2"/>
  <c r="B31461" i="2"/>
  <c r="B31460" i="2"/>
  <c r="B31459" i="2"/>
  <c r="B31458" i="2"/>
  <c r="B31457" i="2"/>
  <c r="B31456" i="2"/>
  <c r="B31455" i="2"/>
  <c r="B31454" i="2"/>
  <c r="B31453" i="2"/>
  <c r="B31452" i="2"/>
  <c r="B31451" i="2"/>
  <c r="B31450" i="2"/>
  <c r="B31449" i="2"/>
  <c r="B31448" i="2"/>
  <c r="B31447" i="2"/>
  <c r="B31446" i="2"/>
  <c r="B31445" i="2"/>
  <c r="B31444" i="2"/>
  <c r="B31443" i="2"/>
  <c r="B31442" i="2"/>
  <c r="B31441" i="2"/>
  <c r="B31440" i="2"/>
  <c r="B31439" i="2"/>
  <c r="B31438" i="2"/>
  <c r="B31437" i="2"/>
  <c r="B31436" i="2"/>
  <c r="B31435" i="2"/>
  <c r="B31434" i="2"/>
  <c r="B31433" i="2"/>
  <c r="B31432" i="2"/>
  <c r="B31431" i="2"/>
  <c r="B31430" i="2"/>
  <c r="B31429" i="2"/>
  <c r="B31428" i="2"/>
  <c r="B31427" i="2"/>
  <c r="B31426" i="2"/>
  <c r="B31425" i="2"/>
  <c r="B31424" i="2"/>
  <c r="B31423" i="2"/>
  <c r="B31422" i="2"/>
  <c r="B31421" i="2"/>
  <c r="B31420" i="2"/>
  <c r="B31419" i="2"/>
  <c r="B31418" i="2"/>
  <c r="B31417" i="2"/>
  <c r="B31416" i="2"/>
  <c r="B31415" i="2"/>
  <c r="B31414" i="2"/>
  <c r="B31413" i="2"/>
  <c r="B31412" i="2"/>
  <c r="B31411" i="2"/>
  <c r="B31410" i="2"/>
  <c r="B31409" i="2"/>
  <c r="B31408" i="2"/>
  <c r="B31407" i="2"/>
  <c r="B31406" i="2"/>
  <c r="B31405" i="2"/>
  <c r="B31404" i="2"/>
  <c r="B31403" i="2"/>
  <c r="B31402" i="2"/>
  <c r="B31401" i="2"/>
  <c r="B31400" i="2"/>
  <c r="B31399" i="2"/>
  <c r="B31398" i="2"/>
  <c r="B31397" i="2"/>
  <c r="B31396" i="2"/>
  <c r="B31395" i="2"/>
  <c r="B31394" i="2"/>
  <c r="B31393" i="2"/>
  <c r="B31392" i="2"/>
  <c r="B31391" i="2"/>
  <c r="B31390" i="2"/>
  <c r="B31389" i="2"/>
  <c r="B31388" i="2"/>
  <c r="B31387" i="2"/>
  <c r="B31386" i="2"/>
  <c r="B31385" i="2"/>
  <c r="B31384" i="2"/>
  <c r="B31383" i="2"/>
  <c r="B31382" i="2"/>
  <c r="B31381" i="2"/>
  <c r="B31380" i="2"/>
  <c r="B31379" i="2"/>
  <c r="B31378" i="2"/>
  <c r="B31377" i="2"/>
  <c r="B31376" i="2"/>
  <c r="B31375" i="2"/>
  <c r="B31374" i="2"/>
  <c r="B31373" i="2"/>
  <c r="B31372" i="2"/>
  <c r="B31371" i="2"/>
  <c r="B31370" i="2"/>
  <c r="B31369" i="2"/>
  <c r="B31368" i="2"/>
  <c r="B31367" i="2"/>
  <c r="B31366" i="2"/>
  <c r="B31365" i="2"/>
  <c r="B31364" i="2"/>
  <c r="B31363" i="2"/>
  <c r="B31362" i="2"/>
  <c r="B31361" i="2"/>
  <c r="B31360" i="2"/>
  <c r="B31359" i="2"/>
  <c r="B31358" i="2"/>
  <c r="B31357" i="2"/>
  <c r="B31356" i="2"/>
  <c r="B31355" i="2"/>
  <c r="B31354" i="2"/>
  <c r="B31353" i="2"/>
  <c r="B31352" i="2"/>
  <c r="B31351" i="2"/>
  <c r="B31350" i="2"/>
  <c r="B31349" i="2"/>
  <c r="B31348" i="2"/>
  <c r="B31347" i="2"/>
  <c r="B31346" i="2"/>
  <c r="B31345" i="2"/>
  <c r="B31344" i="2"/>
  <c r="B31343" i="2"/>
  <c r="B31342" i="2"/>
  <c r="B31341" i="2"/>
  <c r="B31340" i="2"/>
  <c r="B31339" i="2"/>
  <c r="B31338" i="2"/>
  <c r="B31337" i="2"/>
  <c r="B31336" i="2"/>
  <c r="B31335" i="2"/>
  <c r="B31334" i="2"/>
  <c r="B31333" i="2"/>
  <c r="B31332" i="2"/>
  <c r="B31331" i="2"/>
  <c r="B31330" i="2"/>
  <c r="B31329" i="2"/>
  <c r="B31328" i="2"/>
  <c r="B31327" i="2"/>
  <c r="B31326" i="2"/>
  <c r="B31325" i="2"/>
  <c r="B31324" i="2"/>
  <c r="B31323" i="2"/>
  <c r="B31322" i="2"/>
  <c r="B31321" i="2"/>
  <c r="B31320" i="2"/>
  <c r="B31319" i="2"/>
  <c r="B31318" i="2"/>
  <c r="B31317" i="2"/>
  <c r="B31316" i="2"/>
  <c r="B31315" i="2"/>
  <c r="B31314" i="2"/>
  <c r="B31313" i="2"/>
  <c r="B31312" i="2"/>
  <c r="B31311" i="2"/>
  <c r="B31310" i="2"/>
  <c r="B31309" i="2"/>
  <c r="B31308" i="2"/>
  <c r="B31307" i="2"/>
  <c r="B31306" i="2"/>
  <c r="B31305" i="2"/>
  <c r="B31304" i="2"/>
  <c r="B31303" i="2"/>
  <c r="B31302" i="2"/>
  <c r="B31301" i="2"/>
  <c r="B31300" i="2"/>
  <c r="B31299" i="2"/>
  <c r="B31298" i="2"/>
  <c r="B31297" i="2"/>
  <c r="B31296" i="2"/>
  <c r="B31295" i="2"/>
  <c r="B31294" i="2"/>
  <c r="B31293" i="2"/>
  <c r="B31292" i="2"/>
  <c r="B31291" i="2"/>
  <c r="B31290" i="2"/>
  <c r="B31289" i="2"/>
  <c r="B31288" i="2"/>
  <c r="B31287" i="2"/>
  <c r="B31286" i="2"/>
  <c r="B31285" i="2"/>
  <c r="B31284" i="2"/>
  <c r="B31283" i="2"/>
  <c r="B31282" i="2"/>
  <c r="B31281" i="2"/>
  <c r="B31280" i="2"/>
  <c r="B31279" i="2"/>
  <c r="B31278" i="2"/>
  <c r="B31277" i="2"/>
  <c r="B31276" i="2"/>
  <c r="B31275" i="2"/>
  <c r="B31274" i="2"/>
  <c r="B31273" i="2"/>
  <c r="B31272" i="2"/>
  <c r="B31271" i="2"/>
  <c r="B31270" i="2"/>
  <c r="B31269" i="2"/>
  <c r="B31268" i="2"/>
  <c r="B31267" i="2"/>
  <c r="B31266" i="2"/>
  <c r="B31265" i="2"/>
  <c r="B31264" i="2"/>
  <c r="B31263" i="2"/>
  <c r="B31262" i="2"/>
  <c r="B31261" i="2"/>
  <c r="B31260" i="2"/>
  <c r="B31259" i="2"/>
  <c r="B31258" i="2"/>
  <c r="B31257" i="2"/>
  <c r="B31256" i="2"/>
  <c r="B31255" i="2"/>
  <c r="B31254" i="2"/>
  <c r="B31253" i="2"/>
  <c r="B31252" i="2"/>
  <c r="B31251" i="2"/>
  <c r="B31250" i="2"/>
  <c r="B31249" i="2"/>
  <c r="B31248" i="2"/>
  <c r="B31247" i="2"/>
  <c r="B31246" i="2"/>
  <c r="B31245" i="2"/>
  <c r="B31244" i="2"/>
  <c r="B31243" i="2"/>
  <c r="B31242" i="2"/>
  <c r="B31241" i="2"/>
  <c r="B31240" i="2"/>
  <c r="B31239" i="2"/>
  <c r="B31238" i="2"/>
  <c r="B31237" i="2"/>
  <c r="B31236" i="2"/>
  <c r="B31235" i="2"/>
  <c r="B31234" i="2"/>
  <c r="B31233" i="2"/>
  <c r="B31232" i="2"/>
  <c r="B31231" i="2"/>
  <c r="B31230" i="2"/>
  <c r="B31229" i="2"/>
  <c r="B31228" i="2"/>
  <c r="B31227" i="2"/>
  <c r="B31226" i="2"/>
  <c r="B31225" i="2"/>
  <c r="B31224" i="2"/>
  <c r="B31223" i="2"/>
  <c r="B31222" i="2"/>
  <c r="B31221" i="2"/>
  <c r="B31220" i="2"/>
  <c r="B31219" i="2"/>
  <c r="B31218" i="2"/>
  <c r="B31217" i="2"/>
  <c r="B31216" i="2"/>
  <c r="B31215" i="2"/>
  <c r="B31214" i="2"/>
  <c r="B31213" i="2"/>
  <c r="B31212" i="2"/>
  <c r="B31211" i="2"/>
  <c r="B31210" i="2"/>
  <c r="B31209" i="2"/>
  <c r="B31208" i="2"/>
  <c r="B31207" i="2"/>
  <c r="B31206" i="2"/>
  <c r="B31205" i="2"/>
  <c r="B31204" i="2"/>
  <c r="B31203" i="2"/>
  <c r="B31202" i="2"/>
  <c r="B31201" i="2"/>
  <c r="B31200" i="2"/>
  <c r="B31199" i="2"/>
  <c r="B31198" i="2"/>
  <c r="B31197" i="2"/>
  <c r="B31196" i="2"/>
  <c r="B31195" i="2"/>
  <c r="B31194" i="2"/>
  <c r="B31193" i="2"/>
  <c r="B31192" i="2"/>
  <c r="B31191" i="2"/>
  <c r="B31190" i="2"/>
  <c r="B31189" i="2"/>
  <c r="B31188" i="2"/>
  <c r="B31187" i="2"/>
  <c r="B31186" i="2"/>
  <c r="B31185" i="2"/>
  <c r="B31184" i="2"/>
  <c r="B31183" i="2"/>
  <c r="B31182" i="2"/>
  <c r="B31181" i="2"/>
  <c r="B31180" i="2"/>
  <c r="B31179" i="2"/>
  <c r="B31178" i="2"/>
  <c r="B31177" i="2"/>
  <c r="B31176" i="2"/>
  <c r="B31175" i="2"/>
  <c r="B31174" i="2"/>
  <c r="B31173" i="2"/>
  <c r="B31172" i="2"/>
  <c r="B31171" i="2"/>
  <c r="B31170" i="2"/>
  <c r="B31169" i="2"/>
  <c r="B31168" i="2"/>
  <c r="B31167" i="2"/>
  <c r="B31166" i="2"/>
  <c r="B31165" i="2"/>
  <c r="B31164" i="2"/>
  <c r="B31163" i="2"/>
  <c r="B31162" i="2"/>
  <c r="B31161" i="2"/>
  <c r="B31160" i="2"/>
  <c r="B31159" i="2"/>
  <c r="B31158" i="2"/>
  <c r="B31157" i="2"/>
  <c r="B31156" i="2"/>
  <c r="B31155" i="2"/>
  <c r="B31154" i="2"/>
  <c r="B31153" i="2"/>
  <c r="B31152" i="2"/>
  <c r="B31151" i="2"/>
  <c r="B31150" i="2"/>
  <c r="B31149" i="2"/>
  <c r="B31148" i="2"/>
  <c r="B31147" i="2"/>
  <c r="B31146" i="2"/>
  <c r="B31145" i="2"/>
  <c r="B31144" i="2"/>
  <c r="B31143" i="2"/>
  <c r="B31142" i="2"/>
  <c r="B31141" i="2"/>
  <c r="B31140" i="2"/>
  <c r="B31139" i="2"/>
  <c r="B31138" i="2"/>
  <c r="B31137" i="2"/>
  <c r="B31136" i="2"/>
  <c r="B31135" i="2"/>
  <c r="B31134" i="2"/>
  <c r="B31133" i="2"/>
  <c r="B31132" i="2"/>
  <c r="B31131" i="2"/>
  <c r="B31130" i="2"/>
  <c r="B31129" i="2"/>
  <c r="B31128" i="2"/>
  <c r="B31127" i="2"/>
  <c r="B31126" i="2"/>
  <c r="B31125" i="2"/>
  <c r="B31124" i="2"/>
  <c r="B31123" i="2"/>
  <c r="B31122" i="2"/>
  <c r="B31121" i="2"/>
  <c r="B31120" i="2"/>
  <c r="B31119" i="2"/>
  <c r="B31118" i="2"/>
  <c r="B31117" i="2"/>
  <c r="B31116" i="2"/>
  <c r="B31115" i="2"/>
  <c r="B31114" i="2"/>
  <c r="B31113" i="2"/>
  <c r="B31112" i="2"/>
  <c r="B31111" i="2"/>
  <c r="B31110" i="2"/>
  <c r="B31109" i="2"/>
  <c r="B31108" i="2"/>
  <c r="B31107" i="2"/>
  <c r="B31106" i="2"/>
  <c r="B31105" i="2"/>
  <c r="B31104" i="2"/>
  <c r="B31103" i="2"/>
  <c r="B31102" i="2"/>
  <c r="B31101" i="2"/>
  <c r="B31100" i="2"/>
  <c r="B31099" i="2"/>
  <c r="B31098" i="2"/>
  <c r="B31097" i="2"/>
  <c r="B31096" i="2"/>
  <c r="B31095" i="2"/>
  <c r="B31094" i="2"/>
  <c r="B31093" i="2"/>
  <c r="B31092" i="2"/>
  <c r="B31091" i="2"/>
  <c r="B31090" i="2"/>
  <c r="B31089" i="2"/>
  <c r="B31088" i="2"/>
  <c r="B31087" i="2"/>
  <c r="B31086" i="2"/>
  <c r="B31085" i="2"/>
  <c r="B31084" i="2"/>
  <c r="B31083" i="2"/>
  <c r="B31082" i="2"/>
  <c r="B31081" i="2"/>
  <c r="B31080" i="2"/>
  <c r="B31079" i="2"/>
  <c r="B31078" i="2"/>
  <c r="B31077" i="2"/>
  <c r="B31076" i="2"/>
  <c r="B31075" i="2"/>
  <c r="B31074" i="2"/>
  <c r="B31073" i="2"/>
  <c r="B31072" i="2"/>
  <c r="B31071" i="2"/>
  <c r="B31070" i="2"/>
  <c r="B31069" i="2"/>
  <c r="B31068" i="2"/>
  <c r="B31067" i="2"/>
  <c r="B31066" i="2"/>
  <c r="B31065" i="2"/>
  <c r="B31064" i="2"/>
  <c r="B31063" i="2"/>
  <c r="B31062" i="2"/>
  <c r="B31061" i="2"/>
  <c r="B31060" i="2"/>
  <c r="B31059" i="2"/>
  <c r="B31058" i="2"/>
  <c r="B31057" i="2"/>
  <c r="B31056" i="2"/>
  <c r="B31055" i="2"/>
  <c r="B31054" i="2"/>
  <c r="B31053" i="2"/>
  <c r="B31052" i="2"/>
  <c r="B31051" i="2"/>
  <c r="B31050" i="2"/>
  <c r="B31049" i="2"/>
  <c r="B31048" i="2"/>
  <c r="B31047" i="2"/>
  <c r="B31046" i="2"/>
  <c r="B31045" i="2"/>
  <c r="B31044" i="2"/>
  <c r="B31043" i="2"/>
  <c r="B31042" i="2"/>
  <c r="B31041" i="2"/>
  <c r="B31040" i="2"/>
  <c r="B31039" i="2"/>
  <c r="B31038" i="2"/>
  <c r="B31037" i="2"/>
  <c r="B31036" i="2"/>
  <c r="B31035" i="2"/>
  <c r="B31034" i="2"/>
  <c r="B31033" i="2"/>
  <c r="B31032" i="2"/>
  <c r="B31031" i="2"/>
  <c r="B31030" i="2"/>
  <c r="B31029" i="2"/>
  <c r="B31028" i="2"/>
  <c r="B31027" i="2"/>
  <c r="B31026" i="2"/>
  <c r="B31025" i="2"/>
  <c r="B31024" i="2"/>
  <c r="B31023" i="2"/>
  <c r="B31022" i="2"/>
  <c r="B31021" i="2"/>
  <c r="B31020" i="2"/>
  <c r="B31019" i="2"/>
  <c r="B31018" i="2"/>
  <c r="B31017" i="2"/>
  <c r="B31016" i="2"/>
  <c r="B31015" i="2"/>
  <c r="B31014" i="2"/>
  <c r="B31013" i="2"/>
  <c r="B31012" i="2"/>
  <c r="B31011" i="2"/>
  <c r="B31010" i="2"/>
  <c r="B31009" i="2"/>
  <c r="B31008" i="2"/>
  <c r="B31007" i="2"/>
  <c r="B31006" i="2"/>
  <c r="B31005" i="2"/>
  <c r="B31004" i="2"/>
  <c r="B31003" i="2"/>
  <c r="B31002" i="2"/>
  <c r="B31001" i="2"/>
  <c r="B31000" i="2"/>
  <c r="B30999" i="2"/>
  <c r="B30998" i="2"/>
  <c r="B30997" i="2"/>
  <c r="B30996" i="2"/>
  <c r="B30995" i="2"/>
  <c r="B30994" i="2"/>
  <c r="B30993" i="2"/>
  <c r="B30992" i="2"/>
  <c r="B30991" i="2"/>
  <c r="B30990" i="2"/>
  <c r="B30989" i="2"/>
  <c r="B30988" i="2"/>
  <c r="B30987" i="2"/>
  <c r="B30986" i="2"/>
  <c r="B30985" i="2"/>
  <c r="B30984" i="2"/>
  <c r="B30983" i="2"/>
  <c r="B30982" i="2"/>
  <c r="B30981" i="2"/>
  <c r="B30980" i="2"/>
  <c r="B30979" i="2"/>
  <c r="B30978" i="2"/>
  <c r="B30977" i="2"/>
  <c r="B30976" i="2"/>
  <c r="B30975" i="2"/>
  <c r="B30974" i="2"/>
  <c r="B30973" i="2"/>
  <c r="B30972" i="2"/>
  <c r="B30971" i="2"/>
  <c r="B30970" i="2"/>
  <c r="B30969" i="2"/>
  <c r="B30968" i="2"/>
  <c r="B30967" i="2"/>
  <c r="B30966" i="2"/>
  <c r="B30965" i="2"/>
  <c r="B30964" i="2"/>
  <c r="B30963" i="2"/>
  <c r="B30962" i="2"/>
  <c r="B30961" i="2"/>
  <c r="B30960" i="2"/>
  <c r="B30959" i="2"/>
  <c r="B30958" i="2"/>
  <c r="B30957" i="2"/>
  <c r="B30956" i="2"/>
  <c r="B30955" i="2"/>
  <c r="B30954" i="2"/>
  <c r="B30953" i="2"/>
  <c r="B30952" i="2"/>
  <c r="B30951" i="2"/>
  <c r="B30950" i="2"/>
  <c r="B30949" i="2"/>
  <c r="B30948" i="2"/>
  <c r="B30947" i="2"/>
  <c r="B30946" i="2"/>
  <c r="B30945" i="2"/>
  <c r="B30944" i="2"/>
  <c r="B30943" i="2"/>
  <c r="B30942" i="2"/>
  <c r="B30941" i="2"/>
  <c r="B30940" i="2"/>
  <c r="B30939" i="2"/>
  <c r="B30938" i="2"/>
  <c r="B30937" i="2"/>
  <c r="B30936" i="2"/>
  <c r="B30935" i="2"/>
  <c r="B30934" i="2"/>
  <c r="B30933" i="2"/>
  <c r="B30932" i="2"/>
  <c r="B30931" i="2"/>
  <c r="B30930" i="2"/>
  <c r="B30929" i="2"/>
  <c r="B30928" i="2"/>
  <c r="B30927" i="2"/>
  <c r="B30926" i="2"/>
  <c r="B30925" i="2"/>
  <c r="B30924" i="2"/>
  <c r="B30923" i="2"/>
  <c r="B30922" i="2"/>
  <c r="B30921" i="2"/>
  <c r="B30920" i="2"/>
  <c r="B30919" i="2"/>
  <c r="B30918" i="2"/>
  <c r="B30917" i="2"/>
  <c r="B30916" i="2"/>
  <c r="B30915" i="2"/>
  <c r="B30914" i="2"/>
  <c r="B30913" i="2"/>
  <c r="B30912" i="2"/>
  <c r="B30911" i="2"/>
  <c r="B30910" i="2"/>
  <c r="B30909" i="2"/>
  <c r="B30908" i="2"/>
  <c r="B30907" i="2"/>
  <c r="B30906" i="2"/>
  <c r="B30905" i="2"/>
  <c r="B30904" i="2"/>
  <c r="B30903" i="2"/>
  <c r="B30902" i="2"/>
  <c r="B30901" i="2"/>
  <c r="B30900" i="2"/>
  <c r="B30899" i="2"/>
  <c r="B30898" i="2"/>
  <c r="B30897" i="2"/>
  <c r="B30896" i="2"/>
  <c r="B30895" i="2"/>
  <c r="B30894" i="2"/>
  <c r="B30893" i="2"/>
  <c r="B30892" i="2"/>
  <c r="B30891" i="2"/>
  <c r="B30890" i="2"/>
  <c r="B30889" i="2"/>
  <c r="B30888" i="2"/>
  <c r="B30887" i="2"/>
  <c r="B30886" i="2"/>
  <c r="B30885" i="2"/>
  <c r="B30884" i="2"/>
  <c r="B30883" i="2"/>
  <c r="B30882" i="2"/>
  <c r="B30881" i="2"/>
  <c r="B30880" i="2"/>
  <c r="B30879" i="2"/>
  <c r="B30878" i="2"/>
  <c r="B30877" i="2"/>
  <c r="B30876" i="2"/>
  <c r="B30875" i="2"/>
  <c r="B30874" i="2"/>
  <c r="B30873" i="2"/>
  <c r="B30872" i="2"/>
  <c r="B30871" i="2"/>
  <c r="B30870" i="2"/>
  <c r="B30869" i="2"/>
  <c r="B30868" i="2"/>
  <c r="B30867" i="2"/>
  <c r="B30866" i="2"/>
  <c r="B30865" i="2"/>
  <c r="B30864" i="2"/>
  <c r="B30863" i="2"/>
  <c r="B30862" i="2"/>
  <c r="B30861" i="2"/>
  <c r="B30860" i="2"/>
  <c r="B30859" i="2"/>
  <c r="B30858" i="2"/>
  <c r="B30857" i="2"/>
  <c r="B30856" i="2"/>
  <c r="B30855" i="2"/>
  <c r="B30854" i="2"/>
  <c r="B30853" i="2"/>
  <c r="B30852" i="2"/>
  <c r="B30851" i="2"/>
  <c r="B30850" i="2"/>
  <c r="B30849" i="2"/>
  <c r="B30848" i="2"/>
  <c r="B30847" i="2"/>
  <c r="B30846" i="2"/>
  <c r="B30845" i="2"/>
  <c r="B30844" i="2"/>
  <c r="B30843" i="2"/>
  <c r="B30842" i="2"/>
  <c r="B30841" i="2"/>
  <c r="B30840" i="2"/>
  <c r="B30839" i="2"/>
  <c r="B30838" i="2"/>
  <c r="B30837" i="2"/>
  <c r="B30836" i="2"/>
  <c r="B30835" i="2"/>
  <c r="B30834" i="2"/>
  <c r="B30833" i="2"/>
  <c r="B30832" i="2"/>
  <c r="B30831" i="2"/>
  <c r="B30830" i="2"/>
  <c r="B30829" i="2"/>
  <c r="B30828" i="2"/>
  <c r="B30827" i="2"/>
  <c r="B30826" i="2"/>
  <c r="B30825" i="2"/>
  <c r="B30824" i="2"/>
  <c r="B30823" i="2"/>
  <c r="B30822" i="2"/>
  <c r="B30821" i="2"/>
  <c r="B30820" i="2"/>
  <c r="B30819" i="2"/>
  <c r="B30818" i="2"/>
  <c r="B30817" i="2"/>
  <c r="B30816" i="2"/>
  <c r="B30815" i="2"/>
  <c r="B30814" i="2"/>
  <c r="B30813" i="2"/>
  <c r="B30812" i="2"/>
  <c r="B30811" i="2"/>
  <c r="B30810" i="2"/>
  <c r="B30809" i="2"/>
  <c r="B30808" i="2"/>
  <c r="B30807" i="2"/>
  <c r="B30806" i="2"/>
  <c r="B30805" i="2"/>
  <c r="B30804" i="2"/>
  <c r="B30803" i="2"/>
  <c r="B30802" i="2"/>
  <c r="B30801" i="2"/>
  <c r="B30800" i="2"/>
  <c r="B30799" i="2"/>
  <c r="B30798" i="2"/>
  <c r="B30797" i="2"/>
  <c r="B30796" i="2"/>
  <c r="B30795" i="2"/>
  <c r="B30794" i="2"/>
  <c r="B30793" i="2"/>
  <c r="B30792" i="2"/>
  <c r="B30791" i="2"/>
  <c r="B30790" i="2"/>
  <c r="B30789" i="2"/>
  <c r="B30788" i="2"/>
  <c r="B30787" i="2"/>
  <c r="B30786" i="2"/>
  <c r="B30785" i="2"/>
  <c r="B30784" i="2"/>
  <c r="B30783" i="2"/>
  <c r="B30782" i="2"/>
  <c r="B30781" i="2"/>
  <c r="B30780" i="2"/>
  <c r="B30779" i="2"/>
  <c r="B30778" i="2"/>
  <c r="B30777" i="2"/>
  <c r="B30776" i="2"/>
  <c r="B30775" i="2"/>
  <c r="B30774" i="2"/>
  <c r="B30773" i="2"/>
  <c r="B30772" i="2"/>
  <c r="B30771" i="2"/>
  <c r="B30770" i="2"/>
  <c r="B30769" i="2"/>
  <c r="B30768" i="2"/>
  <c r="B30767" i="2"/>
  <c r="B30766" i="2"/>
  <c r="B30765" i="2"/>
  <c r="B30764" i="2"/>
  <c r="B30763" i="2"/>
  <c r="B30762" i="2"/>
  <c r="B30761" i="2"/>
  <c r="B30760" i="2"/>
  <c r="B30759" i="2"/>
  <c r="B30758" i="2"/>
  <c r="B30757" i="2"/>
  <c r="B30756" i="2"/>
  <c r="B30755" i="2"/>
  <c r="B30754" i="2"/>
  <c r="B30753" i="2"/>
  <c r="B30752" i="2"/>
  <c r="B30751" i="2"/>
  <c r="B30750" i="2"/>
  <c r="B30749" i="2"/>
  <c r="B30748" i="2"/>
  <c r="B30747" i="2"/>
  <c r="B30746" i="2"/>
  <c r="B30745" i="2"/>
  <c r="B30744" i="2"/>
  <c r="B30743" i="2"/>
  <c r="B30742" i="2"/>
  <c r="B30741" i="2"/>
  <c r="B30740" i="2"/>
  <c r="B30739" i="2"/>
  <c r="B30738" i="2"/>
  <c r="B30737" i="2"/>
  <c r="B30736" i="2"/>
  <c r="B30735" i="2"/>
  <c r="B30734" i="2"/>
  <c r="B30733" i="2"/>
  <c r="B30732" i="2"/>
  <c r="B30731" i="2"/>
  <c r="B30730" i="2"/>
  <c r="B30729" i="2"/>
  <c r="B30728" i="2"/>
  <c r="B30727" i="2"/>
  <c r="B30726" i="2"/>
  <c r="B30725" i="2"/>
  <c r="B30724" i="2"/>
  <c r="B30723" i="2"/>
  <c r="B30722" i="2"/>
  <c r="B30721" i="2"/>
  <c r="B30720" i="2"/>
  <c r="B30719" i="2"/>
  <c r="B30718" i="2"/>
  <c r="B30717" i="2"/>
  <c r="B30716" i="2"/>
  <c r="B30715" i="2"/>
  <c r="B30714" i="2"/>
  <c r="B30713" i="2"/>
  <c r="B30712" i="2"/>
  <c r="B30711" i="2"/>
  <c r="B30710" i="2"/>
  <c r="B30709" i="2"/>
  <c r="B30708" i="2"/>
  <c r="B30707" i="2"/>
  <c r="B30706" i="2"/>
  <c r="B30705" i="2"/>
  <c r="B30704" i="2"/>
  <c r="B30703" i="2"/>
  <c r="B30702" i="2"/>
  <c r="B30701" i="2"/>
  <c r="B30700" i="2"/>
  <c r="B30699" i="2"/>
  <c r="B30698" i="2"/>
  <c r="B30697" i="2"/>
  <c r="B30696" i="2"/>
  <c r="B30695" i="2"/>
  <c r="B30694" i="2"/>
  <c r="B30693" i="2"/>
  <c r="B30692" i="2"/>
  <c r="B30691" i="2"/>
  <c r="B30690" i="2"/>
  <c r="B30689" i="2"/>
  <c r="B30688" i="2"/>
  <c r="B30687" i="2"/>
  <c r="B30686" i="2"/>
  <c r="B30685" i="2"/>
  <c r="B30684" i="2"/>
  <c r="B30683" i="2"/>
  <c r="B30682" i="2"/>
  <c r="B30681" i="2"/>
  <c r="B30680" i="2"/>
  <c r="B30679" i="2"/>
  <c r="B30678" i="2"/>
  <c r="B30677" i="2"/>
  <c r="B30676" i="2"/>
  <c r="B30675" i="2"/>
  <c r="B30674" i="2"/>
  <c r="B30673" i="2"/>
  <c r="B30672" i="2"/>
  <c r="B30671" i="2"/>
  <c r="B30670" i="2"/>
  <c r="B30669" i="2"/>
  <c r="B30668" i="2"/>
  <c r="B30667" i="2"/>
  <c r="B30666" i="2"/>
  <c r="B30665" i="2"/>
  <c r="B30664" i="2"/>
  <c r="B30663" i="2"/>
  <c r="B30662" i="2"/>
  <c r="B30661" i="2"/>
  <c r="B30660" i="2"/>
  <c r="B30659" i="2"/>
  <c r="B30658" i="2"/>
  <c r="B30657" i="2"/>
  <c r="B30656" i="2"/>
  <c r="B30655" i="2"/>
  <c r="B30654" i="2"/>
  <c r="B30653" i="2"/>
  <c r="B30652" i="2"/>
  <c r="B30651" i="2"/>
  <c r="B30650" i="2"/>
  <c r="B30649" i="2"/>
  <c r="B30648" i="2"/>
  <c r="B30647" i="2"/>
  <c r="B30646" i="2"/>
  <c r="B30645" i="2"/>
  <c r="B30644" i="2"/>
  <c r="B30643" i="2"/>
  <c r="B30642" i="2"/>
  <c r="B30641" i="2"/>
  <c r="B30640" i="2"/>
  <c r="B30639" i="2"/>
  <c r="B30638" i="2"/>
  <c r="B30637" i="2"/>
  <c r="B30636" i="2"/>
  <c r="B30635" i="2"/>
  <c r="B30634" i="2"/>
  <c r="B30633" i="2"/>
  <c r="B30632" i="2"/>
  <c r="B30631" i="2"/>
  <c r="B30630" i="2"/>
  <c r="B30629" i="2"/>
  <c r="B30628" i="2"/>
  <c r="B30627" i="2"/>
  <c r="B30626" i="2"/>
  <c r="B30625" i="2"/>
  <c r="B30624" i="2"/>
  <c r="B30623" i="2"/>
  <c r="B30622" i="2"/>
  <c r="B30621" i="2"/>
  <c r="B30620" i="2"/>
  <c r="B30619" i="2"/>
  <c r="B30618" i="2"/>
  <c r="B30617" i="2"/>
  <c r="B30616" i="2"/>
  <c r="B30615" i="2"/>
  <c r="B30614" i="2"/>
  <c r="B30613" i="2"/>
  <c r="B30612" i="2"/>
  <c r="B30611" i="2"/>
  <c r="B30610" i="2"/>
  <c r="B30609" i="2"/>
  <c r="B30608" i="2"/>
  <c r="B30607" i="2"/>
  <c r="B30606" i="2"/>
  <c r="B30605" i="2"/>
  <c r="B30604" i="2"/>
  <c r="B30603" i="2"/>
  <c r="B30602" i="2"/>
  <c r="B30601" i="2"/>
  <c r="B30600" i="2"/>
  <c r="B30599" i="2"/>
  <c r="B30598" i="2"/>
  <c r="B30597" i="2"/>
  <c r="B30596" i="2"/>
  <c r="B30595" i="2"/>
  <c r="B30594" i="2"/>
  <c r="B30593" i="2"/>
  <c r="B30592" i="2"/>
  <c r="B30591" i="2"/>
  <c r="B30590" i="2"/>
  <c r="B30589" i="2"/>
  <c r="B30588" i="2"/>
  <c r="B30587" i="2"/>
  <c r="B30586" i="2"/>
  <c r="B30585" i="2"/>
  <c r="B30584" i="2"/>
  <c r="B30583" i="2"/>
  <c r="B30582" i="2"/>
  <c r="B30581" i="2"/>
  <c r="B30580" i="2"/>
  <c r="B30579" i="2"/>
  <c r="B30578" i="2"/>
  <c r="B30577" i="2"/>
  <c r="B30576" i="2"/>
  <c r="B30575" i="2"/>
  <c r="B30574" i="2"/>
  <c r="B30573" i="2"/>
  <c r="B30572" i="2"/>
  <c r="B30571" i="2"/>
  <c r="B30570" i="2"/>
  <c r="B30569" i="2"/>
  <c r="B30568" i="2"/>
  <c r="B30567" i="2"/>
  <c r="B30566" i="2"/>
  <c r="B30565" i="2"/>
  <c r="B30564" i="2"/>
  <c r="B30563" i="2"/>
  <c r="B30562" i="2"/>
  <c r="B30561" i="2"/>
  <c r="B30560" i="2"/>
  <c r="B30559" i="2"/>
  <c r="B30558" i="2"/>
  <c r="B30557" i="2"/>
  <c r="B30556" i="2"/>
  <c r="B30555" i="2"/>
  <c r="B30554" i="2"/>
  <c r="B30553" i="2"/>
  <c r="B30552" i="2"/>
  <c r="B30551" i="2"/>
  <c r="B30550" i="2"/>
  <c r="B30549" i="2"/>
  <c r="B30548" i="2"/>
  <c r="B30547" i="2"/>
  <c r="B30546" i="2"/>
  <c r="B30545" i="2"/>
  <c r="B30544" i="2"/>
  <c r="B30543" i="2"/>
  <c r="B30542" i="2"/>
  <c r="B30541" i="2"/>
  <c r="B30540" i="2"/>
  <c r="B30539" i="2"/>
  <c r="B30538" i="2"/>
  <c r="B30537" i="2"/>
  <c r="B30536" i="2"/>
  <c r="B30535" i="2"/>
  <c r="B30534" i="2"/>
  <c r="B30533" i="2"/>
  <c r="B30532" i="2"/>
  <c r="B30531" i="2"/>
  <c r="B30530" i="2"/>
  <c r="B30529" i="2"/>
  <c r="B30528" i="2"/>
  <c r="B30527" i="2"/>
  <c r="B30526" i="2"/>
  <c r="B30525" i="2"/>
  <c r="B30524" i="2"/>
  <c r="B30523" i="2"/>
  <c r="B30522" i="2"/>
  <c r="B30521" i="2"/>
  <c r="B30520" i="2"/>
  <c r="B30519" i="2"/>
  <c r="B30518" i="2"/>
  <c r="B30517" i="2"/>
  <c r="B30516" i="2"/>
  <c r="B30515" i="2"/>
  <c r="B30514" i="2"/>
  <c r="B30513" i="2"/>
  <c r="B30512" i="2"/>
  <c r="B30511" i="2"/>
  <c r="B30510" i="2"/>
  <c r="B30509" i="2"/>
  <c r="B30508" i="2"/>
  <c r="B30507" i="2"/>
  <c r="B30506" i="2"/>
  <c r="B30505" i="2"/>
  <c r="B30504" i="2"/>
  <c r="B30503" i="2"/>
  <c r="B30502" i="2"/>
  <c r="B30501" i="2"/>
  <c r="B30500" i="2"/>
  <c r="B30499" i="2"/>
  <c r="B30498" i="2"/>
  <c r="B30497" i="2"/>
  <c r="B30496" i="2"/>
  <c r="B30495" i="2"/>
  <c r="B30494" i="2"/>
  <c r="B30493" i="2"/>
  <c r="B30492" i="2"/>
  <c r="B30491" i="2"/>
  <c r="B30490" i="2"/>
  <c r="B30489" i="2"/>
  <c r="B30488" i="2"/>
  <c r="B30487" i="2"/>
  <c r="B30486" i="2"/>
  <c r="B30485" i="2"/>
  <c r="B30484" i="2"/>
  <c r="B30483" i="2"/>
  <c r="B30482" i="2"/>
  <c r="B30481" i="2"/>
  <c r="B30480" i="2"/>
  <c r="B30479" i="2"/>
  <c r="B30478" i="2"/>
  <c r="B30477" i="2"/>
  <c r="B30476" i="2"/>
  <c r="B30475" i="2"/>
  <c r="B30474" i="2"/>
  <c r="B30473" i="2"/>
  <c r="B30472" i="2"/>
  <c r="B30471" i="2"/>
  <c r="B30470" i="2"/>
  <c r="B30469" i="2"/>
  <c r="B30468" i="2"/>
  <c r="B30467" i="2"/>
  <c r="B30466" i="2"/>
  <c r="B30465" i="2"/>
  <c r="B30464" i="2"/>
  <c r="B30463" i="2"/>
  <c r="B30462" i="2"/>
  <c r="B30461" i="2"/>
  <c r="B30460" i="2"/>
  <c r="B30459" i="2"/>
  <c r="B30458" i="2"/>
  <c r="B30457" i="2"/>
  <c r="B30456" i="2"/>
  <c r="B30455" i="2"/>
  <c r="B30454" i="2"/>
  <c r="B30453" i="2"/>
  <c r="B30452" i="2"/>
  <c r="B30451" i="2"/>
  <c r="B30450" i="2"/>
  <c r="B30449" i="2"/>
  <c r="B30448" i="2"/>
  <c r="B30447" i="2"/>
  <c r="B30446" i="2"/>
  <c r="B30445" i="2"/>
  <c r="B30444" i="2"/>
  <c r="B30443" i="2"/>
  <c r="B30442" i="2"/>
  <c r="B30441" i="2"/>
  <c r="B30440" i="2"/>
  <c r="B30439" i="2"/>
  <c r="B30438" i="2"/>
  <c r="B30437" i="2"/>
  <c r="B30436" i="2"/>
  <c r="B30435" i="2"/>
  <c r="B30434" i="2"/>
  <c r="B30433" i="2"/>
  <c r="B30432" i="2"/>
  <c r="B30431" i="2"/>
  <c r="B30430" i="2"/>
  <c r="B30429" i="2"/>
  <c r="B30428" i="2"/>
  <c r="B30427" i="2"/>
  <c r="B30426" i="2"/>
  <c r="B30425" i="2"/>
  <c r="B30424" i="2"/>
  <c r="B30423" i="2"/>
  <c r="B30422" i="2"/>
  <c r="B30421" i="2"/>
  <c r="B30420" i="2"/>
  <c r="B30419" i="2"/>
  <c r="B30418" i="2"/>
  <c r="B30417" i="2"/>
  <c r="B30416" i="2"/>
  <c r="B30415" i="2"/>
  <c r="B30414" i="2"/>
  <c r="B30413" i="2"/>
  <c r="B30412" i="2"/>
  <c r="B30411" i="2"/>
  <c r="B30410" i="2"/>
  <c r="B30409" i="2"/>
  <c r="B30408" i="2"/>
  <c r="B30407" i="2"/>
  <c r="B30406" i="2"/>
  <c r="B30405" i="2"/>
  <c r="B30404" i="2"/>
  <c r="B30403" i="2"/>
  <c r="B30402" i="2"/>
  <c r="B30401" i="2"/>
  <c r="B30400" i="2"/>
  <c r="B30399" i="2"/>
  <c r="B30398" i="2"/>
  <c r="B30397" i="2"/>
  <c r="B30396" i="2"/>
  <c r="B30395" i="2"/>
  <c r="B30394" i="2"/>
  <c r="B30393" i="2"/>
  <c r="B30392" i="2"/>
  <c r="B30391" i="2"/>
  <c r="B30390" i="2"/>
  <c r="B30389" i="2"/>
  <c r="B30388" i="2"/>
  <c r="B30387" i="2"/>
  <c r="B30386" i="2"/>
  <c r="B30385" i="2"/>
  <c r="B30384" i="2"/>
  <c r="B30383" i="2"/>
  <c r="B30382" i="2"/>
  <c r="B30381" i="2"/>
  <c r="B30380" i="2"/>
  <c r="B30379" i="2"/>
  <c r="B30378" i="2"/>
  <c r="B30377" i="2"/>
  <c r="B30376" i="2"/>
  <c r="B30375" i="2"/>
  <c r="B30374" i="2"/>
  <c r="B30373" i="2"/>
  <c r="B30372" i="2"/>
  <c r="B30371" i="2"/>
  <c r="B30370" i="2"/>
  <c r="B30369" i="2"/>
  <c r="B30368" i="2"/>
  <c r="B30367" i="2"/>
  <c r="B30366" i="2"/>
  <c r="B30365" i="2"/>
  <c r="B30364" i="2"/>
  <c r="B30363" i="2"/>
  <c r="B30362" i="2"/>
  <c r="B30361" i="2"/>
  <c r="B30360" i="2"/>
  <c r="B30359" i="2"/>
  <c r="B30358" i="2"/>
  <c r="B30357" i="2"/>
  <c r="B30356" i="2"/>
  <c r="B30355" i="2"/>
  <c r="B30354" i="2"/>
  <c r="B30353" i="2"/>
  <c r="B30352" i="2"/>
  <c r="B30351" i="2"/>
  <c r="B30350" i="2"/>
  <c r="B30349" i="2"/>
  <c r="B30348" i="2"/>
  <c r="B30347" i="2"/>
  <c r="B30346" i="2"/>
  <c r="B30345" i="2"/>
  <c r="B30344" i="2"/>
  <c r="B30343" i="2"/>
  <c r="B30342" i="2"/>
  <c r="B30341" i="2"/>
  <c r="B30340" i="2"/>
  <c r="B30339" i="2"/>
  <c r="B30338" i="2"/>
  <c r="B30337" i="2"/>
  <c r="B30336" i="2"/>
  <c r="B30335" i="2"/>
  <c r="B30334" i="2"/>
  <c r="B30333" i="2"/>
  <c r="B30332" i="2"/>
  <c r="B30331" i="2"/>
  <c r="B30330" i="2"/>
  <c r="B30329" i="2"/>
  <c r="B30328" i="2"/>
  <c r="B30327" i="2"/>
  <c r="B30326" i="2"/>
  <c r="B30325" i="2"/>
  <c r="B30324" i="2"/>
  <c r="B30323" i="2"/>
  <c r="B30322" i="2"/>
  <c r="B30321" i="2"/>
  <c r="B30320" i="2"/>
  <c r="B30319" i="2"/>
  <c r="B30318" i="2"/>
  <c r="B30317" i="2"/>
  <c r="B30316" i="2"/>
  <c r="B30315" i="2"/>
  <c r="B30314" i="2"/>
  <c r="B30313" i="2"/>
  <c r="B30312" i="2"/>
  <c r="B30311" i="2"/>
  <c r="B30310" i="2"/>
  <c r="B30309" i="2"/>
  <c r="B30308" i="2"/>
  <c r="B30307" i="2"/>
  <c r="B30306" i="2"/>
  <c r="B30305" i="2"/>
  <c r="B30304" i="2"/>
  <c r="B30303" i="2"/>
  <c r="B30302" i="2"/>
  <c r="B30301" i="2"/>
  <c r="B30300" i="2"/>
  <c r="B30299" i="2"/>
  <c r="B30298" i="2"/>
  <c r="B30297" i="2"/>
  <c r="B30296" i="2"/>
  <c r="B30295" i="2"/>
  <c r="B30294" i="2"/>
  <c r="B30293" i="2"/>
  <c r="B30292" i="2"/>
  <c r="B30291" i="2"/>
  <c r="B30290" i="2"/>
  <c r="B30289" i="2"/>
  <c r="B30288" i="2"/>
  <c r="B30287" i="2"/>
  <c r="B30286" i="2"/>
  <c r="B30285" i="2"/>
  <c r="B30284" i="2"/>
  <c r="B30283" i="2"/>
  <c r="B30282" i="2"/>
  <c r="B30281" i="2"/>
  <c r="B30280" i="2"/>
  <c r="B30279" i="2"/>
  <c r="B30278" i="2"/>
  <c r="B30277" i="2"/>
  <c r="B30276" i="2"/>
  <c r="B30275" i="2"/>
  <c r="B30274" i="2"/>
  <c r="B30273" i="2"/>
  <c r="B30272" i="2"/>
  <c r="B30271" i="2"/>
  <c r="B30270" i="2"/>
  <c r="B30269" i="2"/>
  <c r="B30268" i="2"/>
  <c r="B30267" i="2"/>
  <c r="B30266" i="2"/>
  <c r="B30265" i="2"/>
  <c r="B30264" i="2"/>
  <c r="B30263" i="2"/>
  <c r="B30262" i="2"/>
  <c r="B30261" i="2"/>
  <c r="B30260" i="2"/>
  <c r="B30259" i="2"/>
  <c r="B30258" i="2"/>
  <c r="B30257" i="2"/>
  <c r="B30256" i="2"/>
  <c r="B30255" i="2"/>
  <c r="B30254" i="2"/>
  <c r="B30253" i="2"/>
  <c r="B30252" i="2"/>
  <c r="B30251" i="2"/>
  <c r="B30250" i="2"/>
  <c r="B30249" i="2"/>
  <c r="B30248" i="2"/>
  <c r="B30247" i="2"/>
  <c r="B30246" i="2"/>
  <c r="B30245" i="2"/>
  <c r="B30244" i="2"/>
  <c r="B30243" i="2"/>
  <c r="B30242" i="2"/>
  <c r="B30241" i="2"/>
  <c r="B30240" i="2"/>
  <c r="B30239" i="2"/>
  <c r="B30238" i="2"/>
  <c r="B30237" i="2"/>
  <c r="B30236" i="2"/>
  <c r="B30235" i="2"/>
  <c r="B30234" i="2"/>
  <c r="B30233" i="2"/>
  <c r="B30232" i="2"/>
  <c r="B30231" i="2"/>
  <c r="B30230" i="2"/>
  <c r="B30229" i="2"/>
  <c r="B30228" i="2"/>
  <c r="B30227" i="2"/>
  <c r="B30226" i="2"/>
  <c r="B30225" i="2"/>
  <c r="B30224" i="2"/>
  <c r="B30223" i="2"/>
  <c r="B30222" i="2"/>
  <c r="B30221" i="2"/>
  <c r="B30220" i="2"/>
  <c r="B30219" i="2"/>
  <c r="B30218" i="2"/>
  <c r="B30217" i="2"/>
  <c r="B30216" i="2"/>
  <c r="B30215" i="2"/>
  <c r="B30214" i="2"/>
  <c r="B30213" i="2"/>
  <c r="B30212" i="2"/>
  <c r="B30211" i="2"/>
  <c r="B30210" i="2"/>
  <c r="B30209" i="2"/>
  <c r="B30208" i="2"/>
  <c r="B30207" i="2"/>
  <c r="B30206" i="2"/>
  <c r="B30205" i="2"/>
  <c r="B30204" i="2"/>
  <c r="B30203" i="2"/>
  <c r="B30202" i="2"/>
  <c r="B30201" i="2"/>
  <c r="B30200" i="2"/>
  <c r="B30199" i="2"/>
  <c r="B30198" i="2"/>
  <c r="B30197" i="2"/>
  <c r="B30196" i="2"/>
  <c r="B30195" i="2"/>
  <c r="B30194" i="2"/>
  <c r="B30193" i="2"/>
  <c r="B30192" i="2"/>
  <c r="B30191" i="2"/>
  <c r="B30190" i="2"/>
  <c r="B30189" i="2"/>
  <c r="B30188" i="2"/>
  <c r="B30187" i="2"/>
  <c r="B30186" i="2"/>
  <c r="B30185" i="2"/>
  <c r="B30184" i="2"/>
  <c r="B30183" i="2"/>
  <c r="B30182" i="2"/>
  <c r="B30181" i="2"/>
  <c r="B30180" i="2"/>
  <c r="B30179" i="2"/>
  <c r="B30178" i="2"/>
  <c r="B30177" i="2"/>
  <c r="B30176" i="2"/>
  <c r="B30175" i="2"/>
  <c r="B30174" i="2"/>
  <c r="B30173" i="2"/>
  <c r="B30172" i="2"/>
  <c r="B30171" i="2"/>
  <c r="B30170" i="2"/>
  <c r="B30169" i="2"/>
  <c r="B30168" i="2"/>
  <c r="B30167" i="2"/>
  <c r="B30166" i="2"/>
  <c r="B30165" i="2"/>
  <c r="B30164" i="2"/>
  <c r="B30163" i="2"/>
  <c r="B30162" i="2"/>
  <c r="B30161" i="2"/>
  <c r="B30160" i="2"/>
  <c r="B30159" i="2"/>
  <c r="B30158" i="2"/>
  <c r="B30157" i="2"/>
  <c r="B30156" i="2"/>
  <c r="B30155" i="2"/>
  <c r="B30154" i="2"/>
  <c r="B30153" i="2"/>
  <c r="B30152" i="2"/>
  <c r="B30151" i="2"/>
  <c r="B30150" i="2"/>
  <c r="B30149" i="2"/>
  <c r="B30148" i="2"/>
  <c r="B30147" i="2"/>
  <c r="B30146" i="2"/>
  <c r="B30145" i="2"/>
  <c r="B30144" i="2"/>
  <c r="B30143" i="2"/>
  <c r="B30142" i="2"/>
  <c r="B30141" i="2"/>
  <c r="B30140" i="2"/>
  <c r="B30139" i="2"/>
  <c r="B30138" i="2"/>
  <c r="B30137" i="2"/>
  <c r="B30136" i="2"/>
  <c r="B30135" i="2"/>
  <c r="B30134" i="2"/>
  <c r="B30133" i="2"/>
  <c r="B30132" i="2"/>
  <c r="B30131" i="2"/>
  <c r="B30130" i="2"/>
  <c r="B30129" i="2"/>
  <c r="B30128" i="2"/>
  <c r="B30127" i="2"/>
  <c r="B30126" i="2"/>
  <c r="B30125" i="2"/>
  <c r="B30124" i="2"/>
  <c r="B30123" i="2"/>
  <c r="B30122" i="2"/>
  <c r="B30121" i="2"/>
  <c r="B30120" i="2"/>
  <c r="B30119" i="2"/>
  <c r="B30118" i="2"/>
  <c r="B30117" i="2"/>
  <c r="B30116" i="2"/>
  <c r="B30115" i="2"/>
  <c r="B30114" i="2"/>
  <c r="B30113" i="2"/>
  <c r="B30112" i="2"/>
  <c r="B30111" i="2"/>
  <c r="B30110" i="2"/>
  <c r="B30109" i="2"/>
  <c r="B30108" i="2"/>
  <c r="B30107" i="2"/>
  <c r="B30106" i="2"/>
  <c r="B30105" i="2"/>
  <c r="B30104" i="2"/>
  <c r="B30103" i="2"/>
  <c r="B30102" i="2"/>
  <c r="B30101" i="2"/>
  <c r="B30100" i="2"/>
  <c r="B30099" i="2"/>
  <c r="B30098" i="2"/>
  <c r="B30097" i="2"/>
  <c r="B30096" i="2"/>
  <c r="B30095" i="2"/>
  <c r="B30094" i="2"/>
  <c r="B30093" i="2"/>
  <c r="B30092" i="2"/>
  <c r="B30091" i="2"/>
  <c r="B30090" i="2"/>
  <c r="B30089" i="2"/>
  <c r="B30088" i="2"/>
  <c r="B30087" i="2"/>
  <c r="B30086" i="2"/>
  <c r="B30085" i="2"/>
  <c r="B30084" i="2"/>
  <c r="B30083" i="2"/>
  <c r="B30082" i="2"/>
  <c r="B30081" i="2"/>
  <c r="B30080" i="2"/>
  <c r="B30079" i="2"/>
  <c r="B30078" i="2"/>
  <c r="B30077" i="2"/>
  <c r="B30076" i="2"/>
  <c r="B30075" i="2"/>
  <c r="B30074" i="2"/>
  <c r="B30073" i="2"/>
  <c r="B30072" i="2"/>
  <c r="B30071" i="2"/>
  <c r="B30070" i="2"/>
  <c r="B30069" i="2"/>
  <c r="B30068" i="2"/>
  <c r="B30067" i="2"/>
  <c r="B30066" i="2"/>
  <c r="B30065" i="2"/>
  <c r="B30064" i="2"/>
  <c r="B30063" i="2"/>
  <c r="B30062" i="2"/>
  <c r="B30061" i="2"/>
  <c r="B30060" i="2"/>
  <c r="B30059" i="2"/>
  <c r="B30058" i="2"/>
  <c r="B30057" i="2"/>
  <c r="B30056" i="2"/>
  <c r="B30055" i="2"/>
  <c r="B30054" i="2"/>
  <c r="B30053" i="2"/>
  <c r="B30052" i="2"/>
  <c r="B30051" i="2"/>
  <c r="B30050" i="2"/>
  <c r="B30049" i="2"/>
  <c r="B30048" i="2"/>
  <c r="B30047" i="2"/>
  <c r="B30046" i="2"/>
  <c r="B30045" i="2"/>
  <c r="B30044" i="2"/>
  <c r="B30043" i="2"/>
  <c r="B30042" i="2"/>
  <c r="B30041" i="2"/>
  <c r="B30040" i="2"/>
  <c r="B30039" i="2"/>
  <c r="B30038" i="2"/>
  <c r="B30037" i="2"/>
  <c r="B30036" i="2"/>
  <c r="B30035" i="2"/>
  <c r="B30034" i="2"/>
  <c r="B30033" i="2"/>
  <c r="B30032" i="2"/>
  <c r="B30031" i="2"/>
  <c r="B30030" i="2"/>
  <c r="B30029" i="2"/>
  <c r="B30028" i="2"/>
  <c r="B30027" i="2"/>
  <c r="B30026" i="2"/>
  <c r="B30025" i="2"/>
  <c r="B30024" i="2"/>
  <c r="B30023" i="2"/>
  <c r="B30022" i="2"/>
  <c r="B30021" i="2"/>
  <c r="B30020" i="2"/>
  <c r="B30019" i="2"/>
  <c r="B30018" i="2"/>
  <c r="B30017" i="2"/>
  <c r="B30016" i="2"/>
  <c r="B30015" i="2"/>
  <c r="B30014" i="2"/>
  <c r="B30013" i="2"/>
  <c r="B30012" i="2"/>
  <c r="B30011" i="2"/>
  <c r="B30010" i="2"/>
  <c r="B30009" i="2"/>
  <c r="B30008" i="2"/>
  <c r="B30007" i="2"/>
  <c r="B30006" i="2"/>
  <c r="B30005" i="2"/>
  <c r="B30004" i="2"/>
  <c r="B30003" i="2"/>
  <c r="B30002" i="2"/>
  <c r="B30001" i="2"/>
  <c r="B30000" i="2"/>
  <c r="B29999" i="2"/>
  <c r="B29998" i="2"/>
  <c r="B29997" i="2"/>
  <c r="B29996" i="2"/>
  <c r="B29995" i="2"/>
  <c r="B29994" i="2"/>
  <c r="B29993" i="2"/>
  <c r="B29992" i="2"/>
  <c r="B29991" i="2"/>
  <c r="B29990" i="2"/>
  <c r="B29989" i="2"/>
  <c r="B29988" i="2"/>
  <c r="B29987" i="2"/>
  <c r="B29986" i="2"/>
  <c r="B29985" i="2"/>
  <c r="B29984" i="2"/>
  <c r="B29983" i="2"/>
  <c r="B29982" i="2"/>
  <c r="B29981" i="2"/>
  <c r="B29980" i="2"/>
  <c r="B29979" i="2"/>
  <c r="B29978" i="2"/>
  <c r="B29977" i="2"/>
  <c r="B29976" i="2"/>
  <c r="B29975" i="2"/>
  <c r="B29974" i="2"/>
  <c r="B29973" i="2"/>
  <c r="B29972" i="2"/>
  <c r="B29971" i="2"/>
  <c r="B29970" i="2"/>
  <c r="B29969" i="2"/>
  <c r="B29968" i="2"/>
  <c r="B29967" i="2"/>
  <c r="B29966" i="2"/>
  <c r="B29965" i="2"/>
  <c r="B29964" i="2"/>
  <c r="B29963" i="2"/>
  <c r="B29962" i="2"/>
  <c r="B29961" i="2"/>
  <c r="B29960" i="2"/>
  <c r="B29959" i="2"/>
  <c r="B29958" i="2"/>
  <c r="B29957" i="2"/>
  <c r="B29956" i="2"/>
  <c r="B29955" i="2"/>
  <c r="B29954" i="2"/>
  <c r="B29953" i="2"/>
  <c r="B29952" i="2"/>
  <c r="B29951" i="2"/>
  <c r="B29950" i="2"/>
  <c r="B29949" i="2"/>
  <c r="B29948" i="2"/>
  <c r="B29947" i="2"/>
  <c r="B29946" i="2"/>
  <c r="B29945" i="2"/>
  <c r="B29944" i="2"/>
  <c r="B29943" i="2"/>
  <c r="B29942" i="2"/>
  <c r="B29941" i="2"/>
  <c r="B29940" i="2"/>
  <c r="B29939" i="2"/>
  <c r="B29938" i="2"/>
  <c r="B29937" i="2"/>
  <c r="B29936" i="2"/>
  <c r="B29935" i="2"/>
  <c r="B29934" i="2"/>
  <c r="B29933" i="2"/>
  <c r="B29932" i="2"/>
  <c r="B29931" i="2"/>
  <c r="B29930" i="2"/>
  <c r="B29929" i="2"/>
  <c r="B29928" i="2"/>
  <c r="B29927" i="2"/>
  <c r="B29926" i="2"/>
  <c r="B29925" i="2"/>
  <c r="B29924" i="2"/>
  <c r="B29923" i="2"/>
  <c r="B29922" i="2"/>
  <c r="B29921" i="2"/>
  <c r="B29920" i="2"/>
  <c r="B29919" i="2"/>
  <c r="B29918" i="2"/>
  <c r="B29917" i="2"/>
  <c r="B29916" i="2"/>
  <c r="B29915" i="2"/>
  <c r="B29914" i="2"/>
  <c r="B29913" i="2"/>
  <c r="B29912" i="2"/>
  <c r="B29911" i="2"/>
  <c r="B29910" i="2"/>
  <c r="B29909" i="2"/>
  <c r="B29908" i="2"/>
  <c r="B29907" i="2"/>
  <c r="B29906" i="2"/>
  <c r="B29905" i="2"/>
  <c r="B29904" i="2"/>
  <c r="B29903" i="2"/>
  <c r="B29902" i="2"/>
  <c r="B29901" i="2"/>
  <c r="B29900" i="2"/>
  <c r="B29899" i="2"/>
  <c r="B29898" i="2"/>
  <c r="B29897" i="2"/>
  <c r="B29896" i="2"/>
  <c r="B29895" i="2"/>
  <c r="B29894" i="2"/>
  <c r="B29893" i="2"/>
  <c r="B29892" i="2"/>
  <c r="B29891" i="2"/>
  <c r="B29890" i="2"/>
  <c r="B29889" i="2"/>
  <c r="B29888" i="2"/>
  <c r="B29887" i="2"/>
  <c r="B29886" i="2"/>
  <c r="B29885" i="2"/>
  <c r="B29884" i="2"/>
  <c r="B29883" i="2"/>
  <c r="B29882" i="2"/>
  <c r="B29881" i="2"/>
  <c r="B29880" i="2"/>
  <c r="B29879" i="2"/>
  <c r="B29878" i="2"/>
  <c r="B29877" i="2"/>
  <c r="B29876" i="2"/>
  <c r="B29875" i="2"/>
  <c r="B29874" i="2"/>
  <c r="B29873" i="2"/>
  <c r="B29872" i="2"/>
  <c r="B29871" i="2"/>
  <c r="B29870" i="2"/>
  <c r="B29869" i="2"/>
  <c r="B29868" i="2"/>
  <c r="B29867" i="2"/>
  <c r="B29866" i="2"/>
  <c r="B29865" i="2"/>
  <c r="B29864" i="2"/>
  <c r="B29863" i="2"/>
  <c r="B29862" i="2"/>
  <c r="B29861" i="2"/>
  <c r="B29860" i="2"/>
  <c r="B29859" i="2"/>
  <c r="B29858" i="2"/>
  <c r="B29857" i="2"/>
  <c r="B29856" i="2"/>
  <c r="B29855" i="2"/>
  <c r="B29854" i="2"/>
  <c r="B29853" i="2"/>
  <c r="B29852" i="2"/>
  <c r="B29851" i="2"/>
  <c r="B29850" i="2"/>
  <c r="B29849" i="2"/>
  <c r="B29848" i="2"/>
  <c r="B29847" i="2"/>
  <c r="B29846" i="2"/>
  <c r="B29845" i="2"/>
  <c r="B29844" i="2"/>
  <c r="B29843" i="2"/>
  <c r="B29842" i="2"/>
  <c r="B29841" i="2"/>
  <c r="B29840" i="2"/>
  <c r="B29839" i="2"/>
  <c r="B29838" i="2"/>
  <c r="B29837" i="2"/>
  <c r="B29836" i="2"/>
  <c r="B29835" i="2"/>
  <c r="B29834" i="2"/>
  <c r="B29833" i="2"/>
  <c r="B29832" i="2"/>
  <c r="B29831" i="2"/>
  <c r="B29830" i="2"/>
  <c r="B29829" i="2"/>
  <c r="B29828" i="2"/>
  <c r="B29827" i="2"/>
  <c r="B29826" i="2"/>
  <c r="B29825" i="2"/>
  <c r="B29824" i="2"/>
  <c r="B29823" i="2"/>
  <c r="B29822" i="2"/>
  <c r="B29821" i="2"/>
  <c r="B29820" i="2"/>
  <c r="B29819" i="2"/>
  <c r="B29818" i="2"/>
  <c r="B29817" i="2"/>
  <c r="B29816" i="2"/>
  <c r="B29815" i="2"/>
  <c r="B29814" i="2"/>
  <c r="B29813" i="2"/>
  <c r="B29812" i="2"/>
  <c r="B29811" i="2"/>
  <c r="B29810" i="2"/>
  <c r="B29809" i="2"/>
  <c r="B29808" i="2"/>
  <c r="B29807" i="2"/>
  <c r="B29806" i="2"/>
  <c r="B29805" i="2"/>
  <c r="B29804" i="2"/>
  <c r="B29803" i="2"/>
  <c r="B29802" i="2"/>
  <c r="B29801" i="2"/>
  <c r="B29800" i="2"/>
  <c r="B29799" i="2"/>
  <c r="B29798" i="2"/>
  <c r="B29797" i="2"/>
  <c r="B29796" i="2"/>
  <c r="B29795" i="2"/>
  <c r="B29794" i="2"/>
  <c r="B29793" i="2"/>
  <c r="B29792" i="2"/>
  <c r="B29791" i="2"/>
  <c r="B29790" i="2"/>
  <c r="B29789" i="2"/>
  <c r="B29788" i="2"/>
  <c r="B29787" i="2"/>
  <c r="B29786" i="2"/>
  <c r="B29785" i="2"/>
  <c r="B29784" i="2"/>
  <c r="B29783" i="2"/>
  <c r="B29782" i="2"/>
  <c r="B29781" i="2"/>
  <c r="B29780" i="2"/>
  <c r="B29779" i="2"/>
  <c r="B29778" i="2"/>
  <c r="B29777" i="2"/>
  <c r="B29776" i="2"/>
  <c r="B29775" i="2"/>
  <c r="B29774" i="2"/>
  <c r="B29773" i="2"/>
  <c r="B29772" i="2"/>
  <c r="B29771" i="2"/>
  <c r="B29770" i="2"/>
  <c r="B29769" i="2"/>
  <c r="B29768" i="2"/>
  <c r="B29767" i="2"/>
  <c r="B29766" i="2"/>
  <c r="B29765" i="2"/>
  <c r="B29764" i="2"/>
  <c r="B29763" i="2"/>
  <c r="B29762" i="2"/>
  <c r="B29761" i="2"/>
  <c r="B29760" i="2"/>
  <c r="B29759" i="2"/>
  <c r="B29758" i="2"/>
  <c r="B29757" i="2"/>
  <c r="B29756" i="2"/>
  <c r="B29755" i="2"/>
  <c r="B29754" i="2"/>
  <c r="B29753" i="2"/>
  <c r="B29752" i="2"/>
  <c r="B29751" i="2"/>
  <c r="B29750" i="2"/>
  <c r="B29749" i="2"/>
  <c r="B29748" i="2"/>
  <c r="B29747" i="2"/>
  <c r="B29746" i="2"/>
  <c r="B29745" i="2"/>
  <c r="B29744" i="2"/>
  <c r="B29743" i="2"/>
  <c r="B29742" i="2"/>
  <c r="B29741" i="2"/>
  <c r="B29740" i="2"/>
  <c r="B29739" i="2"/>
  <c r="B29738" i="2"/>
  <c r="B29737" i="2"/>
  <c r="B29736" i="2"/>
  <c r="B29735" i="2"/>
  <c r="B29734" i="2"/>
  <c r="B29733" i="2"/>
  <c r="B29732" i="2"/>
  <c r="B29731" i="2"/>
  <c r="B29730" i="2"/>
  <c r="B29729" i="2"/>
  <c r="B29728" i="2"/>
  <c r="B29727" i="2"/>
  <c r="B29726" i="2"/>
  <c r="B29725" i="2"/>
  <c r="B29724" i="2"/>
  <c r="B29723" i="2"/>
  <c r="B29722" i="2"/>
  <c r="B29721" i="2"/>
  <c r="B29720" i="2"/>
  <c r="B29719" i="2"/>
  <c r="B29718" i="2"/>
  <c r="B29717" i="2"/>
  <c r="B29716" i="2"/>
  <c r="B29715" i="2"/>
  <c r="B29714" i="2"/>
  <c r="B29713" i="2"/>
  <c r="B29712" i="2"/>
  <c r="B29711" i="2"/>
  <c r="B29710" i="2"/>
  <c r="B29709" i="2"/>
  <c r="B29708" i="2"/>
  <c r="B29707" i="2"/>
  <c r="B29706" i="2"/>
  <c r="B29705" i="2"/>
  <c r="B29704" i="2"/>
  <c r="B29703" i="2"/>
  <c r="B29702" i="2"/>
  <c r="B29701" i="2"/>
  <c r="B29700" i="2"/>
  <c r="B29699" i="2"/>
  <c r="B29698" i="2"/>
  <c r="B29697" i="2"/>
  <c r="B29696" i="2"/>
  <c r="B29695" i="2"/>
  <c r="B29694" i="2"/>
  <c r="B29693" i="2"/>
  <c r="B29692" i="2"/>
  <c r="B29691" i="2"/>
  <c r="B29690" i="2"/>
  <c r="B29689" i="2"/>
  <c r="B29688" i="2"/>
  <c r="B29687" i="2"/>
  <c r="B29686" i="2"/>
  <c r="B29685" i="2"/>
  <c r="B29684" i="2"/>
  <c r="B29683" i="2"/>
  <c r="B29682" i="2"/>
  <c r="B29681" i="2"/>
  <c r="B29680" i="2"/>
  <c r="B29679" i="2"/>
  <c r="B29678" i="2"/>
  <c r="B29677" i="2"/>
  <c r="B29676" i="2"/>
  <c r="B29675" i="2"/>
  <c r="B29674" i="2"/>
  <c r="B29673" i="2"/>
  <c r="B29672" i="2"/>
  <c r="B29671" i="2"/>
  <c r="B29670" i="2"/>
  <c r="B29669" i="2"/>
  <c r="B29668" i="2"/>
  <c r="B29667" i="2"/>
  <c r="B29666" i="2"/>
  <c r="B29665" i="2"/>
  <c r="B29664" i="2"/>
  <c r="B29663" i="2"/>
  <c r="B29662" i="2"/>
  <c r="B29661" i="2"/>
  <c r="B29660" i="2"/>
  <c r="B29659" i="2"/>
  <c r="B29658" i="2"/>
  <c r="B29657" i="2"/>
  <c r="B29656" i="2"/>
  <c r="B29655" i="2"/>
  <c r="B29654" i="2"/>
  <c r="B29653" i="2"/>
  <c r="B29652" i="2"/>
  <c r="B29651" i="2"/>
  <c r="B29650" i="2"/>
  <c r="B29649" i="2"/>
  <c r="B29648" i="2"/>
  <c r="B29647" i="2"/>
  <c r="B29646" i="2"/>
  <c r="B29645" i="2"/>
  <c r="B29644" i="2"/>
  <c r="B29643" i="2"/>
  <c r="B29642" i="2"/>
  <c r="B29641" i="2"/>
  <c r="B29640" i="2"/>
  <c r="B29639" i="2"/>
  <c r="B29638" i="2"/>
  <c r="B29637" i="2"/>
  <c r="B29636" i="2"/>
  <c r="B29635" i="2"/>
  <c r="B29634" i="2"/>
  <c r="B29633" i="2"/>
  <c r="B29632" i="2"/>
  <c r="B29631" i="2"/>
  <c r="B29630" i="2"/>
  <c r="B29629" i="2"/>
  <c r="B29628" i="2"/>
  <c r="B29627" i="2"/>
  <c r="B29626" i="2"/>
  <c r="B29625" i="2"/>
  <c r="B29624" i="2"/>
  <c r="B29623" i="2"/>
  <c r="B29622" i="2"/>
  <c r="B29621" i="2"/>
  <c r="B29620" i="2"/>
  <c r="B29619" i="2"/>
  <c r="B29618" i="2"/>
  <c r="B29617" i="2"/>
  <c r="B29616" i="2"/>
  <c r="B29615" i="2"/>
  <c r="B29614" i="2"/>
  <c r="B29613" i="2"/>
  <c r="B29612" i="2"/>
  <c r="B29611" i="2"/>
  <c r="B29610" i="2"/>
  <c r="B29609" i="2"/>
  <c r="B29608" i="2"/>
  <c r="B29607" i="2"/>
  <c r="B29606" i="2"/>
  <c r="B29605" i="2"/>
  <c r="B29604" i="2"/>
  <c r="B29603" i="2"/>
  <c r="B29602" i="2"/>
  <c r="B29601" i="2"/>
  <c r="B29600" i="2"/>
  <c r="B29599" i="2"/>
  <c r="B29598" i="2"/>
  <c r="B29597" i="2"/>
  <c r="B29596" i="2"/>
  <c r="B29595" i="2"/>
  <c r="B29594" i="2"/>
  <c r="B29593" i="2"/>
  <c r="B29592" i="2"/>
  <c r="B29591" i="2"/>
  <c r="B29590" i="2"/>
  <c r="B29589" i="2"/>
  <c r="B29588" i="2"/>
  <c r="B29587" i="2"/>
  <c r="B29586" i="2"/>
  <c r="B29585" i="2"/>
  <c r="B29584" i="2"/>
  <c r="B29583" i="2"/>
  <c r="B29582" i="2"/>
  <c r="B29581" i="2"/>
  <c r="B29580" i="2"/>
  <c r="B29579" i="2"/>
  <c r="B29578" i="2"/>
  <c r="B29577" i="2"/>
  <c r="B29576" i="2"/>
  <c r="B29575" i="2"/>
  <c r="B29574" i="2"/>
  <c r="B29573" i="2"/>
  <c r="B29572" i="2"/>
  <c r="B29571" i="2"/>
  <c r="B29570" i="2"/>
  <c r="B29569" i="2"/>
  <c r="B29568" i="2"/>
  <c r="B29567" i="2"/>
  <c r="B29566" i="2"/>
  <c r="B29565" i="2"/>
  <c r="B29564" i="2"/>
  <c r="B29563" i="2"/>
  <c r="B29562" i="2"/>
  <c r="B29561" i="2"/>
  <c r="B29560" i="2"/>
  <c r="B29559" i="2"/>
  <c r="B29558" i="2"/>
  <c r="B29557" i="2"/>
  <c r="B29556" i="2"/>
  <c r="B29555" i="2"/>
  <c r="B29554" i="2"/>
  <c r="B29553" i="2"/>
  <c r="B29552" i="2"/>
  <c r="B29551" i="2"/>
  <c r="B29550" i="2"/>
  <c r="B29549" i="2"/>
  <c r="B29548" i="2"/>
  <c r="B29547" i="2"/>
  <c r="B29546" i="2"/>
  <c r="B29545" i="2"/>
  <c r="B29544" i="2"/>
  <c r="B29543" i="2"/>
  <c r="B29542" i="2"/>
  <c r="B29541" i="2"/>
  <c r="B29540" i="2"/>
  <c r="B29539" i="2"/>
  <c r="B29538" i="2"/>
  <c r="B29537" i="2"/>
  <c r="B29536" i="2"/>
  <c r="B29535" i="2"/>
  <c r="B29534" i="2"/>
  <c r="B29533" i="2"/>
  <c r="B29532" i="2"/>
  <c r="B29531" i="2"/>
  <c r="B29530" i="2"/>
  <c r="B29529" i="2"/>
  <c r="B29528" i="2"/>
  <c r="B29527" i="2"/>
  <c r="B29526" i="2"/>
  <c r="B29525" i="2"/>
  <c r="B29524" i="2"/>
  <c r="B29523" i="2"/>
  <c r="B29522" i="2"/>
  <c r="B29521" i="2"/>
  <c r="B29520" i="2"/>
  <c r="B29519" i="2"/>
  <c r="B29518" i="2"/>
  <c r="B29517" i="2"/>
  <c r="B29516" i="2"/>
  <c r="B29515" i="2"/>
  <c r="B29514" i="2"/>
  <c r="B29513" i="2"/>
  <c r="B29512" i="2"/>
  <c r="B29511" i="2"/>
  <c r="B29510" i="2"/>
  <c r="B29509" i="2"/>
  <c r="B29508" i="2"/>
  <c r="B29507" i="2"/>
  <c r="B29506" i="2"/>
  <c r="B29505" i="2"/>
  <c r="B29504" i="2"/>
  <c r="B29503" i="2"/>
  <c r="B29502" i="2"/>
  <c r="B29501" i="2"/>
  <c r="B29500" i="2"/>
  <c r="B29499" i="2"/>
  <c r="B29498" i="2"/>
  <c r="B29497" i="2"/>
  <c r="B29496" i="2"/>
  <c r="B29495" i="2"/>
  <c r="B29494" i="2"/>
  <c r="B29493" i="2"/>
  <c r="B29492" i="2"/>
  <c r="B29491" i="2"/>
  <c r="B29490" i="2"/>
  <c r="B29489" i="2"/>
  <c r="B29488" i="2"/>
  <c r="B29487" i="2"/>
  <c r="B29486" i="2"/>
  <c r="B29485" i="2"/>
  <c r="B29484" i="2"/>
  <c r="B29483" i="2"/>
  <c r="B29482" i="2"/>
  <c r="B29481" i="2"/>
  <c r="B29480" i="2"/>
  <c r="B29479" i="2"/>
  <c r="B29478" i="2"/>
  <c r="B29477" i="2"/>
  <c r="B29476" i="2"/>
  <c r="B29475" i="2"/>
  <c r="B29474" i="2"/>
  <c r="B29473" i="2"/>
  <c r="B29472" i="2"/>
  <c r="B29471" i="2"/>
  <c r="B29470" i="2"/>
  <c r="B29469" i="2"/>
  <c r="B29468" i="2"/>
  <c r="B29467" i="2"/>
  <c r="B29466" i="2"/>
  <c r="B29465" i="2"/>
  <c r="B29464" i="2"/>
  <c r="B29463" i="2"/>
  <c r="B29462" i="2"/>
  <c r="B29461" i="2"/>
  <c r="B29460" i="2"/>
  <c r="B29459" i="2"/>
  <c r="B29458" i="2"/>
  <c r="B29457" i="2"/>
  <c r="B29456" i="2"/>
  <c r="B29455" i="2"/>
  <c r="B29454" i="2"/>
  <c r="B29453" i="2"/>
  <c r="B29452" i="2"/>
  <c r="B29451" i="2"/>
  <c r="B29450" i="2"/>
  <c r="B29449" i="2"/>
  <c r="B29448" i="2"/>
  <c r="B29447" i="2"/>
  <c r="B29446" i="2"/>
  <c r="B29445" i="2"/>
  <c r="B29444" i="2"/>
  <c r="B29443" i="2"/>
  <c r="B29442" i="2"/>
  <c r="B29441" i="2"/>
  <c r="B29440" i="2"/>
  <c r="B29439" i="2"/>
  <c r="B29438" i="2"/>
  <c r="B29437" i="2"/>
  <c r="B29436" i="2"/>
  <c r="B29435" i="2"/>
  <c r="B29434" i="2"/>
  <c r="B29433" i="2"/>
  <c r="B29432" i="2"/>
  <c r="B29431" i="2"/>
  <c r="B29430" i="2"/>
  <c r="B29429" i="2"/>
  <c r="B29428" i="2"/>
  <c r="B29427" i="2"/>
  <c r="B29426" i="2"/>
  <c r="B29425" i="2"/>
  <c r="B29424" i="2"/>
  <c r="B29423" i="2"/>
  <c r="B29422" i="2"/>
  <c r="B29421" i="2"/>
  <c r="B29420" i="2"/>
  <c r="B29419" i="2"/>
  <c r="B29418" i="2"/>
  <c r="B29417" i="2"/>
  <c r="B29416" i="2"/>
  <c r="B29415" i="2"/>
  <c r="B29414" i="2"/>
  <c r="B29413" i="2"/>
  <c r="B29412" i="2"/>
  <c r="B29411" i="2"/>
  <c r="B29410" i="2"/>
  <c r="B29409" i="2"/>
  <c r="B29408" i="2"/>
  <c r="B29407" i="2"/>
  <c r="B29406" i="2"/>
  <c r="B29405" i="2"/>
  <c r="B29404" i="2"/>
  <c r="B29403" i="2"/>
  <c r="B29402" i="2"/>
  <c r="B29401" i="2"/>
  <c r="B29400" i="2"/>
  <c r="B29399" i="2"/>
  <c r="B29398" i="2"/>
  <c r="B29397" i="2"/>
  <c r="B29396" i="2"/>
  <c r="B29395" i="2"/>
  <c r="B29394" i="2"/>
  <c r="B29393" i="2"/>
  <c r="B29392" i="2"/>
  <c r="B29391" i="2"/>
  <c r="B29390" i="2"/>
  <c r="B29389" i="2"/>
  <c r="B29388" i="2"/>
  <c r="B29387" i="2"/>
  <c r="B29386" i="2"/>
  <c r="B29385" i="2"/>
  <c r="B29384" i="2"/>
  <c r="B29383" i="2"/>
  <c r="B29382" i="2"/>
  <c r="B29381" i="2"/>
  <c r="B29380" i="2"/>
  <c r="B29379" i="2"/>
  <c r="B29378" i="2"/>
  <c r="B29377" i="2"/>
  <c r="B29376" i="2"/>
  <c r="B29375" i="2"/>
  <c r="B29374" i="2"/>
  <c r="B29373" i="2"/>
  <c r="B29372" i="2"/>
  <c r="B29371" i="2"/>
  <c r="B29370" i="2"/>
  <c r="B29369" i="2"/>
  <c r="B29368" i="2"/>
  <c r="B29367" i="2"/>
  <c r="B29366" i="2"/>
  <c r="B29365" i="2"/>
  <c r="B29364" i="2"/>
  <c r="B29363" i="2"/>
  <c r="B29362" i="2"/>
  <c r="B29361" i="2"/>
  <c r="B29360" i="2"/>
  <c r="B29359" i="2"/>
  <c r="B29358" i="2"/>
  <c r="B29357" i="2"/>
  <c r="B29356" i="2"/>
  <c r="B29355" i="2"/>
  <c r="B29354" i="2"/>
  <c r="B29353" i="2"/>
  <c r="B29352" i="2"/>
  <c r="B29351" i="2"/>
  <c r="B29350" i="2"/>
  <c r="B29349" i="2"/>
  <c r="B29348" i="2"/>
  <c r="B29347" i="2"/>
  <c r="B29346" i="2"/>
  <c r="B29345" i="2"/>
  <c r="B29344" i="2"/>
  <c r="B29343" i="2"/>
  <c r="B29342" i="2"/>
  <c r="B29341" i="2"/>
  <c r="B29340" i="2"/>
  <c r="B29339" i="2"/>
  <c r="B29338" i="2"/>
  <c r="B29337" i="2"/>
  <c r="B29336" i="2"/>
  <c r="B29335" i="2"/>
  <c r="B29334" i="2"/>
  <c r="B29333" i="2"/>
  <c r="B29332" i="2"/>
  <c r="B29331" i="2"/>
  <c r="B29330" i="2"/>
  <c r="B29329" i="2"/>
  <c r="B29328" i="2"/>
  <c r="B29327" i="2"/>
  <c r="B29326" i="2"/>
  <c r="B29325" i="2"/>
  <c r="B29324" i="2"/>
  <c r="B29323" i="2"/>
  <c r="B29322" i="2"/>
  <c r="B29321" i="2"/>
  <c r="B29320" i="2"/>
  <c r="B29319" i="2"/>
  <c r="B29318" i="2"/>
  <c r="B29317" i="2"/>
  <c r="B29316" i="2"/>
  <c r="B29315" i="2"/>
  <c r="B29314" i="2"/>
  <c r="B29313" i="2"/>
  <c r="B29312" i="2"/>
  <c r="B29311" i="2"/>
  <c r="B29310" i="2"/>
  <c r="B29309" i="2"/>
  <c r="B29308" i="2"/>
  <c r="B29307" i="2"/>
  <c r="B29306" i="2"/>
  <c r="B29305" i="2"/>
  <c r="B29304" i="2"/>
  <c r="B29303" i="2"/>
  <c r="B29302" i="2"/>
  <c r="B29301" i="2"/>
  <c r="B29300" i="2"/>
  <c r="B29299" i="2"/>
  <c r="B29298" i="2"/>
  <c r="B29297" i="2"/>
  <c r="B29296" i="2"/>
  <c r="B29295" i="2"/>
  <c r="B29294" i="2"/>
  <c r="B29293" i="2"/>
  <c r="B29292" i="2"/>
  <c r="B29291" i="2"/>
  <c r="B29290" i="2"/>
  <c r="B29289" i="2"/>
  <c r="B29288" i="2"/>
  <c r="B29287" i="2"/>
  <c r="B29286" i="2"/>
  <c r="B29285" i="2"/>
  <c r="B29284" i="2"/>
  <c r="B29283" i="2"/>
  <c r="B29282" i="2"/>
  <c r="B29281" i="2"/>
  <c r="B29280" i="2"/>
  <c r="B29279" i="2"/>
  <c r="B29278" i="2"/>
  <c r="B29277" i="2"/>
  <c r="B29276" i="2"/>
  <c r="B29275" i="2"/>
  <c r="B29274" i="2"/>
  <c r="B29273" i="2"/>
  <c r="B29272" i="2"/>
  <c r="B29271" i="2"/>
  <c r="B29270" i="2"/>
  <c r="B29269" i="2"/>
  <c r="B29268" i="2"/>
  <c r="B29267" i="2"/>
  <c r="B29266" i="2"/>
  <c r="B29265" i="2"/>
  <c r="B29264" i="2"/>
  <c r="B29263" i="2"/>
  <c r="B29262" i="2"/>
  <c r="B29261" i="2"/>
  <c r="B29260" i="2"/>
  <c r="B29259" i="2"/>
  <c r="B29258" i="2"/>
  <c r="B29257" i="2"/>
  <c r="B29256" i="2"/>
  <c r="B29255" i="2"/>
  <c r="B29254" i="2"/>
  <c r="B29253" i="2"/>
  <c r="B29252" i="2"/>
  <c r="B29251" i="2"/>
  <c r="B29250" i="2"/>
  <c r="B29249" i="2"/>
  <c r="B29248" i="2"/>
  <c r="B29247" i="2"/>
  <c r="B29246" i="2"/>
  <c r="B29245" i="2"/>
  <c r="B29244" i="2"/>
  <c r="B29243" i="2"/>
  <c r="B29242" i="2"/>
  <c r="B29241" i="2"/>
  <c r="B29240" i="2"/>
  <c r="B29239" i="2"/>
  <c r="B29238" i="2"/>
  <c r="B29237" i="2"/>
  <c r="B29236" i="2"/>
  <c r="B29235" i="2"/>
  <c r="B29234" i="2"/>
  <c r="B29233" i="2"/>
  <c r="B29232" i="2"/>
  <c r="B29231" i="2"/>
  <c r="B29230" i="2"/>
  <c r="B29229" i="2"/>
  <c r="B29228" i="2"/>
  <c r="B29227" i="2"/>
  <c r="B29226" i="2"/>
  <c r="B29225" i="2"/>
  <c r="B29224" i="2"/>
  <c r="B29223" i="2"/>
  <c r="B29222" i="2"/>
  <c r="B29221" i="2"/>
  <c r="B29220" i="2"/>
  <c r="B29219" i="2"/>
  <c r="B29218" i="2"/>
  <c r="B29217" i="2"/>
  <c r="B29216" i="2"/>
  <c r="B29215" i="2"/>
  <c r="B29214" i="2"/>
  <c r="B29213" i="2"/>
  <c r="B29212" i="2"/>
  <c r="B29211" i="2"/>
  <c r="B29210" i="2"/>
  <c r="B29209" i="2"/>
  <c r="B29208" i="2"/>
  <c r="B29207" i="2"/>
  <c r="B29206" i="2"/>
  <c r="B29205" i="2"/>
  <c r="B29204" i="2"/>
  <c r="B29203" i="2"/>
  <c r="B29202" i="2"/>
  <c r="B29201" i="2"/>
  <c r="B29200" i="2"/>
  <c r="B29199" i="2"/>
  <c r="B29198" i="2"/>
  <c r="B29197" i="2"/>
  <c r="B29196" i="2"/>
  <c r="B29195" i="2"/>
  <c r="B29194" i="2"/>
  <c r="B29193" i="2"/>
  <c r="B29192" i="2"/>
  <c r="B29191" i="2"/>
  <c r="B29190" i="2"/>
  <c r="B29189" i="2"/>
  <c r="B29188" i="2"/>
  <c r="B29187" i="2"/>
  <c r="B29186" i="2"/>
  <c r="B29185" i="2"/>
  <c r="B29184" i="2"/>
  <c r="B29183" i="2"/>
  <c r="B29182" i="2"/>
  <c r="B29181" i="2"/>
  <c r="B29180" i="2"/>
  <c r="B29179" i="2"/>
  <c r="B29178" i="2"/>
  <c r="B29177" i="2"/>
  <c r="B29176" i="2"/>
  <c r="B29175" i="2"/>
  <c r="B29174" i="2"/>
  <c r="B29173" i="2"/>
  <c r="B29172" i="2"/>
  <c r="B29171" i="2"/>
  <c r="B29170" i="2"/>
  <c r="B29169" i="2"/>
  <c r="B29168" i="2"/>
  <c r="B29167" i="2"/>
  <c r="B29166" i="2"/>
  <c r="B29165" i="2"/>
  <c r="B29164" i="2"/>
  <c r="B29163" i="2"/>
  <c r="B29162" i="2"/>
  <c r="B29161" i="2"/>
  <c r="B29160" i="2"/>
  <c r="B29159" i="2"/>
  <c r="B29158" i="2"/>
  <c r="B29157" i="2"/>
  <c r="B29156" i="2"/>
  <c r="B29155" i="2"/>
  <c r="B29154" i="2"/>
  <c r="B29153" i="2"/>
  <c r="B29152" i="2"/>
  <c r="B29151" i="2"/>
  <c r="B29150" i="2"/>
  <c r="B29149" i="2"/>
  <c r="B29148" i="2"/>
  <c r="B29147" i="2"/>
  <c r="B29146" i="2"/>
  <c r="B29145" i="2"/>
  <c r="B29144" i="2"/>
  <c r="B29143" i="2"/>
  <c r="B29142" i="2"/>
  <c r="B29141" i="2"/>
  <c r="B29140" i="2"/>
  <c r="B29139" i="2"/>
  <c r="B29138" i="2"/>
  <c r="B29137" i="2"/>
  <c r="B29136" i="2"/>
  <c r="B29135" i="2"/>
  <c r="B29134" i="2"/>
  <c r="B29133" i="2"/>
  <c r="B29132" i="2"/>
  <c r="B29131" i="2"/>
  <c r="B29130" i="2"/>
  <c r="B29129" i="2"/>
  <c r="B29128" i="2"/>
  <c r="B29127" i="2"/>
  <c r="B29126" i="2"/>
  <c r="B29125" i="2"/>
  <c r="B29124" i="2"/>
  <c r="B29123" i="2"/>
  <c r="B29122" i="2"/>
  <c r="B29121" i="2"/>
  <c r="B29120" i="2"/>
  <c r="B29119" i="2"/>
  <c r="B29118" i="2"/>
  <c r="B29117" i="2"/>
  <c r="B29116" i="2"/>
  <c r="B29115" i="2"/>
  <c r="B29114" i="2"/>
  <c r="B29113" i="2"/>
  <c r="B29112" i="2"/>
  <c r="B29111" i="2"/>
  <c r="B29110" i="2"/>
  <c r="B29109" i="2"/>
  <c r="B29108" i="2"/>
  <c r="B29107" i="2"/>
  <c r="B29106" i="2"/>
  <c r="B29105" i="2"/>
  <c r="B29104" i="2"/>
  <c r="B29103" i="2"/>
  <c r="B29102" i="2"/>
  <c r="B29101" i="2"/>
  <c r="B29100" i="2"/>
  <c r="B29099" i="2"/>
  <c r="B29098" i="2"/>
  <c r="B29097" i="2"/>
  <c r="B29096" i="2"/>
  <c r="B29095" i="2"/>
  <c r="B29094" i="2"/>
  <c r="B29093" i="2"/>
  <c r="B29092" i="2"/>
  <c r="B29091" i="2"/>
  <c r="B29090" i="2"/>
  <c r="B29089" i="2"/>
  <c r="B29088" i="2"/>
  <c r="B29087" i="2"/>
  <c r="B29086" i="2"/>
  <c r="B29085" i="2"/>
  <c r="B29084" i="2"/>
  <c r="B29083" i="2"/>
  <c r="B29082" i="2"/>
  <c r="B29081" i="2"/>
  <c r="B29080" i="2"/>
  <c r="B29079" i="2"/>
  <c r="B29078" i="2"/>
  <c r="B29077" i="2"/>
  <c r="B29076" i="2"/>
  <c r="B29075" i="2"/>
  <c r="B29074" i="2"/>
  <c r="B29073" i="2"/>
  <c r="B29072" i="2"/>
  <c r="B29071" i="2"/>
  <c r="B29070" i="2"/>
  <c r="B29069" i="2"/>
  <c r="B29068" i="2"/>
  <c r="B29067" i="2"/>
  <c r="B29066" i="2"/>
  <c r="B29065" i="2"/>
  <c r="B29064" i="2"/>
  <c r="B29063" i="2"/>
  <c r="B29062" i="2"/>
  <c r="B29061" i="2"/>
  <c r="B29060" i="2"/>
  <c r="B29059" i="2"/>
  <c r="B29058" i="2"/>
  <c r="B29057" i="2"/>
  <c r="B29056" i="2"/>
  <c r="B29055" i="2"/>
  <c r="B29054" i="2"/>
  <c r="B29053" i="2"/>
  <c r="B29052" i="2"/>
  <c r="B29051" i="2"/>
  <c r="B29050" i="2"/>
  <c r="B29049" i="2"/>
  <c r="B29048" i="2"/>
  <c r="B29047" i="2"/>
  <c r="B29046" i="2"/>
  <c r="B29045" i="2"/>
  <c r="B29044" i="2"/>
  <c r="B29043" i="2"/>
  <c r="B29042" i="2"/>
  <c r="B29041" i="2"/>
  <c r="B29040" i="2"/>
  <c r="B29039" i="2"/>
  <c r="B29038" i="2"/>
  <c r="B29037" i="2"/>
  <c r="B29036" i="2"/>
  <c r="B29035" i="2"/>
  <c r="B29034" i="2"/>
  <c r="B29033" i="2"/>
  <c r="B29032" i="2"/>
  <c r="B29031" i="2"/>
  <c r="B29030" i="2"/>
  <c r="B29029" i="2"/>
  <c r="B29028" i="2"/>
  <c r="B29027" i="2"/>
  <c r="B29026" i="2"/>
  <c r="B29025" i="2"/>
  <c r="B29024" i="2"/>
  <c r="B29023" i="2"/>
  <c r="B29022" i="2"/>
  <c r="B29021" i="2"/>
  <c r="B29020" i="2"/>
  <c r="B29019" i="2"/>
  <c r="B29018" i="2"/>
  <c r="B29017" i="2"/>
  <c r="B29016" i="2"/>
  <c r="B29015" i="2"/>
  <c r="B29014" i="2"/>
  <c r="B29013" i="2"/>
  <c r="B29012" i="2"/>
  <c r="B29011" i="2"/>
  <c r="B29010" i="2"/>
  <c r="B29009" i="2"/>
  <c r="B29008" i="2"/>
  <c r="B29007" i="2"/>
  <c r="B29006" i="2"/>
  <c r="B29005" i="2"/>
  <c r="B29004" i="2"/>
  <c r="B29003" i="2"/>
  <c r="B29002" i="2"/>
  <c r="B29001" i="2"/>
  <c r="B29000" i="2"/>
  <c r="B28999" i="2"/>
  <c r="B28998" i="2"/>
  <c r="B28997" i="2"/>
  <c r="B28996" i="2"/>
  <c r="B28995" i="2"/>
  <c r="B28994" i="2"/>
  <c r="B28993" i="2"/>
  <c r="B28992" i="2"/>
  <c r="B28991" i="2"/>
  <c r="B28990" i="2"/>
  <c r="B28989" i="2"/>
  <c r="B28988" i="2"/>
  <c r="B28987" i="2"/>
  <c r="B28986" i="2"/>
  <c r="B28985" i="2"/>
  <c r="B28984" i="2"/>
  <c r="B28983" i="2"/>
  <c r="B28982" i="2"/>
  <c r="B28981" i="2"/>
  <c r="B28980" i="2"/>
  <c r="B28979" i="2"/>
  <c r="B28978" i="2"/>
  <c r="B28977" i="2"/>
  <c r="B28976" i="2"/>
  <c r="B28975" i="2"/>
  <c r="B28974" i="2"/>
  <c r="B28973" i="2"/>
  <c r="B28972" i="2"/>
  <c r="B28971" i="2"/>
  <c r="B28970" i="2"/>
  <c r="B28969" i="2"/>
  <c r="B28968" i="2"/>
  <c r="B28967" i="2"/>
  <c r="B28966" i="2"/>
  <c r="B28965" i="2"/>
  <c r="B28964" i="2"/>
  <c r="B28963" i="2"/>
  <c r="B28962" i="2"/>
  <c r="B28961" i="2"/>
  <c r="B28960" i="2"/>
  <c r="B28959" i="2"/>
  <c r="B28958" i="2"/>
  <c r="B28957" i="2"/>
  <c r="B28956" i="2"/>
  <c r="B28955" i="2"/>
  <c r="B28954" i="2"/>
  <c r="B28953" i="2"/>
  <c r="B28952" i="2"/>
  <c r="B28951" i="2"/>
  <c r="B28950" i="2"/>
  <c r="B28949" i="2"/>
  <c r="B28948" i="2"/>
  <c r="B28947" i="2"/>
  <c r="B28946" i="2"/>
  <c r="B28945" i="2"/>
  <c r="B28944" i="2"/>
  <c r="B28943" i="2"/>
  <c r="B28942" i="2"/>
  <c r="B28941" i="2"/>
  <c r="B28940" i="2"/>
  <c r="B28939" i="2"/>
  <c r="B28938" i="2"/>
  <c r="B28937" i="2"/>
  <c r="B28936" i="2"/>
  <c r="B28935" i="2"/>
  <c r="B28934" i="2"/>
  <c r="B28933" i="2"/>
  <c r="B28932" i="2"/>
  <c r="B28931" i="2"/>
  <c r="B28930" i="2"/>
  <c r="B28929" i="2"/>
  <c r="B28928" i="2"/>
  <c r="B28927" i="2"/>
  <c r="B28926" i="2"/>
  <c r="B28925" i="2"/>
  <c r="B28924" i="2"/>
  <c r="B28923" i="2"/>
  <c r="B28922" i="2"/>
  <c r="B28921" i="2"/>
  <c r="B28920" i="2"/>
  <c r="B28919" i="2"/>
  <c r="B28918" i="2"/>
  <c r="B28917" i="2"/>
  <c r="B28916" i="2"/>
  <c r="B28915" i="2"/>
  <c r="B28914" i="2"/>
  <c r="B28913" i="2"/>
  <c r="B28912" i="2"/>
  <c r="B28911" i="2"/>
  <c r="B28910" i="2"/>
  <c r="B28909" i="2"/>
  <c r="B28908" i="2"/>
  <c r="B28907" i="2"/>
  <c r="B28906" i="2"/>
  <c r="B28905" i="2"/>
  <c r="B28904" i="2"/>
  <c r="B28903" i="2"/>
  <c r="B28902" i="2"/>
  <c r="B28901" i="2"/>
  <c r="B28900" i="2"/>
  <c r="B28899" i="2"/>
  <c r="B28898" i="2"/>
  <c r="B28897" i="2"/>
  <c r="B28896" i="2"/>
  <c r="B28895" i="2"/>
  <c r="B28894" i="2"/>
  <c r="B28893" i="2"/>
  <c r="B28892" i="2"/>
  <c r="B28891" i="2"/>
  <c r="B28890" i="2"/>
  <c r="B28889" i="2"/>
  <c r="B28888" i="2"/>
  <c r="B28887" i="2"/>
  <c r="B28886" i="2"/>
  <c r="B28885" i="2"/>
  <c r="B28884" i="2"/>
  <c r="B28883" i="2"/>
  <c r="B28882" i="2"/>
  <c r="B28881" i="2"/>
  <c r="B28880" i="2"/>
  <c r="B28879" i="2"/>
  <c r="B28878" i="2"/>
  <c r="B28877" i="2"/>
  <c r="B28876" i="2"/>
  <c r="B28875" i="2"/>
  <c r="B28874" i="2"/>
  <c r="B28873" i="2"/>
  <c r="B28872" i="2"/>
  <c r="B28871" i="2"/>
  <c r="B28870" i="2"/>
  <c r="B28869" i="2"/>
  <c r="B28868" i="2"/>
  <c r="B28867" i="2"/>
  <c r="B28866" i="2"/>
  <c r="B28865" i="2"/>
  <c r="B28864" i="2"/>
  <c r="B28863" i="2"/>
  <c r="B28862" i="2"/>
  <c r="B28861" i="2"/>
  <c r="B28860" i="2"/>
  <c r="B28859" i="2"/>
  <c r="B28858" i="2"/>
  <c r="B28857" i="2"/>
  <c r="B28856" i="2"/>
  <c r="B28855" i="2"/>
  <c r="B28854" i="2"/>
  <c r="B28853" i="2"/>
  <c r="B28852" i="2"/>
  <c r="B28851" i="2"/>
  <c r="B28850" i="2"/>
  <c r="B28849" i="2"/>
  <c r="B28848" i="2"/>
  <c r="B28847" i="2"/>
  <c r="B28846" i="2"/>
  <c r="B28845" i="2"/>
  <c r="B28844" i="2"/>
  <c r="B28843" i="2"/>
  <c r="B28842" i="2"/>
  <c r="B28841" i="2"/>
  <c r="B28840" i="2"/>
  <c r="B28839" i="2"/>
  <c r="B28838" i="2"/>
  <c r="B28837" i="2"/>
  <c r="B28836" i="2"/>
  <c r="B28835" i="2"/>
  <c r="B28834" i="2"/>
  <c r="B28833" i="2"/>
  <c r="B28832" i="2"/>
  <c r="B28831" i="2"/>
  <c r="B28830" i="2"/>
  <c r="B28829" i="2"/>
  <c r="B28828" i="2"/>
  <c r="B28827" i="2"/>
  <c r="B28826" i="2"/>
  <c r="B28825" i="2"/>
  <c r="B28824" i="2"/>
  <c r="B28823" i="2"/>
  <c r="B28822" i="2"/>
  <c r="B28821" i="2"/>
  <c r="B28820" i="2"/>
  <c r="B28819" i="2"/>
  <c r="B28818" i="2"/>
  <c r="B28817" i="2"/>
  <c r="B28816" i="2"/>
  <c r="B28815" i="2"/>
  <c r="B28814" i="2"/>
  <c r="B28813" i="2"/>
  <c r="B28812" i="2"/>
  <c r="B28811" i="2"/>
  <c r="B28810" i="2"/>
  <c r="B28809" i="2"/>
  <c r="B28808" i="2"/>
  <c r="B28807" i="2"/>
  <c r="B28806" i="2"/>
  <c r="B28805" i="2"/>
  <c r="B28804" i="2"/>
  <c r="B28803" i="2"/>
  <c r="B28802" i="2"/>
  <c r="B28801" i="2"/>
  <c r="B28800" i="2"/>
  <c r="B28799" i="2"/>
  <c r="B28798" i="2"/>
  <c r="B28797" i="2"/>
  <c r="B28796" i="2"/>
  <c r="B28795" i="2"/>
  <c r="B28794" i="2"/>
  <c r="B28793" i="2"/>
  <c r="B28792" i="2"/>
  <c r="B28791" i="2"/>
  <c r="B28790" i="2"/>
  <c r="B28789" i="2"/>
  <c r="B28788" i="2"/>
  <c r="B28787" i="2"/>
  <c r="B28786" i="2"/>
  <c r="B28785" i="2"/>
  <c r="B28784" i="2"/>
  <c r="B28783" i="2"/>
  <c r="B28782" i="2"/>
  <c r="B28781" i="2"/>
  <c r="B28780" i="2"/>
  <c r="B28779" i="2"/>
  <c r="B28778" i="2"/>
  <c r="B28777" i="2"/>
  <c r="B28776" i="2"/>
  <c r="B28775" i="2"/>
  <c r="B28774" i="2"/>
  <c r="B28773" i="2"/>
  <c r="B28772" i="2"/>
  <c r="B28771" i="2"/>
  <c r="B28770" i="2"/>
  <c r="B28769" i="2"/>
  <c r="B28768" i="2"/>
  <c r="B28767" i="2"/>
  <c r="B28766" i="2"/>
  <c r="B28765" i="2"/>
  <c r="B28764" i="2"/>
  <c r="B28763" i="2"/>
  <c r="B28762" i="2"/>
  <c r="B28761" i="2"/>
  <c r="B28760" i="2"/>
  <c r="B28759" i="2"/>
  <c r="B28758" i="2"/>
  <c r="B28757" i="2"/>
  <c r="B28756" i="2"/>
  <c r="B28755" i="2"/>
  <c r="B28754" i="2"/>
  <c r="B28753" i="2"/>
  <c r="B28752" i="2"/>
  <c r="B28751" i="2"/>
  <c r="B28750" i="2"/>
  <c r="B28749" i="2"/>
  <c r="B28748" i="2"/>
  <c r="B28747" i="2"/>
  <c r="B28746" i="2"/>
  <c r="B28745" i="2"/>
  <c r="B28744" i="2"/>
  <c r="B28743" i="2"/>
  <c r="B28742" i="2"/>
  <c r="B28741" i="2"/>
  <c r="B28740" i="2"/>
  <c r="B28739" i="2"/>
  <c r="B28738" i="2"/>
  <c r="B28737" i="2"/>
  <c r="B28736" i="2"/>
  <c r="B28735" i="2"/>
  <c r="B28734" i="2"/>
  <c r="B28733" i="2"/>
  <c r="B28732" i="2"/>
  <c r="B28731" i="2"/>
  <c r="B28730" i="2"/>
  <c r="B28729" i="2"/>
  <c r="B28728" i="2"/>
  <c r="B28727" i="2"/>
  <c r="B28726" i="2"/>
  <c r="B28725" i="2"/>
  <c r="B28724" i="2"/>
  <c r="B28723" i="2"/>
  <c r="B28722" i="2"/>
  <c r="B28721" i="2"/>
  <c r="B28720" i="2"/>
  <c r="B28719" i="2"/>
  <c r="B28718" i="2"/>
  <c r="B28717" i="2"/>
  <c r="B28716" i="2"/>
  <c r="B28715" i="2"/>
  <c r="B28714" i="2"/>
  <c r="B28713" i="2"/>
  <c r="B28712" i="2"/>
  <c r="B28711" i="2"/>
  <c r="B28710" i="2"/>
  <c r="B28709" i="2"/>
  <c r="B28708" i="2"/>
  <c r="B28707" i="2"/>
  <c r="B28706" i="2"/>
  <c r="B28705" i="2"/>
  <c r="B28704" i="2"/>
  <c r="B28703" i="2"/>
  <c r="B28702" i="2"/>
  <c r="B28701" i="2"/>
  <c r="B28700" i="2"/>
  <c r="B28699" i="2"/>
  <c r="B28698" i="2"/>
  <c r="B28697" i="2"/>
  <c r="B28696" i="2"/>
  <c r="B28695" i="2"/>
  <c r="B28694" i="2"/>
  <c r="B28693" i="2"/>
  <c r="B28692" i="2"/>
  <c r="B28691" i="2"/>
  <c r="B28690" i="2"/>
  <c r="B28689" i="2"/>
  <c r="B28688" i="2"/>
  <c r="B28687" i="2"/>
  <c r="B28686" i="2"/>
  <c r="B28685" i="2"/>
  <c r="B28684" i="2"/>
  <c r="B28683" i="2"/>
  <c r="B28682" i="2"/>
  <c r="B28681" i="2"/>
  <c r="B28680" i="2"/>
  <c r="B28679" i="2"/>
  <c r="B28678" i="2"/>
  <c r="B28677" i="2"/>
  <c r="B28676" i="2"/>
  <c r="B28675" i="2"/>
  <c r="B28674" i="2"/>
  <c r="B28673" i="2"/>
  <c r="B28672" i="2"/>
  <c r="B28671" i="2"/>
  <c r="B28670" i="2"/>
  <c r="B28669" i="2"/>
  <c r="B28668" i="2"/>
  <c r="B28667" i="2"/>
  <c r="B28666" i="2"/>
  <c r="B28665" i="2"/>
  <c r="B28664" i="2"/>
  <c r="B28663" i="2"/>
  <c r="B28662" i="2"/>
  <c r="B28661" i="2"/>
  <c r="B28660" i="2"/>
  <c r="B28659" i="2"/>
  <c r="B28658" i="2"/>
  <c r="B28657" i="2"/>
  <c r="B28656" i="2"/>
  <c r="B28655" i="2"/>
  <c r="B28654" i="2"/>
  <c r="B28653" i="2"/>
  <c r="B28652" i="2"/>
  <c r="B28651" i="2"/>
  <c r="B28650" i="2"/>
  <c r="B28649" i="2"/>
  <c r="B28648" i="2"/>
  <c r="B28647" i="2"/>
  <c r="B28646" i="2"/>
  <c r="B28645" i="2"/>
  <c r="B28644" i="2"/>
  <c r="B28643" i="2"/>
  <c r="B28642" i="2"/>
  <c r="B28641" i="2"/>
  <c r="B28640" i="2"/>
  <c r="B28639" i="2"/>
  <c r="B28638" i="2"/>
  <c r="B28637" i="2"/>
  <c r="B28636" i="2"/>
  <c r="B28635" i="2"/>
  <c r="B28634" i="2"/>
  <c r="B28633" i="2"/>
  <c r="B28632" i="2"/>
  <c r="B28631" i="2"/>
  <c r="B28630" i="2"/>
  <c r="B28629" i="2"/>
  <c r="B28628" i="2"/>
  <c r="B28627" i="2"/>
  <c r="B28626" i="2"/>
  <c r="B28625" i="2"/>
  <c r="B28624" i="2"/>
  <c r="B28623" i="2"/>
  <c r="B28622" i="2"/>
  <c r="B28621" i="2"/>
  <c r="B28620" i="2"/>
  <c r="B28619" i="2"/>
  <c r="B28618" i="2"/>
  <c r="B28617" i="2"/>
  <c r="B28616" i="2"/>
  <c r="B28615" i="2"/>
  <c r="B28614" i="2"/>
  <c r="B28613" i="2"/>
  <c r="B28612" i="2"/>
  <c r="B28611" i="2"/>
  <c r="B28610" i="2"/>
  <c r="B28609" i="2"/>
  <c r="B28608" i="2"/>
  <c r="B28607" i="2"/>
  <c r="B28606" i="2"/>
  <c r="B28605" i="2"/>
  <c r="B28604" i="2"/>
  <c r="B28603" i="2"/>
  <c r="B28602" i="2"/>
  <c r="B28601" i="2"/>
  <c r="B28600" i="2"/>
  <c r="B28599" i="2"/>
  <c r="B28598" i="2"/>
  <c r="B28597" i="2"/>
  <c r="B28596" i="2"/>
  <c r="B28595" i="2"/>
  <c r="B28594" i="2"/>
  <c r="B28593" i="2"/>
  <c r="B28592" i="2"/>
  <c r="B28591" i="2"/>
  <c r="B28590" i="2"/>
  <c r="B28589" i="2"/>
  <c r="B28588" i="2"/>
  <c r="B28587" i="2"/>
  <c r="B28586" i="2"/>
  <c r="B28585" i="2"/>
  <c r="B28584" i="2"/>
  <c r="B28583" i="2"/>
  <c r="B28582" i="2"/>
  <c r="B28581" i="2"/>
  <c r="B28580" i="2"/>
  <c r="B28579" i="2"/>
  <c r="B28578" i="2"/>
  <c r="B28577" i="2"/>
  <c r="B28576" i="2"/>
  <c r="B28575" i="2"/>
  <c r="B28574" i="2"/>
  <c r="B28573" i="2"/>
  <c r="B28572" i="2"/>
  <c r="B28571" i="2"/>
  <c r="B28570" i="2"/>
  <c r="B28569" i="2"/>
  <c r="B28568" i="2"/>
  <c r="B28567" i="2"/>
  <c r="B28566" i="2"/>
  <c r="B28565" i="2"/>
  <c r="B28564" i="2"/>
  <c r="B28563" i="2"/>
  <c r="B28562" i="2"/>
  <c r="B28561" i="2"/>
  <c r="B28560" i="2"/>
  <c r="B28559" i="2"/>
  <c r="B28558" i="2"/>
  <c r="B28557" i="2"/>
  <c r="B28556" i="2"/>
  <c r="B28555" i="2"/>
  <c r="B28554" i="2"/>
  <c r="B28553" i="2"/>
  <c r="B28552" i="2"/>
  <c r="B28551" i="2"/>
  <c r="B28550" i="2"/>
  <c r="B28549" i="2"/>
  <c r="B28548" i="2"/>
  <c r="B28547" i="2"/>
  <c r="B28546" i="2"/>
  <c r="B28545" i="2"/>
  <c r="B28544" i="2"/>
  <c r="B28543" i="2"/>
  <c r="B28542" i="2"/>
  <c r="B28541" i="2"/>
  <c r="B28540" i="2"/>
  <c r="B28539" i="2"/>
  <c r="B28538" i="2"/>
  <c r="B28537" i="2"/>
  <c r="B28536" i="2"/>
  <c r="B28535" i="2"/>
  <c r="B28534" i="2"/>
  <c r="B28533" i="2"/>
  <c r="B28532" i="2"/>
  <c r="B28531" i="2"/>
  <c r="B28530" i="2"/>
  <c r="B28529" i="2"/>
  <c r="B28528" i="2"/>
  <c r="B28527" i="2"/>
  <c r="B28526" i="2"/>
  <c r="B28525" i="2"/>
  <c r="B28524" i="2"/>
  <c r="B28523" i="2"/>
  <c r="B28522" i="2"/>
  <c r="B28521" i="2"/>
  <c r="B28520" i="2"/>
  <c r="B28519" i="2"/>
  <c r="B28518" i="2"/>
  <c r="B28517" i="2"/>
  <c r="B28516" i="2"/>
  <c r="B28515" i="2"/>
  <c r="B28514" i="2"/>
  <c r="B28513" i="2"/>
  <c r="B28512" i="2"/>
  <c r="B28511" i="2"/>
  <c r="B28510" i="2"/>
  <c r="B28509" i="2"/>
  <c r="B28508" i="2"/>
  <c r="B28507" i="2"/>
  <c r="B28506" i="2"/>
  <c r="B28505" i="2"/>
  <c r="B28504" i="2"/>
  <c r="B28503" i="2"/>
  <c r="B28502" i="2"/>
  <c r="B28501" i="2"/>
  <c r="B28500" i="2"/>
  <c r="B28499" i="2"/>
  <c r="B28498" i="2"/>
  <c r="B28497" i="2"/>
  <c r="B28496" i="2"/>
  <c r="B28495" i="2"/>
  <c r="B28494" i="2"/>
  <c r="B28493" i="2"/>
  <c r="B28492" i="2"/>
  <c r="B28491" i="2"/>
  <c r="B28490" i="2"/>
  <c r="B28489" i="2"/>
  <c r="B28488" i="2"/>
  <c r="B28487" i="2"/>
  <c r="B28486" i="2"/>
  <c r="B28485" i="2"/>
  <c r="B28484" i="2"/>
  <c r="B28483" i="2"/>
  <c r="B28482" i="2"/>
  <c r="B28481" i="2"/>
  <c r="B28480" i="2"/>
  <c r="B28479" i="2"/>
  <c r="B28478" i="2"/>
  <c r="B28477" i="2"/>
  <c r="B28476" i="2"/>
  <c r="B28475" i="2"/>
  <c r="B28474" i="2"/>
  <c r="B28473" i="2"/>
  <c r="B28472" i="2"/>
  <c r="B28471" i="2"/>
  <c r="B28470" i="2"/>
  <c r="B28469" i="2"/>
  <c r="B28468" i="2"/>
  <c r="B28467" i="2"/>
  <c r="B28466" i="2"/>
  <c r="B28465" i="2"/>
  <c r="B28464" i="2"/>
  <c r="B28463" i="2"/>
  <c r="B28462" i="2"/>
  <c r="B28461" i="2"/>
  <c r="B28460" i="2"/>
  <c r="B28459" i="2"/>
  <c r="B28458" i="2"/>
  <c r="B28457" i="2"/>
  <c r="B28456" i="2"/>
  <c r="B28455" i="2"/>
  <c r="B28454" i="2"/>
  <c r="B28453" i="2"/>
  <c r="B28452" i="2"/>
  <c r="B28451" i="2"/>
  <c r="B28450" i="2"/>
  <c r="B28449" i="2"/>
  <c r="B28448" i="2"/>
  <c r="B28447" i="2"/>
  <c r="B28446" i="2"/>
  <c r="B28445" i="2"/>
  <c r="B28444" i="2"/>
  <c r="B28443" i="2"/>
  <c r="B28442" i="2"/>
  <c r="B28441" i="2"/>
  <c r="B28440" i="2"/>
  <c r="B28439" i="2"/>
  <c r="B28438" i="2"/>
  <c r="B28437" i="2"/>
  <c r="B28436" i="2"/>
  <c r="B28435" i="2"/>
  <c r="B28434" i="2"/>
  <c r="B28433" i="2"/>
  <c r="B28432" i="2"/>
  <c r="B28431" i="2"/>
  <c r="B28430" i="2"/>
  <c r="B28429" i="2"/>
  <c r="B28428" i="2"/>
  <c r="B28427" i="2"/>
  <c r="B28426" i="2"/>
  <c r="B28425" i="2"/>
  <c r="B28424" i="2"/>
  <c r="B28423" i="2"/>
  <c r="B28422" i="2"/>
  <c r="B28421" i="2"/>
  <c r="B28420" i="2"/>
  <c r="B28419" i="2"/>
  <c r="B28418" i="2"/>
  <c r="B28417" i="2"/>
  <c r="B28416" i="2"/>
  <c r="B28415" i="2"/>
  <c r="B28414" i="2"/>
  <c r="B28413" i="2"/>
  <c r="B28412" i="2"/>
  <c r="B28411" i="2"/>
  <c r="B28410" i="2"/>
  <c r="B28409" i="2"/>
  <c r="B28408" i="2"/>
  <c r="B28407" i="2"/>
  <c r="B28406" i="2"/>
  <c r="B28405" i="2"/>
  <c r="B28404" i="2"/>
  <c r="B28403" i="2"/>
  <c r="B28402" i="2"/>
  <c r="B28401" i="2"/>
  <c r="B28400" i="2"/>
  <c r="B28399" i="2"/>
  <c r="B28398" i="2"/>
  <c r="B28397" i="2"/>
  <c r="B28396" i="2"/>
  <c r="B28395" i="2"/>
  <c r="B28394" i="2"/>
  <c r="B28393" i="2"/>
  <c r="B28392" i="2"/>
  <c r="B28391" i="2"/>
  <c r="B28390" i="2"/>
  <c r="B28389" i="2"/>
  <c r="B28388" i="2"/>
  <c r="B28387" i="2"/>
  <c r="B28386" i="2"/>
  <c r="B28385" i="2"/>
  <c r="B28384" i="2"/>
  <c r="B28383" i="2"/>
  <c r="B28382" i="2"/>
  <c r="B28381" i="2"/>
  <c r="B28380" i="2"/>
  <c r="B28379" i="2"/>
  <c r="B28378" i="2"/>
  <c r="B28377" i="2"/>
  <c r="B28376" i="2"/>
  <c r="B28375" i="2"/>
  <c r="B28374" i="2"/>
  <c r="B28373" i="2"/>
  <c r="B28372" i="2"/>
  <c r="B28371" i="2"/>
  <c r="B28370" i="2"/>
  <c r="B28369" i="2"/>
  <c r="B28368" i="2"/>
  <c r="B28367" i="2"/>
  <c r="B28366" i="2"/>
  <c r="B28365" i="2"/>
  <c r="B28364" i="2"/>
  <c r="B28363" i="2"/>
  <c r="B28362" i="2"/>
  <c r="B28361" i="2"/>
  <c r="B28360" i="2"/>
  <c r="B28359" i="2"/>
  <c r="B28358" i="2"/>
  <c r="B28357" i="2"/>
  <c r="B28356" i="2"/>
  <c r="B28355" i="2"/>
  <c r="B28354" i="2"/>
  <c r="B28353" i="2"/>
  <c r="B28352" i="2"/>
  <c r="B28351" i="2"/>
  <c r="B28350" i="2"/>
  <c r="B28349" i="2"/>
  <c r="B28348" i="2"/>
  <c r="B28347" i="2"/>
  <c r="B28346" i="2"/>
  <c r="B28345" i="2"/>
  <c r="B28344" i="2"/>
  <c r="B28343" i="2"/>
  <c r="B28342" i="2"/>
  <c r="B28341" i="2"/>
  <c r="B28340" i="2"/>
  <c r="B28339" i="2"/>
  <c r="B28338" i="2"/>
  <c r="B28337" i="2"/>
  <c r="B28336" i="2"/>
  <c r="B28335" i="2"/>
  <c r="B28334" i="2"/>
  <c r="B28333" i="2"/>
  <c r="B28332" i="2"/>
  <c r="B28331" i="2"/>
  <c r="B28330" i="2"/>
  <c r="B28329" i="2"/>
  <c r="B28328" i="2"/>
  <c r="B28327" i="2"/>
  <c r="B28326" i="2"/>
  <c r="B28325" i="2"/>
  <c r="B28324" i="2"/>
  <c r="B28323" i="2"/>
  <c r="B28322" i="2"/>
  <c r="B28321" i="2"/>
  <c r="B28320" i="2"/>
  <c r="B28319" i="2"/>
  <c r="B28318" i="2"/>
  <c r="B28317" i="2"/>
  <c r="B28316" i="2"/>
  <c r="B28315" i="2"/>
  <c r="B28314" i="2"/>
  <c r="B28313" i="2"/>
  <c r="B28312" i="2"/>
  <c r="B28311" i="2"/>
  <c r="B28310" i="2"/>
  <c r="B28309" i="2"/>
  <c r="B28308" i="2"/>
  <c r="B28307" i="2"/>
  <c r="B28306" i="2"/>
  <c r="B28305" i="2"/>
  <c r="B28304" i="2"/>
  <c r="B28303" i="2"/>
  <c r="B28302" i="2"/>
  <c r="B28301" i="2"/>
  <c r="B28300" i="2"/>
  <c r="B28299" i="2"/>
  <c r="B28298" i="2"/>
  <c r="B28297" i="2"/>
  <c r="B28296" i="2"/>
  <c r="B28295" i="2"/>
  <c r="B28294" i="2"/>
  <c r="B28293" i="2"/>
  <c r="B28292" i="2"/>
  <c r="B28291" i="2"/>
  <c r="B28290" i="2"/>
  <c r="B28289" i="2"/>
  <c r="B28288" i="2"/>
  <c r="B28287" i="2"/>
  <c r="B28286" i="2"/>
  <c r="B28285" i="2"/>
  <c r="B28284" i="2"/>
  <c r="B28283" i="2"/>
  <c r="B28282" i="2"/>
  <c r="B28281" i="2"/>
  <c r="B28280" i="2"/>
  <c r="B28279" i="2"/>
  <c r="B28278" i="2"/>
  <c r="B28277" i="2"/>
  <c r="B28276" i="2"/>
  <c r="B28275" i="2"/>
  <c r="B28274" i="2"/>
  <c r="B28273" i="2"/>
  <c r="B28272" i="2"/>
  <c r="B28271" i="2"/>
  <c r="B28270" i="2"/>
  <c r="B28269" i="2"/>
  <c r="B28268" i="2"/>
  <c r="B28267" i="2"/>
  <c r="B28266" i="2"/>
  <c r="B28265" i="2"/>
  <c r="B28264" i="2"/>
  <c r="B28263" i="2"/>
  <c r="B28262" i="2"/>
  <c r="B28261" i="2"/>
  <c r="B28260" i="2"/>
  <c r="B28259" i="2"/>
  <c r="B28258" i="2"/>
  <c r="B28257" i="2"/>
  <c r="B28256" i="2"/>
  <c r="B28255" i="2"/>
  <c r="B28254" i="2"/>
  <c r="B28253" i="2"/>
  <c r="B28252" i="2"/>
  <c r="B28251" i="2"/>
  <c r="B28250" i="2"/>
  <c r="B28249" i="2"/>
  <c r="B28248" i="2"/>
  <c r="B28247" i="2"/>
  <c r="B28246" i="2"/>
  <c r="B28245" i="2"/>
  <c r="B28244" i="2"/>
  <c r="B28243" i="2"/>
  <c r="B28242" i="2"/>
  <c r="B28241" i="2"/>
  <c r="B28240" i="2"/>
  <c r="B28239" i="2"/>
  <c r="B28238" i="2"/>
  <c r="B28237" i="2"/>
  <c r="B28236" i="2"/>
  <c r="B28235" i="2"/>
  <c r="B28234" i="2"/>
  <c r="B28233" i="2"/>
  <c r="B28232" i="2"/>
  <c r="B28231" i="2"/>
  <c r="B28230" i="2"/>
  <c r="B28229" i="2"/>
  <c r="B28228" i="2"/>
  <c r="B28227" i="2"/>
  <c r="B28226" i="2"/>
  <c r="B28225" i="2"/>
  <c r="B28224" i="2"/>
  <c r="B28223" i="2"/>
  <c r="B28222" i="2"/>
  <c r="B28221" i="2"/>
  <c r="B28220" i="2"/>
  <c r="B28219" i="2"/>
  <c r="B28218" i="2"/>
  <c r="B28217" i="2"/>
  <c r="B28216" i="2"/>
  <c r="B28215" i="2"/>
  <c r="B28214" i="2"/>
  <c r="B28213" i="2"/>
  <c r="B28212" i="2"/>
  <c r="B28211" i="2"/>
  <c r="B28210" i="2"/>
  <c r="B28209" i="2"/>
  <c r="B28208" i="2"/>
  <c r="B28207" i="2"/>
  <c r="B28206" i="2"/>
  <c r="B28205" i="2"/>
  <c r="B28204" i="2"/>
  <c r="B28203" i="2"/>
  <c r="B28202" i="2"/>
  <c r="B28201" i="2"/>
  <c r="B28200" i="2"/>
  <c r="B28199" i="2"/>
  <c r="B28198" i="2"/>
  <c r="B28197" i="2"/>
  <c r="B28196" i="2"/>
  <c r="B28195" i="2"/>
  <c r="B28194" i="2"/>
  <c r="B28193" i="2"/>
  <c r="B28192" i="2"/>
  <c r="B28191" i="2"/>
  <c r="B28190" i="2"/>
  <c r="B28189" i="2"/>
  <c r="B28188" i="2"/>
  <c r="B28187" i="2"/>
  <c r="B28186" i="2"/>
  <c r="B28185" i="2"/>
  <c r="B28184" i="2"/>
  <c r="B28183" i="2"/>
  <c r="B28182" i="2"/>
  <c r="B28181" i="2"/>
  <c r="B28180" i="2"/>
  <c r="B28179" i="2"/>
  <c r="B28178" i="2"/>
  <c r="B28177" i="2"/>
  <c r="B28176" i="2"/>
  <c r="B28175" i="2"/>
  <c r="B28174" i="2"/>
  <c r="B28173" i="2"/>
  <c r="B28172" i="2"/>
  <c r="B28171" i="2"/>
  <c r="B28170" i="2"/>
  <c r="B28169" i="2"/>
  <c r="B28168" i="2"/>
  <c r="B28167" i="2"/>
  <c r="B28166" i="2"/>
  <c r="B28165" i="2"/>
  <c r="B28164" i="2"/>
  <c r="B28163" i="2"/>
  <c r="B28162" i="2"/>
  <c r="B28161" i="2"/>
  <c r="B28160" i="2"/>
  <c r="B28159" i="2"/>
  <c r="B28158" i="2"/>
  <c r="B28157" i="2"/>
  <c r="B28156" i="2"/>
  <c r="B28155" i="2"/>
  <c r="B28154" i="2"/>
  <c r="B28153" i="2"/>
  <c r="B28152" i="2"/>
  <c r="B28151" i="2"/>
  <c r="B28150" i="2"/>
  <c r="B28149" i="2"/>
  <c r="B28148" i="2"/>
  <c r="B28147" i="2"/>
  <c r="B28146" i="2"/>
  <c r="B28145" i="2"/>
  <c r="B28144" i="2"/>
  <c r="B28143" i="2"/>
  <c r="B28142" i="2"/>
  <c r="B28141" i="2"/>
  <c r="B28140" i="2"/>
  <c r="B28139" i="2"/>
  <c r="B28138" i="2"/>
  <c r="B28137" i="2"/>
  <c r="B28136" i="2"/>
  <c r="B28135" i="2"/>
  <c r="B28134" i="2"/>
  <c r="B28133" i="2"/>
  <c r="B28132" i="2"/>
  <c r="B28131" i="2"/>
  <c r="B28130" i="2"/>
  <c r="B28129" i="2"/>
  <c r="B28128" i="2"/>
  <c r="B28127" i="2"/>
  <c r="B28126" i="2"/>
  <c r="B28125" i="2"/>
  <c r="B28124" i="2"/>
  <c r="B28123" i="2"/>
  <c r="B28122" i="2"/>
  <c r="B28121" i="2"/>
  <c r="B28120" i="2"/>
  <c r="B28119" i="2"/>
  <c r="B28118" i="2"/>
  <c r="B28117" i="2"/>
  <c r="B28116" i="2"/>
  <c r="B28115" i="2"/>
  <c r="B28114" i="2"/>
  <c r="B28113" i="2"/>
  <c r="B28112" i="2"/>
  <c r="B28111" i="2"/>
  <c r="B28110" i="2"/>
  <c r="B28109" i="2"/>
  <c r="B28108" i="2"/>
  <c r="B28107" i="2"/>
  <c r="B28106" i="2"/>
  <c r="B28105" i="2"/>
  <c r="B28104" i="2"/>
  <c r="B28103" i="2"/>
  <c r="B28102" i="2"/>
  <c r="B28101" i="2"/>
  <c r="B28100" i="2"/>
  <c r="B28099" i="2"/>
  <c r="B28098" i="2"/>
  <c r="B28097" i="2"/>
  <c r="B28096" i="2"/>
  <c r="B28095" i="2"/>
  <c r="B28094" i="2"/>
  <c r="B28093" i="2"/>
  <c r="B28092" i="2"/>
  <c r="B28091" i="2"/>
  <c r="B28090" i="2"/>
  <c r="B28089" i="2"/>
  <c r="B28088" i="2"/>
  <c r="B28087" i="2"/>
  <c r="B28086" i="2"/>
  <c r="B28085" i="2"/>
  <c r="B28084" i="2"/>
  <c r="B28083" i="2"/>
  <c r="B28082" i="2"/>
  <c r="B28081" i="2"/>
  <c r="B28080" i="2"/>
  <c r="B28079" i="2"/>
  <c r="B28078" i="2"/>
  <c r="B28077" i="2"/>
  <c r="B28076" i="2"/>
  <c r="B28075" i="2"/>
  <c r="B28074" i="2"/>
  <c r="B28073" i="2"/>
  <c r="B28072" i="2"/>
  <c r="B28071" i="2"/>
  <c r="B28070" i="2"/>
  <c r="B28069" i="2"/>
  <c r="B28068" i="2"/>
  <c r="B28067" i="2"/>
  <c r="B28066" i="2"/>
  <c r="B28065" i="2"/>
  <c r="B28064" i="2"/>
  <c r="B28063" i="2"/>
  <c r="B28062" i="2"/>
  <c r="B28061" i="2"/>
  <c r="B28060" i="2"/>
  <c r="B28059" i="2"/>
  <c r="B28058" i="2"/>
  <c r="B28057" i="2"/>
  <c r="B28056" i="2"/>
  <c r="B28055" i="2"/>
  <c r="B28054" i="2"/>
  <c r="B28053" i="2"/>
  <c r="B28052" i="2"/>
  <c r="B28051" i="2"/>
  <c r="B28050" i="2"/>
  <c r="B28049" i="2"/>
  <c r="B28048" i="2"/>
  <c r="B28047" i="2"/>
  <c r="B28046" i="2"/>
  <c r="B28045" i="2"/>
  <c r="B28044" i="2"/>
  <c r="B28043" i="2"/>
  <c r="B28042" i="2"/>
  <c r="B28041" i="2"/>
  <c r="B28040" i="2"/>
  <c r="B28039" i="2"/>
  <c r="B28038" i="2"/>
  <c r="B28037" i="2"/>
  <c r="B28036" i="2"/>
  <c r="B28035" i="2"/>
  <c r="B28034" i="2"/>
  <c r="B28033" i="2"/>
  <c r="B28032" i="2"/>
  <c r="B28031" i="2"/>
  <c r="B28030" i="2"/>
  <c r="B28029" i="2"/>
  <c r="B28028" i="2"/>
  <c r="B28027" i="2"/>
  <c r="B28026" i="2"/>
  <c r="B28025" i="2"/>
  <c r="B28024" i="2"/>
  <c r="B28023" i="2"/>
  <c r="B28022" i="2"/>
  <c r="B28021" i="2"/>
  <c r="B28020" i="2"/>
  <c r="B28019" i="2"/>
  <c r="B28018" i="2"/>
  <c r="B28017" i="2"/>
  <c r="B28016" i="2"/>
  <c r="B28015" i="2"/>
  <c r="B28014" i="2"/>
  <c r="B28013" i="2"/>
  <c r="B28012" i="2"/>
  <c r="B28011" i="2"/>
  <c r="B28010" i="2"/>
  <c r="B28009" i="2"/>
  <c r="B28008" i="2"/>
  <c r="B28007" i="2"/>
  <c r="B28006" i="2"/>
  <c r="B28005" i="2"/>
  <c r="B28004" i="2"/>
  <c r="B28003" i="2"/>
  <c r="B28002" i="2"/>
  <c r="B28001" i="2"/>
  <c r="B28000" i="2"/>
  <c r="B27999" i="2"/>
  <c r="B27998" i="2"/>
  <c r="B27997" i="2"/>
  <c r="B27996" i="2"/>
  <c r="B27995" i="2"/>
  <c r="B27994" i="2"/>
  <c r="B27993" i="2"/>
  <c r="B27992" i="2"/>
  <c r="B27991" i="2"/>
  <c r="B27990" i="2"/>
  <c r="B27989" i="2"/>
  <c r="B27988" i="2"/>
  <c r="B27987" i="2"/>
  <c r="B27986" i="2"/>
  <c r="B27985" i="2"/>
  <c r="B27984" i="2"/>
  <c r="B27983" i="2"/>
  <c r="B27982" i="2"/>
  <c r="B27981" i="2"/>
  <c r="B27980" i="2"/>
  <c r="B27979" i="2"/>
  <c r="B27978" i="2"/>
  <c r="B27977" i="2"/>
  <c r="B27976" i="2"/>
  <c r="B27975" i="2"/>
  <c r="B27974" i="2"/>
  <c r="B27973" i="2"/>
  <c r="B27972" i="2"/>
  <c r="B27971" i="2"/>
  <c r="B27970" i="2"/>
  <c r="B27969" i="2"/>
  <c r="B27968" i="2"/>
  <c r="B27967" i="2"/>
  <c r="B27966" i="2"/>
  <c r="B27965" i="2"/>
  <c r="B27964" i="2"/>
  <c r="B27963" i="2"/>
  <c r="B27962" i="2"/>
  <c r="B27961" i="2"/>
  <c r="B27960" i="2"/>
  <c r="B27959" i="2"/>
  <c r="B27958" i="2"/>
  <c r="B27957" i="2"/>
  <c r="B27956" i="2"/>
  <c r="B27955" i="2"/>
  <c r="B27954" i="2"/>
  <c r="B27953" i="2"/>
  <c r="B27952" i="2"/>
  <c r="B27951" i="2"/>
  <c r="B27950" i="2"/>
  <c r="B27949" i="2"/>
  <c r="B27948" i="2"/>
  <c r="B27947" i="2"/>
  <c r="B27946" i="2"/>
  <c r="B27945" i="2"/>
  <c r="B27944" i="2"/>
  <c r="B27943" i="2"/>
  <c r="B27942" i="2"/>
  <c r="B27941" i="2"/>
  <c r="B27940" i="2"/>
  <c r="B27939" i="2"/>
  <c r="B27938" i="2"/>
  <c r="B27937" i="2"/>
  <c r="B27936" i="2"/>
  <c r="B27935" i="2"/>
  <c r="B27934" i="2"/>
  <c r="B27933" i="2"/>
  <c r="B27932" i="2"/>
  <c r="B27931" i="2"/>
  <c r="B27930" i="2"/>
  <c r="B27929" i="2"/>
  <c r="B27928" i="2"/>
  <c r="B27927" i="2"/>
  <c r="B27926" i="2"/>
  <c r="B27925" i="2"/>
  <c r="B27924" i="2"/>
  <c r="B27923" i="2"/>
  <c r="B27922" i="2"/>
  <c r="B27921" i="2"/>
  <c r="B27920" i="2"/>
  <c r="B27919" i="2"/>
  <c r="B27918" i="2"/>
  <c r="B27917" i="2"/>
  <c r="B27916" i="2"/>
  <c r="B27915" i="2"/>
  <c r="B27914" i="2"/>
  <c r="B27913" i="2"/>
  <c r="B27912" i="2"/>
  <c r="B27911" i="2"/>
  <c r="B27910" i="2"/>
  <c r="B27909" i="2"/>
  <c r="B27908" i="2"/>
  <c r="B27907" i="2"/>
  <c r="B27906" i="2"/>
  <c r="B27905" i="2"/>
  <c r="B27904" i="2"/>
  <c r="B27903" i="2"/>
  <c r="B27902" i="2"/>
  <c r="B27901" i="2"/>
  <c r="B27900" i="2"/>
  <c r="B27899" i="2"/>
  <c r="B27898" i="2"/>
  <c r="B27897" i="2"/>
  <c r="B27896" i="2"/>
  <c r="B27895" i="2"/>
  <c r="B27894" i="2"/>
  <c r="B27893" i="2"/>
  <c r="B27892" i="2"/>
  <c r="B27891" i="2"/>
  <c r="B27890" i="2"/>
  <c r="B27889" i="2"/>
  <c r="B27888" i="2"/>
  <c r="B27887" i="2"/>
  <c r="B27886" i="2"/>
  <c r="B27885" i="2"/>
  <c r="B27884" i="2"/>
  <c r="B27883" i="2"/>
  <c r="B27882" i="2"/>
  <c r="B27881" i="2"/>
  <c r="B27880" i="2"/>
  <c r="B27879" i="2"/>
  <c r="B27878" i="2"/>
  <c r="B27877" i="2"/>
  <c r="B27876" i="2"/>
  <c r="B27875" i="2"/>
  <c r="B27874" i="2"/>
  <c r="B27873" i="2"/>
  <c r="B27872" i="2"/>
  <c r="B27871" i="2"/>
  <c r="B27870" i="2"/>
  <c r="B27869" i="2"/>
  <c r="B27868" i="2"/>
  <c r="B27867" i="2"/>
  <c r="B27866" i="2"/>
  <c r="B27865" i="2"/>
  <c r="B27864" i="2"/>
  <c r="B27863" i="2"/>
  <c r="B27862" i="2"/>
  <c r="B27861" i="2"/>
  <c r="B27860" i="2"/>
  <c r="B27859" i="2"/>
  <c r="B27858" i="2"/>
  <c r="B27857" i="2"/>
  <c r="B27856" i="2"/>
  <c r="B27855" i="2"/>
  <c r="B27854" i="2"/>
  <c r="B27853" i="2"/>
  <c r="B27852" i="2"/>
  <c r="B27851" i="2"/>
  <c r="B27850" i="2"/>
  <c r="B27849" i="2"/>
  <c r="B27848" i="2"/>
  <c r="B27847" i="2"/>
  <c r="B27846" i="2"/>
  <c r="B27845" i="2"/>
  <c r="B27844" i="2"/>
  <c r="B27843" i="2"/>
  <c r="B27842" i="2"/>
  <c r="B27841" i="2"/>
  <c r="B27840" i="2"/>
  <c r="B27839" i="2"/>
  <c r="B27838" i="2"/>
  <c r="B27837" i="2"/>
  <c r="B27836" i="2"/>
  <c r="B27835" i="2"/>
  <c r="B27834" i="2"/>
  <c r="B27833" i="2"/>
  <c r="B27832" i="2"/>
  <c r="B27831" i="2"/>
  <c r="B27830" i="2"/>
  <c r="B27829" i="2"/>
  <c r="B27828" i="2"/>
  <c r="B27827" i="2"/>
  <c r="B27826" i="2"/>
  <c r="B27825" i="2"/>
  <c r="B27824" i="2"/>
  <c r="B27823" i="2"/>
  <c r="B27822" i="2"/>
  <c r="B27821" i="2"/>
  <c r="B27820" i="2"/>
  <c r="B27819" i="2"/>
  <c r="B27818" i="2"/>
  <c r="B27817" i="2"/>
  <c r="B27816" i="2"/>
  <c r="B27815" i="2"/>
  <c r="B27814" i="2"/>
  <c r="B27813" i="2"/>
  <c r="B27812" i="2"/>
  <c r="B27811" i="2"/>
  <c r="B27810" i="2"/>
  <c r="B27809" i="2"/>
  <c r="B27808" i="2"/>
  <c r="B27807" i="2"/>
  <c r="B27806" i="2"/>
  <c r="B27805" i="2"/>
  <c r="B27804" i="2"/>
  <c r="B27803" i="2"/>
  <c r="B27802" i="2"/>
  <c r="B27801" i="2"/>
  <c r="B27800" i="2"/>
  <c r="B27799" i="2"/>
  <c r="B27798" i="2"/>
  <c r="B27797" i="2"/>
  <c r="B27796" i="2"/>
  <c r="B27795" i="2"/>
  <c r="B27794" i="2"/>
  <c r="B27793" i="2"/>
  <c r="B27792" i="2"/>
  <c r="B27791" i="2"/>
  <c r="B27790" i="2"/>
  <c r="B27789" i="2"/>
  <c r="B27788" i="2"/>
  <c r="B27787" i="2"/>
  <c r="B27786" i="2"/>
  <c r="B27785" i="2"/>
  <c r="B27784" i="2"/>
  <c r="B27783" i="2"/>
  <c r="B27782" i="2"/>
  <c r="B27781" i="2"/>
  <c r="B27780" i="2"/>
  <c r="B27779" i="2"/>
  <c r="B27778" i="2"/>
  <c r="B27777" i="2"/>
  <c r="B27776" i="2"/>
  <c r="B27775" i="2"/>
  <c r="B27774" i="2"/>
  <c r="B27773" i="2"/>
  <c r="B27772" i="2"/>
  <c r="B27771" i="2"/>
  <c r="B27770" i="2"/>
  <c r="B27769" i="2"/>
  <c r="B27768" i="2"/>
  <c r="B27767" i="2"/>
  <c r="B27766" i="2"/>
  <c r="B27765" i="2"/>
  <c r="B27764" i="2"/>
  <c r="B27763" i="2"/>
  <c r="B27762" i="2"/>
  <c r="B27761" i="2"/>
  <c r="B27760" i="2"/>
  <c r="B27759" i="2"/>
  <c r="B27758" i="2"/>
  <c r="B27757" i="2"/>
  <c r="B27756" i="2"/>
  <c r="B27755" i="2"/>
  <c r="B27754" i="2"/>
  <c r="B27753" i="2"/>
  <c r="B27752" i="2"/>
  <c r="B27751" i="2"/>
  <c r="B27750" i="2"/>
  <c r="B27749" i="2"/>
  <c r="B27748" i="2"/>
  <c r="B27747" i="2"/>
  <c r="B27746" i="2"/>
  <c r="B27745" i="2"/>
  <c r="B27744" i="2"/>
  <c r="B27743" i="2"/>
  <c r="B27742" i="2"/>
  <c r="B27741" i="2"/>
  <c r="B27740" i="2"/>
  <c r="B27739" i="2"/>
  <c r="B27738" i="2"/>
  <c r="B27737" i="2"/>
  <c r="B27736" i="2"/>
  <c r="B27735" i="2"/>
  <c r="B27734" i="2"/>
  <c r="B27733" i="2"/>
  <c r="B27732" i="2"/>
  <c r="B27731" i="2"/>
  <c r="B27730" i="2"/>
  <c r="B27729" i="2"/>
  <c r="B27728" i="2"/>
  <c r="B27727" i="2"/>
  <c r="B27726" i="2"/>
  <c r="B27725" i="2"/>
  <c r="B27724" i="2"/>
  <c r="B27723" i="2"/>
  <c r="B27722" i="2"/>
  <c r="B27721" i="2"/>
  <c r="B27720" i="2"/>
  <c r="B27719" i="2"/>
  <c r="B27718" i="2"/>
  <c r="B27717" i="2"/>
  <c r="B27716" i="2"/>
  <c r="B27715" i="2"/>
  <c r="B27714" i="2"/>
  <c r="B27713" i="2"/>
  <c r="B27712" i="2"/>
  <c r="B27711" i="2"/>
  <c r="B27710" i="2"/>
  <c r="B27709" i="2"/>
  <c r="B27708" i="2"/>
  <c r="B27707" i="2"/>
  <c r="B27706" i="2"/>
  <c r="B27705" i="2"/>
  <c r="B27704" i="2"/>
  <c r="B27703" i="2"/>
  <c r="B27702" i="2"/>
  <c r="B27701" i="2"/>
  <c r="B27700" i="2"/>
  <c r="B27699" i="2"/>
  <c r="B27698" i="2"/>
  <c r="B27697" i="2"/>
  <c r="B27696" i="2"/>
  <c r="B27695" i="2"/>
  <c r="B27694" i="2"/>
  <c r="B27693" i="2"/>
  <c r="B27692" i="2"/>
  <c r="B27691" i="2"/>
  <c r="B27690" i="2"/>
  <c r="B27689" i="2"/>
  <c r="B27688" i="2"/>
  <c r="B27687" i="2"/>
  <c r="B27686" i="2"/>
  <c r="B27685" i="2"/>
  <c r="B27684" i="2"/>
  <c r="B27683" i="2"/>
  <c r="B27682" i="2"/>
  <c r="B27681" i="2"/>
  <c r="B27680" i="2"/>
  <c r="B27679" i="2"/>
  <c r="B27678" i="2"/>
  <c r="B27677" i="2"/>
  <c r="B27676" i="2"/>
  <c r="B27675" i="2"/>
  <c r="B27674" i="2"/>
  <c r="B27673" i="2"/>
  <c r="B27672" i="2"/>
  <c r="B27671" i="2"/>
  <c r="B27670" i="2"/>
  <c r="B27669" i="2"/>
  <c r="B27668" i="2"/>
  <c r="B27667" i="2"/>
  <c r="B27666" i="2"/>
  <c r="B27665" i="2"/>
  <c r="B27664" i="2"/>
  <c r="B27663" i="2"/>
  <c r="B27662" i="2"/>
  <c r="B27661" i="2"/>
  <c r="B27660" i="2"/>
  <c r="B27659" i="2"/>
  <c r="B27658" i="2"/>
  <c r="B27657" i="2"/>
  <c r="B27656" i="2"/>
  <c r="B27655" i="2"/>
  <c r="B27654" i="2"/>
  <c r="B27653" i="2"/>
  <c r="B27652" i="2"/>
  <c r="B27651" i="2"/>
  <c r="B27650" i="2"/>
  <c r="B27649" i="2"/>
  <c r="B27648" i="2"/>
  <c r="B27647" i="2"/>
  <c r="B27646" i="2"/>
  <c r="B27645" i="2"/>
  <c r="B27644" i="2"/>
  <c r="B27643" i="2"/>
  <c r="B27642" i="2"/>
  <c r="B27641" i="2"/>
  <c r="B27640" i="2"/>
  <c r="B27639" i="2"/>
  <c r="B27638" i="2"/>
  <c r="B27637" i="2"/>
  <c r="B27636" i="2"/>
  <c r="B27635" i="2"/>
  <c r="B27634" i="2"/>
  <c r="B27633" i="2"/>
  <c r="B27632" i="2"/>
  <c r="B27631" i="2"/>
  <c r="B27630" i="2"/>
  <c r="B27629" i="2"/>
  <c r="B27628" i="2"/>
  <c r="B27627" i="2"/>
  <c r="B27626" i="2"/>
  <c r="B27625" i="2"/>
  <c r="B27624" i="2"/>
  <c r="B27623" i="2"/>
  <c r="B27622" i="2"/>
  <c r="B27621" i="2"/>
  <c r="B27620" i="2"/>
  <c r="B27619" i="2"/>
  <c r="B27618" i="2"/>
  <c r="B27617" i="2"/>
  <c r="B27616" i="2"/>
  <c r="B27615" i="2"/>
  <c r="B27614" i="2"/>
  <c r="B27613" i="2"/>
  <c r="B27612" i="2"/>
  <c r="B27611" i="2"/>
  <c r="B27610" i="2"/>
  <c r="B27609" i="2"/>
  <c r="B27608" i="2"/>
  <c r="B27607" i="2"/>
  <c r="B27606" i="2"/>
  <c r="B27605" i="2"/>
  <c r="B27604" i="2"/>
  <c r="B27603" i="2"/>
  <c r="B27602" i="2"/>
  <c r="B27601" i="2"/>
  <c r="B27600" i="2"/>
  <c r="B27599" i="2"/>
  <c r="B27598" i="2"/>
  <c r="B27597" i="2"/>
  <c r="B27596" i="2"/>
  <c r="B27595" i="2"/>
  <c r="B27594" i="2"/>
  <c r="B27593" i="2"/>
  <c r="B27592" i="2"/>
  <c r="B27591" i="2"/>
  <c r="B27590" i="2"/>
  <c r="B27589" i="2"/>
  <c r="B27588" i="2"/>
  <c r="B27587" i="2"/>
  <c r="B27586" i="2"/>
  <c r="B27585" i="2"/>
  <c r="B27584" i="2"/>
  <c r="B27583" i="2"/>
  <c r="B27582" i="2"/>
  <c r="B27581" i="2"/>
  <c r="B27580" i="2"/>
  <c r="B27579" i="2"/>
  <c r="B27578" i="2"/>
  <c r="B27577" i="2"/>
  <c r="B27576" i="2"/>
  <c r="B27575" i="2"/>
  <c r="B27574" i="2"/>
  <c r="B27573" i="2"/>
  <c r="B27572" i="2"/>
  <c r="B27571" i="2"/>
  <c r="B27570" i="2"/>
  <c r="B27569" i="2"/>
  <c r="B27568" i="2"/>
  <c r="B27567" i="2"/>
  <c r="B27566" i="2"/>
  <c r="B27565" i="2"/>
  <c r="B27564" i="2"/>
  <c r="B27563" i="2"/>
  <c r="B27562" i="2"/>
  <c r="B27561" i="2"/>
  <c r="B27560" i="2"/>
  <c r="B27559" i="2"/>
  <c r="B27558" i="2"/>
  <c r="B27557" i="2"/>
  <c r="B27556" i="2"/>
  <c r="B27555" i="2"/>
  <c r="B27554" i="2"/>
  <c r="B27553" i="2"/>
  <c r="B27552" i="2"/>
  <c r="B27551" i="2"/>
  <c r="B27550" i="2"/>
  <c r="B27549" i="2"/>
  <c r="B27548" i="2"/>
  <c r="B27547" i="2"/>
  <c r="B27546" i="2"/>
  <c r="B27545" i="2"/>
  <c r="B27544" i="2"/>
  <c r="B27543" i="2"/>
  <c r="B27542" i="2"/>
  <c r="B27541" i="2"/>
  <c r="B27540" i="2"/>
  <c r="B27539" i="2"/>
  <c r="B27538" i="2"/>
  <c r="B27537" i="2"/>
  <c r="B27536" i="2"/>
  <c r="B27535" i="2"/>
  <c r="B27534" i="2"/>
  <c r="B27533" i="2"/>
  <c r="B27532" i="2"/>
  <c r="B27531" i="2"/>
  <c r="B27530" i="2"/>
  <c r="B27529" i="2"/>
  <c r="B27528" i="2"/>
  <c r="B27527" i="2"/>
  <c r="B27526" i="2"/>
  <c r="B27525" i="2"/>
  <c r="B27524" i="2"/>
  <c r="B27523" i="2"/>
  <c r="B27522" i="2"/>
  <c r="B27521" i="2"/>
  <c r="B27520" i="2"/>
  <c r="B27519" i="2"/>
  <c r="B27518" i="2"/>
  <c r="B27517" i="2"/>
  <c r="B27516" i="2"/>
  <c r="B27515" i="2"/>
  <c r="B27514" i="2"/>
  <c r="B27513" i="2"/>
  <c r="B27512" i="2"/>
  <c r="B27511" i="2"/>
  <c r="B27510" i="2"/>
  <c r="B27509" i="2"/>
  <c r="B27508" i="2"/>
  <c r="B27507" i="2"/>
  <c r="B27506" i="2"/>
  <c r="B27505" i="2"/>
  <c r="B27504" i="2"/>
  <c r="B27503" i="2"/>
  <c r="B27502" i="2"/>
  <c r="B27501" i="2"/>
  <c r="B27500" i="2"/>
  <c r="B27499" i="2"/>
  <c r="B27498" i="2"/>
  <c r="B27497" i="2"/>
  <c r="B27496" i="2"/>
  <c r="B27495" i="2"/>
  <c r="B27494" i="2"/>
  <c r="B27493" i="2"/>
  <c r="B27492" i="2"/>
  <c r="B27491" i="2"/>
  <c r="B27490" i="2"/>
  <c r="B27489" i="2"/>
  <c r="B27488" i="2"/>
  <c r="B27487" i="2"/>
  <c r="B27486" i="2"/>
  <c r="B27485" i="2"/>
  <c r="B27484" i="2"/>
  <c r="B27483" i="2"/>
  <c r="B27482" i="2"/>
  <c r="B27481" i="2"/>
  <c r="B27480" i="2"/>
  <c r="B27479" i="2"/>
  <c r="B27478" i="2"/>
  <c r="B27477" i="2"/>
  <c r="B27476" i="2"/>
  <c r="B27475" i="2"/>
  <c r="B27474" i="2"/>
  <c r="B27473" i="2"/>
  <c r="B27472" i="2"/>
  <c r="B27471" i="2"/>
  <c r="B27470" i="2"/>
  <c r="B27469" i="2"/>
  <c r="B27468" i="2"/>
  <c r="B27467" i="2"/>
  <c r="B27466" i="2"/>
  <c r="B27465" i="2"/>
  <c r="B27464" i="2"/>
  <c r="B27463" i="2"/>
  <c r="B27462" i="2"/>
  <c r="B27461" i="2"/>
  <c r="B27460" i="2"/>
  <c r="B27459" i="2"/>
  <c r="B27458" i="2"/>
  <c r="B27457" i="2"/>
  <c r="B27456" i="2"/>
  <c r="B27455" i="2"/>
  <c r="B27454" i="2"/>
  <c r="B27453" i="2"/>
  <c r="B27452" i="2"/>
  <c r="B27451" i="2"/>
  <c r="B27450" i="2"/>
  <c r="B27449" i="2"/>
  <c r="B27448" i="2"/>
  <c r="B27447" i="2"/>
  <c r="B27446" i="2"/>
  <c r="B27445" i="2"/>
  <c r="B27444" i="2"/>
  <c r="B27443" i="2"/>
  <c r="B27442" i="2"/>
  <c r="B27441" i="2"/>
  <c r="B27440" i="2"/>
  <c r="B27439" i="2"/>
  <c r="B27438" i="2"/>
  <c r="B27437" i="2"/>
  <c r="B27436" i="2"/>
  <c r="B27435" i="2"/>
  <c r="B27434" i="2"/>
  <c r="B27433" i="2"/>
  <c r="B27432" i="2"/>
  <c r="B27431" i="2"/>
  <c r="B27430" i="2"/>
  <c r="B27429" i="2"/>
  <c r="B27428" i="2"/>
  <c r="B27427" i="2"/>
  <c r="B27426" i="2"/>
  <c r="B27425" i="2"/>
  <c r="B27424" i="2"/>
  <c r="B27423" i="2"/>
  <c r="B27422" i="2"/>
  <c r="B27421" i="2"/>
  <c r="B27420" i="2"/>
  <c r="B27419" i="2"/>
  <c r="B27418" i="2"/>
  <c r="B27417" i="2"/>
  <c r="B27416" i="2"/>
  <c r="B27415" i="2"/>
  <c r="B27414" i="2"/>
  <c r="B27413" i="2"/>
  <c r="B27412" i="2"/>
  <c r="B27411" i="2"/>
  <c r="B27410" i="2"/>
  <c r="B27409" i="2"/>
  <c r="B27408" i="2"/>
  <c r="B27407" i="2"/>
  <c r="B27406" i="2"/>
  <c r="B27405" i="2"/>
  <c r="B27404" i="2"/>
  <c r="B27403" i="2"/>
  <c r="B27402" i="2"/>
  <c r="B27401" i="2"/>
  <c r="B27400" i="2"/>
  <c r="B27399" i="2"/>
  <c r="B27398" i="2"/>
  <c r="B27397" i="2"/>
  <c r="B27396" i="2"/>
  <c r="B27395" i="2"/>
  <c r="B27394" i="2"/>
  <c r="B27393" i="2"/>
  <c r="B27392" i="2"/>
  <c r="B27391" i="2"/>
  <c r="B27390" i="2"/>
  <c r="B27389" i="2"/>
  <c r="B27388" i="2"/>
  <c r="B27387" i="2"/>
  <c r="B27386" i="2"/>
  <c r="B27385" i="2"/>
  <c r="B27384" i="2"/>
  <c r="B27383" i="2"/>
  <c r="B27382" i="2"/>
  <c r="B27381" i="2"/>
  <c r="B27380" i="2"/>
  <c r="B27379" i="2"/>
  <c r="B27378" i="2"/>
  <c r="B27377" i="2"/>
  <c r="B27376" i="2"/>
  <c r="B27375" i="2"/>
  <c r="B27374" i="2"/>
  <c r="B27373" i="2"/>
  <c r="B27372" i="2"/>
  <c r="B27371" i="2"/>
  <c r="B27370" i="2"/>
  <c r="B27369" i="2"/>
  <c r="B27368" i="2"/>
  <c r="B27367" i="2"/>
  <c r="B27366" i="2"/>
  <c r="B27365" i="2"/>
  <c r="B27364" i="2"/>
  <c r="B27363" i="2"/>
  <c r="B27362" i="2"/>
  <c r="B27361" i="2"/>
  <c r="B27360" i="2"/>
  <c r="B27359" i="2"/>
  <c r="B27358" i="2"/>
  <c r="B27357" i="2"/>
  <c r="B27356" i="2"/>
  <c r="B27355" i="2"/>
  <c r="B27354" i="2"/>
  <c r="B27353" i="2"/>
  <c r="B27352" i="2"/>
  <c r="B27351" i="2"/>
  <c r="B27350" i="2"/>
  <c r="B27349" i="2"/>
  <c r="B27348" i="2"/>
  <c r="B27347" i="2"/>
  <c r="B27346" i="2"/>
  <c r="B27345" i="2"/>
  <c r="B27344" i="2"/>
  <c r="B27343" i="2"/>
  <c r="B27342" i="2"/>
  <c r="B27341" i="2"/>
  <c r="B27340" i="2"/>
  <c r="B27339" i="2"/>
  <c r="B27338" i="2"/>
  <c r="B27337" i="2"/>
  <c r="B27336" i="2"/>
  <c r="B27335" i="2"/>
  <c r="B27334" i="2"/>
  <c r="B27333" i="2"/>
  <c r="B27332" i="2"/>
  <c r="B27331" i="2"/>
  <c r="B27330" i="2"/>
  <c r="B27329" i="2"/>
  <c r="B27328" i="2"/>
  <c r="B27327" i="2"/>
  <c r="B27326" i="2"/>
  <c r="B27325" i="2"/>
  <c r="B27324" i="2"/>
  <c r="B27323" i="2"/>
  <c r="B27322" i="2"/>
  <c r="B27321" i="2"/>
  <c r="B27320" i="2"/>
  <c r="B27319" i="2"/>
  <c r="B27318" i="2"/>
  <c r="B27317" i="2"/>
  <c r="B27316" i="2"/>
  <c r="B27315" i="2"/>
  <c r="B27314" i="2"/>
  <c r="B27313" i="2"/>
  <c r="B27312" i="2"/>
  <c r="B27311" i="2"/>
  <c r="B27310" i="2"/>
  <c r="B27309" i="2"/>
  <c r="B27308" i="2"/>
  <c r="B27307" i="2"/>
  <c r="B27306" i="2"/>
  <c r="B27305" i="2"/>
  <c r="B27304" i="2"/>
  <c r="B27303" i="2"/>
  <c r="B27302" i="2"/>
  <c r="B27301" i="2"/>
  <c r="B27300" i="2"/>
  <c r="B27299" i="2"/>
  <c r="B27298" i="2"/>
  <c r="B27297" i="2"/>
  <c r="B27296" i="2"/>
  <c r="B27295" i="2"/>
  <c r="B27294" i="2"/>
  <c r="B27293" i="2"/>
  <c r="B27292" i="2"/>
  <c r="B27291" i="2"/>
  <c r="B27290" i="2"/>
  <c r="B27289" i="2"/>
  <c r="B27288" i="2"/>
  <c r="B27287" i="2"/>
  <c r="B27286" i="2"/>
  <c r="B27285" i="2"/>
  <c r="B27284" i="2"/>
  <c r="B27283" i="2"/>
  <c r="B27282" i="2"/>
  <c r="B27281" i="2"/>
  <c r="B27280" i="2"/>
  <c r="B27279" i="2"/>
  <c r="B27278" i="2"/>
  <c r="B27277" i="2"/>
  <c r="B27276" i="2"/>
  <c r="B27275" i="2"/>
  <c r="B27274" i="2"/>
  <c r="B27273" i="2"/>
  <c r="B27272" i="2"/>
  <c r="B27271" i="2"/>
  <c r="B27270" i="2"/>
  <c r="B27269" i="2"/>
  <c r="B27268" i="2"/>
  <c r="B27267" i="2"/>
  <c r="B27266" i="2"/>
  <c r="B27265" i="2"/>
  <c r="B27264" i="2"/>
  <c r="B27263" i="2"/>
  <c r="B27262" i="2"/>
  <c r="B27261" i="2"/>
  <c r="B27260" i="2"/>
  <c r="B27259" i="2"/>
  <c r="B27258" i="2"/>
  <c r="B27257" i="2"/>
  <c r="B27256" i="2"/>
  <c r="B27255" i="2"/>
  <c r="B27254" i="2"/>
  <c r="B27253" i="2"/>
  <c r="B27252" i="2"/>
  <c r="B27251" i="2"/>
  <c r="B27250" i="2"/>
  <c r="B27249" i="2"/>
  <c r="B27248" i="2"/>
  <c r="B27247" i="2"/>
  <c r="B27246" i="2"/>
  <c r="B27245" i="2"/>
  <c r="B27244" i="2"/>
  <c r="B27243" i="2"/>
  <c r="B27242" i="2"/>
  <c r="B27241" i="2"/>
  <c r="B27240" i="2"/>
  <c r="B27239" i="2"/>
  <c r="B27238" i="2"/>
  <c r="B27237" i="2"/>
  <c r="B27236" i="2"/>
  <c r="B27235" i="2"/>
  <c r="B27234" i="2"/>
  <c r="B27233" i="2"/>
  <c r="B27232" i="2"/>
  <c r="B27231" i="2"/>
  <c r="B27230" i="2"/>
  <c r="B27229" i="2"/>
  <c r="B27228" i="2"/>
  <c r="B27227" i="2"/>
  <c r="B27226" i="2"/>
  <c r="B27225" i="2"/>
  <c r="B27224" i="2"/>
  <c r="B27223" i="2"/>
  <c r="B27222" i="2"/>
  <c r="B27221" i="2"/>
  <c r="B27220" i="2"/>
  <c r="B27219" i="2"/>
  <c r="B27218" i="2"/>
  <c r="B27217" i="2"/>
  <c r="B27216" i="2"/>
  <c r="B27215" i="2"/>
  <c r="B27214" i="2"/>
  <c r="B27213" i="2"/>
  <c r="B27212" i="2"/>
  <c r="B27211" i="2"/>
  <c r="B27210" i="2"/>
  <c r="B27209" i="2"/>
  <c r="B27208" i="2"/>
  <c r="B27207" i="2"/>
  <c r="B27206" i="2"/>
  <c r="B27205" i="2"/>
  <c r="B27204" i="2"/>
  <c r="B27203" i="2"/>
  <c r="B27202" i="2"/>
  <c r="B27201" i="2"/>
  <c r="B27200" i="2"/>
  <c r="B27199" i="2"/>
  <c r="B27198" i="2"/>
  <c r="B27197" i="2"/>
  <c r="B27196" i="2"/>
  <c r="B27195" i="2"/>
  <c r="B27194" i="2"/>
  <c r="B27193" i="2"/>
  <c r="B27192" i="2"/>
  <c r="B27191" i="2"/>
  <c r="B27190" i="2"/>
  <c r="B27189" i="2"/>
  <c r="B27188" i="2"/>
  <c r="B27187" i="2"/>
  <c r="B27186" i="2"/>
  <c r="B27185" i="2"/>
  <c r="B27184" i="2"/>
  <c r="B27183" i="2"/>
  <c r="B27182" i="2"/>
  <c r="B27181" i="2"/>
  <c r="B27180" i="2"/>
  <c r="B27179" i="2"/>
  <c r="B27178" i="2"/>
  <c r="B27177" i="2"/>
  <c r="B27176" i="2"/>
  <c r="B27175" i="2"/>
  <c r="B27174" i="2"/>
  <c r="B27173" i="2"/>
  <c r="B27172" i="2"/>
  <c r="B27171" i="2"/>
  <c r="B27170" i="2"/>
  <c r="B27169" i="2"/>
  <c r="B27168" i="2"/>
  <c r="B27167" i="2"/>
  <c r="B27166" i="2"/>
  <c r="B27165" i="2"/>
  <c r="B27164" i="2"/>
  <c r="B27163" i="2"/>
  <c r="B27162" i="2"/>
  <c r="B27161" i="2"/>
  <c r="B27160" i="2"/>
  <c r="B27159" i="2"/>
  <c r="B27158" i="2"/>
  <c r="B27157" i="2"/>
  <c r="B27156" i="2"/>
  <c r="B27155" i="2"/>
  <c r="B27154" i="2"/>
  <c r="B27153" i="2"/>
  <c r="B27152" i="2"/>
  <c r="B27151" i="2"/>
  <c r="B27150" i="2"/>
  <c r="B27149" i="2"/>
  <c r="B27148" i="2"/>
  <c r="B27147" i="2"/>
  <c r="B27146" i="2"/>
  <c r="B27145" i="2"/>
  <c r="B27144" i="2"/>
  <c r="B27143" i="2"/>
  <c r="B27142" i="2"/>
  <c r="B27141" i="2"/>
  <c r="B27140" i="2"/>
  <c r="B27139" i="2"/>
  <c r="B27138" i="2"/>
  <c r="B27137" i="2"/>
  <c r="B27136" i="2"/>
  <c r="B27135" i="2"/>
  <c r="B27134" i="2"/>
  <c r="B27133" i="2"/>
  <c r="B27132" i="2"/>
  <c r="B27131" i="2"/>
  <c r="B27130" i="2"/>
  <c r="B27129" i="2"/>
  <c r="B27128" i="2"/>
  <c r="B27127" i="2"/>
  <c r="B27126" i="2"/>
  <c r="B27125" i="2"/>
  <c r="B27124" i="2"/>
  <c r="B27123" i="2"/>
  <c r="B27122" i="2"/>
  <c r="B27121" i="2"/>
  <c r="B27120" i="2"/>
  <c r="B27119" i="2"/>
  <c r="B27118" i="2"/>
  <c r="B27117" i="2"/>
  <c r="B27116" i="2"/>
  <c r="B27115" i="2"/>
  <c r="B27114" i="2"/>
  <c r="B27113" i="2"/>
  <c r="B27112" i="2"/>
  <c r="B27111" i="2"/>
  <c r="B27110" i="2"/>
  <c r="B27109" i="2"/>
  <c r="B27108" i="2"/>
  <c r="B27107" i="2"/>
  <c r="B27106" i="2"/>
  <c r="B27105" i="2"/>
  <c r="B27104" i="2"/>
  <c r="B27103" i="2"/>
  <c r="B27102" i="2"/>
  <c r="B27101" i="2"/>
  <c r="B27100" i="2"/>
  <c r="B27099" i="2"/>
  <c r="B27098" i="2"/>
  <c r="B27097" i="2"/>
  <c r="B27096" i="2"/>
  <c r="B27095" i="2"/>
  <c r="B27094" i="2"/>
  <c r="B27093" i="2"/>
  <c r="B27092" i="2"/>
  <c r="B27091" i="2"/>
  <c r="B27090" i="2"/>
  <c r="B27089" i="2"/>
  <c r="B27088" i="2"/>
  <c r="B27087" i="2"/>
  <c r="B27086" i="2"/>
  <c r="B27085" i="2"/>
  <c r="B27084" i="2"/>
  <c r="B27083" i="2"/>
  <c r="B27082" i="2"/>
  <c r="B27081" i="2"/>
  <c r="B27080" i="2"/>
  <c r="B27079" i="2"/>
  <c r="B27078" i="2"/>
  <c r="B27077" i="2"/>
  <c r="B27076" i="2"/>
  <c r="B27075" i="2"/>
  <c r="B27074" i="2"/>
  <c r="B27073" i="2"/>
  <c r="B27072" i="2"/>
  <c r="B27071" i="2"/>
  <c r="B27070" i="2"/>
  <c r="B27069" i="2"/>
  <c r="B27068" i="2"/>
  <c r="B27067" i="2"/>
  <c r="B27066" i="2"/>
  <c r="B27065" i="2"/>
  <c r="B27064" i="2"/>
  <c r="B27063" i="2"/>
  <c r="B27062" i="2"/>
  <c r="B27061" i="2"/>
  <c r="B27060" i="2"/>
  <c r="B27059" i="2"/>
  <c r="B27058" i="2"/>
  <c r="B27057" i="2"/>
  <c r="B27056" i="2"/>
  <c r="B27055" i="2"/>
  <c r="B27054" i="2"/>
  <c r="B27053" i="2"/>
  <c r="B27052" i="2"/>
  <c r="B27051" i="2"/>
  <c r="B27050" i="2"/>
  <c r="B27049" i="2"/>
  <c r="B27048" i="2"/>
  <c r="B27047" i="2"/>
  <c r="B27046" i="2"/>
  <c r="B27045" i="2"/>
  <c r="B27044" i="2"/>
  <c r="B27043" i="2"/>
  <c r="B27042" i="2"/>
  <c r="B27041" i="2"/>
  <c r="B27040" i="2"/>
  <c r="B27039" i="2"/>
  <c r="B27038" i="2"/>
  <c r="B27037" i="2"/>
  <c r="B27036" i="2"/>
  <c r="B27035" i="2"/>
  <c r="B27034" i="2"/>
  <c r="B27033" i="2"/>
  <c r="B27032" i="2"/>
  <c r="B27031" i="2"/>
  <c r="B27030" i="2"/>
  <c r="B27029" i="2"/>
  <c r="B27028" i="2"/>
  <c r="B27027" i="2"/>
  <c r="B27026" i="2"/>
  <c r="B27025" i="2"/>
  <c r="B27024" i="2"/>
  <c r="B27023" i="2"/>
  <c r="B27022" i="2"/>
  <c r="B27021" i="2"/>
  <c r="B27020" i="2"/>
  <c r="B27019" i="2"/>
  <c r="B27018" i="2"/>
  <c r="B27017" i="2"/>
  <c r="B27016" i="2"/>
  <c r="B27015" i="2"/>
  <c r="B27014" i="2"/>
  <c r="B27013" i="2"/>
  <c r="B27012" i="2"/>
  <c r="B27011" i="2"/>
  <c r="B27010" i="2"/>
  <c r="B27009" i="2"/>
  <c r="B27008" i="2"/>
  <c r="B27007" i="2"/>
  <c r="B27006" i="2"/>
  <c r="B27005" i="2"/>
  <c r="B27004" i="2"/>
  <c r="B27003" i="2"/>
  <c r="B27002" i="2"/>
  <c r="B27001" i="2"/>
  <c r="B27000" i="2"/>
  <c r="B26999" i="2"/>
  <c r="B26998" i="2"/>
  <c r="B26997" i="2"/>
  <c r="B26996" i="2"/>
  <c r="B26995" i="2"/>
  <c r="B26994" i="2"/>
  <c r="B26993" i="2"/>
  <c r="B26992" i="2"/>
  <c r="B26991" i="2"/>
  <c r="B26990" i="2"/>
  <c r="B26989" i="2"/>
  <c r="B26988" i="2"/>
  <c r="B26987" i="2"/>
  <c r="B26986" i="2"/>
  <c r="B26985" i="2"/>
  <c r="B26984" i="2"/>
  <c r="B26983" i="2"/>
  <c r="B26982" i="2"/>
  <c r="B26981" i="2"/>
  <c r="B26980" i="2"/>
  <c r="B26979" i="2"/>
  <c r="B26978" i="2"/>
  <c r="B26977" i="2"/>
  <c r="B26976" i="2"/>
  <c r="B26975" i="2"/>
  <c r="B26974" i="2"/>
  <c r="B26973" i="2"/>
  <c r="B26972" i="2"/>
  <c r="B26971" i="2"/>
  <c r="B26970" i="2"/>
  <c r="B26969" i="2"/>
  <c r="B26968" i="2"/>
  <c r="B26967" i="2"/>
  <c r="B26966" i="2"/>
  <c r="B26965" i="2"/>
  <c r="B26964" i="2"/>
  <c r="B26963" i="2"/>
  <c r="B26962" i="2"/>
  <c r="B26961" i="2"/>
  <c r="B26960" i="2"/>
  <c r="B26959" i="2"/>
  <c r="B26958" i="2"/>
  <c r="B26957" i="2"/>
  <c r="B26956" i="2"/>
  <c r="B26955" i="2"/>
  <c r="B26954" i="2"/>
  <c r="B26953" i="2"/>
  <c r="B26952" i="2"/>
  <c r="B26951" i="2"/>
  <c r="B26950" i="2"/>
  <c r="B26949" i="2"/>
  <c r="B26948" i="2"/>
  <c r="B26947" i="2"/>
  <c r="B26946" i="2"/>
  <c r="B26945" i="2"/>
  <c r="B26944" i="2"/>
  <c r="B26943" i="2"/>
  <c r="B26942" i="2"/>
  <c r="B26941" i="2"/>
  <c r="B26940" i="2"/>
  <c r="B26939" i="2"/>
  <c r="B26938" i="2"/>
  <c r="B26937" i="2"/>
  <c r="B26936" i="2"/>
  <c r="B26935" i="2"/>
  <c r="B26934" i="2"/>
  <c r="B26933" i="2"/>
  <c r="B26932" i="2"/>
  <c r="B26931" i="2"/>
  <c r="B26930" i="2"/>
  <c r="B26929" i="2"/>
  <c r="B26928" i="2"/>
  <c r="B26927" i="2"/>
  <c r="B26926" i="2"/>
  <c r="B26925" i="2"/>
  <c r="B26924" i="2"/>
  <c r="B26923" i="2"/>
  <c r="B26922" i="2"/>
  <c r="B26921" i="2"/>
  <c r="B26920" i="2"/>
  <c r="B26919" i="2"/>
  <c r="B26918" i="2"/>
  <c r="B26917" i="2"/>
  <c r="B26916" i="2"/>
  <c r="B26915" i="2"/>
  <c r="B26914" i="2"/>
  <c r="B26913" i="2"/>
  <c r="B26912" i="2"/>
  <c r="B26911" i="2"/>
  <c r="B26910" i="2"/>
  <c r="B26909" i="2"/>
  <c r="B26908" i="2"/>
  <c r="B26907" i="2"/>
  <c r="B26906" i="2"/>
  <c r="B26905" i="2"/>
  <c r="B26904" i="2"/>
  <c r="B26903" i="2"/>
  <c r="B26902" i="2"/>
  <c r="B26901" i="2"/>
  <c r="B26900" i="2"/>
  <c r="B26899" i="2"/>
  <c r="B26898" i="2"/>
  <c r="B26897" i="2"/>
  <c r="B26896" i="2"/>
  <c r="B26895" i="2"/>
  <c r="B26894" i="2"/>
  <c r="B26893" i="2"/>
  <c r="B26892" i="2"/>
  <c r="B26891" i="2"/>
  <c r="B26890" i="2"/>
  <c r="B26889" i="2"/>
  <c r="B26888" i="2"/>
  <c r="B26887" i="2"/>
  <c r="B26886" i="2"/>
  <c r="B26885" i="2"/>
  <c r="B26884" i="2"/>
  <c r="B26883" i="2"/>
  <c r="B26882" i="2"/>
  <c r="B26881" i="2"/>
  <c r="B26880" i="2"/>
  <c r="B26879" i="2"/>
  <c r="B26878" i="2"/>
  <c r="B26877" i="2"/>
  <c r="B26876" i="2"/>
  <c r="B26875" i="2"/>
  <c r="B26874" i="2"/>
  <c r="B26873" i="2"/>
  <c r="B26872" i="2"/>
  <c r="B26871" i="2"/>
  <c r="B26870" i="2"/>
  <c r="B26869" i="2"/>
  <c r="B26868" i="2"/>
  <c r="B26867" i="2"/>
  <c r="B26866" i="2"/>
  <c r="B26865" i="2"/>
  <c r="B26864" i="2"/>
  <c r="B26863" i="2"/>
  <c r="B26862" i="2"/>
  <c r="B26861" i="2"/>
  <c r="B26860" i="2"/>
  <c r="B26859" i="2"/>
  <c r="B26858" i="2"/>
  <c r="B26857" i="2"/>
  <c r="B26856" i="2"/>
  <c r="B26855" i="2"/>
  <c r="B26854" i="2"/>
  <c r="B26853" i="2"/>
  <c r="B26852" i="2"/>
  <c r="B26851" i="2"/>
  <c r="B26850" i="2"/>
  <c r="B26849" i="2"/>
  <c r="B26848" i="2"/>
  <c r="B26847" i="2"/>
  <c r="B26846" i="2"/>
  <c r="B26845" i="2"/>
  <c r="B26844" i="2"/>
  <c r="B26843" i="2"/>
  <c r="B26842" i="2"/>
  <c r="B26841" i="2"/>
  <c r="B26840" i="2"/>
  <c r="B26839" i="2"/>
  <c r="B26838" i="2"/>
  <c r="B26837" i="2"/>
  <c r="B26836" i="2"/>
  <c r="B26835" i="2"/>
  <c r="B26834" i="2"/>
  <c r="B26833" i="2"/>
  <c r="B26832" i="2"/>
  <c r="B26831" i="2"/>
  <c r="B26830" i="2"/>
  <c r="B26829" i="2"/>
  <c r="B26828" i="2"/>
  <c r="B26827" i="2"/>
  <c r="B26826" i="2"/>
  <c r="B26825" i="2"/>
  <c r="B26824" i="2"/>
  <c r="B26823" i="2"/>
  <c r="B26822" i="2"/>
  <c r="B26821" i="2"/>
  <c r="B26820" i="2"/>
  <c r="B26819" i="2"/>
  <c r="B26818" i="2"/>
  <c r="B26817" i="2"/>
  <c r="B26816" i="2"/>
  <c r="B26815" i="2"/>
  <c r="B26814" i="2"/>
  <c r="B26813" i="2"/>
  <c r="B26812" i="2"/>
  <c r="B26811" i="2"/>
  <c r="B26810" i="2"/>
  <c r="B26809" i="2"/>
  <c r="B26808" i="2"/>
  <c r="B26807" i="2"/>
  <c r="B26806" i="2"/>
  <c r="B26805" i="2"/>
  <c r="B26804" i="2"/>
  <c r="B26803" i="2"/>
  <c r="B26802" i="2"/>
  <c r="B26801" i="2"/>
  <c r="B26800" i="2"/>
  <c r="B26799" i="2"/>
  <c r="B26798" i="2"/>
  <c r="B26797" i="2"/>
  <c r="B26796" i="2"/>
  <c r="B26795" i="2"/>
  <c r="B26794" i="2"/>
  <c r="B26793" i="2"/>
  <c r="B26792" i="2"/>
  <c r="B26791" i="2"/>
  <c r="B26790" i="2"/>
  <c r="B26789" i="2"/>
  <c r="B26788" i="2"/>
  <c r="B26787" i="2"/>
  <c r="B26786" i="2"/>
  <c r="B26785" i="2"/>
  <c r="B26784" i="2"/>
  <c r="B26783" i="2"/>
  <c r="B26782" i="2"/>
  <c r="B26781" i="2"/>
  <c r="B26780" i="2"/>
  <c r="B26779" i="2"/>
  <c r="B26778" i="2"/>
  <c r="B26777" i="2"/>
  <c r="B26776" i="2"/>
  <c r="B26775" i="2"/>
  <c r="B26774" i="2"/>
  <c r="B26773" i="2"/>
  <c r="B26772" i="2"/>
  <c r="B26771" i="2"/>
  <c r="B26770" i="2"/>
  <c r="B26769" i="2"/>
  <c r="B26768" i="2"/>
  <c r="B26767" i="2"/>
  <c r="B26766" i="2"/>
  <c r="B26765" i="2"/>
  <c r="B26764" i="2"/>
  <c r="B26763" i="2"/>
  <c r="B26762" i="2"/>
  <c r="B26761" i="2"/>
  <c r="B26760" i="2"/>
  <c r="B26759" i="2"/>
  <c r="B26758" i="2"/>
  <c r="B26757" i="2"/>
  <c r="B26756" i="2"/>
  <c r="B26755" i="2"/>
  <c r="B26754" i="2"/>
  <c r="B26753" i="2"/>
  <c r="B26752" i="2"/>
  <c r="B26751" i="2"/>
  <c r="B26750" i="2"/>
  <c r="B26749" i="2"/>
  <c r="B26748" i="2"/>
  <c r="B26747" i="2"/>
  <c r="B26746" i="2"/>
  <c r="B26745" i="2"/>
  <c r="B26744" i="2"/>
  <c r="B26743" i="2"/>
  <c r="B26742" i="2"/>
  <c r="B26741" i="2"/>
  <c r="B26740" i="2"/>
  <c r="B26739" i="2"/>
  <c r="B26738" i="2"/>
  <c r="B26737" i="2"/>
  <c r="B26736" i="2"/>
  <c r="B26735" i="2"/>
  <c r="B26734" i="2"/>
  <c r="B26733" i="2"/>
  <c r="B26732" i="2"/>
  <c r="B26731" i="2"/>
  <c r="B26730" i="2"/>
  <c r="B26729" i="2"/>
  <c r="B26728" i="2"/>
  <c r="B26727" i="2"/>
  <c r="B26726" i="2"/>
  <c r="B26725" i="2"/>
  <c r="B26724" i="2"/>
  <c r="B26723" i="2"/>
  <c r="B26722" i="2"/>
  <c r="B26721" i="2"/>
  <c r="B26720" i="2"/>
  <c r="B26719" i="2"/>
  <c r="B26718" i="2"/>
  <c r="B26717" i="2"/>
  <c r="B26716" i="2"/>
  <c r="B26715" i="2"/>
  <c r="B26714" i="2"/>
  <c r="B26713" i="2"/>
  <c r="B26712" i="2"/>
  <c r="B26711" i="2"/>
  <c r="B26710" i="2"/>
  <c r="B26709" i="2"/>
  <c r="B26708" i="2"/>
  <c r="B26707" i="2"/>
  <c r="B26706" i="2"/>
  <c r="B26705" i="2"/>
  <c r="B26704" i="2"/>
  <c r="B26703" i="2"/>
  <c r="B26702" i="2"/>
  <c r="B26701" i="2"/>
  <c r="B26700" i="2"/>
  <c r="B26699" i="2"/>
  <c r="B26698" i="2"/>
  <c r="B26697" i="2"/>
  <c r="B26696" i="2"/>
  <c r="B26695" i="2"/>
  <c r="B26694" i="2"/>
  <c r="B26693" i="2"/>
  <c r="B26692" i="2"/>
  <c r="B26691" i="2"/>
  <c r="B26690" i="2"/>
  <c r="B26689" i="2"/>
  <c r="B26688" i="2"/>
  <c r="B26687" i="2"/>
  <c r="B26686" i="2"/>
  <c r="B26685" i="2"/>
  <c r="B26684" i="2"/>
  <c r="B26683" i="2"/>
  <c r="B26682" i="2"/>
  <c r="B26681" i="2"/>
  <c r="B26680" i="2"/>
  <c r="B26679" i="2"/>
  <c r="B26678" i="2"/>
  <c r="B26677" i="2"/>
  <c r="B26676" i="2"/>
  <c r="B26675" i="2"/>
  <c r="B26674" i="2"/>
  <c r="B26673" i="2"/>
  <c r="B26672" i="2"/>
  <c r="B26671" i="2"/>
  <c r="B26670" i="2"/>
  <c r="B26669" i="2"/>
  <c r="B26668" i="2"/>
  <c r="B26667" i="2"/>
  <c r="B26666" i="2"/>
  <c r="B26665" i="2"/>
  <c r="B26664" i="2"/>
  <c r="B26663" i="2"/>
  <c r="B26662" i="2"/>
  <c r="B26661" i="2"/>
  <c r="B26660" i="2"/>
  <c r="B26659" i="2"/>
  <c r="B26658" i="2"/>
  <c r="B26657" i="2"/>
  <c r="B26656" i="2"/>
  <c r="B26655" i="2"/>
  <c r="B26654" i="2"/>
  <c r="B26653" i="2"/>
  <c r="B26652" i="2"/>
  <c r="B26651" i="2"/>
  <c r="B26650" i="2"/>
  <c r="B26649" i="2"/>
  <c r="B26648" i="2"/>
  <c r="B26647" i="2"/>
  <c r="B26646" i="2"/>
  <c r="B26645" i="2"/>
  <c r="B26644" i="2"/>
  <c r="B26643" i="2"/>
  <c r="B26642" i="2"/>
  <c r="B26641" i="2"/>
  <c r="B26640" i="2"/>
  <c r="B26639" i="2"/>
  <c r="B26638" i="2"/>
  <c r="B26637" i="2"/>
  <c r="B26636" i="2"/>
  <c r="B26635" i="2"/>
  <c r="B26634" i="2"/>
  <c r="B26633" i="2"/>
  <c r="B26632" i="2"/>
  <c r="B26631" i="2"/>
  <c r="B26630" i="2"/>
  <c r="B26629" i="2"/>
  <c r="B26628" i="2"/>
  <c r="B26627" i="2"/>
  <c r="B26626" i="2"/>
  <c r="B26625" i="2"/>
  <c r="B26624" i="2"/>
  <c r="B26623" i="2"/>
  <c r="B26622" i="2"/>
  <c r="B26621" i="2"/>
  <c r="B26620" i="2"/>
  <c r="B26619" i="2"/>
  <c r="B26618" i="2"/>
  <c r="B26617" i="2"/>
  <c r="B26616" i="2"/>
  <c r="B26615" i="2"/>
  <c r="B26614" i="2"/>
  <c r="B26613" i="2"/>
  <c r="B26612" i="2"/>
  <c r="B26611" i="2"/>
  <c r="B26610" i="2"/>
  <c r="B26609" i="2"/>
  <c r="B26608" i="2"/>
  <c r="B26607" i="2"/>
  <c r="B26606" i="2"/>
  <c r="B26605" i="2"/>
  <c r="B26604" i="2"/>
  <c r="B26603" i="2"/>
  <c r="B26602" i="2"/>
  <c r="B26601" i="2"/>
  <c r="B26600" i="2"/>
  <c r="B26599" i="2"/>
  <c r="B26598" i="2"/>
  <c r="B26597" i="2"/>
  <c r="B26596" i="2"/>
  <c r="B26595" i="2"/>
  <c r="B26594" i="2"/>
  <c r="B26593" i="2"/>
  <c r="B26592" i="2"/>
  <c r="B26591" i="2"/>
  <c r="B26590" i="2"/>
  <c r="B26589" i="2"/>
  <c r="B26588" i="2"/>
  <c r="B26587" i="2"/>
  <c r="B26586" i="2"/>
  <c r="B26585" i="2"/>
  <c r="B26584" i="2"/>
  <c r="B26583" i="2"/>
  <c r="B26582" i="2"/>
  <c r="B26581" i="2"/>
  <c r="B26580" i="2"/>
  <c r="B26579" i="2"/>
  <c r="B26578" i="2"/>
  <c r="B26577" i="2"/>
  <c r="B26576" i="2"/>
  <c r="B26575" i="2"/>
  <c r="B26574" i="2"/>
  <c r="B26573" i="2"/>
  <c r="B26572" i="2"/>
  <c r="B26571" i="2"/>
  <c r="B26570" i="2"/>
  <c r="B26569" i="2"/>
  <c r="B26568" i="2"/>
  <c r="B26567" i="2"/>
  <c r="B26566" i="2"/>
  <c r="B26565" i="2"/>
  <c r="B26564" i="2"/>
  <c r="B26563" i="2"/>
  <c r="B26562" i="2"/>
  <c r="B26561" i="2"/>
  <c r="B26560" i="2"/>
  <c r="B26559" i="2"/>
  <c r="B26558" i="2"/>
  <c r="B26557" i="2"/>
  <c r="B26556" i="2"/>
  <c r="B26555" i="2"/>
  <c r="B26554" i="2"/>
  <c r="B26553" i="2"/>
  <c r="B26552" i="2"/>
  <c r="B26551" i="2"/>
  <c r="B26550" i="2"/>
  <c r="B26549" i="2"/>
  <c r="B26548" i="2"/>
  <c r="B26547" i="2"/>
  <c r="B26546" i="2"/>
  <c r="B26545" i="2"/>
  <c r="B26544" i="2"/>
  <c r="B26543" i="2"/>
  <c r="B26542" i="2"/>
  <c r="B26541" i="2"/>
  <c r="B26540" i="2"/>
  <c r="B26539" i="2"/>
  <c r="B26538" i="2"/>
  <c r="B26537" i="2"/>
  <c r="B26536" i="2"/>
  <c r="B26535" i="2"/>
  <c r="B26534" i="2"/>
  <c r="B26533" i="2"/>
  <c r="B26532" i="2"/>
  <c r="B26531" i="2"/>
  <c r="B26530" i="2"/>
  <c r="B26529" i="2"/>
  <c r="B26528" i="2"/>
  <c r="B26527" i="2"/>
  <c r="B26526" i="2"/>
  <c r="B26525" i="2"/>
  <c r="B26524" i="2"/>
  <c r="B26523" i="2"/>
  <c r="B26522" i="2"/>
  <c r="B26521" i="2"/>
  <c r="B26520" i="2"/>
  <c r="B26519" i="2"/>
  <c r="B26518" i="2"/>
  <c r="B26517" i="2"/>
  <c r="B26516" i="2"/>
  <c r="B26515" i="2"/>
  <c r="B26514" i="2"/>
  <c r="B26513" i="2"/>
  <c r="B26512" i="2"/>
  <c r="B26511" i="2"/>
  <c r="B26510" i="2"/>
  <c r="B26509" i="2"/>
  <c r="B26508" i="2"/>
  <c r="B26507" i="2"/>
  <c r="B26506" i="2"/>
  <c r="B26505" i="2"/>
  <c r="B26504" i="2"/>
  <c r="B26503" i="2"/>
  <c r="B26502" i="2"/>
  <c r="B26501" i="2"/>
  <c r="B26500" i="2"/>
  <c r="B26499" i="2"/>
  <c r="B26498" i="2"/>
  <c r="B26497" i="2"/>
  <c r="B26496" i="2"/>
  <c r="B26495" i="2"/>
  <c r="B26494" i="2"/>
  <c r="B26493" i="2"/>
  <c r="B26492" i="2"/>
  <c r="B26491" i="2"/>
  <c r="B26490" i="2"/>
  <c r="B26489" i="2"/>
  <c r="B26488" i="2"/>
  <c r="B26487" i="2"/>
  <c r="B26486" i="2"/>
  <c r="B26485" i="2"/>
  <c r="B26484" i="2"/>
  <c r="B26483" i="2"/>
  <c r="B26482" i="2"/>
  <c r="B26481" i="2"/>
  <c r="B26480" i="2"/>
  <c r="B26479" i="2"/>
  <c r="B26478" i="2"/>
  <c r="B26477" i="2"/>
  <c r="B26476" i="2"/>
  <c r="B26475" i="2"/>
  <c r="B26474" i="2"/>
  <c r="B26473" i="2"/>
  <c r="B26472" i="2"/>
  <c r="B26471" i="2"/>
  <c r="B26470" i="2"/>
  <c r="B26469" i="2"/>
  <c r="B26468" i="2"/>
  <c r="B26467" i="2"/>
  <c r="B26466" i="2"/>
  <c r="B26465" i="2"/>
  <c r="B26464" i="2"/>
  <c r="B26463" i="2"/>
  <c r="B26462" i="2"/>
  <c r="B26461" i="2"/>
  <c r="B26460" i="2"/>
  <c r="B26459" i="2"/>
  <c r="B26458" i="2"/>
  <c r="B26457" i="2"/>
  <c r="B26456" i="2"/>
  <c r="B26455" i="2"/>
  <c r="B26454" i="2"/>
  <c r="B26453" i="2"/>
  <c r="B26452" i="2"/>
  <c r="B26451" i="2"/>
  <c r="B26450" i="2"/>
  <c r="B26449" i="2"/>
  <c r="B26448" i="2"/>
  <c r="B26447" i="2"/>
  <c r="B26446" i="2"/>
  <c r="B26445" i="2"/>
  <c r="B26444" i="2"/>
  <c r="B26443" i="2"/>
  <c r="B26442" i="2"/>
  <c r="B26441" i="2"/>
  <c r="B26440" i="2"/>
  <c r="B26439" i="2"/>
  <c r="B26438" i="2"/>
  <c r="B26437" i="2"/>
  <c r="B26436" i="2"/>
  <c r="B26435" i="2"/>
  <c r="B26434" i="2"/>
  <c r="B26433" i="2"/>
  <c r="B26432" i="2"/>
  <c r="B26431" i="2"/>
  <c r="B26430" i="2"/>
  <c r="B26429" i="2"/>
  <c r="B26428" i="2"/>
  <c r="B26427" i="2"/>
  <c r="B26426" i="2"/>
  <c r="B26425" i="2"/>
  <c r="B26424" i="2"/>
  <c r="B26423" i="2"/>
  <c r="B26422" i="2"/>
  <c r="B26421" i="2"/>
  <c r="B26420" i="2"/>
  <c r="B26419" i="2"/>
  <c r="B26418" i="2"/>
  <c r="B26417" i="2"/>
  <c r="B26416" i="2"/>
  <c r="B26415" i="2"/>
  <c r="B26414" i="2"/>
  <c r="B26413" i="2"/>
  <c r="B26412" i="2"/>
  <c r="B26411" i="2"/>
  <c r="B26410" i="2"/>
  <c r="B26409" i="2"/>
  <c r="B26408" i="2"/>
  <c r="B26407" i="2"/>
  <c r="B26406" i="2"/>
  <c r="B26405" i="2"/>
  <c r="B26404" i="2"/>
  <c r="B26403" i="2"/>
  <c r="B26402" i="2"/>
  <c r="B26401" i="2"/>
  <c r="B26400" i="2"/>
  <c r="B26399" i="2"/>
  <c r="B26398" i="2"/>
  <c r="B26397" i="2"/>
  <c r="B26396" i="2"/>
  <c r="B26395" i="2"/>
  <c r="B26394" i="2"/>
  <c r="B26393" i="2"/>
  <c r="B26392" i="2"/>
  <c r="B26391" i="2"/>
  <c r="B26390" i="2"/>
  <c r="B26389" i="2"/>
  <c r="B26388" i="2"/>
  <c r="B26387" i="2"/>
  <c r="B26386" i="2"/>
  <c r="B26385" i="2"/>
  <c r="B26384" i="2"/>
  <c r="B26383" i="2"/>
  <c r="B26382" i="2"/>
  <c r="B26381" i="2"/>
  <c r="B26380" i="2"/>
  <c r="B26379" i="2"/>
  <c r="B26378" i="2"/>
  <c r="B26377" i="2"/>
  <c r="B26376" i="2"/>
  <c r="B26375" i="2"/>
  <c r="B26374" i="2"/>
  <c r="B26373" i="2"/>
  <c r="B26372" i="2"/>
  <c r="B26371" i="2"/>
  <c r="B26370" i="2"/>
  <c r="B26369" i="2"/>
  <c r="B26368" i="2"/>
  <c r="B26367" i="2"/>
  <c r="B26366" i="2"/>
  <c r="B26365" i="2"/>
  <c r="B26364" i="2"/>
  <c r="B26363" i="2"/>
  <c r="B26362" i="2"/>
  <c r="B26361" i="2"/>
  <c r="B26360" i="2"/>
  <c r="B26359" i="2"/>
  <c r="B26358" i="2"/>
  <c r="B26357" i="2"/>
  <c r="B26356" i="2"/>
  <c r="B26355" i="2"/>
  <c r="B26354" i="2"/>
  <c r="B26353" i="2"/>
  <c r="B26352" i="2"/>
  <c r="B26351" i="2"/>
  <c r="B26350" i="2"/>
  <c r="B26349" i="2"/>
  <c r="B26348" i="2"/>
  <c r="B26347" i="2"/>
  <c r="B26346" i="2"/>
  <c r="B26345" i="2"/>
  <c r="B26344" i="2"/>
  <c r="B26343" i="2"/>
  <c r="B26342" i="2"/>
  <c r="B26341" i="2"/>
  <c r="B26340" i="2"/>
  <c r="B26339" i="2"/>
  <c r="B26338" i="2"/>
  <c r="B26337" i="2"/>
  <c r="B26336" i="2"/>
  <c r="B26335" i="2"/>
  <c r="B26334" i="2"/>
  <c r="B26333" i="2"/>
  <c r="B26332" i="2"/>
  <c r="B26331" i="2"/>
  <c r="B26330" i="2"/>
  <c r="B26329" i="2"/>
  <c r="B26328" i="2"/>
  <c r="B26327" i="2"/>
  <c r="B26326" i="2"/>
  <c r="B26325" i="2"/>
  <c r="B26324" i="2"/>
  <c r="B26323" i="2"/>
  <c r="B26322" i="2"/>
  <c r="B26321" i="2"/>
  <c r="B26320" i="2"/>
  <c r="B26319" i="2"/>
  <c r="B26318" i="2"/>
  <c r="B26317" i="2"/>
  <c r="B26316" i="2"/>
  <c r="B26315" i="2"/>
  <c r="B26314" i="2"/>
  <c r="B26313" i="2"/>
  <c r="B26312" i="2"/>
  <c r="B26311" i="2"/>
  <c r="B26310" i="2"/>
  <c r="B26309" i="2"/>
  <c r="B26308" i="2"/>
  <c r="B26307" i="2"/>
  <c r="B26306" i="2"/>
  <c r="B26305" i="2"/>
  <c r="B26304" i="2"/>
  <c r="B26303" i="2"/>
  <c r="B26302" i="2"/>
  <c r="B26301" i="2"/>
  <c r="B26300" i="2"/>
  <c r="B26299" i="2"/>
  <c r="B26298" i="2"/>
  <c r="B26297" i="2"/>
  <c r="B26296" i="2"/>
  <c r="B26295" i="2"/>
  <c r="B26294" i="2"/>
  <c r="B26293" i="2"/>
  <c r="B26292" i="2"/>
  <c r="B26291" i="2"/>
  <c r="B26290" i="2"/>
  <c r="B26289" i="2"/>
  <c r="B26288" i="2"/>
  <c r="B26287" i="2"/>
  <c r="B26286" i="2"/>
  <c r="B26285" i="2"/>
  <c r="B26284" i="2"/>
  <c r="B26283" i="2"/>
  <c r="B26282" i="2"/>
  <c r="B26281" i="2"/>
  <c r="B26280" i="2"/>
  <c r="B26279" i="2"/>
  <c r="B26278" i="2"/>
  <c r="B26277" i="2"/>
  <c r="B26276" i="2"/>
  <c r="B26275" i="2"/>
  <c r="B26274" i="2"/>
  <c r="B26273" i="2"/>
  <c r="B26272" i="2"/>
  <c r="B26271" i="2"/>
  <c r="B26270" i="2"/>
  <c r="B26269" i="2"/>
  <c r="B26268" i="2"/>
  <c r="B26267" i="2"/>
  <c r="B26266" i="2"/>
  <c r="B26265" i="2"/>
  <c r="B26264" i="2"/>
  <c r="B26263" i="2"/>
  <c r="B26262" i="2"/>
  <c r="B26261" i="2"/>
  <c r="B26260" i="2"/>
  <c r="B26259" i="2"/>
  <c r="B26258" i="2"/>
  <c r="B26257" i="2"/>
  <c r="B26256" i="2"/>
  <c r="B26255" i="2"/>
  <c r="B26254" i="2"/>
  <c r="B26253" i="2"/>
  <c r="B26252" i="2"/>
  <c r="B26251" i="2"/>
  <c r="B26250" i="2"/>
  <c r="B26249" i="2"/>
  <c r="B26248" i="2"/>
  <c r="B26247" i="2"/>
  <c r="B26246" i="2"/>
  <c r="B26245" i="2"/>
  <c r="B26244" i="2"/>
  <c r="B26243" i="2"/>
  <c r="B26242" i="2"/>
  <c r="B26241" i="2"/>
  <c r="B26240" i="2"/>
  <c r="B26239" i="2"/>
  <c r="B26238" i="2"/>
  <c r="B26237" i="2"/>
  <c r="B26236" i="2"/>
  <c r="B26235" i="2"/>
  <c r="B26234" i="2"/>
  <c r="B26233" i="2"/>
  <c r="B26232" i="2"/>
  <c r="B26231" i="2"/>
  <c r="B26230" i="2"/>
  <c r="B26229" i="2"/>
  <c r="B26228" i="2"/>
  <c r="B26227" i="2"/>
  <c r="B26226" i="2"/>
  <c r="B26225" i="2"/>
  <c r="B26224" i="2"/>
  <c r="B26223" i="2"/>
  <c r="B26222" i="2"/>
  <c r="B26221" i="2"/>
  <c r="B26220" i="2"/>
  <c r="B26219" i="2"/>
  <c r="B26218" i="2"/>
  <c r="B26217" i="2"/>
  <c r="B26216" i="2"/>
  <c r="B26215" i="2"/>
  <c r="B26214" i="2"/>
  <c r="B26213" i="2"/>
  <c r="B26212" i="2"/>
  <c r="B26211" i="2"/>
  <c r="B26210" i="2"/>
  <c r="B26209" i="2"/>
  <c r="B26208" i="2"/>
  <c r="B26207" i="2"/>
  <c r="B26206" i="2"/>
  <c r="B26205" i="2"/>
  <c r="B26204" i="2"/>
  <c r="B26203" i="2"/>
  <c r="B26202" i="2"/>
  <c r="B26201" i="2"/>
  <c r="B26200" i="2"/>
  <c r="B26199" i="2"/>
  <c r="B26198" i="2"/>
  <c r="B26197" i="2"/>
  <c r="B26196" i="2"/>
  <c r="B26195" i="2"/>
  <c r="B26194" i="2"/>
  <c r="B26193" i="2"/>
  <c r="B26192" i="2"/>
  <c r="B26191" i="2"/>
  <c r="B26190" i="2"/>
  <c r="B26189" i="2"/>
  <c r="B26188" i="2"/>
  <c r="B26187" i="2"/>
  <c r="B26186" i="2"/>
  <c r="B26185" i="2"/>
  <c r="B26184" i="2"/>
  <c r="B26183" i="2"/>
  <c r="B26182" i="2"/>
  <c r="B26181" i="2"/>
  <c r="B26180" i="2"/>
  <c r="B26179" i="2"/>
  <c r="B26178" i="2"/>
  <c r="B26177" i="2"/>
  <c r="B26176" i="2"/>
  <c r="B26175" i="2"/>
  <c r="B26174" i="2"/>
  <c r="B26173" i="2"/>
  <c r="B26172" i="2"/>
  <c r="B26171" i="2"/>
  <c r="B26170" i="2"/>
  <c r="B26169" i="2"/>
  <c r="B26168" i="2"/>
  <c r="B26167" i="2"/>
  <c r="B26166" i="2"/>
  <c r="B26165" i="2"/>
  <c r="B26164" i="2"/>
  <c r="B26163" i="2"/>
  <c r="B26162" i="2"/>
  <c r="B26161" i="2"/>
  <c r="B26160" i="2"/>
  <c r="B26159" i="2"/>
  <c r="B26158" i="2"/>
  <c r="B26157" i="2"/>
  <c r="B26156" i="2"/>
  <c r="B26155" i="2"/>
  <c r="B26154" i="2"/>
  <c r="B26153" i="2"/>
  <c r="B26152" i="2"/>
  <c r="B26151" i="2"/>
  <c r="B26150" i="2"/>
  <c r="B26149" i="2"/>
  <c r="B26148" i="2"/>
  <c r="B26147" i="2"/>
  <c r="B26146" i="2"/>
  <c r="B26145" i="2"/>
  <c r="B26144" i="2"/>
  <c r="B26143" i="2"/>
  <c r="B26142" i="2"/>
  <c r="B26141" i="2"/>
  <c r="B26140" i="2"/>
  <c r="B26139" i="2"/>
  <c r="B26138" i="2"/>
  <c r="B26137" i="2"/>
  <c r="B26136" i="2"/>
  <c r="B26135" i="2"/>
  <c r="B26134" i="2"/>
  <c r="B26133" i="2"/>
  <c r="B26132" i="2"/>
  <c r="B26131" i="2"/>
  <c r="B26130" i="2"/>
  <c r="B26129" i="2"/>
  <c r="B26128" i="2"/>
  <c r="B26127" i="2"/>
  <c r="B26126" i="2"/>
  <c r="B26125" i="2"/>
  <c r="B26124" i="2"/>
  <c r="B26123" i="2"/>
  <c r="B26122" i="2"/>
  <c r="B26121" i="2"/>
  <c r="B26120" i="2"/>
  <c r="B26119" i="2"/>
  <c r="B26118" i="2"/>
  <c r="B26117" i="2"/>
  <c r="B26116" i="2"/>
  <c r="B26115" i="2"/>
  <c r="B26114" i="2"/>
  <c r="B26113" i="2"/>
  <c r="B26112" i="2"/>
  <c r="B26111" i="2"/>
  <c r="B26110" i="2"/>
  <c r="B26109" i="2"/>
  <c r="B26108" i="2"/>
  <c r="B26107" i="2"/>
  <c r="B26106" i="2"/>
  <c r="B26105" i="2"/>
  <c r="B26104" i="2"/>
  <c r="B26103" i="2"/>
  <c r="B26102" i="2"/>
  <c r="B26101" i="2"/>
  <c r="B26100" i="2"/>
  <c r="B26099" i="2"/>
  <c r="B26098" i="2"/>
  <c r="B26097" i="2"/>
  <c r="B26096" i="2"/>
  <c r="B26095" i="2"/>
  <c r="B26094" i="2"/>
  <c r="B26093" i="2"/>
  <c r="B26092" i="2"/>
  <c r="B26091" i="2"/>
  <c r="B26090" i="2"/>
  <c r="B26089" i="2"/>
  <c r="B26088" i="2"/>
  <c r="B26087" i="2"/>
  <c r="B26086" i="2"/>
  <c r="B26085" i="2"/>
  <c r="B26084" i="2"/>
  <c r="B26083" i="2"/>
  <c r="B26082" i="2"/>
  <c r="B26081" i="2"/>
  <c r="B26080" i="2"/>
  <c r="B26079" i="2"/>
  <c r="B26078" i="2"/>
  <c r="B26077" i="2"/>
  <c r="B26076" i="2"/>
  <c r="B26075" i="2"/>
  <c r="B26074" i="2"/>
  <c r="B26073" i="2"/>
  <c r="B26072" i="2"/>
  <c r="B26071" i="2"/>
  <c r="B26070" i="2"/>
  <c r="B26069" i="2"/>
  <c r="B26068" i="2"/>
  <c r="B26067" i="2"/>
  <c r="B26066" i="2"/>
  <c r="B26065" i="2"/>
  <c r="B26064" i="2"/>
  <c r="B26063" i="2"/>
  <c r="B26062" i="2"/>
  <c r="B26061" i="2"/>
  <c r="B26060" i="2"/>
  <c r="B26059" i="2"/>
  <c r="B26058" i="2"/>
  <c r="B26057" i="2"/>
  <c r="B26056" i="2"/>
  <c r="B26055" i="2"/>
  <c r="B26054" i="2"/>
  <c r="B26053" i="2"/>
  <c r="B26052" i="2"/>
  <c r="B26051" i="2"/>
  <c r="B26050" i="2"/>
  <c r="B26049" i="2"/>
  <c r="B26048" i="2"/>
  <c r="B26047" i="2"/>
  <c r="B26046" i="2"/>
  <c r="B26045" i="2"/>
  <c r="B26044" i="2"/>
  <c r="B26043" i="2"/>
  <c r="B26042" i="2"/>
  <c r="B26041" i="2"/>
  <c r="B26040" i="2"/>
  <c r="B26039" i="2"/>
  <c r="B26038" i="2"/>
  <c r="B26037" i="2"/>
  <c r="B26036" i="2"/>
  <c r="B26035" i="2"/>
  <c r="B26034" i="2"/>
  <c r="B26033" i="2"/>
  <c r="B26032" i="2"/>
  <c r="B26031" i="2"/>
  <c r="B26030" i="2"/>
  <c r="B26029" i="2"/>
  <c r="B26028" i="2"/>
  <c r="B26027" i="2"/>
  <c r="B26026" i="2"/>
  <c r="B26025" i="2"/>
  <c r="B26024" i="2"/>
  <c r="B26023" i="2"/>
  <c r="B26022" i="2"/>
  <c r="B26021" i="2"/>
  <c r="B26020" i="2"/>
  <c r="B26019" i="2"/>
  <c r="B26018" i="2"/>
  <c r="B26017" i="2"/>
  <c r="B26016" i="2"/>
  <c r="B26015" i="2"/>
  <c r="B26014" i="2"/>
  <c r="B26013" i="2"/>
  <c r="B26012" i="2"/>
  <c r="B26011" i="2"/>
  <c r="B26010" i="2"/>
  <c r="B26009" i="2"/>
  <c r="B26008" i="2"/>
  <c r="B26007" i="2"/>
  <c r="B26006" i="2"/>
  <c r="B26005" i="2"/>
  <c r="B26004" i="2"/>
  <c r="B26003" i="2"/>
  <c r="B26002" i="2"/>
  <c r="B26001" i="2"/>
  <c r="B26000" i="2"/>
  <c r="B25999" i="2"/>
  <c r="B25998" i="2"/>
  <c r="B25997" i="2"/>
  <c r="B25996" i="2"/>
  <c r="B25995" i="2"/>
  <c r="B25994" i="2"/>
  <c r="B25993" i="2"/>
  <c r="B25992" i="2"/>
  <c r="B25991" i="2"/>
  <c r="B25990" i="2"/>
  <c r="B25989" i="2"/>
  <c r="B25988" i="2"/>
  <c r="B25987" i="2"/>
  <c r="B25986" i="2"/>
  <c r="B25985" i="2"/>
  <c r="B25984" i="2"/>
  <c r="B25983" i="2"/>
  <c r="B25982" i="2"/>
  <c r="B25981" i="2"/>
  <c r="B25980" i="2"/>
  <c r="B25979" i="2"/>
  <c r="B25978" i="2"/>
  <c r="B25977" i="2"/>
  <c r="B25976" i="2"/>
  <c r="B25975" i="2"/>
  <c r="B25974" i="2"/>
  <c r="B25973" i="2"/>
  <c r="B25972" i="2"/>
  <c r="B25971" i="2"/>
  <c r="B25970" i="2"/>
  <c r="B25969" i="2"/>
  <c r="B25968" i="2"/>
  <c r="B25967" i="2"/>
  <c r="B25966" i="2"/>
  <c r="B25965" i="2"/>
  <c r="B25964" i="2"/>
  <c r="B25963" i="2"/>
  <c r="B25962" i="2"/>
  <c r="B25961" i="2"/>
  <c r="B25960" i="2"/>
  <c r="B25959" i="2"/>
  <c r="B25958" i="2"/>
  <c r="B25957" i="2"/>
  <c r="B25956" i="2"/>
  <c r="B25955" i="2"/>
  <c r="B25954" i="2"/>
  <c r="B25953" i="2"/>
  <c r="B25952" i="2"/>
  <c r="B25951" i="2"/>
  <c r="B25950" i="2"/>
  <c r="B25949" i="2"/>
  <c r="B25948" i="2"/>
  <c r="B25947" i="2"/>
  <c r="B25946" i="2"/>
  <c r="B25945" i="2"/>
  <c r="B25944" i="2"/>
  <c r="B25943" i="2"/>
  <c r="B25942" i="2"/>
  <c r="B25941" i="2"/>
  <c r="B25940" i="2"/>
  <c r="B25939" i="2"/>
  <c r="B25938" i="2"/>
  <c r="B25937" i="2"/>
  <c r="B25936" i="2"/>
  <c r="B25935" i="2"/>
  <c r="B25934" i="2"/>
  <c r="B25933" i="2"/>
  <c r="B25932" i="2"/>
  <c r="B25931" i="2"/>
  <c r="B25930" i="2"/>
  <c r="B25929" i="2"/>
  <c r="B25928" i="2"/>
  <c r="B25927" i="2"/>
  <c r="B25926" i="2"/>
  <c r="B25925" i="2"/>
  <c r="B25924" i="2"/>
  <c r="B25923" i="2"/>
  <c r="B25922" i="2"/>
  <c r="B25921" i="2"/>
  <c r="B25920" i="2"/>
  <c r="B25919" i="2"/>
  <c r="B25918" i="2"/>
  <c r="B25917" i="2"/>
  <c r="B25916" i="2"/>
  <c r="B25915" i="2"/>
  <c r="B25914" i="2"/>
  <c r="B25913" i="2"/>
  <c r="B25912" i="2"/>
  <c r="B25911" i="2"/>
  <c r="B25910" i="2"/>
  <c r="B25909" i="2"/>
  <c r="B25908" i="2"/>
  <c r="B25907" i="2"/>
  <c r="B25906" i="2"/>
  <c r="B25905" i="2"/>
  <c r="B25904" i="2"/>
  <c r="B25903" i="2"/>
  <c r="B25902" i="2"/>
  <c r="B25901" i="2"/>
  <c r="B25900" i="2"/>
  <c r="B25899" i="2"/>
  <c r="B25898" i="2"/>
  <c r="B25897" i="2"/>
  <c r="B25896" i="2"/>
  <c r="B25895" i="2"/>
  <c r="B25894" i="2"/>
  <c r="B25893" i="2"/>
  <c r="B25892" i="2"/>
  <c r="B25891" i="2"/>
  <c r="B25890" i="2"/>
  <c r="B25889" i="2"/>
  <c r="B25888" i="2"/>
  <c r="B25887" i="2"/>
  <c r="B25886" i="2"/>
  <c r="B25885" i="2"/>
  <c r="B25884" i="2"/>
  <c r="B25883" i="2"/>
  <c r="B25882" i="2"/>
  <c r="B25881" i="2"/>
  <c r="B25880" i="2"/>
  <c r="B25879" i="2"/>
  <c r="B25878" i="2"/>
  <c r="B25877" i="2"/>
  <c r="B25876" i="2"/>
  <c r="B25875" i="2"/>
  <c r="B25874" i="2"/>
  <c r="B25873" i="2"/>
  <c r="B25872" i="2"/>
  <c r="B25871" i="2"/>
  <c r="B25870" i="2"/>
  <c r="B25869" i="2"/>
  <c r="B25868" i="2"/>
  <c r="B25867" i="2"/>
  <c r="B25866" i="2"/>
  <c r="B25865" i="2"/>
  <c r="B25864" i="2"/>
  <c r="B25863" i="2"/>
  <c r="B25862" i="2"/>
  <c r="B25861" i="2"/>
  <c r="B25860" i="2"/>
  <c r="B25859" i="2"/>
  <c r="B25858" i="2"/>
  <c r="B25857" i="2"/>
  <c r="B25856" i="2"/>
  <c r="B25855" i="2"/>
  <c r="B25854" i="2"/>
  <c r="B25853" i="2"/>
  <c r="B25852" i="2"/>
  <c r="B25851" i="2"/>
  <c r="B25850" i="2"/>
  <c r="B25849" i="2"/>
  <c r="B25848" i="2"/>
  <c r="B25847" i="2"/>
  <c r="B25846" i="2"/>
  <c r="B25845" i="2"/>
  <c r="B25844" i="2"/>
  <c r="B25843" i="2"/>
  <c r="B25842" i="2"/>
  <c r="B25841" i="2"/>
  <c r="B25840" i="2"/>
  <c r="B25839" i="2"/>
  <c r="B25838" i="2"/>
  <c r="B25837" i="2"/>
  <c r="B25836" i="2"/>
  <c r="B25835" i="2"/>
  <c r="B25834" i="2"/>
  <c r="B25833" i="2"/>
  <c r="B25832" i="2"/>
  <c r="B25831" i="2"/>
  <c r="B25830" i="2"/>
  <c r="B25829" i="2"/>
  <c r="B25828" i="2"/>
  <c r="B25827" i="2"/>
  <c r="B25826" i="2"/>
  <c r="B25825" i="2"/>
  <c r="B25824" i="2"/>
  <c r="B25823" i="2"/>
  <c r="B25822" i="2"/>
  <c r="B25821" i="2"/>
  <c r="B25820" i="2"/>
  <c r="B25819" i="2"/>
  <c r="B25818" i="2"/>
  <c r="B25817" i="2"/>
  <c r="B25816" i="2"/>
  <c r="B25815" i="2"/>
  <c r="B25814" i="2"/>
  <c r="B25813" i="2"/>
  <c r="B25812" i="2"/>
  <c r="B25811" i="2"/>
  <c r="B25810" i="2"/>
  <c r="B25809" i="2"/>
  <c r="B25808" i="2"/>
  <c r="B25807" i="2"/>
  <c r="B25806" i="2"/>
  <c r="B25805" i="2"/>
  <c r="B25804" i="2"/>
  <c r="B25803" i="2"/>
  <c r="B25802" i="2"/>
  <c r="B25801" i="2"/>
  <c r="B25800" i="2"/>
  <c r="B25799" i="2"/>
  <c r="B25798" i="2"/>
  <c r="B25797" i="2"/>
  <c r="B25796" i="2"/>
  <c r="B25795" i="2"/>
  <c r="B25794" i="2"/>
  <c r="B25793" i="2"/>
  <c r="B25792" i="2"/>
  <c r="B25791" i="2"/>
  <c r="B25790" i="2"/>
  <c r="B25789" i="2"/>
  <c r="B25788" i="2"/>
  <c r="B25787" i="2"/>
  <c r="B25786" i="2"/>
  <c r="B25785" i="2"/>
  <c r="B25784" i="2"/>
  <c r="B25783" i="2"/>
  <c r="B25782" i="2"/>
  <c r="B25781" i="2"/>
  <c r="B25780" i="2"/>
  <c r="B25779" i="2"/>
  <c r="B25778" i="2"/>
  <c r="B25777" i="2"/>
  <c r="B25776" i="2"/>
  <c r="B25775" i="2"/>
  <c r="B25774" i="2"/>
  <c r="B25773" i="2"/>
  <c r="B25772" i="2"/>
  <c r="B25771" i="2"/>
  <c r="B25770" i="2"/>
  <c r="B25769" i="2"/>
  <c r="B25768" i="2"/>
  <c r="B25767" i="2"/>
  <c r="B25766" i="2"/>
  <c r="B25765" i="2"/>
  <c r="B25764" i="2"/>
  <c r="B25763" i="2"/>
  <c r="B25762" i="2"/>
  <c r="B25761" i="2"/>
  <c r="B25760" i="2"/>
  <c r="B25759" i="2"/>
  <c r="B25758" i="2"/>
  <c r="B25757" i="2"/>
  <c r="B25756" i="2"/>
  <c r="B25755" i="2"/>
  <c r="B25754" i="2"/>
  <c r="B25753" i="2"/>
  <c r="B25752" i="2"/>
  <c r="B25751" i="2"/>
  <c r="B25750" i="2"/>
  <c r="B25749" i="2"/>
  <c r="B25748" i="2"/>
  <c r="B25747" i="2"/>
  <c r="B25746" i="2"/>
  <c r="B25745" i="2"/>
  <c r="B25744" i="2"/>
  <c r="B25743" i="2"/>
  <c r="B25742" i="2"/>
  <c r="B25741" i="2"/>
  <c r="B25740" i="2"/>
  <c r="B25739" i="2"/>
  <c r="B25738" i="2"/>
  <c r="B25737" i="2"/>
  <c r="B25736" i="2"/>
  <c r="B25735" i="2"/>
  <c r="B25734" i="2"/>
  <c r="B25733" i="2"/>
  <c r="B25732" i="2"/>
  <c r="B25731" i="2"/>
  <c r="B25730" i="2"/>
  <c r="B25729" i="2"/>
  <c r="B25728" i="2"/>
  <c r="B25727" i="2"/>
  <c r="B25726" i="2"/>
  <c r="B25725" i="2"/>
  <c r="B25724" i="2"/>
  <c r="B25723" i="2"/>
  <c r="B25722" i="2"/>
  <c r="B25721" i="2"/>
  <c r="B25720" i="2"/>
  <c r="B25719" i="2"/>
  <c r="B25718" i="2"/>
  <c r="B25717" i="2"/>
  <c r="B25716" i="2"/>
  <c r="B25715" i="2"/>
  <c r="B25714" i="2"/>
  <c r="B25713" i="2"/>
  <c r="B25712" i="2"/>
  <c r="B25711" i="2"/>
  <c r="B25710" i="2"/>
  <c r="B25709" i="2"/>
  <c r="B25708" i="2"/>
  <c r="B25707" i="2"/>
  <c r="B25706" i="2"/>
  <c r="B25705" i="2"/>
  <c r="B25704" i="2"/>
  <c r="B25703" i="2"/>
  <c r="B25702" i="2"/>
  <c r="B25701" i="2"/>
  <c r="B25700" i="2"/>
  <c r="B25699" i="2"/>
  <c r="B25698" i="2"/>
  <c r="B25697" i="2"/>
  <c r="B25696" i="2"/>
  <c r="B25695" i="2"/>
  <c r="B25694" i="2"/>
  <c r="B25693" i="2"/>
  <c r="B25692" i="2"/>
  <c r="B25691" i="2"/>
  <c r="B25690" i="2"/>
  <c r="B25689" i="2"/>
  <c r="B25688" i="2"/>
  <c r="B25687" i="2"/>
  <c r="B25686" i="2"/>
  <c r="B25685" i="2"/>
  <c r="B25684" i="2"/>
  <c r="B25683" i="2"/>
  <c r="B25682" i="2"/>
  <c r="B25681" i="2"/>
  <c r="B25680" i="2"/>
  <c r="B25679" i="2"/>
  <c r="B25678" i="2"/>
  <c r="B25677" i="2"/>
  <c r="B25676" i="2"/>
  <c r="B25675" i="2"/>
  <c r="B25674" i="2"/>
  <c r="B25673" i="2"/>
  <c r="B25672" i="2"/>
  <c r="B25671" i="2"/>
  <c r="B25670" i="2"/>
  <c r="B25669" i="2"/>
  <c r="B25668" i="2"/>
  <c r="B25667" i="2"/>
  <c r="B25666" i="2"/>
  <c r="B25665" i="2"/>
  <c r="B25664" i="2"/>
  <c r="B25663" i="2"/>
  <c r="B25662" i="2"/>
  <c r="B25661" i="2"/>
  <c r="B25660" i="2"/>
  <c r="B25659" i="2"/>
  <c r="B25658" i="2"/>
  <c r="B25657" i="2"/>
  <c r="B25656" i="2"/>
  <c r="B25655" i="2"/>
  <c r="B25654" i="2"/>
  <c r="B25653" i="2"/>
  <c r="B25652" i="2"/>
  <c r="B25651" i="2"/>
  <c r="B25650" i="2"/>
  <c r="B25649" i="2"/>
  <c r="B25648" i="2"/>
  <c r="B25647" i="2"/>
  <c r="B25646" i="2"/>
  <c r="B25645" i="2"/>
  <c r="B25644" i="2"/>
  <c r="B25643" i="2"/>
  <c r="B25642" i="2"/>
  <c r="B25641" i="2"/>
  <c r="B25640" i="2"/>
  <c r="B25639" i="2"/>
  <c r="B25638" i="2"/>
  <c r="B25637" i="2"/>
  <c r="B25636" i="2"/>
  <c r="B25635" i="2"/>
  <c r="B25634" i="2"/>
  <c r="B25633" i="2"/>
  <c r="B25632" i="2"/>
  <c r="B25631" i="2"/>
  <c r="B25630" i="2"/>
  <c r="B25629" i="2"/>
  <c r="B25628" i="2"/>
  <c r="B25627" i="2"/>
  <c r="B25626" i="2"/>
  <c r="B25625" i="2"/>
  <c r="B25624" i="2"/>
  <c r="B25623" i="2"/>
  <c r="B25622" i="2"/>
  <c r="B25621" i="2"/>
  <c r="B25620" i="2"/>
  <c r="B25619" i="2"/>
  <c r="B25618" i="2"/>
  <c r="B25617" i="2"/>
  <c r="B25616" i="2"/>
  <c r="B25615" i="2"/>
  <c r="B25614" i="2"/>
  <c r="B25613" i="2"/>
  <c r="B25612" i="2"/>
  <c r="B25611" i="2"/>
  <c r="B25610" i="2"/>
  <c r="B25609" i="2"/>
  <c r="B25608" i="2"/>
  <c r="B25607" i="2"/>
  <c r="B25606" i="2"/>
  <c r="B25605" i="2"/>
  <c r="B25604" i="2"/>
  <c r="B25603" i="2"/>
  <c r="B25602" i="2"/>
  <c r="B25601" i="2"/>
  <c r="B25600" i="2"/>
  <c r="B25599" i="2"/>
  <c r="B25598" i="2"/>
  <c r="B25597" i="2"/>
  <c r="B25596" i="2"/>
  <c r="B25595" i="2"/>
  <c r="B25594" i="2"/>
  <c r="B25593" i="2"/>
  <c r="B25592" i="2"/>
  <c r="B25591" i="2"/>
  <c r="B25590" i="2"/>
  <c r="B25589" i="2"/>
  <c r="B25588" i="2"/>
  <c r="B25587" i="2"/>
  <c r="B25586" i="2"/>
  <c r="B25585" i="2"/>
  <c r="B25584" i="2"/>
  <c r="B25583" i="2"/>
  <c r="B25582" i="2"/>
  <c r="B25581" i="2"/>
  <c r="B25580" i="2"/>
  <c r="B25579" i="2"/>
  <c r="B25578" i="2"/>
  <c r="B25577" i="2"/>
  <c r="B25576" i="2"/>
  <c r="B25575" i="2"/>
  <c r="B25574" i="2"/>
  <c r="B25573" i="2"/>
  <c r="B25572" i="2"/>
  <c r="B25571" i="2"/>
  <c r="B25570" i="2"/>
  <c r="B25569" i="2"/>
  <c r="B25568" i="2"/>
  <c r="B25567" i="2"/>
  <c r="B25566" i="2"/>
  <c r="B25565" i="2"/>
  <c r="B25564" i="2"/>
  <c r="B25563" i="2"/>
  <c r="B25562" i="2"/>
  <c r="B25561" i="2"/>
  <c r="B25560" i="2"/>
  <c r="B25559" i="2"/>
  <c r="B25558" i="2"/>
  <c r="B25557" i="2"/>
  <c r="B25556" i="2"/>
  <c r="B25555" i="2"/>
  <c r="B25554" i="2"/>
  <c r="B25553" i="2"/>
  <c r="B25552" i="2"/>
  <c r="B25551" i="2"/>
  <c r="B25550" i="2"/>
  <c r="B25549" i="2"/>
  <c r="B25548" i="2"/>
  <c r="B25547" i="2"/>
  <c r="B25546" i="2"/>
  <c r="B25545" i="2"/>
  <c r="B25544" i="2"/>
  <c r="B25543" i="2"/>
  <c r="B25542" i="2"/>
  <c r="B25541" i="2"/>
  <c r="B25540" i="2"/>
  <c r="B25539" i="2"/>
  <c r="B25538" i="2"/>
  <c r="B25537" i="2"/>
  <c r="B25536" i="2"/>
  <c r="B25535" i="2"/>
  <c r="B25534" i="2"/>
  <c r="B25533" i="2"/>
  <c r="B25532" i="2"/>
  <c r="B25531" i="2"/>
  <c r="B25530" i="2"/>
  <c r="B25529" i="2"/>
  <c r="B25528" i="2"/>
  <c r="B25527" i="2"/>
  <c r="B25526" i="2"/>
  <c r="B25525" i="2"/>
  <c r="B25524" i="2"/>
  <c r="B25523" i="2"/>
  <c r="B25522" i="2"/>
  <c r="B25521" i="2"/>
  <c r="B25520" i="2"/>
  <c r="B25519" i="2"/>
  <c r="B25518" i="2"/>
  <c r="B25517" i="2"/>
  <c r="B25516" i="2"/>
  <c r="B25515" i="2"/>
  <c r="B25514" i="2"/>
  <c r="B25513" i="2"/>
  <c r="B25512" i="2"/>
  <c r="B25511" i="2"/>
  <c r="B25510" i="2"/>
  <c r="B25509" i="2"/>
  <c r="B25508" i="2"/>
  <c r="B25507" i="2"/>
  <c r="B25506" i="2"/>
  <c r="B25505" i="2"/>
  <c r="B25504" i="2"/>
  <c r="B25503" i="2"/>
  <c r="B25502" i="2"/>
  <c r="B25501" i="2"/>
  <c r="B25500" i="2"/>
  <c r="B25499" i="2"/>
  <c r="B25498" i="2"/>
  <c r="B25497" i="2"/>
  <c r="B25496" i="2"/>
  <c r="B25495" i="2"/>
  <c r="B25494" i="2"/>
  <c r="B25493" i="2"/>
  <c r="B25492" i="2"/>
  <c r="B25491" i="2"/>
  <c r="B25490" i="2"/>
  <c r="B25489" i="2"/>
  <c r="B25488" i="2"/>
  <c r="B25487" i="2"/>
  <c r="B25486" i="2"/>
  <c r="B25485" i="2"/>
  <c r="B25484" i="2"/>
  <c r="B25483" i="2"/>
  <c r="B25482" i="2"/>
  <c r="B25481" i="2"/>
  <c r="B25480" i="2"/>
  <c r="B25479" i="2"/>
  <c r="B25478" i="2"/>
  <c r="B25477" i="2"/>
  <c r="B25476" i="2"/>
  <c r="B25475" i="2"/>
  <c r="B25474" i="2"/>
  <c r="B25473" i="2"/>
  <c r="B25472" i="2"/>
  <c r="B25471" i="2"/>
  <c r="B25470" i="2"/>
  <c r="B25469" i="2"/>
  <c r="B25468" i="2"/>
  <c r="B25467" i="2"/>
  <c r="B25466" i="2"/>
  <c r="B25465" i="2"/>
  <c r="B25464" i="2"/>
  <c r="B25463" i="2"/>
  <c r="B25462" i="2"/>
  <c r="B25461" i="2"/>
  <c r="B25460" i="2"/>
  <c r="B25459" i="2"/>
  <c r="B25458" i="2"/>
  <c r="B25457" i="2"/>
  <c r="B25456" i="2"/>
  <c r="B25455" i="2"/>
  <c r="B25454" i="2"/>
  <c r="B25453" i="2"/>
  <c r="B25452" i="2"/>
  <c r="B25451" i="2"/>
  <c r="B25450" i="2"/>
  <c r="B25449" i="2"/>
  <c r="B25448" i="2"/>
  <c r="B25447" i="2"/>
  <c r="B25446" i="2"/>
  <c r="B25445" i="2"/>
  <c r="B25444" i="2"/>
  <c r="B25443" i="2"/>
  <c r="B25442" i="2"/>
  <c r="B25441" i="2"/>
  <c r="B25440" i="2"/>
  <c r="B25439" i="2"/>
  <c r="B25438" i="2"/>
  <c r="B25437" i="2"/>
  <c r="B25436" i="2"/>
  <c r="B25435" i="2"/>
  <c r="B25434" i="2"/>
  <c r="B25433" i="2"/>
  <c r="B25432" i="2"/>
  <c r="B25431" i="2"/>
  <c r="B25430" i="2"/>
  <c r="B25429" i="2"/>
  <c r="B25428" i="2"/>
  <c r="B25427" i="2"/>
  <c r="B25426" i="2"/>
  <c r="B25425" i="2"/>
  <c r="B25424" i="2"/>
  <c r="B25423" i="2"/>
  <c r="B25422" i="2"/>
  <c r="B25421" i="2"/>
  <c r="B25420" i="2"/>
  <c r="B25419" i="2"/>
  <c r="B25418" i="2"/>
  <c r="B25417" i="2"/>
  <c r="B25416" i="2"/>
  <c r="B25415" i="2"/>
  <c r="B25414" i="2"/>
  <c r="B25413" i="2"/>
  <c r="B25412" i="2"/>
  <c r="B25411" i="2"/>
  <c r="B25410" i="2"/>
  <c r="B25409" i="2"/>
  <c r="B25408" i="2"/>
  <c r="B25407" i="2"/>
  <c r="B25406" i="2"/>
  <c r="B25405" i="2"/>
  <c r="B25404" i="2"/>
  <c r="B25403" i="2"/>
  <c r="B25402" i="2"/>
  <c r="B25401" i="2"/>
  <c r="B25400" i="2"/>
  <c r="B25399" i="2"/>
  <c r="B25398" i="2"/>
  <c r="B25397" i="2"/>
  <c r="B25396" i="2"/>
  <c r="B25395" i="2"/>
  <c r="B25394" i="2"/>
  <c r="B25393" i="2"/>
  <c r="B25392" i="2"/>
  <c r="B25391" i="2"/>
  <c r="B25390" i="2"/>
  <c r="B25389" i="2"/>
  <c r="B25388" i="2"/>
  <c r="B25387" i="2"/>
  <c r="B25386" i="2"/>
  <c r="B25385" i="2"/>
  <c r="B25384" i="2"/>
  <c r="B25383" i="2"/>
  <c r="B25382" i="2"/>
  <c r="B25381" i="2"/>
  <c r="B25380" i="2"/>
  <c r="B25379" i="2"/>
  <c r="B25378" i="2"/>
  <c r="B25377" i="2"/>
  <c r="B25376" i="2"/>
  <c r="B25375" i="2"/>
  <c r="B25374" i="2"/>
  <c r="B25373" i="2"/>
  <c r="B25372" i="2"/>
  <c r="B25371" i="2"/>
  <c r="B25370" i="2"/>
  <c r="B25369" i="2"/>
  <c r="B25368" i="2"/>
  <c r="B25367" i="2"/>
  <c r="B25366" i="2"/>
  <c r="B25365" i="2"/>
  <c r="B25364" i="2"/>
  <c r="B25363" i="2"/>
  <c r="B25362" i="2"/>
  <c r="B25361" i="2"/>
  <c r="B25360" i="2"/>
  <c r="B25359" i="2"/>
  <c r="B25358" i="2"/>
  <c r="B25357" i="2"/>
  <c r="B25356" i="2"/>
  <c r="B25355" i="2"/>
  <c r="B25354" i="2"/>
  <c r="B25353" i="2"/>
  <c r="B25352" i="2"/>
  <c r="B25351" i="2"/>
  <c r="B25350" i="2"/>
  <c r="B25349" i="2"/>
  <c r="B25348" i="2"/>
  <c r="B25347" i="2"/>
  <c r="B25346" i="2"/>
  <c r="B25345" i="2"/>
  <c r="B25344" i="2"/>
  <c r="B25343" i="2"/>
  <c r="B25342" i="2"/>
  <c r="B25341" i="2"/>
  <c r="B25340" i="2"/>
  <c r="B25339" i="2"/>
  <c r="B25338" i="2"/>
  <c r="B25337" i="2"/>
  <c r="B25336" i="2"/>
  <c r="B25335" i="2"/>
  <c r="B25334" i="2"/>
  <c r="B25333" i="2"/>
  <c r="B25332" i="2"/>
  <c r="B25331" i="2"/>
  <c r="B25330" i="2"/>
  <c r="B25329" i="2"/>
  <c r="B25328" i="2"/>
  <c r="B25327" i="2"/>
  <c r="B25326" i="2"/>
  <c r="B25325" i="2"/>
  <c r="B25324" i="2"/>
  <c r="B25323" i="2"/>
  <c r="B25322" i="2"/>
  <c r="B25321" i="2"/>
  <c r="B25320" i="2"/>
  <c r="B25319" i="2"/>
  <c r="B25318" i="2"/>
  <c r="B25317" i="2"/>
  <c r="B25316" i="2"/>
  <c r="B25315" i="2"/>
  <c r="B25314" i="2"/>
  <c r="B25313" i="2"/>
  <c r="B25312" i="2"/>
  <c r="B25311" i="2"/>
  <c r="B25310" i="2"/>
  <c r="B25309" i="2"/>
  <c r="B25308" i="2"/>
  <c r="B25307" i="2"/>
  <c r="B25306" i="2"/>
  <c r="B25305" i="2"/>
  <c r="B25304" i="2"/>
  <c r="B25303" i="2"/>
  <c r="B25302" i="2"/>
  <c r="B25301" i="2"/>
  <c r="B25300" i="2"/>
  <c r="B25299" i="2"/>
  <c r="B25298" i="2"/>
  <c r="B25297" i="2"/>
  <c r="B25296" i="2"/>
  <c r="B25295" i="2"/>
  <c r="B25294" i="2"/>
  <c r="B25293" i="2"/>
  <c r="B25292" i="2"/>
  <c r="B25291" i="2"/>
  <c r="B25290" i="2"/>
  <c r="B25289" i="2"/>
  <c r="B25288" i="2"/>
  <c r="B25287" i="2"/>
  <c r="B25286" i="2"/>
  <c r="B25285" i="2"/>
  <c r="B25284" i="2"/>
  <c r="B25283" i="2"/>
  <c r="B25282" i="2"/>
  <c r="B25281" i="2"/>
  <c r="B25280" i="2"/>
  <c r="B25279" i="2"/>
  <c r="B25278" i="2"/>
  <c r="B25277" i="2"/>
  <c r="B25276" i="2"/>
  <c r="B25275" i="2"/>
  <c r="B25274" i="2"/>
  <c r="B25273" i="2"/>
  <c r="B25272" i="2"/>
  <c r="B25271" i="2"/>
  <c r="B25270" i="2"/>
  <c r="B25269" i="2"/>
  <c r="B25268" i="2"/>
  <c r="B25267" i="2"/>
  <c r="B25266" i="2"/>
  <c r="B25265" i="2"/>
  <c r="B25264" i="2"/>
  <c r="B25263" i="2"/>
  <c r="B25262" i="2"/>
  <c r="B25261" i="2"/>
  <c r="B25260" i="2"/>
  <c r="B25259" i="2"/>
  <c r="B25258" i="2"/>
  <c r="B25257" i="2"/>
  <c r="B25256" i="2"/>
  <c r="B25255" i="2"/>
  <c r="B25254" i="2"/>
  <c r="B25253" i="2"/>
  <c r="B25252" i="2"/>
  <c r="B25251" i="2"/>
  <c r="B25250" i="2"/>
  <c r="B25249" i="2"/>
  <c r="B25248" i="2"/>
  <c r="B25247" i="2"/>
  <c r="B25246" i="2"/>
  <c r="B25245" i="2"/>
  <c r="B25244" i="2"/>
  <c r="B25243" i="2"/>
  <c r="B25242" i="2"/>
  <c r="B25241" i="2"/>
  <c r="B25240" i="2"/>
  <c r="B25239" i="2"/>
  <c r="B25238" i="2"/>
  <c r="B25237" i="2"/>
  <c r="B25236" i="2"/>
  <c r="B25235" i="2"/>
  <c r="B25234" i="2"/>
  <c r="B25233" i="2"/>
  <c r="B25232" i="2"/>
  <c r="B25231" i="2"/>
  <c r="B25230" i="2"/>
  <c r="B25229" i="2"/>
  <c r="B25228" i="2"/>
  <c r="B25227" i="2"/>
  <c r="B25226" i="2"/>
  <c r="B25225" i="2"/>
  <c r="B25224" i="2"/>
  <c r="B25223" i="2"/>
  <c r="B25222" i="2"/>
  <c r="B25221" i="2"/>
  <c r="B25220" i="2"/>
  <c r="B25219" i="2"/>
  <c r="B25218" i="2"/>
  <c r="B25217" i="2"/>
  <c r="B25216" i="2"/>
  <c r="B25215" i="2"/>
  <c r="B25214" i="2"/>
  <c r="B25213" i="2"/>
  <c r="B25212" i="2"/>
  <c r="B25211" i="2"/>
  <c r="B25210" i="2"/>
  <c r="B25209" i="2"/>
  <c r="B25208" i="2"/>
  <c r="B25207" i="2"/>
  <c r="B25206" i="2"/>
  <c r="B25205" i="2"/>
  <c r="B25204" i="2"/>
  <c r="B25203" i="2"/>
  <c r="B25202" i="2"/>
  <c r="B25201" i="2"/>
  <c r="B25200" i="2"/>
  <c r="B25199" i="2"/>
  <c r="B25198" i="2"/>
  <c r="B25197" i="2"/>
  <c r="B25196" i="2"/>
  <c r="B25195" i="2"/>
  <c r="B25194" i="2"/>
  <c r="B25193" i="2"/>
  <c r="B25192" i="2"/>
  <c r="B25191" i="2"/>
  <c r="B25190" i="2"/>
  <c r="B25189" i="2"/>
  <c r="B25188" i="2"/>
  <c r="B25187" i="2"/>
  <c r="B25186" i="2"/>
  <c r="B25185" i="2"/>
  <c r="B25184" i="2"/>
  <c r="B25183" i="2"/>
  <c r="B25182" i="2"/>
  <c r="B25181" i="2"/>
  <c r="B25180" i="2"/>
  <c r="B25179" i="2"/>
  <c r="B25178" i="2"/>
  <c r="B25177" i="2"/>
  <c r="B25176" i="2"/>
  <c r="B25175" i="2"/>
  <c r="B25174" i="2"/>
  <c r="B25173" i="2"/>
  <c r="B25172" i="2"/>
  <c r="B25171" i="2"/>
  <c r="B25170" i="2"/>
  <c r="B25169" i="2"/>
  <c r="B25168" i="2"/>
  <c r="B25167" i="2"/>
  <c r="B25166" i="2"/>
  <c r="B25165" i="2"/>
  <c r="B25164" i="2"/>
  <c r="B25163" i="2"/>
  <c r="B25162" i="2"/>
  <c r="B25161" i="2"/>
  <c r="B25160" i="2"/>
  <c r="B25159" i="2"/>
  <c r="B25158" i="2"/>
  <c r="B25157" i="2"/>
  <c r="B25156" i="2"/>
  <c r="B25155" i="2"/>
  <c r="B25154" i="2"/>
  <c r="B25153" i="2"/>
  <c r="B25152" i="2"/>
  <c r="B25151" i="2"/>
  <c r="B25150" i="2"/>
  <c r="B25149" i="2"/>
  <c r="B25148" i="2"/>
  <c r="B25147" i="2"/>
  <c r="B25146" i="2"/>
  <c r="B25145" i="2"/>
  <c r="B25144" i="2"/>
  <c r="B25143" i="2"/>
  <c r="B25142" i="2"/>
  <c r="B25141" i="2"/>
  <c r="B25140" i="2"/>
  <c r="B25139" i="2"/>
  <c r="B25138" i="2"/>
  <c r="B25137" i="2"/>
  <c r="B25136" i="2"/>
  <c r="B25135" i="2"/>
  <c r="B25134" i="2"/>
  <c r="B25133" i="2"/>
  <c r="B25132" i="2"/>
  <c r="B25131" i="2"/>
  <c r="B25130" i="2"/>
  <c r="B25129" i="2"/>
  <c r="B25128" i="2"/>
  <c r="B25127" i="2"/>
  <c r="B25126" i="2"/>
  <c r="B25125" i="2"/>
  <c r="B25124" i="2"/>
  <c r="B25123" i="2"/>
  <c r="B25122" i="2"/>
  <c r="B25121" i="2"/>
  <c r="B25120" i="2"/>
  <c r="B25119" i="2"/>
  <c r="B25118" i="2"/>
  <c r="B25117" i="2"/>
  <c r="B25116" i="2"/>
  <c r="B25115" i="2"/>
  <c r="B25114" i="2"/>
  <c r="B25113" i="2"/>
  <c r="B25112" i="2"/>
  <c r="B25111" i="2"/>
  <c r="B25110" i="2"/>
  <c r="B25109" i="2"/>
  <c r="B25108" i="2"/>
  <c r="B25107" i="2"/>
  <c r="B25106" i="2"/>
  <c r="B25105" i="2"/>
  <c r="B25104" i="2"/>
  <c r="B25103" i="2"/>
  <c r="B25102" i="2"/>
  <c r="B25101" i="2"/>
  <c r="B25100" i="2"/>
  <c r="B25099" i="2"/>
  <c r="B25098" i="2"/>
  <c r="B25097" i="2"/>
  <c r="B25096" i="2"/>
  <c r="B25095" i="2"/>
  <c r="B25094" i="2"/>
  <c r="B25093" i="2"/>
  <c r="B25092" i="2"/>
  <c r="B25091" i="2"/>
  <c r="B25090" i="2"/>
  <c r="B25089" i="2"/>
  <c r="B25088" i="2"/>
  <c r="B25087" i="2"/>
  <c r="B25086" i="2"/>
  <c r="B25085" i="2"/>
  <c r="B25084" i="2"/>
  <c r="B25083" i="2"/>
  <c r="B25082" i="2"/>
  <c r="B25081" i="2"/>
  <c r="B25080" i="2"/>
  <c r="B25079" i="2"/>
  <c r="B25078" i="2"/>
  <c r="B25077" i="2"/>
  <c r="B25076" i="2"/>
  <c r="B25075" i="2"/>
  <c r="B25074" i="2"/>
  <c r="B25073" i="2"/>
  <c r="B25072" i="2"/>
  <c r="B25071" i="2"/>
  <c r="B25070" i="2"/>
  <c r="B25069" i="2"/>
  <c r="B25068" i="2"/>
  <c r="B25067" i="2"/>
  <c r="B25066" i="2"/>
  <c r="B25065" i="2"/>
  <c r="B25064" i="2"/>
  <c r="B25063" i="2"/>
  <c r="B25062" i="2"/>
  <c r="B25061" i="2"/>
  <c r="B25060" i="2"/>
  <c r="B25059" i="2"/>
  <c r="B25058" i="2"/>
  <c r="B25057" i="2"/>
  <c r="B25056" i="2"/>
  <c r="B25055" i="2"/>
  <c r="B25054" i="2"/>
  <c r="B25053" i="2"/>
  <c r="B25052" i="2"/>
  <c r="B25051" i="2"/>
  <c r="B25050" i="2"/>
  <c r="B25049" i="2"/>
  <c r="B25048" i="2"/>
  <c r="B25047" i="2"/>
  <c r="B25046" i="2"/>
  <c r="B25045" i="2"/>
  <c r="B25044" i="2"/>
  <c r="B25043" i="2"/>
  <c r="B25042" i="2"/>
  <c r="B25041" i="2"/>
  <c r="B25040" i="2"/>
  <c r="B25039" i="2"/>
  <c r="B25038" i="2"/>
  <c r="B25037" i="2"/>
  <c r="B25036" i="2"/>
  <c r="B25035" i="2"/>
  <c r="B25034" i="2"/>
  <c r="B25033" i="2"/>
  <c r="B25032" i="2"/>
  <c r="B25031" i="2"/>
  <c r="B25030" i="2"/>
  <c r="B25029" i="2"/>
  <c r="B25028" i="2"/>
  <c r="B25027" i="2"/>
  <c r="B25026" i="2"/>
  <c r="B25025" i="2"/>
  <c r="B25024" i="2"/>
  <c r="B25023" i="2"/>
  <c r="B25022" i="2"/>
  <c r="B25021" i="2"/>
  <c r="B25020" i="2"/>
  <c r="B25019" i="2"/>
  <c r="B25018" i="2"/>
  <c r="B25017" i="2"/>
  <c r="B25016" i="2"/>
  <c r="B25015" i="2"/>
  <c r="B25014" i="2"/>
  <c r="B25013" i="2"/>
  <c r="B25012" i="2"/>
  <c r="B25011" i="2"/>
  <c r="B25010" i="2"/>
  <c r="B25009" i="2"/>
  <c r="B25008" i="2"/>
  <c r="B25007" i="2"/>
  <c r="B25006" i="2"/>
  <c r="B25005" i="2"/>
  <c r="B25004" i="2"/>
  <c r="B25003" i="2"/>
  <c r="B25002" i="2"/>
  <c r="B25001" i="2"/>
  <c r="B25000" i="2"/>
  <c r="B24999" i="2"/>
  <c r="B24998" i="2"/>
  <c r="B24997" i="2"/>
  <c r="B24996" i="2"/>
  <c r="B24995" i="2"/>
  <c r="B24994" i="2"/>
  <c r="B24993" i="2"/>
  <c r="B24992" i="2"/>
  <c r="B24991" i="2"/>
  <c r="B24990" i="2"/>
  <c r="B24989" i="2"/>
  <c r="B24988" i="2"/>
  <c r="B24987" i="2"/>
  <c r="B24986" i="2"/>
  <c r="B24985" i="2"/>
  <c r="B24984" i="2"/>
  <c r="B24983" i="2"/>
  <c r="B24982" i="2"/>
  <c r="B24981" i="2"/>
  <c r="B24980" i="2"/>
  <c r="B24979" i="2"/>
  <c r="B24978" i="2"/>
  <c r="B24977" i="2"/>
  <c r="B24976" i="2"/>
  <c r="B24975" i="2"/>
  <c r="B24974" i="2"/>
  <c r="B24973" i="2"/>
  <c r="B24972" i="2"/>
  <c r="B24971" i="2"/>
  <c r="B24970" i="2"/>
  <c r="B24969" i="2"/>
  <c r="B24968" i="2"/>
  <c r="B24967" i="2"/>
  <c r="B24966" i="2"/>
  <c r="B24965" i="2"/>
  <c r="B24964" i="2"/>
  <c r="B24963" i="2"/>
  <c r="B24962" i="2"/>
  <c r="B24961" i="2"/>
  <c r="B24960" i="2"/>
  <c r="B24959" i="2"/>
  <c r="B24958" i="2"/>
  <c r="B24957" i="2"/>
  <c r="B24956" i="2"/>
  <c r="B24955" i="2"/>
  <c r="B24954" i="2"/>
  <c r="B24953" i="2"/>
  <c r="B24952" i="2"/>
  <c r="B24951" i="2"/>
  <c r="B24950" i="2"/>
  <c r="B24949" i="2"/>
  <c r="B24948" i="2"/>
  <c r="B24947" i="2"/>
  <c r="B24946" i="2"/>
  <c r="B24945" i="2"/>
  <c r="B24944" i="2"/>
  <c r="B24943" i="2"/>
  <c r="B24942" i="2"/>
  <c r="B24941" i="2"/>
  <c r="B24940" i="2"/>
  <c r="B24939" i="2"/>
  <c r="B24938" i="2"/>
  <c r="B24937" i="2"/>
  <c r="B24936" i="2"/>
  <c r="B24935" i="2"/>
  <c r="B24934" i="2"/>
  <c r="B24933" i="2"/>
  <c r="B24932" i="2"/>
  <c r="B24931" i="2"/>
  <c r="B24930" i="2"/>
  <c r="B24929" i="2"/>
  <c r="B24928" i="2"/>
  <c r="B24927" i="2"/>
  <c r="B24926" i="2"/>
  <c r="B24925" i="2"/>
  <c r="B24924" i="2"/>
  <c r="B24923" i="2"/>
  <c r="B24922" i="2"/>
  <c r="B24921" i="2"/>
  <c r="B24920" i="2"/>
  <c r="B24919" i="2"/>
  <c r="B24918" i="2"/>
  <c r="B24917" i="2"/>
  <c r="B24916" i="2"/>
  <c r="B24915" i="2"/>
  <c r="B24914" i="2"/>
  <c r="B24913" i="2"/>
  <c r="B24912" i="2"/>
  <c r="B24911" i="2"/>
  <c r="B24910" i="2"/>
  <c r="B24909" i="2"/>
  <c r="B24908" i="2"/>
  <c r="B24907" i="2"/>
  <c r="B24906" i="2"/>
  <c r="B24905" i="2"/>
  <c r="B24904" i="2"/>
  <c r="B24903" i="2"/>
  <c r="B24902" i="2"/>
  <c r="B24901" i="2"/>
  <c r="B24900" i="2"/>
  <c r="B24899" i="2"/>
  <c r="B24898" i="2"/>
  <c r="B24897" i="2"/>
  <c r="B24896" i="2"/>
  <c r="B24895" i="2"/>
  <c r="B24894" i="2"/>
  <c r="B24893" i="2"/>
  <c r="B24892" i="2"/>
  <c r="B24891" i="2"/>
  <c r="B24890" i="2"/>
  <c r="B24889" i="2"/>
  <c r="B24888" i="2"/>
  <c r="B24887" i="2"/>
  <c r="B24886" i="2"/>
  <c r="B24885" i="2"/>
  <c r="B24884" i="2"/>
  <c r="B24883" i="2"/>
  <c r="B24882" i="2"/>
  <c r="B24881" i="2"/>
  <c r="B24880" i="2"/>
  <c r="B24879" i="2"/>
  <c r="B24878" i="2"/>
  <c r="B24877" i="2"/>
  <c r="B24876" i="2"/>
  <c r="B24875" i="2"/>
  <c r="B24874" i="2"/>
  <c r="B24873" i="2"/>
  <c r="B24872" i="2"/>
  <c r="B24871" i="2"/>
  <c r="B24870" i="2"/>
  <c r="B24869" i="2"/>
  <c r="B24868" i="2"/>
  <c r="B24867" i="2"/>
  <c r="B24866" i="2"/>
  <c r="B24865" i="2"/>
  <c r="B24864" i="2"/>
  <c r="B24863" i="2"/>
  <c r="B24862" i="2"/>
  <c r="B24861" i="2"/>
  <c r="B24860" i="2"/>
  <c r="B24859" i="2"/>
  <c r="B24858" i="2"/>
  <c r="B24857" i="2"/>
  <c r="B24856" i="2"/>
  <c r="B24855" i="2"/>
  <c r="B24854" i="2"/>
  <c r="B24853" i="2"/>
  <c r="B24852" i="2"/>
  <c r="B24851" i="2"/>
  <c r="B24850" i="2"/>
  <c r="B24849" i="2"/>
  <c r="B24848" i="2"/>
  <c r="B24847" i="2"/>
  <c r="B24846" i="2"/>
  <c r="B24845" i="2"/>
  <c r="B24844" i="2"/>
  <c r="B24843" i="2"/>
  <c r="B24842" i="2"/>
  <c r="B24841" i="2"/>
  <c r="B24840" i="2"/>
  <c r="B24839" i="2"/>
  <c r="B24838" i="2"/>
  <c r="B24837" i="2"/>
  <c r="B24836" i="2"/>
  <c r="B24835" i="2"/>
  <c r="B24834" i="2"/>
  <c r="B24833" i="2"/>
  <c r="B24832" i="2"/>
  <c r="B24831" i="2"/>
  <c r="B24830" i="2"/>
  <c r="B24829" i="2"/>
  <c r="B24828" i="2"/>
  <c r="B24827" i="2"/>
  <c r="B24826" i="2"/>
  <c r="B24825" i="2"/>
  <c r="B24824" i="2"/>
  <c r="B24823" i="2"/>
  <c r="B24822" i="2"/>
  <c r="B24821" i="2"/>
  <c r="B24820" i="2"/>
  <c r="B24819" i="2"/>
  <c r="B24818" i="2"/>
  <c r="B24817" i="2"/>
  <c r="B24816" i="2"/>
  <c r="B24815" i="2"/>
  <c r="B24814" i="2"/>
  <c r="B24813" i="2"/>
  <c r="B24812" i="2"/>
  <c r="B24811" i="2"/>
  <c r="B24810" i="2"/>
  <c r="B24809" i="2"/>
  <c r="B24808" i="2"/>
  <c r="B24807" i="2"/>
  <c r="B24806" i="2"/>
  <c r="B24805" i="2"/>
  <c r="B24804" i="2"/>
  <c r="B24803" i="2"/>
  <c r="B24802" i="2"/>
  <c r="B24801" i="2"/>
  <c r="B24800" i="2"/>
  <c r="B24799" i="2"/>
  <c r="B24798" i="2"/>
  <c r="B24797" i="2"/>
  <c r="B24796" i="2"/>
  <c r="B24795" i="2"/>
  <c r="B24794" i="2"/>
  <c r="B24793" i="2"/>
  <c r="B24792" i="2"/>
  <c r="B24791" i="2"/>
  <c r="B24790" i="2"/>
  <c r="B24789" i="2"/>
  <c r="B24788" i="2"/>
  <c r="B24787" i="2"/>
  <c r="B24786" i="2"/>
  <c r="B24785" i="2"/>
  <c r="B24784" i="2"/>
  <c r="B24783" i="2"/>
  <c r="B24782" i="2"/>
  <c r="B24781" i="2"/>
  <c r="B24780" i="2"/>
  <c r="B24779" i="2"/>
  <c r="B24778" i="2"/>
  <c r="B24777" i="2"/>
  <c r="B24776" i="2"/>
  <c r="B24775" i="2"/>
  <c r="B24774" i="2"/>
  <c r="B24773" i="2"/>
  <c r="B24772" i="2"/>
  <c r="B24771" i="2"/>
  <c r="B24770" i="2"/>
  <c r="B24769" i="2"/>
  <c r="B24768" i="2"/>
  <c r="B24767" i="2"/>
  <c r="B24766" i="2"/>
  <c r="B24765" i="2"/>
  <c r="B24764" i="2"/>
  <c r="B24763" i="2"/>
  <c r="B24762" i="2"/>
  <c r="B24761" i="2"/>
  <c r="B24760" i="2"/>
  <c r="B24759" i="2"/>
  <c r="B24758" i="2"/>
  <c r="B24757" i="2"/>
  <c r="B24756" i="2"/>
  <c r="B24755" i="2"/>
  <c r="B24754" i="2"/>
  <c r="B24753" i="2"/>
  <c r="B24752" i="2"/>
  <c r="B24751" i="2"/>
  <c r="B24750" i="2"/>
  <c r="B24749" i="2"/>
  <c r="B24748" i="2"/>
  <c r="B24747" i="2"/>
  <c r="B24746" i="2"/>
  <c r="B24745" i="2"/>
  <c r="B24744" i="2"/>
  <c r="B24743" i="2"/>
  <c r="B24742" i="2"/>
  <c r="B24741" i="2"/>
  <c r="B24740" i="2"/>
  <c r="B24739" i="2"/>
  <c r="B24738" i="2"/>
  <c r="B24737" i="2"/>
  <c r="B24736" i="2"/>
  <c r="B24735" i="2"/>
  <c r="B24734" i="2"/>
  <c r="B24733" i="2"/>
  <c r="B24732" i="2"/>
  <c r="B24731" i="2"/>
  <c r="B24730" i="2"/>
  <c r="B24729" i="2"/>
  <c r="B24728" i="2"/>
  <c r="B24727" i="2"/>
  <c r="B24726" i="2"/>
  <c r="B24725" i="2"/>
  <c r="B24724" i="2"/>
  <c r="B24723" i="2"/>
  <c r="B24722" i="2"/>
  <c r="B24721" i="2"/>
  <c r="B24720" i="2"/>
  <c r="B24719" i="2"/>
  <c r="B24718" i="2"/>
  <c r="B24717" i="2"/>
  <c r="B24716" i="2"/>
  <c r="B24715" i="2"/>
  <c r="B24714" i="2"/>
  <c r="B24713" i="2"/>
  <c r="B24712" i="2"/>
  <c r="B24711" i="2"/>
  <c r="B24710" i="2"/>
  <c r="B24709" i="2"/>
  <c r="B24708" i="2"/>
  <c r="B24707" i="2"/>
  <c r="B24706" i="2"/>
  <c r="B24705" i="2"/>
  <c r="B24704" i="2"/>
  <c r="B24703" i="2"/>
  <c r="B24702" i="2"/>
  <c r="B24701" i="2"/>
  <c r="B24700" i="2"/>
  <c r="B24699" i="2"/>
  <c r="B24698" i="2"/>
  <c r="B24697" i="2"/>
  <c r="B24696" i="2"/>
  <c r="B24695" i="2"/>
  <c r="B24694" i="2"/>
  <c r="B24693" i="2"/>
  <c r="B24692" i="2"/>
  <c r="B24691" i="2"/>
  <c r="B24690" i="2"/>
  <c r="B24689" i="2"/>
  <c r="B24688" i="2"/>
  <c r="B24687" i="2"/>
  <c r="B24686" i="2"/>
  <c r="B24685" i="2"/>
  <c r="B24684" i="2"/>
  <c r="B24683" i="2"/>
  <c r="B24682" i="2"/>
  <c r="B24681" i="2"/>
  <c r="B24680" i="2"/>
  <c r="B24679" i="2"/>
  <c r="B24678" i="2"/>
  <c r="B24677" i="2"/>
  <c r="B24676" i="2"/>
  <c r="B24675" i="2"/>
  <c r="B24674" i="2"/>
  <c r="B24673" i="2"/>
  <c r="B24672" i="2"/>
  <c r="B24671" i="2"/>
  <c r="B24670" i="2"/>
  <c r="B24669" i="2"/>
  <c r="B24668" i="2"/>
  <c r="B24667" i="2"/>
  <c r="B24666" i="2"/>
  <c r="B24665" i="2"/>
  <c r="B24664" i="2"/>
  <c r="B24663" i="2"/>
  <c r="B24662" i="2"/>
  <c r="B24661" i="2"/>
  <c r="B24660" i="2"/>
  <c r="B24659" i="2"/>
  <c r="B24658" i="2"/>
  <c r="B24657" i="2"/>
  <c r="B24656" i="2"/>
  <c r="B24655" i="2"/>
  <c r="B24654" i="2"/>
  <c r="B24653" i="2"/>
  <c r="B24652" i="2"/>
  <c r="B24651" i="2"/>
  <c r="B24650" i="2"/>
  <c r="B24649" i="2"/>
  <c r="B24648" i="2"/>
  <c r="B24647" i="2"/>
  <c r="B24646" i="2"/>
  <c r="B24645" i="2"/>
  <c r="B24644" i="2"/>
  <c r="B24643" i="2"/>
  <c r="B24642" i="2"/>
  <c r="B24641" i="2"/>
  <c r="B24640" i="2"/>
  <c r="B24639" i="2"/>
  <c r="B24638" i="2"/>
  <c r="B24637" i="2"/>
  <c r="B24636" i="2"/>
  <c r="B24635" i="2"/>
  <c r="B24634" i="2"/>
  <c r="B24633" i="2"/>
  <c r="B24632" i="2"/>
  <c r="B24631" i="2"/>
  <c r="B24630" i="2"/>
  <c r="B24629" i="2"/>
  <c r="B24628" i="2"/>
  <c r="B24627" i="2"/>
  <c r="B24626" i="2"/>
  <c r="B24625" i="2"/>
  <c r="B24624" i="2"/>
  <c r="B24623" i="2"/>
  <c r="B24622" i="2"/>
  <c r="B24621" i="2"/>
  <c r="B24620" i="2"/>
  <c r="B24619" i="2"/>
  <c r="B24618" i="2"/>
  <c r="B24617" i="2"/>
  <c r="B24616" i="2"/>
  <c r="B24615" i="2"/>
  <c r="B24614" i="2"/>
  <c r="B24613" i="2"/>
  <c r="B24612" i="2"/>
  <c r="B24611" i="2"/>
  <c r="B24610" i="2"/>
  <c r="B24609" i="2"/>
  <c r="B24608" i="2"/>
  <c r="B24607" i="2"/>
  <c r="B24606" i="2"/>
  <c r="B24605" i="2"/>
  <c r="B24604" i="2"/>
  <c r="B24603" i="2"/>
  <c r="B24602" i="2"/>
  <c r="B24601" i="2"/>
  <c r="B24600" i="2"/>
  <c r="B24599" i="2"/>
  <c r="B24598" i="2"/>
  <c r="B24597" i="2"/>
  <c r="B24596" i="2"/>
  <c r="B24595" i="2"/>
  <c r="B24594" i="2"/>
  <c r="B24593" i="2"/>
  <c r="B24592" i="2"/>
  <c r="B24591" i="2"/>
  <c r="B24590" i="2"/>
  <c r="B24589" i="2"/>
  <c r="B24588" i="2"/>
  <c r="B24587" i="2"/>
  <c r="B24586" i="2"/>
  <c r="B24585" i="2"/>
  <c r="B24584" i="2"/>
  <c r="B24583" i="2"/>
  <c r="B24582" i="2"/>
  <c r="B24581" i="2"/>
  <c r="B24580" i="2"/>
  <c r="B24579" i="2"/>
  <c r="B24578" i="2"/>
  <c r="B24577" i="2"/>
  <c r="B24576" i="2"/>
  <c r="B24575" i="2"/>
  <c r="B24574" i="2"/>
  <c r="B24573" i="2"/>
  <c r="B24572" i="2"/>
  <c r="B24571" i="2"/>
  <c r="B24570" i="2"/>
  <c r="B24569" i="2"/>
  <c r="B24568" i="2"/>
  <c r="B24567" i="2"/>
  <c r="B24566" i="2"/>
  <c r="B24565" i="2"/>
  <c r="B24564" i="2"/>
  <c r="B24563" i="2"/>
  <c r="B24562" i="2"/>
  <c r="B24561" i="2"/>
  <c r="B24560" i="2"/>
  <c r="B24559" i="2"/>
  <c r="B24558" i="2"/>
  <c r="B24557" i="2"/>
  <c r="B24556" i="2"/>
  <c r="B24555" i="2"/>
  <c r="B24554" i="2"/>
  <c r="B24553" i="2"/>
  <c r="B24552" i="2"/>
  <c r="B24551" i="2"/>
  <c r="B24550" i="2"/>
  <c r="B24549" i="2"/>
  <c r="B24548" i="2"/>
  <c r="B24547" i="2"/>
  <c r="B24546" i="2"/>
  <c r="B24545" i="2"/>
  <c r="B24544" i="2"/>
  <c r="B24543" i="2"/>
  <c r="B24542" i="2"/>
  <c r="B24541" i="2"/>
  <c r="B24540" i="2"/>
  <c r="B24539" i="2"/>
  <c r="B24538" i="2"/>
  <c r="B24537" i="2"/>
  <c r="B24536" i="2"/>
  <c r="B24535" i="2"/>
  <c r="B24534" i="2"/>
  <c r="B24533" i="2"/>
  <c r="B24532" i="2"/>
  <c r="B24531" i="2"/>
  <c r="B24530" i="2"/>
  <c r="B24529" i="2"/>
  <c r="B24528" i="2"/>
  <c r="B24527" i="2"/>
  <c r="B24526" i="2"/>
  <c r="B24525" i="2"/>
  <c r="B24524" i="2"/>
  <c r="B24523" i="2"/>
  <c r="B24522" i="2"/>
  <c r="B24521" i="2"/>
  <c r="B24520" i="2"/>
  <c r="B24519" i="2"/>
  <c r="B24518" i="2"/>
  <c r="B24517" i="2"/>
  <c r="B24516" i="2"/>
  <c r="B24515" i="2"/>
  <c r="B24514" i="2"/>
  <c r="B24513" i="2"/>
  <c r="B24512" i="2"/>
  <c r="B24511" i="2"/>
  <c r="B24510" i="2"/>
  <c r="B24509" i="2"/>
  <c r="B24508" i="2"/>
  <c r="B24507" i="2"/>
  <c r="B24506" i="2"/>
  <c r="B24505" i="2"/>
  <c r="B24504" i="2"/>
  <c r="B24503" i="2"/>
  <c r="B24502" i="2"/>
  <c r="B24501" i="2"/>
  <c r="B24500" i="2"/>
  <c r="B24499" i="2"/>
  <c r="B24498" i="2"/>
  <c r="B24497" i="2"/>
  <c r="B24496" i="2"/>
  <c r="B24495" i="2"/>
  <c r="B24494" i="2"/>
  <c r="B24493" i="2"/>
  <c r="B24492" i="2"/>
  <c r="B24491" i="2"/>
  <c r="B24490" i="2"/>
  <c r="B24489" i="2"/>
  <c r="B24488" i="2"/>
  <c r="B24487" i="2"/>
  <c r="B24486" i="2"/>
  <c r="B24485" i="2"/>
  <c r="B24484" i="2"/>
  <c r="B24483" i="2"/>
  <c r="B24482" i="2"/>
  <c r="B24481" i="2"/>
  <c r="B24480" i="2"/>
  <c r="B24479" i="2"/>
  <c r="B24478" i="2"/>
  <c r="B24477" i="2"/>
  <c r="B24476" i="2"/>
  <c r="B24475" i="2"/>
  <c r="B24474" i="2"/>
  <c r="B24473" i="2"/>
  <c r="B24472" i="2"/>
  <c r="B24471" i="2"/>
  <c r="B24470" i="2"/>
  <c r="B24469" i="2"/>
  <c r="B24468" i="2"/>
  <c r="B24467" i="2"/>
  <c r="B24466" i="2"/>
  <c r="B24465" i="2"/>
  <c r="B24464" i="2"/>
  <c r="B24463" i="2"/>
  <c r="B24462" i="2"/>
  <c r="B24461" i="2"/>
  <c r="B24460" i="2"/>
  <c r="B24459" i="2"/>
  <c r="B24458" i="2"/>
  <c r="B24457" i="2"/>
  <c r="B24456" i="2"/>
  <c r="B24455" i="2"/>
  <c r="B24454" i="2"/>
  <c r="B24453" i="2"/>
  <c r="B24452" i="2"/>
  <c r="B24451" i="2"/>
  <c r="B24450" i="2"/>
  <c r="B24449" i="2"/>
  <c r="B24448" i="2"/>
  <c r="B24447" i="2"/>
  <c r="B24446" i="2"/>
  <c r="B24445" i="2"/>
  <c r="B24444" i="2"/>
  <c r="B24443" i="2"/>
  <c r="B24442" i="2"/>
  <c r="B24441" i="2"/>
  <c r="B24440" i="2"/>
  <c r="B24439" i="2"/>
  <c r="B24438" i="2"/>
  <c r="B24437" i="2"/>
  <c r="B24436" i="2"/>
  <c r="B24435" i="2"/>
  <c r="B24434" i="2"/>
  <c r="B24433" i="2"/>
  <c r="B24432" i="2"/>
  <c r="B24431" i="2"/>
  <c r="B24430" i="2"/>
  <c r="B24429" i="2"/>
  <c r="B24428" i="2"/>
  <c r="B24427" i="2"/>
  <c r="B24426" i="2"/>
  <c r="B24425" i="2"/>
  <c r="B24424" i="2"/>
  <c r="B24423" i="2"/>
  <c r="B24422" i="2"/>
  <c r="B24421" i="2"/>
  <c r="B24420" i="2"/>
  <c r="B24419" i="2"/>
  <c r="B24418" i="2"/>
  <c r="B24417" i="2"/>
  <c r="B24416" i="2"/>
  <c r="B24415" i="2"/>
  <c r="B24414" i="2"/>
  <c r="B24413" i="2"/>
  <c r="B24412" i="2"/>
  <c r="B24411" i="2"/>
  <c r="B24410" i="2"/>
  <c r="B24409" i="2"/>
  <c r="B24408" i="2"/>
  <c r="B24407" i="2"/>
  <c r="B24406" i="2"/>
  <c r="B24405" i="2"/>
  <c r="B24404" i="2"/>
  <c r="B24403" i="2"/>
  <c r="B24402" i="2"/>
  <c r="B24401" i="2"/>
  <c r="B24400" i="2"/>
  <c r="B24399" i="2"/>
  <c r="B24398" i="2"/>
  <c r="B24397" i="2"/>
  <c r="B24396" i="2"/>
  <c r="B24395" i="2"/>
  <c r="B24394" i="2"/>
  <c r="B24393" i="2"/>
  <c r="B24392" i="2"/>
  <c r="B24391" i="2"/>
  <c r="B24390" i="2"/>
  <c r="B24389" i="2"/>
  <c r="B24388" i="2"/>
  <c r="B24387" i="2"/>
  <c r="B24386" i="2"/>
  <c r="B24385" i="2"/>
  <c r="B24384" i="2"/>
  <c r="B24383" i="2"/>
  <c r="B24382" i="2"/>
  <c r="B24381" i="2"/>
  <c r="B24380" i="2"/>
  <c r="B24379" i="2"/>
  <c r="B24378" i="2"/>
  <c r="B24377" i="2"/>
  <c r="B24376" i="2"/>
  <c r="B24375" i="2"/>
  <c r="B24374" i="2"/>
  <c r="B24373" i="2"/>
  <c r="B24372" i="2"/>
  <c r="B24371" i="2"/>
  <c r="B24370" i="2"/>
  <c r="B24369" i="2"/>
  <c r="B24368" i="2"/>
  <c r="B24367" i="2"/>
  <c r="B24366" i="2"/>
  <c r="B24365" i="2"/>
  <c r="B24364" i="2"/>
  <c r="B24363" i="2"/>
  <c r="B24362" i="2"/>
  <c r="B24361" i="2"/>
  <c r="B24360" i="2"/>
  <c r="B24359" i="2"/>
  <c r="B24358" i="2"/>
  <c r="B24357" i="2"/>
  <c r="B24356" i="2"/>
  <c r="B24355" i="2"/>
  <c r="B24354" i="2"/>
  <c r="B24353" i="2"/>
  <c r="B24352" i="2"/>
  <c r="B24351" i="2"/>
  <c r="B24350" i="2"/>
  <c r="B24349" i="2"/>
  <c r="B24348" i="2"/>
  <c r="B24347" i="2"/>
  <c r="B24346" i="2"/>
  <c r="B24345" i="2"/>
  <c r="B24344" i="2"/>
  <c r="B24343" i="2"/>
  <c r="B24342" i="2"/>
  <c r="B24341" i="2"/>
  <c r="B24340" i="2"/>
  <c r="B24339" i="2"/>
  <c r="B24338" i="2"/>
  <c r="B24337" i="2"/>
  <c r="B24336" i="2"/>
  <c r="B24335" i="2"/>
  <c r="B24334" i="2"/>
  <c r="B24333" i="2"/>
  <c r="B24332" i="2"/>
  <c r="B24331" i="2"/>
  <c r="B24330" i="2"/>
  <c r="B24329" i="2"/>
  <c r="B24328" i="2"/>
  <c r="B24327" i="2"/>
  <c r="B24326" i="2"/>
  <c r="B24325" i="2"/>
  <c r="B24324" i="2"/>
  <c r="B24323" i="2"/>
  <c r="B24322" i="2"/>
  <c r="B24321" i="2"/>
  <c r="B24320" i="2"/>
  <c r="B24319" i="2"/>
  <c r="B24318" i="2"/>
  <c r="B24317" i="2"/>
  <c r="B24316" i="2"/>
  <c r="B24315" i="2"/>
  <c r="B24314" i="2"/>
  <c r="B24313" i="2"/>
  <c r="B24312" i="2"/>
  <c r="B24311" i="2"/>
  <c r="B24310" i="2"/>
  <c r="B24309" i="2"/>
  <c r="B24308" i="2"/>
  <c r="B24307" i="2"/>
  <c r="B24306" i="2"/>
  <c r="B24305" i="2"/>
  <c r="B24304" i="2"/>
  <c r="B24303" i="2"/>
  <c r="B24302" i="2"/>
  <c r="B24301" i="2"/>
  <c r="B24300" i="2"/>
  <c r="B24299" i="2"/>
  <c r="B24298" i="2"/>
  <c r="B24297" i="2"/>
  <c r="B24296" i="2"/>
  <c r="B24295" i="2"/>
  <c r="B24294" i="2"/>
  <c r="B24293" i="2"/>
  <c r="B24292" i="2"/>
  <c r="B24291" i="2"/>
  <c r="B24290" i="2"/>
  <c r="B24289" i="2"/>
  <c r="B24288" i="2"/>
  <c r="B24287" i="2"/>
  <c r="B24286" i="2"/>
  <c r="B24285" i="2"/>
  <c r="B24284" i="2"/>
  <c r="B24283" i="2"/>
  <c r="B24282" i="2"/>
  <c r="B24281" i="2"/>
  <c r="B24280" i="2"/>
  <c r="B24279" i="2"/>
  <c r="B24278" i="2"/>
  <c r="B24277" i="2"/>
  <c r="B24276" i="2"/>
  <c r="B24275" i="2"/>
  <c r="B24274" i="2"/>
  <c r="B24273" i="2"/>
  <c r="B24272" i="2"/>
  <c r="B24271" i="2"/>
  <c r="B24270" i="2"/>
  <c r="B24269" i="2"/>
  <c r="B24268" i="2"/>
  <c r="B24267" i="2"/>
  <c r="B24266" i="2"/>
  <c r="B24265" i="2"/>
  <c r="B24264" i="2"/>
  <c r="B24263" i="2"/>
  <c r="B24262" i="2"/>
  <c r="B24261" i="2"/>
  <c r="B24260" i="2"/>
  <c r="B24259" i="2"/>
  <c r="B24258" i="2"/>
  <c r="B24257" i="2"/>
  <c r="B24256" i="2"/>
  <c r="B24255" i="2"/>
  <c r="B24254" i="2"/>
  <c r="B24253" i="2"/>
  <c r="B24252" i="2"/>
  <c r="B24251" i="2"/>
  <c r="B24250" i="2"/>
  <c r="B24249" i="2"/>
  <c r="B24248" i="2"/>
  <c r="B24247" i="2"/>
  <c r="B24246" i="2"/>
  <c r="B24245" i="2"/>
  <c r="B24244" i="2"/>
  <c r="B24243" i="2"/>
  <c r="B24242" i="2"/>
  <c r="B24241" i="2"/>
  <c r="B24240" i="2"/>
  <c r="B24239" i="2"/>
  <c r="B24238" i="2"/>
  <c r="B24237" i="2"/>
  <c r="B24236" i="2"/>
  <c r="B24235" i="2"/>
  <c r="B24234" i="2"/>
  <c r="B24233" i="2"/>
  <c r="B24232" i="2"/>
  <c r="B24231" i="2"/>
  <c r="B24230" i="2"/>
  <c r="B24229" i="2"/>
  <c r="B24228" i="2"/>
  <c r="B24227" i="2"/>
  <c r="B24226" i="2"/>
  <c r="B24225" i="2"/>
  <c r="B24224" i="2"/>
  <c r="B24223" i="2"/>
  <c r="B24222" i="2"/>
  <c r="B24221" i="2"/>
  <c r="B24220" i="2"/>
  <c r="B24219" i="2"/>
  <c r="B24218" i="2"/>
  <c r="B24217" i="2"/>
  <c r="B24216" i="2"/>
  <c r="B24215" i="2"/>
  <c r="B24214" i="2"/>
  <c r="B24213" i="2"/>
  <c r="B24212" i="2"/>
  <c r="B24211" i="2"/>
  <c r="B24210" i="2"/>
  <c r="B24209" i="2"/>
  <c r="B24208" i="2"/>
  <c r="B24207" i="2"/>
  <c r="B24206" i="2"/>
  <c r="B24205" i="2"/>
  <c r="B24204" i="2"/>
  <c r="B24203" i="2"/>
  <c r="B24202" i="2"/>
  <c r="B24201" i="2"/>
  <c r="B24200" i="2"/>
  <c r="B24199" i="2"/>
  <c r="B24198" i="2"/>
  <c r="B24197" i="2"/>
  <c r="B24196" i="2"/>
  <c r="B24195" i="2"/>
  <c r="B24194" i="2"/>
  <c r="B24193" i="2"/>
  <c r="B24192" i="2"/>
  <c r="B24191" i="2"/>
  <c r="B24190" i="2"/>
  <c r="B24189" i="2"/>
  <c r="B24188" i="2"/>
  <c r="B24187" i="2"/>
  <c r="B24186" i="2"/>
  <c r="B24185" i="2"/>
  <c r="B24184" i="2"/>
  <c r="B24183" i="2"/>
  <c r="B24182" i="2"/>
  <c r="B24181" i="2"/>
  <c r="B24180" i="2"/>
  <c r="B24179" i="2"/>
  <c r="B24178" i="2"/>
  <c r="B24177" i="2"/>
  <c r="B24176" i="2"/>
  <c r="B24175" i="2"/>
  <c r="B24174" i="2"/>
  <c r="B24173" i="2"/>
  <c r="B24172" i="2"/>
  <c r="B24171" i="2"/>
  <c r="B24170" i="2"/>
  <c r="B24169" i="2"/>
  <c r="B24168" i="2"/>
  <c r="B24167" i="2"/>
  <c r="B24166" i="2"/>
  <c r="B24165" i="2"/>
  <c r="B24164" i="2"/>
  <c r="B24163" i="2"/>
  <c r="B24162" i="2"/>
  <c r="B24161" i="2"/>
  <c r="B24160" i="2"/>
  <c r="B24159" i="2"/>
  <c r="B24158" i="2"/>
  <c r="B24157" i="2"/>
  <c r="B24156" i="2"/>
  <c r="B24155" i="2"/>
  <c r="B24154" i="2"/>
  <c r="B24153" i="2"/>
  <c r="B24152" i="2"/>
  <c r="B24151" i="2"/>
  <c r="B24150" i="2"/>
  <c r="B24149" i="2"/>
  <c r="B24148" i="2"/>
  <c r="B24147" i="2"/>
  <c r="B24146" i="2"/>
  <c r="B24145" i="2"/>
  <c r="B24144" i="2"/>
  <c r="B24143" i="2"/>
  <c r="B24142" i="2"/>
  <c r="B24141" i="2"/>
  <c r="B24140" i="2"/>
  <c r="B24139" i="2"/>
  <c r="B24138" i="2"/>
  <c r="B24137" i="2"/>
  <c r="B24136" i="2"/>
  <c r="B24135" i="2"/>
  <c r="B24134" i="2"/>
  <c r="B24133" i="2"/>
  <c r="B24132" i="2"/>
  <c r="B24131" i="2"/>
  <c r="B24130" i="2"/>
  <c r="B24129" i="2"/>
  <c r="B24128" i="2"/>
  <c r="B24127" i="2"/>
  <c r="B24126" i="2"/>
  <c r="B24125" i="2"/>
  <c r="B24124" i="2"/>
  <c r="B24123" i="2"/>
  <c r="B24122" i="2"/>
  <c r="B24121" i="2"/>
  <c r="B24120" i="2"/>
  <c r="B24119" i="2"/>
  <c r="B24118" i="2"/>
  <c r="B24117" i="2"/>
  <c r="B24116" i="2"/>
  <c r="B24115" i="2"/>
  <c r="B24114" i="2"/>
  <c r="B24113" i="2"/>
  <c r="B24112" i="2"/>
  <c r="B24111" i="2"/>
  <c r="B24110" i="2"/>
  <c r="B24109" i="2"/>
  <c r="B24108" i="2"/>
  <c r="B24107" i="2"/>
  <c r="B24106" i="2"/>
  <c r="B24105" i="2"/>
  <c r="B24104" i="2"/>
  <c r="B24103" i="2"/>
  <c r="B24102" i="2"/>
  <c r="B24101" i="2"/>
  <c r="B24100" i="2"/>
  <c r="B24099" i="2"/>
  <c r="B24098" i="2"/>
  <c r="B24097" i="2"/>
  <c r="B24096" i="2"/>
  <c r="B24095" i="2"/>
  <c r="B24094" i="2"/>
  <c r="B24093" i="2"/>
  <c r="B24092" i="2"/>
  <c r="B24091" i="2"/>
  <c r="B24090" i="2"/>
  <c r="B24089" i="2"/>
  <c r="B24088" i="2"/>
  <c r="B24087" i="2"/>
  <c r="B24086" i="2"/>
  <c r="B24085" i="2"/>
  <c r="B24084" i="2"/>
  <c r="B24083" i="2"/>
  <c r="B24082" i="2"/>
  <c r="B24081" i="2"/>
  <c r="B24080" i="2"/>
  <c r="B24079" i="2"/>
  <c r="B24078" i="2"/>
  <c r="B24077" i="2"/>
  <c r="B24076" i="2"/>
  <c r="B24075" i="2"/>
  <c r="B24074" i="2"/>
  <c r="B24073" i="2"/>
  <c r="B24072" i="2"/>
  <c r="B24071" i="2"/>
  <c r="B24070" i="2"/>
  <c r="B24069" i="2"/>
  <c r="B24068" i="2"/>
  <c r="B24067" i="2"/>
  <c r="B24066" i="2"/>
  <c r="B24065" i="2"/>
  <c r="B24064" i="2"/>
  <c r="B24063" i="2"/>
  <c r="B24062" i="2"/>
  <c r="B24061" i="2"/>
  <c r="B24060" i="2"/>
  <c r="B24059" i="2"/>
  <c r="B24058" i="2"/>
  <c r="B24057" i="2"/>
  <c r="B24056" i="2"/>
  <c r="B24055" i="2"/>
  <c r="B24054" i="2"/>
  <c r="B24053" i="2"/>
  <c r="B24052" i="2"/>
  <c r="B24051" i="2"/>
  <c r="B24050" i="2"/>
  <c r="B24049" i="2"/>
  <c r="B24048" i="2"/>
  <c r="B24047" i="2"/>
  <c r="B24046" i="2"/>
  <c r="B24045" i="2"/>
  <c r="B24044" i="2"/>
  <c r="B24043" i="2"/>
  <c r="B24042" i="2"/>
  <c r="B24041" i="2"/>
  <c r="B24040" i="2"/>
  <c r="B24039" i="2"/>
  <c r="B24038" i="2"/>
  <c r="B24037" i="2"/>
  <c r="B24036" i="2"/>
  <c r="B24035" i="2"/>
  <c r="B24034" i="2"/>
  <c r="B24033" i="2"/>
  <c r="B24032" i="2"/>
  <c r="B24031" i="2"/>
  <c r="B24030" i="2"/>
  <c r="B24029" i="2"/>
  <c r="B24028" i="2"/>
  <c r="B24027" i="2"/>
  <c r="B24026" i="2"/>
  <c r="B24025" i="2"/>
  <c r="B24024" i="2"/>
  <c r="B24023" i="2"/>
  <c r="B24022" i="2"/>
  <c r="B24021" i="2"/>
  <c r="B24020" i="2"/>
  <c r="B24019" i="2"/>
  <c r="B24018" i="2"/>
  <c r="B24017" i="2"/>
  <c r="B24016" i="2"/>
  <c r="B24015" i="2"/>
  <c r="B24014" i="2"/>
  <c r="B24013" i="2"/>
  <c r="B24012" i="2"/>
  <c r="B24011" i="2"/>
  <c r="B24010" i="2"/>
  <c r="B24009" i="2"/>
  <c r="B24008" i="2"/>
  <c r="B24007" i="2"/>
  <c r="B24006" i="2"/>
  <c r="B24005" i="2"/>
  <c r="B24004" i="2"/>
  <c r="B24003" i="2"/>
  <c r="B24002" i="2"/>
  <c r="B24001" i="2"/>
  <c r="B24000" i="2"/>
  <c r="B23999" i="2"/>
  <c r="B23998" i="2"/>
  <c r="B23997" i="2"/>
  <c r="B23996" i="2"/>
  <c r="B23995" i="2"/>
  <c r="B23994" i="2"/>
  <c r="B23993" i="2"/>
  <c r="B23992" i="2"/>
  <c r="B23991" i="2"/>
  <c r="B23990" i="2"/>
  <c r="B23989" i="2"/>
  <c r="B23988" i="2"/>
  <c r="B23987" i="2"/>
  <c r="B23986" i="2"/>
  <c r="B23985" i="2"/>
  <c r="B23984" i="2"/>
  <c r="B23983" i="2"/>
  <c r="B23982" i="2"/>
  <c r="B23981" i="2"/>
  <c r="B23980" i="2"/>
  <c r="B23979" i="2"/>
  <c r="B23978" i="2"/>
  <c r="B23977" i="2"/>
  <c r="B23976" i="2"/>
  <c r="B23975" i="2"/>
  <c r="B23974" i="2"/>
  <c r="B23973" i="2"/>
  <c r="B23972" i="2"/>
  <c r="B23971" i="2"/>
  <c r="B23970" i="2"/>
  <c r="B23969" i="2"/>
  <c r="B23968" i="2"/>
  <c r="B23967" i="2"/>
  <c r="B23966" i="2"/>
  <c r="B23965" i="2"/>
  <c r="B23964" i="2"/>
  <c r="B23963" i="2"/>
  <c r="B23962" i="2"/>
  <c r="B23961" i="2"/>
  <c r="B23960" i="2"/>
  <c r="B23959" i="2"/>
  <c r="B23958" i="2"/>
  <c r="B23957" i="2"/>
  <c r="B23956" i="2"/>
  <c r="B23955" i="2"/>
  <c r="B23954" i="2"/>
  <c r="B23953" i="2"/>
  <c r="B23952" i="2"/>
  <c r="B23951" i="2"/>
  <c r="B23950" i="2"/>
  <c r="B23949" i="2"/>
  <c r="B23948" i="2"/>
  <c r="B23947" i="2"/>
  <c r="B23946" i="2"/>
  <c r="B23945" i="2"/>
  <c r="B23944" i="2"/>
  <c r="B23943" i="2"/>
  <c r="B23942" i="2"/>
  <c r="B23941" i="2"/>
  <c r="B23940" i="2"/>
  <c r="B23939" i="2"/>
  <c r="B23938" i="2"/>
  <c r="B23937" i="2"/>
  <c r="B23936" i="2"/>
  <c r="B23935" i="2"/>
  <c r="B23934" i="2"/>
  <c r="B23933" i="2"/>
  <c r="B23932" i="2"/>
  <c r="B23931" i="2"/>
  <c r="B23930" i="2"/>
  <c r="B23929" i="2"/>
  <c r="B23928" i="2"/>
  <c r="B23927" i="2"/>
  <c r="B23926" i="2"/>
  <c r="B23925" i="2"/>
  <c r="B23924" i="2"/>
  <c r="B23923" i="2"/>
  <c r="B23922" i="2"/>
  <c r="B23921" i="2"/>
  <c r="B23920" i="2"/>
  <c r="B23919" i="2"/>
  <c r="B23918" i="2"/>
  <c r="B23917" i="2"/>
  <c r="B23916" i="2"/>
  <c r="B23915" i="2"/>
  <c r="B23914" i="2"/>
  <c r="B23913" i="2"/>
  <c r="B23912" i="2"/>
  <c r="B23911" i="2"/>
  <c r="B23910" i="2"/>
  <c r="B23909" i="2"/>
  <c r="B23908" i="2"/>
  <c r="B23907" i="2"/>
  <c r="B23906" i="2"/>
  <c r="B23905" i="2"/>
  <c r="B23904" i="2"/>
  <c r="B23903" i="2"/>
  <c r="B23902" i="2"/>
  <c r="B23901" i="2"/>
  <c r="B23900" i="2"/>
  <c r="B23899" i="2"/>
  <c r="B23898" i="2"/>
  <c r="B23897" i="2"/>
  <c r="B23896" i="2"/>
  <c r="B23895" i="2"/>
  <c r="B23894" i="2"/>
  <c r="B23893" i="2"/>
  <c r="B23892" i="2"/>
  <c r="B23891" i="2"/>
  <c r="B23890" i="2"/>
  <c r="B23889" i="2"/>
  <c r="B23888" i="2"/>
  <c r="B23887" i="2"/>
  <c r="B23886" i="2"/>
  <c r="B23885" i="2"/>
  <c r="B23884" i="2"/>
  <c r="B23883" i="2"/>
  <c r="B23882" i="2"/>
  <c r="B23881" i="2"/>
  <c r="B23880" i="2"/>
  <c r="B23879" i="2"/>
  <c r="B23878" i="2"/>
  <c r="B23877" i="2"/>
  <c r="B23876" i="2"/>
  <c r="B23875" i="2"/>
  <c r="B23874" i="2"/>
  <c r="B23873" i="2"/>
  <c r="B23872" i="2"/>
  <c r="B23871" i="2"/>
  <c r="B23870" i="2"/>
  <c r="B23869" i="2"/>
  <c r="B23868" i="2"/>
  <c r="B23867" i="2"/>
  <c r="B23866" i="2"/>
  <c r="B23865" i="2"/>
  <c r="B23864" i="2"/>
  <c r="B23863" i="2"/>
  <c r="B23862" i="2"/>
  <c r="B23861" i="2"/>
  <c r="B23860" i="2"/>
  <c r="B23859" i="2"/>
  <c r="B23858" i="2"/>
  <c r="B23857" i="2"/>
  <c r="B23856" i="2"/>
  <c r="B23855" i="2"/>
  <c r="B23854" i="2"/>
  <c r="B23853" i="2"/>
  <c r="B23852" i="2"/>
  <c r="B23851" i="2"/>
  <c r="B23850" i="2"/>
  <c r="B23849" i="2"/>
  <c r="B23848" i="2"/>
  <c r="B23847" i="2"/>
  <c r="B23846" i="2"/>
  <c r="B23845" i="2"/>
  <c r="B23844" i="2"/>
  <c r="B23843" i="2"/>
  <c r="B23842" i="2"/>
  <c r="B23841" i="2"/>
  <c r="B23840" i="2"/>
  <c r="B23839" i="2"/>
  <c r="B23838" i="2"/>
  <c r="B23837" i="2"/>
  <c r="B23836" i="2"/>
  <c r="B23835" i="2"/>
  <c r="B23834" i="2"/>
  <c r="B23833" i="2"/>
  <c r="B23832" i="2"/>
  <c r="B23831" i="2"/>
  <c r="B23830" i="2"/>
  <c r="B23829" i="2"/>
  <c r="B23828" i="2"/>
  <c r="B23827" i="2"/>
  <c r="B23826" i="2"/>
  <c r="B23825" i="2"/>
  <c r="B23824" i="2"/>
  <c r="B23823" i="2"/>
  <c r="B23822" i="2"/>
  <c r="B23821" i="2"/>
  <c r="B23820" i="2"/>
  <c r="B23819" i="2"/>
  <c r="B23818" i="2"/>
  <c r="B23817" i="2"/>
  <c r="B23816" i="2"/>
  <c r="B23815" i="2"/>
  <c r="B23814" i="2"/>
  <c r="B23813" i="2"/>
  <c r="B23812" i="2"/>
  <c r="B23811" i="2"/>
  <c r="B23810" i="2"/>
  <c r="B23809" i="2"/>
  <c r="B23808" i="2"/>
  <c r="B23807" i="2"/>
  <c r="B23806" i="2"/>
  <c r="B23805" i="2"/>
  <c r="B23804" i="2"/>
  <c r="B23803" i="2"/>
  <c r="B23802" i="2"/>
  <c r="B23801" i="2"/>
  <c r="B23800" i="2"/>
  <c r="B23799" i="2"/>
  <c r="B23798" i="2"/>
  <c r="B23797" i="2"/>
  <c r="B23796" i="2"/>
  <c r="B23795" i="2"/>
  <c r="B23794" i="2"/>
  <c r="B23793" i="2"/>
  <c r="B23792" i="2"/>
  <c r="B23791" i="2"/>
  <c r="B23790" i="2"/>
  <c r="B23789" i="2"/>
  <c r="B23788" i="2"/>
  <c r="B23787" i="2"/>
  <c r="B23786" i="2"/>
  <c r="B23785" i="2"/>
  <c r="B23784" i="2"/>
  <c r="B23783" i="2"/>
  <c r="B23782" i="2"/>
  <c r="B23781" i="2"/>
  <c r="B23780" i="2"/>
  <c r="B23779" i="2"/>
  <c r="B23778" i="2"/>
  <c r="B23777" i="2"/>
  <c r="B23776" i="2"/>
  <c r="B23775" i="2"/>
  <c r="B23774" i="2"/>
  <c r="B23773" i="2"/>
  <c r="B23772" i="2"/>
  <c r="B23771" i="2"/>
  <c r="B23770" i="2"/>
  <c r="B23769" i="2"/>
  <c r="B23768" i="2"/>
  <c r="B23767" i="2"/>
  <c r="B23766" i="2"/>
  <c r="B23765" i="2"/>
  <c r="B23764" i="2"/>
  <c r="B23763" i="2"/>
  <c r="B23762" i="2"/>
  <c r="B23761" i="2"/>
  <c r="B23760" i="2"/>
  <c r="B23759" i="2"/>
  <c r="B23758" i="2"/>
  <c r="B23757" i="2"/>
  <c r="B23756" i="2"/>
  <c r="B23755" i="2"/>
  <c r="B23754" i="2"/>
  <c r="B23753" i="2"/>
  <c r="B23752" i="2"/>
  <c r="B23751" i="2"/>
  <c r="B23750" i="2"/>
  <c r="B23749" i="2"/>
  <c r="B23748" i="2"/>
  <c r="B23747" i="2"/>
  <c r="B23746" i="2"/>
  <c r="B23745" i="2"/>
  <c r="B23744" i="2"/>
  <c r="B23743" i="2"/>
  <c r="B23742" i="2"/>
  <c r="B23741" i="2"/>
  <c r="B23740" i="2"/>
  <c r="B23739" i="2"/>
  <c r="B23738" i="2"/>
  <c r="B23737" i="2"/>
  <c r="B23736" i="2"/>
  <c r="B23735" i="2"/>
  <c r="B23734" i="2"/>
  <c r="B23733" i="2"/>
  <c r="B23732" i="2"/>
  <c r="B23731" i="2"/>
  <c r="B23730" i="2"/>
  <c r="B23729" i="2"/>
  <c r="B23728" i="2"/>
  <c r="B23727" i="2"/>
  <c r="B23726" i="2"/>
  <c r="B23725" i="2"/>
  <c r="B23724" i="2"/>
  <c r="B23723" i="2"/>
  <c r="B23722" i="2"/>
  <c r="B23721" i="2"/>
  <c r="B23720" i="2"/>
  <c r="B23719" i="2"/>
  <c r="B23718" i="2"/>
  <c r="B23717" i="2"/>
  <c r="B23716" i="2"/>
  <c r="B23715" i="2"/>
  <c r="B23714" i="2"/>
  <c r="B23713" i="2"/>
  <c r="B23712" i="2"/>
  <c r="B23711" i="2"/>
  <c r="B23710" i="2"/>
  <c r="B23709" i="2"/>
  <c r="B23708" i="2"/>
  <c r="B23707" i="2"/>
  <c r="B23706" i="2"/>
  <c r="B23705" i="2"/>
  <c r="B23704" i="2"/>
  <c r="B23703" i="2"/>
  <c r="B23702" i="2"/>
  <c r="B23701" i="2"/>
  <c r="B23700" i="2"/>
  <c r="B23699" i="2"/>
  <c r="B23698" i="2"/>
  <c r="B23697" i="2"/>
  <c r="B23696" i="2"/>
  <c r="B23695" i="2"/>
  <c r="B23694" i="2"/>
  <c r="B23693" i="2"/>
  <c r="B23692" i="2"/>
  <c r="B23691" i="2"/>
  <c r="B23690" i="2"/>
  <c r="B23689" i="2"/>
  <c r="B23688" i="2"/>
  <c r="B23687" i="2"/>
  <c r="B23686" i="2"/>
  <c r="B23685" i="2"/>
  <c r="B23684" i="2"/>
  <c r="B23683" i="2"/>
  <c r="B23682" i="2"/>
  <c r="B23681" i="2"/>
  <c r="B23680" i="2"/>
  <c r="B23679" i="2"/>
  <c r="B23678" i="2"/>
  <c r="B23677" i="2"/>
  <c r="B23676" i="2"/>
  <c r="B23675" i="2"/>
  <c r="B23674" i="2"/>
  <c r="B23673" i="2"/>
  <c r="B23672" i="2"/>
  <c r="B23671" i="2"/>
  <c r="B23670" i="2"/>
  <c r="B23669" i="2"/>
  <c r="B23668" i="2"/>
  <c r="B23667" i="2"/>
  <c r="B23666" i="2"/>
  <c r="B23665" i="2"/>
  <c r="B23664" i="2"/>
  <c r="B23663" i="2"/>
  <c r="B23662" i="2"/>
  <c r="B23661" i="2"/>
  <c r="B23660" i="2"/>
  <c r="B23659" i="2"/>
  <c r="B23658" i="2"/>
  <c r="B23657" i="2"/>
  <c r="B23656" i="2"/>
  <c r="B23655" i="2"/>
  <c r="B23654" i="2"/>
  <c r="B23653" i="2"/>
  <c r="B23652" i="2"/>
  <c r="B23651" i="2"/>
  <c r="B23650" i="2"/>
  <c r="B23649" i="2"/>
  <c r="B23648" i="2"/>
  <c r="B23647" i="2"/>
  <c r="B23646" i="2"/>
  <c r="B23645" i="2"/>
  <c r="B23644" i="2"/>
  <c r="B23643" i="2"/>
  <c r="B23642" i="2"/>
  <c r="B23641" i="2"/>
  <c r="B23640" i="2"/>
  <c r="B23639" i="2"/>
  <c r="B23638" i="2"/>
  <c r="B23637" i="2"/>
  <c r="B23636" i="2"/>
  <c r="B23635" i="2"/>
  <c r="B23634" i="2"/>
  <c r="B23633" i="2"/>
  <c r="B23632" i="2"/>
  <c r="B23631" i="2"/>
  <c r="B23630" i="2"/>
  <c r="B23629" i="2"/>
  <c r="B23628" i="2"/>
  <c r="B23627" i="2"/>
  <c r="B23626" i="2"/>
  <c r="B23625" i="2"/>
  <c r="B23624" i="2"/>
  <c r="B23623" i="2"/>
  <c r="B23622" i="2"/>
  <c r="B23621" i="2"/>
  <c r="B23620" i="2"/>
  <c r="B23619" i="2"/>
  <c r="B23618" i="2"/>
  <c r="B23617" i="2"/>
  <c r="B23616" i="2"/>
  <c r="B23615" i="2"/>
  <c r="B23614" i="2"/>
  <c r="B23613" i="2"/>
  <c r="B23612" i="2"/>
  <c r="B23611" i="2"/>
  <c r="B23610" i="2"/>
  <c r="B23609" i="2"/>
  <c r="B23608" i="2"/>
  <c r="B23607" i="2"/>
  <c r="B23606" i="2"/>
  <c r="B23605" i="2"/>
  <c r="B23604" i="2"/>
  <c r="B23603" i="2"/>
  <c r="B23602" i="2"/>
  <c r="B23601" i="2"/>
  <c r="B23600" i="2"/>
  <c r="B23599" i="2"/>
  <c r="B23598" i="2"/>
  <c r="B23597" i="2"/>
  <c r="B23596" i="2"/>
  <c r="B23595" i="2"/>
  <c r="B23594" i="2"/>
  <c r="B23593" i="2"/>
  <c r="B23592" i="2"/>
  <c r="B23591" i="2"/>
  <c r="B23590" i="2"/>
  <c r="B23589" i="2"/>
  <c r="B23588" i="2"/>
  <c r="B23587" i="2"/>
  <c r="B23586" i="2"/>
  <c r="B23585" i="2"/>
  <c r="B23584" i="2"/>
  <c r="B23583" i="2"/>
  <c r="B23582" i="2"/>
  <c r="B23581" i="2"/>
  <c r="B23580" i="2"/>
  <c r="B23579" i="2"/>
  <c r="B23578" i="2"/>
  <c r="B23577" i="2"/>
  <c r="B23576" i="2"/>
  <c r="B23575" i="2"/>
  <c r="B23574" i="2"/>
  <c r="B23573" i="2"/>
  <c r="B23572" i="2"/>
  <c r="B23571" i="2"/>
  <c r="B23570" i="2"/>
  <c r="B23569" i="2"/>
  <c r="B23568" i="2"/>
  <c r="B23567" i="2"/>
  <c r="B23566" i="2"/>
  <c r="B23565" i="2"/>
  <c r="B23564" i="2"/>
  <c r="B23563" i="2"/>
  <c r="B23562" i="2"/>
  <c r="B23561" i="2"/>
  <c r="B23560" i="2"/>
  <c r="B23559" i="2"/>
  <c r="B23558" i="2"/>
  <c r="B23557" i="2"/>
  <c r="B23556" i="2"/>
  <c r="B23555" i="2"/>
  <c r="B23554" i="2"/>
  <c r="B23553" i="2"/>
  <c r="B23552" i="2"/>
  <c r="B23551" i="2"/>
  <c r="B23550" i="2"/>
  <c r="B23549" i="2"/>
  <c r="B23548" i="2"/>
  <c r="B23547" i="2"/>
  <c r="B23546" i="2"/>
  <c r="B23545" i="2"/>
  <c r="B23544" i="2"/>
  <c r="B23543" i="2"/>
  <c r="B23542" i="2"/>
  <c r="B23541" i="2"/>
  <c r="B23540" i="2"/>
  <c r="B23539" i="2"/>
  <c r="B23538" i="2"/>
  <c r="B23537" i="2"/>
  <c r="B23536" i="2"/>
  <c r="B23535" i="2"/>
  <c r="B23534" i="2"/>
  <c r="B23533" i="2"/>
  <c r="B23532" i="2"/>
  <c r="B23531" i="2"/>
  <c r="B23530" i="2"/>
  <c r="B23529" i="2"/>
  <c r="B23528" i="2"/>
  <c r="B23527" i="2"/>
  <c r="B23526" i="2"/>
  <c r="B23525" i="2"/>
  <c r="B23524" i="2"/>
  <c r="B23523" i="2"/>
  <c r="B23522" i="2"/>
  <c r="B23521" i="2"/>
  <c r="B23520" i="2"/>
  <c r="B23519" i="2"/>
  <c r="B23518" i="2"/>
  <c r="B23517" i="2"/>
  <c r="B23516" i="2"/>
  <c r="B23515" i="2"/>
  <c r="B23514" i="2"/>
  <c r="B23513" i="2"/>
  <c r="B23512" i="2"/>
  <c r="B23511" i="2"/>
  <c r="B23510" i="2"/>
  <c r="B23509" i="2"/>
  <c r="B23508" i="2"/>
  <c r="B23507" i="2"/>
  <c r="B23506" i="2"/>
  <c r="B23505" i="2"/>
  <c r="B23504" i="2"/>
  <c r="B23503" i="2"/>
  <c r="B23502" i="2"/>
  <c r="B23501" i="2"/>
  <c r="B23500" i="2"/>
  <c r="B23499" i="2"/>
  <c r="B23498" i="2"/>
  <c r="B23497" i="2"/>
  <c r="B23496" i="2"/>
  <c r="B23495" i="2"/>
  <c r="B23494" i="2"/>
  <c r="B23493" i="2"/>
  <c r="B23492" i="2"/>
  <c r="B23491" i="2"/>
  <c r="B23490" i="2"/>
  <c r="B23489" i="2"/>
  <c r="B23488" i="2"/>
  <c r="B23487" i="2"/>
  <c r="B23486" i="2"/>
  <c r="B23485" i="2"/>
  <c r="B23484" i="2"/>
  <c r="B23483" i="2"/>
  <c r="B23482" i="2"/>
  <c r="B23481" i="2"/>
  <c r="B23480" i="2"/>
  <c r="B23479" i="2"/>
  <c r="B23478" i="2"/>
  <c r="B23477" i="2"/>
  <c r="B23476" i="2"/>
  <c r="B23475" i="2"/>
  <c r="B23474" i="2"/>
  <c r="B23473" i="2"/>
  <c r="B23472" i="2"/>
  <c r="B23471" i="2"/>
  <c r="B23470" i="2"/>
  <c r="B23469" i="2"/>
  <c r="B23468" i="2"/>
  <c r="B23467" i="2"/>
  <c r="B23466" i="2"/>
  <c r="B23465" i="2"/>
  <c r="B23464" i="2"/>
  <c r="B23463" i="2"/>
  <c r="B23462" i="2"/>
  <c r="B23461" i="2"/>
  <c r="B23460" i="2"/>
  <c r="B23459" i="2"/>
  <c r="B23458" i="2"/>
  <c r="B23457" i="2"/>
  <c r="B23456" i="2"/>
  <c r="B23455" i="2"/>
  <c r="B23454" i="2"/>
  <c r="B23453" i="2"/>
  <c r="B23452" i="2"/>
  <c r="B23451" i="2"/>
  <c r="B23450" i="2"/>
  <c r="B23449" i="2"/>
  <c r="B23448" i="2"/>
  <c r="B23447" i="2"/>
  <c r="B23446" i="2"/>
  <c r="B23445" i="2"/>
  <c r="B23444" i="2"/>
  <c r="B23443" i="2"/>
  <c r="B23442" i="2"/>
  <c r="B23441" i="2"/>
  <c r="B23440" i="2"/>
  <c r="B23439" i="2"/>
  <c r="B23438" i="2"/>
  <c r="B23437" i="2"/>
  <c r="B23436" i="2"/>
  <c r="B23435" i="2"/>
  <c r="B23434" i="2"/>
  <c r="B23433" i="2"/>
  <c r="B23432" i="2"/>
  <c r="B23431" i="2"/>
  <c r="B23430" i="2"/>
  <c r="B23429" i="2"/>
  <c r="B23428" i="2"/>
  <c r="B23427" i="2"/>
  <c r="B23426" i="2"/>
  <c r="B23425" i="2"/>
  <c r="B23424" i="2"/>
  <c r="B23423" i="2"/>
  <c r="B23422" i="2"/>
  <c r="B23421" i="2"/>
  <c r="B23420" i="2"/>
  <c r="B23419" i="2"/>
  <c r="B23418" i="2"/>
  <c r="B23417" i="2"/>
  <c r="B23416" i="2"/>
  <c r="B23415" i="2"/>
  <c r="B23414" i="2"/>
  <c r="B23413" i="2"/>
  <c r="B23412" i="2"/>
  <c r="B23411" i="2"/>
  <c r="B23410" i="2"/>
  <c r="B23409" i="2"/>
  <c r="B23408" i="2"/>
  <c r="B23407" i="2"/>
  <c r="B23406" i="2"/>
  <c r="B23405" i="2"/>
  <c r="B23404" i="2"/>
  <c r="B23403" i="2"/>
  <c r="B23402" i="2"/>
  <c r="B23401" i="2"/>
  <c r="B23400" i="2"/>
  <c r="B23399" i="2"/>
  <c r="B23398" i="2"/>
  <c r="B23397" i="2"/>
  <c r="B23396" i="2"/>
  <c r="B23395" i="2"/>
  <c r="B23394" i="2"/>
  <c r="B23393" i="2"/>
  <c r="B23392" i="2"/>
  <c r="B23391" i="2"/>
  <c r="B23390" i="2"/>
  <c r="B23389" i="2"/>
  <c r="B23388" i="2"/>
  <c r="B23387" i="2"/>
  <c r="B23386" i="2"/>
  <c r="B23385" i="2"/>
  <c r="B23384" i="2"/>
  <c r="B23383" i="2"/>
  <c r="B23382" i="2"/>
  <c r="B23381" i="2"/>
  <c r="B23380" i="2"/>
  <c r="B23379" i="2"/>
  <c r="B23378" i="2"/>
  <c r="B23377" i="2"/>
  <c r="B23376" i="2"/>
  <c r="B23375" i="2"/>
  <c r="B23374" i="2"/>
  <c r="B23373" i="2"/>
  <c r="B23372" i="2"/>
  <c r="B23371" i="2"/>
  <c r="B23370" i="2"/>
  <c r="B23369" i="2"/>
  <c r="B23368" i="2"/>
  <c r="B23367" i="2"/>
  <c r="B23366" i="2"/>
  <c r="B23365" i="2"/>
  <c r="B23364" i="2"/>
  <c r="B23363" i="2"/>
  <c r="B23362" i="2"/>
  <c r="B23361" i="2"/>
  <c r="B23360" i="2"/>
  <c r="B23359" i="2"/>
  <c r="B23358" i="2"/>
  <c r="B23357" i="2"/>
  <c r="B23356" i="2"/>
  <c r="B23355" i="2"/>
  <c r="B23354" i="2"/>
  <c r="B23353" i="2"/>
  <c r="B23352" i="2"/>
  <c r="B23351" i="2"/>
  <c r="B23350" i="2"/>
  <c r="B23349" i="2"/>
  <c r="B23348" i="2"/>
  <c r="B23347" i="2"/>
  <c r="B23346" i="2"/>
  <c r="B23345" i="2"/>
  <c r="B23344" i="2"/>
  <c r="B23343" i="2"/>
  <c r="B23342" i="2"/>
  <c r="B23341" i="2"/>
  <c r="B23340" i="2"/>
  <c r="B23339" i="2"/>
  <c r="B23338" i="2"/>
  <c r="B23337" i="2"/>
  <c r="B23336" i="2"/>
  <c r="B23335" i="2"/>
  <c r="B23334" i="2"/>
  <c r="B23333" i="2"/>
  <c r="B23332" i="2"/>
  <c r="B23331" i="2"/>
  <c r="B23330" i="2"/>
  <c r="B23329" i="2"/>
  <c r="B23328" i="2"/>
  <c r="B23327" i="2"/>
  <c r="B23326" i="2"/>
  <c r="B23325" i="2"/>
  <c r="B23324" i="2"/>
  <c r="B23323" i="2"/>
  <c r="B23322" i="2"/>
  <c r="B23321" i="2"/>
  <c r="B23320" i="2"/>
  <c r="B23319" i="2"/>
  <c r="B23318" i="2"/>
  <c r="B23317" i="2"/>
  <c r="B23316" i="2"/>
  <c r="B23315" i="2"/>
  <c r="B23314" i="2"/>
  <c r="B23313" i="2"/>
  <c r="B23312" i="2"/>
  <c r="B23311" i="2"/>
  <c r="B23310" i="2"/>
  <c r="B23309" i="2"/>
  <c r="B23308" i="2"/>
  <c r="B23307" i="2"/>
  <c r="B23306" i="2"/>
  <c r="B23305" i="2"/>
  <c r="B23304" i="2"/>
  <c r="B23303" i="2"/>
  <c r="B23302" i="2"/>
  <c r="B23301" i="2"/>
  <c r="B23300" i="2"/>
  <c r="B23299" i="2"/>
  <c r="B23298" i="2"/>
  <c r="B23297" i="2"/>
  <c r="B23296" i="2"/>
  <c r="B23295" i="2"/>
  <c r="B23294" i="2"/>
  <c r="B23293" i="2"/>
  <c r="B23292" i="2"/>
  <c r="B23291" i="2"/>
  <c r="B23290" i="2"/>
  <c r="B23289" i="2"/>
  <c r="B23288" i="2"/>
  <c r="B23287" i="2"/>
  <c r="B23286" i="2"/>
  <c r="B23285" i="2"/>
  <c r="B23284" i="2"/>
  <c r="B23283" i="2"/>
  <c r="B23282" i="2"/>
  <c r="B23281" i="2"/>
  <c r="B23280" i="2"/>
  <c r="B23279" i="2"/>
  <c r="B23278" i="2"/>
  <c r="B23277" i="2"/>
  <c r="B23276" i="2"/>
  <c r="B23275" i="2"/>
  <c r="B23274" i="2"/>
  <c r="B23273" i="2"/>
  <c r="B23272" i="2"/>
  <c r="B23271" i="2"/>
  <c r="B23270" i="2"/>
  <c r="B23269" i="2"/>
  <c r="B23268" i="2"/>
  <c r="B23267" i="2"/>
  <c r="B23266" i="2"/>
  <c r="B23265" i="2"/>
  <c r="B23264" i="2"/>
  <c r="B23263" i="2"/>
  <c r="B23262" i="2"/>
  <c r="B23261" i="2"/>
  <c r="B23260" i="2"/>
  <c r="B23259" i="2"/>
  <c r="B23258" i="2"/>
  <c r="B23257" i="2"/>
  <c r="B23256" i="2"/>
  <c r="B23255" i="2"/>
  <c r="B23254" i="2"/>
  <c r="B23253" i="2"/>
  <c r="B23252" i="2"/>
  <c r="B23251" i="2"/>
  <c r="B23250" i="2"/>
  <c r="B23249" i="2"/>
  <c r="B23248" i="2"/>
  <c r="B23247" i="2"/>
  <c r="B23246" i="2"/>
  <c r="B23245" i="2"/>
  <c r="B23244" i="2"/>
  <c r="B23243" i="2"/>
  <c r="B23242" i="2"/>
  <c r="B23241" i="2"/>
  <c r="B23240" i="2"/>
  <c r="B23239" i="2"/>
  <c r="B23238" i="2"/>
  <c r="B23237" i="2"/>
  <c r="B23236" i="2"/>
  <c r="B23235" i="2"/>
  <c r="B23234" i="2"/>
  <c r="B23233" i="2"/>
  <c r="B23232" i="2"/>
  <c r="B23231" i="2"/>
  <c r="B23230" i="2"/>
  <c r="B23229" i="2"/>
  <c r="B23228" i="2"/>
  <c r="B23227" i="2"/>
  <c r="B23226" i="2"/>
  <c r="B23225" i="2"/>
  <c r="B23224" i="2"/>
  <c r="B23223" i="2"/>
  <c r="B23222" i="2"/>
  <c r="B23221" i="2"/>
  <c r="B23220" i="2"/>
  <c r="B23219" i="2"/>
  <c r="B23218" i="2"/>
  <c r="B23217" i="2"/>
  <c r="B23216" i="2"/>
  <c r="B23215" i="2"/>
  <c r="B23214" i="2"/>
  <c r="B23213" i="2"/>
  <c r="B23212" i="2"/>
  <c r="B23211" i="2"/>
  <c r="B23210" i="2"/>
  <c r="B23209" i="2"/>
  <c r="B23208" i="2"/>
  <c r="B23207" i="2"/>
  <c r="B23206" i="2"/>
  <c r="B23205" i="2"/>
  <c r="B23204" i="2"/>
  <c r="B23203" i="2"/>
  <c r="B23202" i="2"/>
  <c r="B23201" i="2"/>
  <c r="B23200" i="2"/>
  <c r="B23199" i="2"/>
  <c r="B23198" i="2"/>
  <c r="B23197" i="2"/>
  <c r="B23196" i="2"/>
  <c r="B23195" i="2"/>
  <c r="B23194" i="2"/>
  <c r="B23193" i="2"/>
  <c r="B23192" i="2"/>
  <c r="B23191" i="2"/>
  <c r="B23190" i="2"/>
  <c r="B23189" i="2"/>
  <c r="B23188" i="2"/>
  <c r="B23187" i="2"/>
  <c r="B23186" i="2"/>
  <c r="B23185" i="2"/>
  <c r="B23184" i="2"/>
  <c r="B23183" i="2"/>
  <c r="B23182" i="2"/>
  <c r="B23181" i="2"/>
  <c r="B23180" i="2"/>
  <c r="B23179" i="2"/>
  <c r="B23178" i="2"/>
  <c r="B23177" i="2"/>
  <c r="B23176" i="2"/>
  <c r="B23175" i="2"/>
  <c r="B23174" i="2"/>
  <c r="B23173" i="2"/>
  <c r="B23172" i="2"/>
  <c r="B23171" i="2"/>
  <c r="B23170" i="2"/>
  <c r="B23169" i="2"/>
  <c r="B23168" i="2"/>
  <c r="B23167" i="2"/>
  <c r="B23166" i="2"/>
  <c r="B23165" i="2"/>
  <c r="B23164" i="2"/>
  <c r="B23163" i="2"/>
  <c r="B23162" i="2"/>
  <c r="B23161" i="2"/>
  <c r="B23160" i="2"/>
  <c r="B23159" i="2"/>
  <c r="B23158" i="2"/>
  <c r="B23157" i="2"/>
  <c r="B23156" i="2"/>
  <c r="B23155" i="2"/>
  <c r="B23154" i="2"/>
  <c r="B23153" i="2"/>
  <c r="B23152" i="2"/>
  <c r="B23151" i="2"/>
  <c r="B23150" i="2"/>
  <c r="B23149" i="2"/>
  <c r="B23148" i="2"/>
  <c r="B23147" i="2"/>
  <c r="B23146" i="2"/>
  <c r="B23145" i="2"/>
  <c r="B23144" i="2"/>
  <c r="B23143" i="2"/>
  <c r="B23142" i="2"/>
  <c r="B23141" i="2"/>
  <c r="B23140" i="2"/>
  <c r="B23139" i="2"/>
  <c r="B23138" i="2"/>
  <c r="B23137" i="2"/>
  <c r="B23136" i="2"/>
  <c r="B23135" i="2"/>
  <c r="B23134" i="2"/>
  <c r="B23133" i="2"/>
  <c r="B23132" i="2"/>
  <c r="B23131" i="2"/>
  <c r="B23130" i="2"/>
  <c r="B23129" i="2"/>
  <c r="B23128" i="2"/>
  <c r="B23127" i="2"/>
  <c r="B23126" i="2"/>
  <c r="B23125" i="2"/>
  <c r="B23124" i="2"/>
  <c r="B23123" i="2"/>
  <c r="B23122" i="2"/>
  <c r="B23121" i="2"/>
  <c r="B23120" i="2"/>
  <c r="B23119" i="2"/>
  <c r="B23118" i="2"/>
  <c r="B23117" i="2"/>
  <c r="B23116" i="2"/>
  <c r="B23115" i="2"/>
  <c r="B23114" i="2"/>
  <c r="B23113" i="2"/>
  <c r="B23112" i="2"/>
  <c r="B23111" i="2"/>
  <c r="B23110" i="2"/>
  <c r="B23109" i="2"/>
  <c r="B23108" i="2"/>
  <c r="B23107" i="2"/>
  <c r="B23106" i="2"/>
  <c r="B23105" i="2"/>
  <c r="B23104" i="2"/>
  <c r="B23103" i="2"/>
  <c r="B23102" i="2"/>
  <c r="B23101" i="2"/>
  <c r="B23100" i="2"/>
  <c r="B23099" i="2"/>
  <c r="B23098" i="2"/>
  <c r="B23097" i="2"/>
  <c r="B23096" i="2"/>
  <c r="B23095" i="2"/>
  <c r="B23094" i="2"/>
  <c r="B23093" i="2"/>
  <c r="B23092" i="2"/>
  <c r="B23091" i="2"/>
  <c r="B23090" i="2"/>
  <c r="B23089" i="2"/>
  <c r="B23088" i="2"/>
  <c r="B23087" i="2"/>
  <c r="B23086" i="2"/>
  <c r="B23085" i="2"/>
  <c r="B23084" i="2"/>
  <c r="B23083" i="2"/>
  <c r="B23082" i="2"/>
  <c r="B23081" i="2"/>
  <c r="B23080" i="2"/>
  <c r="B23079" i="2"/>
  <c r="B23078" i="2"/>
  <c r="B23077" i="2"/>
  <c r="B23076" i="2"/>
  <c r="B23075" i="2"/>
  <c r="B23074" i="2"/>
  <c r="B23073" i="2"/>
  <c r="B23072" i="2"/>
  <c r="B23071" i="2"/>
  <c r="B23070" i="2"/>
  <c r="B23069" i="2"/>
  <c r="B23068" i="2"/>
  <c r="B23067" i="2"/>
  <c r="B23066" i="2"/>
  <c r="B23065" i="2"/>
  <c r="B23064" i="2"/>
  <c r="B23063" i="2"/>
  <c r="B23062" i="2"/>
  <c r="B23061" i="2"/>
  <c r="B23060" i="2"/>
  <c r="B23059" i="2"/>
  <c r="B23058" i="2"/>
  <c r="B23057" i="2"/>
  <c r="B23056" i="2"/>
  <c r="B23055" i="2"/>
  <c r="B23054" i="2"/>
  <c r="B23053" i="2"/>
  <c r="B23052" i="2"/>
  <c r="B23051" i="2"/>
  <c r="B23050" i="2"/>
  <c r="B23049" i="2"/>
  <c r="B23048" i="2"/>
  <c r="B23047" i="2"/>
  <c r="B23046" i="2"/>
  <c r="B23045" i="2"/>
  <c r="B23044" i="2"/>
  <c r="B23043" i="2"/>
  <c r="B23042" i="2"/>
  <c r="B23041" i="2"/>
  <c r="B23040" i="2"/>
  <c r="B23039" i="2"/>
  <c r="B23038" i="2"/>
  <c r="B23037" i="2"/>
  <c r="B23036" i="2"/>
  <c r="B23035" i="2"/>
  <c r="B23034" i="2"/>
  <c r="B23033" i="2"/>
  <c r="B23032" i="2"/>
  <c r="B23031" i="2"/>
  <c r="B23030" i="2"/>
  <c r="B23029" i="2"/>
  <c r="B23028" i="2"/>
  <c r="B23027" i="2"/>
  <c r="B23026" i="2"/>
  <c r="B23025" i="2"/>
  <c r="B23024" i="2"/>
  <c r="B23023" i="2"/>
  <c r="B23022" i="2"/>
  <c r="B23021" i="2"/>
  <c r="B23020" i="2"/>
  <c r="B23019" i="2"/>
  <c r="B23018" i="2"/>
  <c r="B23017" i="2"/>
  <c r="B23016" i="2"/>
  <c r="B23015" i="2"/>
  <c r="B23014" i="2"/>
  <c r="B23013" i="2"/>
  <c r="B23012" i="2"/>
  <c r="B23011" i="2"/>
  <c r="B23010" i="2"/>
  <c r="B23009" i="2"/>
  <c r="B23008" i="2"/>
  <c r="B23007" i="2"/>
  <c r="B23006" i="2"/>
  <c r="B23005" i="2"/>
  <c r="B23004" i="2"/>
  <c r="B23003" i="2"/>
  <c r="B23002" i="2"/>
  <c r="B23001" i="2"/>
  <c r="B23000" i="2"/>
  <c r="B22999" i="2"/>
  <c r="B22998" i="2"/>
  <c r="B22997" i="2"/>
  <c r="B22996" i="2"/>
  <c r="B22995" i="2"/>
  <c r="B22994" i="2"/>
  <c r="B22993" i="2"/>
  <c r="B22992" i="2"/>
  <c r="B22991" i="2"/>
  <c r="B22990" i="2"/>
  <c r="B22989" i="2"/>
  <c r="B22988" i="2"/>
  <c r="B22987" i="2"/>
  <c r="B22986" i="2"/>
  <c r="B22985" i="2"/>
  <c r="B22984" i="2"/>
  <c r="B22983" i="2"/>
  <c r="B22982" i="2"/>
  <c r="B22981" i="2"/>
  <c r="B22980" i="2"/>
  <c r="B22979" i="2"/>
  <c r="B22978" i="2"/>
  <c r="B22977" i="2"/>
  <c r="B22976" i="2"/>
  <c r="B22975" i="2"/>
  <c r="B22974" i="2"/>
  <c r="B22973" i="2"/>
  <c r="B22972" i="2"/>
  <c r="B22971" i="2"/>
  <c r="B22970" i="2"/>
  <c r="B22969" i="2"/>
  <c r="B22968" i="2"/>
  <c r="B22967" i="2"/>
  <c r="B22966" i="2"/>
  <c r="B22965" i="2"/>
  <c r="B22964" i="2"/>
  <c r="B22963" i="2"/>
  <c r="B22962" i="2"/>
  <c r="B22961" i="2"/>
  <c r="B22960" i="2"/>
  <c r="B22959" i="2"/>
  <c r="B22958" i="2"/>
  <c r="B22957" i="2"/>
  <c r="B22956" i="2"/>
  <c r="B22955" i="2"/>
  <c r="B22954" i="2"/>
  <c r="B22953" i="2"/>
  <c r="B22952" i="2"/>
  <c r="B22951" i="2"/>
  <c r="B22950" i="2"/>
  <c r="B22949" i="2"/>
  <c r="B22948" i="2"/>
  <c r="B22947" i="2"/>
  <c r="B22946" i="2"/>
  <c r="B22945" i="2"/>
  <c r="B22944" i="2"/>
  <c r="B22943" i="2"/>
  <c r="B22942" i="2"/>
  <c r="B22941" i="2"/>
  <c r="B22940" i="2"/>
  <c r="B22939" i="2"/>
  <c r="B22938" i="2"/>
  <c r="B22937" i="2"/>
  <c r="B22936" i="2"/>
  <c r="B22935" i="2"/>
  <c r="B22934" i="2"/>
  <c r="B22933" i="2"/>
  <c r="B22932" i="2"/>
  <c r="B22931" i="2"/>
  <c r="B22930" i="2"/>
  <c r="B22929" i="2"/>
  <c r="B22928" i="2"/>
  <c r="B22927" i="2"/>
  <c r="B22926" i="2"/>
  <c r="B22925" i="2"/>
  <c r="B22924" i="2"/>
  <c r="B22923" i="2"/>
  <c r="B22922" i="2"/>
  <c r="B22921" i="2"/>
  <c r="B22920" i="2"/>
  <c r="B22919" i="2"/>
  <c r="B22918" i="2"/>
  <c r="B22917" i="2"/>
  <c r="B22916" i="2"/>
  <c r="B22915" i="2"/>
  <c r="B22914" i="2"/>
  <c r="B22913" i="2"/>
  <c r="B22912" i="2"/>
  <c r="B22911" i="2"/>
  <c r="B22910" i="2"/>
  <c r="B22909" i="2"/>
  <c r="B22908" i="2"/>
  <c r="B22907" i="2"/>
  <c r="B22906" i="2"/>
  <c r="B22905" i="2"/>
  <c r="B22904" i="2"/>
  <c r="B22903" i="2"/>
  <c r="B22902" i="2"/>
  <c r="B22901" i="2"/>
  <c r="B22900" i="2"/>
  <c r="B22899" i="2"/>
  <c r="B22898" i="2"/>
  <c r="B22897" i="2"/>
  <c r="B22896" i="2"/>
  <c r="B22895" i="2"/>
  <c r="B22894" i="2"/>
  <c r="B22893" i="2"/>
  <c r="B22892" i="2"/>
  <c r="B22891" i="2"/>
  <c r="B22890" i="2"/>
  <c r="B22889" i="2"/>
  <c r="B22888" i="2"/>
  <c r="B22887" i="2"/>
  <c r="B22886" i="2"/>
  <c r="B22885" i="2"/>
  <c r="B22884" i="2"/>
  <c r="B22883" i="2"/>
  <c r="B22882" i="2"/>
  <c r="B22881" i="2"/>
  <c r="B22880" i="2"/>
  <c r="B22879" i="2"/>
  <c r="B22878" i="2"/>
  <c r="B22877" i="2"/>
  <c r="B22876" i="2"/>
  <c r="B22875" i="2"/>
  <c r="B22874" i="2"/>
  <c r="B22873" i="2"/>
  <c r="B22872" i="2"/>
  <c r="B22871" i="2"/>
  <c r="B22870" i="2"/>
  <c r="B22869" i="2"/>
  <c r="B22868" i="2"/>
  <c r="B22867" i="2"/>
  <c r="B22866" i="2"/>
  <c r="B22865" i="2"/>
  <c r="B22864" i="2"/>
  <c r="B22863" i="2"/>
  <c r="B22862" i="2"/>
  <c r="B22861" i="2"/>
  <c r="B22860" i="2"/>
  <c r="B22859" i="2"/>
  <c r="B22858" i="2"/>
  <c r="B22857" i="2"/>
  <c r="B22856" i="2"/>
  <c r="B22855" i="2"/>
  <c r="B22854" i="2"/>
  <c r="B22853" i="2"/>
  <c r="B22852" i="2"/>
  <c r="B22851" i="2"/>
  <c r="B22850" i="2"/>
  <c r="B22849" i="2"/>
  <c r="B22848" i="2"/>
  <c r="B22847" i="2"/>
  <c r="B22846" i="2"/>
  <c r="B22845" i="2"/>
  <c r="B22844" i="2"/>
  <c r="B22843" i="2"/>
  <c r="B22842" i="2"/>
  <c r="B22841" i="2"/>
  <c r="B22840" i="2"/>
  <c r="B22839" i="2"/>
  <c r="B22838" i="2"/>
  <c r="B22837" i="2"/>
  <c r="B22836" i="2"/>
  <c r="B22835" i="2"/>
  <c r="B22834" i="2"/>
  <c r="B22833" i="2"/>
  <c r="B22832" i="2"/>
  <c r="B22831" i="2"/>
  <c r="B22830" i="2"/>
  <c r="B22829" i="2"/>
  <c r="B22828" i="2"/>
  <c r="B22827" i="2"/>
  <c r="B22826" i="2"/>
  <c r="B22825" i="2"/>
  <c r="B22824" i="2"/>
  <c r="B22823" i="2"/>
  <c r="B22822" i="2"/>
  <c r="B22821" i="2"/>
  <c r="B22820" i="2"/>
  <c r="B22819" i="2"/>
  <c r="B22818" i="2"/>
  <c r="B22817" i="2"/>
  <c r="B22816" i="2"/>
  <c r="B22815" i="2"/>
  <c r="B22814" i="2"/>
  <c r="B22813" i="2"/>
  <c r="B22812" i="2"/>
  <c r="B22811" i="2"/>
  <c r="B22810" i="2"/>
  <c r="B22809" i="2"/>
  <c r="B22808" i="2"/>
  <c r="B22807" i="2"/>
  <c r="B22806" i="2"/>
  <c r="B22805" i="2"/>
  <c r="B22804" i="2"/>
  <c r="B22803" i="2"/>
  <c r="B22802" i="2"/>
  <c r="B22801" i="2"/>
  <c r="B22800" i="2"/>
  <c r="B22799" i="2"/>
  <c r="B22798" i="2"/>
  <c r="B22797" i="2"/>
  <c r="B22796" i="2"/>
  <c r="B22795" i="2"/>
  <c r="B22794" i="2"/>
  <c r="B22793" i="2"/>
  <c r="B22792" i="2"/>
  <c r="B22791" i="2"/>
  <c r="B22790" i="2"/>
  <c r="B22789" i="2"/>
  <c r="B22788" i="2"/>
  <c r="B22787" i="2"/>
  <c r="B22786" i="2"/>
  <c r="B22785" i="2"/>
  <c r="B22784" i="2"/>
  <c r="B22783" i="2"/>
  <c r="B22782" i="2"/>
  <c r="B22781" i="2"/>
  <c r="B22780" i="2"/>
  <c r="B22779" i="2"/>
  <c r="B22778" i="2"/>
  <c r="B22777" i="2"/>
  <c r="B22776" i="2"/>
  <c r="B22775" i="2"/>
  <c r="B22774" i="2"/>
  <c r="B22773" i="2"/>
  <c r="B22772" i="2"/>
  <c r="B22771" i="2"/>
  <c r="B22770" i="2"/>
  <c r="B22769" i="2"/>
  <c r="B22768" i="2"/>
  <c r="B22767" i="2"/>
  <c r="B22766" i="2"/>
  <c r="B22765" i="2"/>
  <c r="B22764" i="2"/>
  <c r="B22763" i="2"/>
  <c r="B22762" i="2"/>
  <c r="B22761" i="2"/>
  <c r="B22760" i="2"/>
  <c r="B22759" i="2"/>
  <c r="B22758" i="2"/>
  <c r="B22757" i="2"/>
  <c r="B22756" i="2"/>
  <c r="B22755" i="2"/>
  <c r="B22754" i="2"/>
  <c r="B22753" i="2"/>
  <c r="B22752" i="2"/>
  <c r="B22751" i="2"/>
  <c r="B22750" i="2"/>
  <c r="B22749" i="2"/>
  <c r="B22748" i="2"/>
  <c r="B22747" i="2"/>
  <c r="B22746" i="2"/>
  <c r="B22745" i="2"/>
  <c r="B22744" i="2"/>
  <c r="B22743" i="2"/>
  <c r="B22742" i="2"/>
  <c r="B22741" i="2"/>
  <c r="B22740" i="2"/>
  <c r="B22739" i="2"/>
  <c r="B22738" i="2"/>
  <c r="B22737" i="2"/>
  <c r="B22736" i="2"/>
  <c r="B22735" i="2"/>
  <c r="B22734" i="2"/>
  <c r="B22733" i="2"/>
  <c r="B22732" i="2"/>
  <c r="B22731" i="2"/>
  <c r="B22730" i="2"/>
  <c r="B22729" i="2"/>
  <c r="B22728" i="2"/>
  <c r="B22727" i="2"/>
  <c r="B22726" i="2"/>
  <c r="B22725" i="2"/>
  <c r="B22724" i="2"/>
  <c r="B22723" i="2"/>
  <c r="B22722" i="2"/>
  <c r="B22721" i="2"/>
  <c r="B22720" i="2"/>
  <c r="B22719" i="2"/>
  <c r="B22718" i="2"/>
  <c r="B22717" i="2"/>
  <c r="B22716" i="2"/>
  <c r="B22715" i="2"/>
  <c r="B22714" i="2"/>
  <c r="B22713" i="2"/>
  <c r="B22712" i="2"/>
  <c r="B22711" i="2"/>
  <c r="B22710" i="2"/>
  <c r="B22709" i="2"/>
  <c r="B22708" i="2"/>
  <c r="B22707" i="2"/>
  <c r="B22706" i="2"/>
  <c r="B22705" i="2"/>
  <c r="B22704" i="2"/>
  <c r="B22703" i="2"/>
  <c r="B22702" i="2"/>
  <c r="B22701" i="2"/>
  <c r="B22700" i="2"/>
  <c r="B22699" i="2"/>
  <c r="B22698" i="2"/>
  <c r="B22697" i="2"/>
  <c r="B22696" i="2"/>
  <c r="B22695" i="2"/>
  <c r="B22694" i="2"/>
  <c r="B22693" i="2"/>
  <c r="B22692" i="2"/>
  <c r="B22691" i="2"/>
  <c r="B22690" i="2"/>
  <c r="B22689" i="2"/>
  <c r="B22688" i="2"/>
  <c r="B22687" i="2"/>
  <c r="B22686" i="2"/>
  <c r="B22685" i="2"/>
  <c r="B22684" i="2"/>
  <c r="B22683" i="2"/>
  <c r="B22682" i="2"/>
  <c r="B22681" i="2"/>
  <c r="B22680" i="2"/>
  <c r="B22679" i="2"/>
  <c r="B22678" i="2"/>
  <c r="B22677" i="2"/>
  <c r="B22676" i="2"/>
  <c r="B22675" i="2"/>
  <c r="B22674" i="2"/>
  <c r="B22673" i="2"/>
  <c r="B22672" i="2"/>
  <c r="B22671" i="2"/>
  <c r="B22670" i="2"/>
  <c r="B22669" i="2"/>
  <c r="B22668" i="2"/>
  <c r="B22667" i="2"/>
  <c r="B22666" i="2"/>
  <c r="B22665" i="2"/>
  <c r="B22664" i="2"/>
  <c r="B22663" i="2"/>
  <c r="B22662" i="2"/>
  <c r="B22661" i="2"/>
  <c r="B22660" i="2"/>
  <c r="B22659" i="2"/>
  <c r="B22658" i="2"/>
  <c r="B22657" i="2"/>
  <c r="B22656" i="2"/>
  <c r="B22655" i="2"/>
  <c r="B22654" i="2"/>
  <c r="B22653" i="2"/>
  <c r="B22652" i="2"/>
  <c r="B22651" i="2"/>
  <c r="B22650" i="2"/>
  <c r="B22649" i="2"/>
  <c r="B22648" i="2"/>
  <c r="B22647" i="2"/>
  <c r="B22646" i="2"/>
  <c r="B22645" i="2"/>
  <c r="B22644" i="2"/>
  <c r="B22643" i="2"/>
  <c r="B22642" i="2"/>
  <c r="B22641" i="2"/>
  <c r="B22640" i="2"/>
  <c r="B22639" i="2"/>
  <c r="B22638" i="2"/>
  <c r="B22637" i="2"/>
  <c r="B22636" i="2"/>
  <c r="B22635" i="2"/>
  <c r="B22634" i="2"/>
  <c r="B22633" i="2"/>
  <c r="B22632" i="2"/>
  <c r="B22631" i="2"/>
  <c r="B22630" i="2"/>
  <c r="B22629" i="2"/>
  <c r="B22628" i="2"/>
  <c r="B22627" i="2"/>
  <c r="B22626" i="2"/>
  <c r="B22625" i="2"/>
  <c r="B22624" i="2"/>
  <c r="B22623" i="2"/>
  <c r="B22622" i="2"/>
  <c r="B22621" i="2"/>
  <c r="B22620" i="2"/>
  <c r="B22619" i="2"/>
  <c r="B22618" i="2"/>
  <c r="B22617" i="2"/>
  <c r="B22616" i="2"/>
  <c r="B22615" i="2"/>
  <c r="B22614" i="2"/>
  <c r="B22613" i="2"/>
  <c r="B22612" i="2"/>
  <c r="B22611" i="2"/>
  <c r="B22610" i="2"/>
  <c r="B22609" i="2"/>
  <c r="B22608" i="2"/>
  <c r="B22607" i="2"/>
  <c r="B22606" i="2"/>
  <c r="B22605" i="2"/>
  <c r="B22604" i="2"/>
  <c r="B22603" i="2"/>
  <c r="B22602" i="2"/>
  <c r="B22601" i="2"/>
  <c r="B22600" i="2"/>
  <c r="B22599" i="2"/>
  <c r="B22598" i="2"/>
  <c r="B22597" i="2"/>
  <c r="B22596" i="2"/>
  <c r="B22595" i="2"/>
  <c r="B22594" i="2"/>
  <c r="B22593" i="2"/>
  <c r="B22592" i="2"/>
  <c r="B22591" i="2"/>
  <c r="B22590" i="2"/>
  <c r="B22589" i="2"/>
  <c r="B22588" i="2"/>
  <c r="B22587" i="2"/>
  <c r="B22586" i="2"/>
  <c r="B22585" i="2"/>
  <c r="B22584" i="2"/>
  <c r="B22583" i="2"/>
  <c r="B22582" i="2"/>
  <c r="B22581" i="2"/>
  <c r="B22580" i="2"/>
  <c r="B22579" i="2"/>
  <c r="B22578" i="2"/>
  <c r="B22577" i="2"/>
  <c r="B22576" i="2"/>
  <c r="B22575" i="2"/>
  <c r="B22574" i="2"/>
  <c r="B22573" i="2"/>
  <c r="B22572" i="2"/>
  <c r="B22571" i="2"/>
  <c r="B22570" i="2"/>
  <c r="B22569" i="2"/>
  <c r="B22568" i="2"/>
  <c r="B22567" i="2"/>
  <c r="B22566" i="2"/>
  <c r="B22565" i="2"/>
  <c r="B22564" i="2"/>
  <c r="B22563" i="2"/>
  <c r="B22562" i="2"/>
  <c r="B22561" i="2"/>
  <c r="B22560" i="2"/>
  <c r="B22559" i="2"/>
  <c r="B22558" i="2"/>
  <c r="B22557" i="2"/>
  <c r="B22556" i="2"/>
  <c r="B22555" i="2"/>
  <c r="B22554" i="2"/>
  <c r="B22553" i="2"/>
  <c r="B22552" i="2"/>
  <c r="B22551" i="2"/>
  <c r="B22550" i="2"/>
  <c r="B22549" i="2"/>
  <c r="B22548" i="2"/>
  <c r="B22547" i="2"/>
  <c r="B22546" i="2"/>
  <c r="B22545" i="2"/>
  <c r="B22544" i="2"/>
  <c r="B22543" i="2"/>
  <c r="B22542" i="2"/>
  <c r="B22541" i="2"/>
  <c r="B22540" i="2"/>
  <c r="B22539" i="2"/>
  <c r="B22538" i="2"/>
  <c r="B22537" i="2"/>
  <c r="B22536" i="2"/>
  <c r="B22535" i="2"/>
  <c r="B22534" i="2"/>
  <c r="B22533" i="2"/>
  <c r="B22532" i="2"/>
  <c r="B22531" i="2"/>
  <c r="B22530" i="2"/>
  <c r="B22529" i="2"/>
  <c r="B22528" i="2"/>
  <c r="B22527" i="2"/>
  <c r="B22526" i="2"/>
  <c r="B22525" i="2"/>
  <c r="B22524" i="2"/>
  <c r="B22523" i="2"/>
  <c r="B22522" i="2"/>
  <c r="B22521" i="2"/>
  <c r="B22520" i="2"/>
  <c r="B22519" i="2"/>
  <c r="B22518" i="2"/>
  <c r="B22517" i="2"/>
  <c r="B22516" i="2"/>
  <c r="B22515" i="2"/>
  <c r="B22514" i="2"/>
  <c r="B22513" i="2"/>
  <c r="B22512" i="2"/>
  <c r="B22511" i="2"/>
  <c r="B22510" i="2"/>
  <c r="B22509" i="2"/>
  <c r="B22508" i="2"/>
  <c r="B22507" i="2"/>
  <c r="B22506" i="2"/>
  <c r="B22505" i="2"/>
  <c r="B22504" i="2"/>
  <c r="B22503" i="2"/>
  <c r="B22502" i="2"/>
  <c r="B22501" i="2"/>
  <c r="B22500" i="2"/>
  <c r="B22499" i="2"/>
  <c r="B22498" i="2"/>
  <c r="B22497" i="2"/>
  <c r="B22496" i="2"/>
  <c r="B22495" i="2"/>
  <c r="B22494" i="2"/>
  <c r="B22493" i="2"/>
  <c r="B22492" i="2"/>
  <c r="B22491" i="2"/>
  <c r="B22490" i="2"/>
  <c r="B22489" i="2"/>
  <c r="B22488" i="2"/>
  <c r="B22487" i="2"/>
  <c r="B22486" i="2"/>
  <c r="B22485" i="2"/>
  <c r="B22484" i="2"/>
  <c r="B22483" i="2"/>
  <c r="B22482" i="2"/>
  <c r="B22481" i="2"/>
  <c r="B22480" i="2"/>
  <c r="B22479" i="2"/>
  <c r="B22478" i="2"/>
  <c r="B22477" i="2"/>
  <c r="B22476" i="2"/>
  <c r="B22475" i="2"/>
  <c r="B22474" i="2"/>
  <c r="B22473" i="2"/>
  <c r="B22472" i="2"/>
  <c r="B22471" i="2"/>
  <c r="B22470" i="2"/>
  <c r="B22469" i="2"/>
  <c r="B22468" i="2"/>
  <c r="B22467" i="2"/>
  <c r="B22466" i="2"/>
  <c r="B22465" i="2"/>
  <c r="B22464" i="2"/>
  <c r="B22463" i="2"/>
  <c r="B22462" i="2"/>
  <c r="B22461" i="2"/>
  <c r="B22460" i="2"/>
  <c r="B22459" i="2"/>
  <c r="B22458" i="2"/>
  <c r="B22457" i="2"/>
  <c r="B22456" i="2"/>
  <c r="B22455" i="2"/>
  <c r="B22454" i="2"/>
  <c r="B22453" i="2"/>
  <c r="B22452" i="2"/>
  <c r="B22451" i="2"/>
  <c r="B22450" i="2"/>
  <c r="B22449" i="2"/>
  <c r="B22448" i="2"/>
  <c r="B22447" i="2"/>
  <c r="B22446" i="2"/>
  <c r="B22445" i="2"/>
  <c r="B22444" i="2"/>
  <c r="B22443" i="2"/>
  <c r="B22442" i="2"/>
  <c r="B22441" i="2"/>
  <c r="B22440" i="2"/>
  <c r="B22439" i="2"/>
  <c r="B22438" i="2"/>
  <c r="B22437" i="2"/>
  <c r="B22436" i="2"/>
  <c r="B22435" i="2"/>
  <c r="B22434" i="2"/>
  <c r="B22433" i="2"/>
  <c r="B22432" i="2"/>
  <c r="B22431" i="2"/>
  <c r="B22430" i="2"/>
  <c r="B22429" i="2"/>
  <c r="B22428" i="2"/>
  <c r="B22427" i="2"/>
  <c r="B22426" i="2"/>
  <c r="B22425" i="2"/>
  <c r="B22424" i="2"/>
  <c r="B22423" i="2"/>
  <c r="B22422" i="2"/>
  <c r="B22421" i="2"/>
  <c r="B22420" i="2"/>
  <c r="B22419" i="2"/>
  <c r="B22418" i="2"/>
  <c r="B22417" i="2"/>
  <c r="B22416" i="2"/>
  <c r="B22415" i="2"/>
  <c r="B22414" i="2"/>
  <c r="B22413" i="2"/>
  <c r="B22412" i="2"/>
  <c r="B22411" i="2"/>
  <c r="B22410" i="2"/>
  <c r="B22409" i="2"/>
  <c r="B22408" i="2"/>
  <c r="B22407" i="2"/>
  <c r="B22406" i="2"/>
  <c r="B22405" i="2"/>
  <c r="B22404" i="2"/>
  <c r="B22403" i="2"/>
  <c r="B22402" i="2"/>
  <c r="B22401" i="2"/>
  <c r="B22400" i="2"/>
  <c r="B22399" i="2"/>
  <c r="B22398" i="2"/>
  <c r="B22397" i="2"/>
  <c r="B22396" i="2"/>
  <c r="B22395" i="2"/>
  <c r="B22394" i="2"/>
  <c r="B22393" i="2"/>
  <c r="B22392" i="2"/>
  <c r="B22391" i="2"/>
  <c r="B22390" i="2"/>
  <c r="B22389" i="2"/>
  <c r="B22388" i="2"/>
  <c r="B22387" i="2"/>
  <c r="B22386" i="2"/>
  <c r="B22385" i="2"/>
  <c r="B22384" i="2"/>
  <c r="B22383" i="2"/>
  <c r="B22382" i="2"/>
  <c r="B22381" i="2"/>
  <c r="B22380" i="2"/>
  <c r="B22379" i="2"/>
  <c r="B22378" i="2"/>
  <c r="B22377" i="2"/>
  <c r="B22376" i="2"/>
  <c r="B22375" i="2"/>
  <c r="B22374" i="2"/>
  <c r="B22373" i="2"/>
  <c r="B22372" i="2"/>
  <c r="B22371" i="2"/>
  <c r="B22370" i="2"/>
  <c r="B22369" i="2"/>
  <c r="B22368" i="2"/>
  <c r="B22367" i="2"/>
  <c r="B22366" i="2"/>
  <c r="B22365" i="2"/>
  <c r="B22364" i="2"/>
  <c r="B22363" i="2"/>
  <c r="B22362" i="2"/>
  <c r="B22361" i="2"/>
  <c r="B22360" i="2"/>
  <c r="B22359" i="2"/>
  <c r="B22358" i="2"/>
  <c r="B22357" i="2"/>
  <c r="B22356" i="2"/>
  <c r="B22355" i="2"/>
  <c r="B22354" i="2"/>
  <c r="B22353" i="2"/>
  <c r="B22352" i="2"/>
  <c r="B22351" i="2"/>
  <c r="B22350" i="2"/>
  <c r="B22349" i="2"/>
  <c r="B22348" i="2"/>
  <c r="B22347" i="2"/>
  <c r="B22346" i="2"/>
  <c r="B22345" i="2"/>
  <c r="B22344" i="2"/>
  <c r="B22343" i="2"/>
  <c r="B22342" i="2"/>
  <c r="B22341" i="2"/>
  <c r="B22340" i="2"/>
  <c r="B22339" i="2"/>
  <c r="B22338" i="2"/>
  <c r="B22337" i="2"/>
  <c r="B22336" i="2"/>
  <c r="B22335" i="2"/>
  <c r="B22334" i="2"/>
  <c r="B22333" i="2"/>
  <c r="B22332" i="2"/>
  <c r="B22331" i="2"/>
  <c r="B22330" i="2"/>
  <c r="B22329" i="2"/>
  <c r="B22328" i="2"/>
  <c r="B22327" i="2"/>
  <c r="B22326" i="2"/>
  <c r="B22325" i="2"/>
  <c r="B22324" i="2"/>
  <c r="B22323" i="2"/>
  <c r="B22322" i="2"/>
  <c r="B22321" i="2"/>
  <c r="B22320" i="2"/>
  <c r="B22319" i="2"/>
  <c r="B22318" i="2"/>
  <c r="B22317" i="2"/>
  <c r="B22316" i="2"/>
  <c r="B22315" i="2"/>
  <c r="B22314" i="2"/>
  <c r="B22313" i="2"/>
  <c r="B22312" i="2"/>
  <c r="B22311" i="2"/>
  <c r="B22310" i="2"/>
  <c r="B22309" i="2"/>
  <c r="B22308" i="2"/>
  <c r="B22307" i="2"/>
  <c r="B22306" i="2"/>
  <c r="B22305" i="2"/>
  <c r="B22304" i="2"/>
  <c r="B22303" i="2"/>
  <c r="B22302" i="2"/>
  <c r="B22301" i="2"/>
  <c r="B22300" i="2"/>
  <c r="B22299" i="2"/>
  <c r="B22298" i="2"/>
  <c r="B22297" i="2"/>
  <c r="B22296" i="2"/>
  <c r="B22295" i="2"/>
  <c r="B22294" i="2"/>
  <c r="B22293" i="2"/>
  <c r="B22292" i="2"/>
  <c r="B22291" i="2"/>
  <c r="B22290" i="2"/>
  <c r="B22289" i="2"/>
  <c r="B22288" i="2"/>
  <c r="B22287" i="2"/>
  <c r="B22286" i="2"/>
  <c r="B22285" i="2"/>
  <c r="B22284" i="2"/>
  <c r="B22283" i="2"/>
  <c r="B22282" i="2"/>
  <c r="B22281" i="2"/>
  <c r="B22280" i="2"/>
  <c r="B22279" i="2"/>
  <c r="B22278" i="2"/>
  <c r="B22277" i="2"/>
  <c r="B22276" i="2"/>
  <c r="B22275" i="2"/>
  <c r="B22274" i="2"/>
  <c r="B22273" i="2"/>
  <c r="B22272" i="2"/>
  <c r="B22271" i="2"/>
  <c r="B22270" i="2"/>
  <c r="B22269" i="2"/>
  <c r="B22268" i="2"/>
  <c r="B22267" i="2"/>
  <c r="B22266" i="2"/>
  <c r="B22265" i="2"/>
  <c r="B22264" i="2"/>
  <c r="B22263" i="2"/>
  <c r="B22262" i="2"/>
  <c r="B22261" i="2"/>
  <c r="B22260" i="2"/>
  <c r="B22259" i="2"/>
  <c r="B22258" i="2"/>
  <c r="B22257" i="2"/>
  <c r="B22256" i="2"/>
  <c r="B22255" i="2"/>
  <c r="B22254" i="2"/>
  <c r="B22253" i="2"/>
  <c r="B22252" i="2"/>
  <c r="B22251" i="2"/>
  <c r="B22250" i="2"/>
  <c r="B22249" i="2"/>
  <c r="B22248" i="2"/>
  <c r="B22247" i="2"/>
  <c r="B22246" i="2"/>
  <c r="B22245" i="2"/>
  <c r="B22244" i="2"/>
  <c r="B22243" i="2"/>
  <c r="B22242" i="2"/>
  <c r="B22241" i="2"/>
  <c r="B22240" i="2"/>
  <c r="B22239" i="2"/>
  <c r="B22238" i="2"/>
  <c r="B22237" i="2"/>
  <c r="B22236" i="2"/>
  <c r="B22235" i="2"/>
  <c r="B22234" i="2"/>
  <c r="B22233" i="2"/>
  <c r="B22232" i="2"/>
  <c r="B22231" i="2"/>
  <c r="B22230" i="2"/>
  <c r="B22229" i="2"/>
  <c r="B22228" i="2"/>
  <c r="B22227" i="2"/>
  <c r="B22226" i="2"/>
  <c r="B22225" i="2"/>
  <c r="B22224" i="2"/>
  <c r="B22223" i="2"/>
  <c r="B22222" i="2"/>
  <c r="B22221" i="2"/>
  <c r="B22220" i="2"/>
  <c r="B22219" i="2"/>
  <c r="B22218" i="2"/>
  <c r="B22217" i="2"/>
  <c r="B22216" i="2"/>
  <c r="B22215" i="2"/>
  <c r="B22214" i="2"/>
  <c r="B22213" i="2"/>
  <c r="B22212" i="2"/>
  <c r="B22211" i="2"/>
  <c r="B22210" i="2"/>
  <c r="B22209" i="2"/>
  <c r="B22208" i="2"/>
  <c r="B22207" i="2"/>
  <c r="B22206" i="2"/>
  <c r="B22205" i="2"/>
  <c r="B22204" i="2"/>
  <c r="B22203" i="2"/>
  <c r="B22202" i="2"/>
  <c r="B22201" i="2"/>
  <c r="B22200" i="2"/>
  <c r="B22199" i="2"/>
  <c r="B22198" i="2"/>
  <c r="B22197" i="2"/>
  <c r="B22196" i="2"/>
  <c r="B22195" i="2"/>
  <c r="B22194" i="2"/>
  <c r="B22193" i="2"/>
  <c r="B22192" i="2"/>
  <c r="B22191" i="2"/>
  <c r="B22190" i="2"/>
  <c r="B22189" i="2"/>
  <c r="B22188" i="2"/>
  <c r="B22187" i="2"/>
  <c r="B22186" i="2"/>
  <c r="B22185" i="2"/>
  <c r="B22184" i="2"/>
  <c r="B22183" i="2"/>
  <c r="B22182" i="2"/>
  <c r="B22181" i="2"/>
  <c r="B22180" i="2"/>
  <c r="B22179" i="2"/>
  <c r="B22178" i="2"/>
  <c r="B22177" i="2"/>
  <c r="B22176" i="2"/>
  <c r="B22175" i="2"/>
  <c r="B22174" i="2"/>
  <c r="B22173" i="2"/>
  <c r="B22172" i="2"/>
  <c r="B22171" i="2"/>
  <c r="B22170" i="2"/>
  <c r="B22169" i="2"/>
  <c r="B22168" i="2"/>
  <c r="B22167" i="2"/>
  <c r="B22166" i="2"/>
  <c r="B22165" i="2"/>
  <c r="B22164" i="2"/>
  <c r="B22163" i="2"/>
  <c r="B22162" i="2"/>
  <c r="B22161" i="2"/>
  <c r="B22160" i="2"/>
  <c r="B22159" i="2"/>
  <c r="B22158" i="2"/>
  <c r="B22157" i="2"/>
  <c r="B22156" i="2"/>
  <c r="B22155" i="2"/>
  <c r="B22154" i="2"/>
  <c r="B22153" i="2"/>
  <c r="B22152" i="2"/>
  <c r="B22151" i="2"/>
  <c r="B22150" i="2"/>
  <c r="B22149" i="2"/>
  <c r="B22148" i="2"/>
  <c r="B22147" i="2"/>
  <c r="B22146" i="2"/>
  <c r="B22145" i="2"/>
  <c r="B22144" i="2"/>
  <c r="B22143" i="2"/>
  <c r="B22142" i="2"/>
  <c r="B22141" i="2"/>
  <c r="B22140" i="2"/>
  <c r="B22139" i="2"/>
  <c r="B22138" i="2"/>
  <c r="B22137" i="2"/>
  <c r="B22136" i="2"/>
  <c r="B22135" i="2"/>
  <c r="B22134" i="2"/>
  <c r="B22133" i="2"/>
  <c r="B22132" i="2"/>
  <c r="B22131" i="2"/>
  <c r="B22130" i="2"/>
  <c r="B22129" i="2"/>
  <c r="B22128" i="2"/>
  <c r="B22127" i="2"/>
  <c r="B22126" i="2"/>
  <c r="B22125" i="2"/>
  <c r="B22124" i="2"/>
  <c r="B22123" i="2"/>
  <c r="B22122" i="2"/>
  <c r="B22121" i="2"/>
  <c r="B22120" i="2"/>
  <c r="B22119" i="2"/>
  <c r="B22118" i="2"/>
  <c r="B22117" i="2"/>
  <c r="B22116" i="2"/>
  <c r="B22115" i="2"/>
  <c r="B22114" i="2"/>
  <c r="B22113" i="2"/>
  <c r="B22112" i="2"/>
  <c r="B22111" i="2"/>
  <c r="B22110" i="2"/>
  <c r="B22109" i="2"/>
  <c r="B22108" i="2"/>
  <c r="B22107" i="2"/>
  <c r="B22106" i="2"/>
  <c r="B22105" i="2"/>
  <c r="B22104" i="2"/>
  <c r="B22103" i="2"/>
  <c r="B22102" i="2"/>
  <c r="B22101" i="2"/>
  <c r="B22100" i="2"/>
  <c r="B22099" i="2"/>
  <c r="B22098" i="2"/>
  <c r="B22097" i="2"/>
  <c r="B22096" i="2"/>
  <c r="B22095" i="2"/>
  <c r="B22094" i="2"/>
  <c r="B22093" i="2"/>
  <c r="B22092" i="2"/>
  <c r="B22091" i="2"/>
  <c r="B22090" i="2"/>
  <c r="B22089" i="2"/>
  <c r="B22088" i="2"/>
  <c r="B22087" i="2"/>
  <c r="B22086" i="2"/>
  <c r="B22085" i="2"/>
  <c r="B22084" i="2"/>
  <c r="B22083" i="2"/>
  <c r="B22082" i="2"/>
  <c r="B22081" i="2"/>
  <c r="B22080" i="2"/>
  <c r="B22079" i="2"/>
  <c r="B22078" i="2"/>
  <c r="B22077" i="2"/>
  <c r="B22076" i="2"/>
  <c r="B22075" i="2"/>
  <c r="B22074" i="2"/>
  <c r="B22073" i="2"/>
  <c r="B22072" i="2"/>
  <c r="B22071" i="2"/>
  <c r="B22070" i="2"/>
  <c r="B22069" i="2"/>
  <c r="B22068" i="2"/>
  <c r="B22067" i="2"/>
  <c r="B22066" i="2"/>
  <c r="B22065" i="2"/>
  <c r="B22064" i="2"/>
  <c r="B22063" i="2"/>
  <c r="B22062" i="2"/>
  <c r="B22061" i="2"/>
  <c r="B22060" i="2"/>
  <c r="B22059" i="2"/>
  <c r="B22058" i="2"/>
  <c r="B22057" i="2"/>
  <c r="B22056" i="2"/>
  <c r="B22055" i="2"/>
  <c r="B22054" i="2"/>
  <c r="B22053" i="2"/>
  <c r="B22052" i="2"/>
  <c r="B22051" i="2"/>
  <c r="B22050" i="2"/>
  <c r="B22049" i="2"/>
  <c r="B22048" i="2"/>
  <c r="B22047" i="2"/>
  <c r="B22046" i="2"/>
  <c r="B22045" i="2"/>
  <c r="B22044" i="2"/>
  <c r="B22043" i="2"/>
  <c r="B22042" i="2"/>
  <c r="B22041" i="2"/>
  <c r="B22040" i="2"/>
  <c r="B22039" i="2"/>
  <c r="B22038" i="2"/>
  <c r="B22037" i="2"/>
  <c r="B22036" i="2"/>
  <c r="B22035" i="2"/>
  <c r="B22034" i="2"/>
  <c r="B22033" i="2"/>
  <c r="B22032" i="2"/>
  <c r="B22031" i="2"/>
  <c r="B22030" i="2"/>
  <c r="B22029" i="2"/>
  <c r="B22028" i="2"/>
  <c r="B22027" i="2"/>
  <c r="B22026" i="2"/>
  <c r="B22025" i="2"/>
  <c r="B22024" i="2"/>
  <c r="B22023" i="2"/>
  <c r="B22022" i="2"/>
  <c r="B22021" i="2"/>
  <c r="B22020" i="2"/>
  <c r="B22019" i="2"/>
  <c r="B22018" i="2"/>
  <c r="B22017" i="2"/>
  <c r="B22016" i="2"/>
  <c r="B22015" i="2"/>
  <c r="B22014" i="2"/>
  <c r="B22013" i="2"/>
  <c r="B22012" i="2"/>
  <c r="B22011" i="2"/>
  <c r="B22010" i="2"/>
  <c r="B22009" i="2"/>
  <c r="B22008" i="2"/>
  <c r="B22007" i="2"/>
  <c r="B22006" i="2"/>
  <c r="B22005" i="2"/>
  <c r="B22004" i="2"/>
  <c r="B22003" i="2"/>
  <c r="B22002" i="2"/>
  <c r="B22001" i="2"/>
  <c r="B22000" i="2"/>
  <c r="B21999" i="2"/>
  <c r="B21998" i="2"/>
  <c r="B21997" i="2"/>
  <c r="B21996" i="2"/>
  <c r="B21995" i="2"/>
  <c r="B21994" i="2"/>
  <c r="B21993" i="2"/>
  <c r="B21992" i="2"/>
  <c r="B21991" i="2"/>
  <c r="B21990" i="2"/>
  <c r="B21989" i="2"/>
  <c r="B21988" i="2"/>
  <c r="B21987" i="2"/>
  <c r="B21986" i="2"/>
  <c r="B21985" i="2"/>
  <c r="B21984" i="2"/>
  <c r="B21983" i="2"/>
  <c r="B21982" i="2"/>
  <c r="B21981" i="2"/>
  <c r="B21980" i="2"/>
  <c r="B21979" i="2"/>
  <c r="B21978" i="2"/>
  <c r="B21977" i="2"/>
  <c r="B21976" i="2"/>
  <c r="B21975" i="2"/>
  <c r="B21974" i="2"/>
  <c r="B21973" i="2"/>
  <c r="B21972" i="2"/>
  <c r="B21971" i="2"/>
  <c r="B21970" i="2"/>
  <c r="B21969" i="2"/>
  <c r="B21968" i="2"/>
  <c r="B21967" i="2"/>
  <c r="B21966" i="2"/>
  <c r="B21965" i="2"/>
  <c r="B21964" i="2"/>
  <c r="B21963" i="2"/>
  <c r="B21962" i="2"/>
  <c r="B21961" i="2"/>
  <c r="B21960" i="2"/>
  <c r="B21959" i="2"/>
  <c r="B21958" i="2"/>
  <c r="B21957" i="2"/>
  <c r="B21956" i="2"/>
  <c r="B21955" i="2"/>
  <c r="B21954" i="2"/>
  <c r="B21953" i="2"/>
  <c r="B21952" i="2"/>
  <c r="B21951" i="2"/>
  <c r="B21950" i="2"/>
  <c r="B21949" i="2"/>
  <c r="B21948" i="2"/>
  <c r="B21947" i="2"/>
  <c r="B21946" i="2"/>
  <c r="B21945" i="2"/>
  <c r="B21944" i="2"/>
  <c r="B21943" i="2"/>
  <c r="B21942" i="2"/>
  <c r="B21941" i="2"/>
  <c r="B21940" i="2"/>
  <c r="B21939" i="2"/>
  <c r="B21938" i="2"/>
  <c r="B21937" i="2"/>
  <c r="B21936" i="2"/>
  <c r="B21935" i="2"/>
  <c r="B21934" i="2"/>
  <c r="B21933" i="2"/>
  <c r="B21932" i="2"/>
  <c r="B21931" i="2"/>
  <c r="B21930" i="2"/>
  <c r="B21929" i="2"/>
  <c r="B21928" i="2"/>
  <c r="B21927" i="2"/>
  <c r="B21926" i="2"/>
  <c r="B21925" i="2"/>
  <c r="B21924" i="2"/>
  <c r="B21923" i="2"/>
  <c r="B21922" i="2"/>
  <c r="B21921" i="2"/>
  <c r="B21920" i="2"/>
  <c r="B21919" i="2"/>
  <c r="B21918" i="2"/>
  <c r="B21917" i="2"/>
  <c r="B21916" i="2"/>
  <c r="B21915" i="2"/>
  <c r="B21914" i="2"/>
  <c r="B21913" i="2"/>
  <c r="B21912" i="2"/>
  <c r="B21911" i="2"/>
  <c r="B21910" i="2"/>
  <c r="B21909" i="2"/>
  <c r="B21908" i="2"/>
  <c r="B21907" i="2"/>
  <c r="B21906" i="2"/>
  <c r="B21905" i="2"/>
  <c r="B21904" i="2"/>
  <c r="B21903" i="2"/>
  <c r="B21902" i="2"/>
  <c r="B21901" i="2"/>
  <c r="B21900" i="2"/>
  <c r="B21899" i="2"/>
  <c r="B21898" i="2"/>
  <c r="B21897" i="2"/>
  <c r="B21896" i="2"/>
  <c r="B21895" i="2"/>
  <c r="B21894" i="2"/>
  <c r="B21893" i="2"/>
  <c r="B21892" i="2"/>
  <c r="B21891" i="2"/>
  <c r="B21890" i="2"/>
  <c r="B21889" i="2"/>
  <c r="B21888" i="2"/>
  <c r="B21887" i="2"/>
  <c r="B21886" i="2"/>
  <c r="B21885" i="2"/>
  <c r="B21884" i="2"/>
  <c r="B21883" i="2"/>
  <c r="B21882" i="2"/>
  <c r="B21881" i="2"/>
  <c r="B21880" i="2"/>
  <c r="B21879" i="2"/>
  <c r="B21878" i="2"/>
  <c r="B21877" i="2"/>
  <c r="B21876" i="2"/>
  <c r="B21875" i="2"/>
  <c r="B21874" i="2"/>
  <c r="B21873" i="2"/>
  <c r="B21872" i="2"/>
  <c r="B21871" i="2"/>
  <c r="B21870" i="2"/>
  <c r="B21869" i="2"/>
  <c r="B21868" i="2"/>
  <c r="B21867" i="2"/>
  <c r="B21866" i="2"/>
  <c r="B21865" i="2"/>
  <c r="B21864" i="2"/>
  <c r="B21863" i="2"/>
  <c r="B21862" i="2"/>
  <c r="B21861" i="2"/>
  <c r="B21860" i="2"/>
  <c r="B21859" i="2"/>
  <c r="B21858" i="2"/>
  <c r="B21857" i="2"/>
  <c r="B21856" i="2"/>
  <c r="B21855" i="2"/>
  <c r="B21854" i="2"/>
  <c r="B21853" i="2"/>
  <c r="B21852" i="2"/>
  <c r="B21851" i="2"/>
  <c r="B21850" i="2"/>
  <c r="B21849" i="2"/>
  <c r="B21848" i="2"/>
  <c r="B21847" i="2"/>
  <c r="B21846" i="2"/>
  <c r="B21845" i="2"/>
  <c r="B21844" i="2"/>
  <c r="B21843" i="2"/>
  <c r="B21842" i="2"/>
  <c r="B21841" i="2"/>
  <c r="B21840" i="2"/>
  <c r="B21839" i="2"/>
  <c r="B21838" i="2"/>
  <c r="B21837" i="2"/>
  <c r="B21836" i="2"/>
  <c r="B21835" i="2"/>
  <c r="B21834" i="2"/>
  <c r="B21833" i="2"/>
  <c r="B21832" i="2"/>
  <c r="B21831" i="2"/>
  <c r="B21830" i="2"/>
  <c r="B21829" i="2"/>
  <c r="B21828" i="2"/>
  <c r="B21827" i="2"/>
  <c r="B21826" i="2"/>
  <c r="B21825" i="2"/>
  <c r="B21824" i="2"/>
  <c r="B21823" i="2"/>
  <c r="B21822" i="2"/>
  <c r="B21821" i="2"/>
  <c r="B21820" i="2"/>
  <c r="B21819" i="2"/>
  <c r="B21818" i="2"/>
  <c r="B21817" i="2"/>
  <c r="B21816" i="2"/>
  <c r="B21815" i="2"/>
  <c r="B21814" i="2"/>
  <c r="B21813" i="2"/>
  <c r="B21812" i="2"/>
  <c r="B21811" i="2"/>
  <c r="B21810" i="2"/>
  <c r="B21809" i="2"/>
  <c r="B21808" i="2"/>
  <c r="B21807" i="2"/>
  <c r="B21806" i="2"/>
  <c r="B21805" i="2"/>
  <c r="B21804" i="2"/>
  <c r="B21803" i="2"/>
  <c r="B21802" i="2"/>
  <c r="B21801" i="2"/>
  <c r="B21800" i="2"/>
  <c r="B21799" i="2"/>
  <c r="B21798" i="2"/>
  <c r="B21797" i="2"/>
  <c r="B21796" i="2"/>
  <c r="B21795" i="2"/>
  <c r="B21794" i="2"/>
  <c r="B21793" i="2"/>
  <c r="B21792" i="2"/>
  <c r="B21791" i="2"/>
  <c r="B21790" i="2"/>
  <c r="B21789" i="2"/>
  <c r="B21788" i="2"/>
  <c r="B21787" i="2"/>
  <c r="B21786" i="2"/>
  <c r="B21785" i="2"/>
  <c r="B21784" i="2"/>
  <c r="B21783" i="2"/>
  <c r="B21782" i="2"/>
  <c r="B21781" i="2"/>
  <c r="B21780" i="2"/>
  <c r="B21779" i="2"/>
  <c r="B21778" i="2"/>
  <c r="B21777" i="2"/>
  <c r="B21776" i="2"/>
  <c r="B21775" i="2"/>
  <c r="B21774" i="2"/>
  <c r="B21773" i="2"/>
  <c r="B21772" i="2"/>
  <c r="B21771" i="2"/>
  <c r="B21770" i="2"/>
  <c r="B21769" i="2"/>
  <c r="B21768" i="2"/>
  <c r="B21767" i="2"/>
  <c r="B21766" i="2"/>
  <c r="B21765" i="2"/>
  <c r="B21764" i="2"/>
  <c r="B21763" i="2"/>
  <c r="B21762" i="2"/>
  <c r="B21761" i="2"/>
  <c r="B21760" i="2"/>
  <c r="B21759" i="2"/>
  <c r="B21758" i="2"/>
  <c r="B21757" i="2"/>
  <c r="B21756" i="2"/>
  <c r="B21755" i="2"/>
  <c r="B21754" i="2"/>
  <c r="B21753" i="2"/>
  <c r="B21752" i="2"/>
  <c r="B21751" i="2"/>
  <c r="B21750" i="2"/>
  <c r="B21749" i="2"/>
  <c r="B21748" i="2"/>
  <c r="B21747" i="2"/>
  <c r="B21746" i="2"/>
  <c r="B21745" i="2"/>
  <c r="B21744" i="2"/>
  <c r="B21743" i="2"/>
  <c r="B21742" i="2"/>
  <c r="B21741" i="2"/>
  <c r="B21740" i="2"/>
  <c r="B21739" i="2"/>
  <c r="B21738" i="2"/>
  <c r="B21737" i="2"/>
  <c r="B21736" i="2"/>
  <c r="B21735" i="2"/>
  <c r="B21734" i="2"/>
  <c r="B21733" i="2"/>
  <c r="B21732" i="2"/>
  <c r="B21731" i="2"/>
  <c r="B21730" i="2"/>
  <c r="B21729" i="2"/>
  <c r="B21728" i="2"/>
  <c r="B21727" i="2"/>
  <c r="B21726" i="2"/>
  <c r="B21725" i="2"/>
  <c r="B21724" i="2"/>
  <c r="B21723" i="2"/>
  <c r="B21722" i="2"/>
  <c r="B21721" i="2"/>
  <c r="B21720" i="2"/>
  <c r="B21719" i="2"/>
  <c r="B21718" i="2"/>
  <c r="B21717" i="2"/>
  <c r="B21716" i="2"/>
  <c r="B21715" i="2"/>
  <c r="B21714" i="2"/>
  <c r="B21713" i="2"/>
  <c r="B21712" i="2"/>
  <c r="B21711" i="2"/>
  <c r="B21710" i="2"/>
  <c r="B21709" i="2"/>
  <c r="B21708" i="2"/>
  <c r="B21707" i="2"/>
  <c r="B21706" i="2"/>
  <c r="B21705" i="2"/>
  <c r="B21704" i="2"/>
  <c r="B21703" i="2"/>
  <c r="B21702" i="2"/>
  <c r="B21701" i="2"/>
  <c r="B21700" i="2"/>
  <c r="B21699" i="2"/>
  <c r="B21698" i="2"/>
  <c r="B21697" i="2"/>
  <c r="B21696" i="2"/>
  <c r="B21695" i="2"/>
  <c r="B21694" i="2"/>
  <c r="B21693" i="2"/>
  <c r="B21692" i="2"/>
  <c r="B21691" i="2"/>
  <c r="B21690" i="2"/>
  <c r="B21689" i="2"/>
  <c r="B21688" i="2"/>
  <c r="B21687" i="2"/>
  <c r="B21686" i="2"/>
  <c r="B21685" i="2"/>
  <c r="B21684" i="2"/>
  <c r="B21683" i="2"/>
  <c r="B21682" i="2"/>
  <c r="B21681" i="2"/>
  <c r="B21680" i="2"/>
  <c r="B21679" i="2"/>
  <c r="B21678" i="2"/>
  <c r="B21677" i="2"/>
  <c r="B21676" i="2"/>
  <c r="B21675" i="2"/>
  <c r="B21674" i="2"/>
  <c r="B21673" i="2"/>
  <c r="B21672" i="2"/>
  <c r="B21671" i="2"/>
  <c r="B21670" i="2"/>
  <c r="B21669" i="2"/>
  <c r="B21668" i="2"/>
  <c r="B21667" i="2"/>
  <c r="B21666" i="2"/>
  <c r="B21665" i="2"/>
  <c r="B21664" i="2"/>
  <c r="B21663" i="2"/>
  <c r="B21662" i="2"/>
  <c r="B21661" i="2"/>
  <c r="B21660" i="2"/>
  <c r="B21659" i="2"/>
  <c r="B21658" i="2"/>
  <c r="B21657" i="2"/>
  <c r="B21656" i="2"/>
  <c r="B21655" i="2"/>
  <c r="B21654" i="2"/>
  <c r="B21653" i="2"/>
  <c r="B21652" i="2"/>
  <c r="B21651" i="2"/>
  <c r="B21650" i="2"/>
  <c r="B21649" i="2"/>
  <c r="B21648" i="2"/>
  <c r="B21647" i="2"/>
  <c r="B21646" i="2"/>
  <c r="B21645" i="2"/>
  <c r="B21644" i="2"/>
  <c r="B21643" i="2"/>
  <c r="B21642" i="2"/>
  <c r="B21641" i="2"/>
  <c r="B21640" i="2"/>
  <c r="B21639" i="2"/>
  <c r="B21638" i="2"/>
  <c r="B21637" i="2"/>
  <c r="B21636" i="2"/>
  <c r="B21635" i="2"/>
  <c r="B21634" i="2"/>
  <c r="B21633" i="2"/>
  <c r="B21632" i="2"/>
  <c r="B21631" i="2"/>
  <c r="B21630" i="2"/>
  <c r="B21629" i="2"/>
  <c r="B21628" i="2"/>
  <c r="B21627" i="2"/>
  <c r="B21626" i="2"/>
  <c r="B21625" i="2"/>
  <c r="B21624" i="2"/>
  <c r="B21623" i="2"/>
  <c r="B21622" i="2"/>
  <c r="B21621" i="2"/>
  <c r="B21620" i="2"/>
  <c r="B21619" i="2"/>
  <c r="B21618" i="2"/>
  <c r="B21617" i="2"/>
  <c r="B21616" i="2"/>
  <c r="B21615" i="2"/>
  <c r="B21614" i="2"/>
  <c r="B21613" i="2"/>
  <c r="B21612" i="2"/>
  <c r="B21611" i="2"/>
  <c r="B21610" i="2"/>
  <c r="B21609" i="2"/>
  <c r="B21608" i="2"/>
  <c r="B21607" i="2"/>
  <c r="B21606" i="2"/>
  <c r="B21605" i="2"/>
  <c r="B21604" i="2"/>
  <c r="B21603" i="2"/>
  <c r="B21602" i="2"/>
  <c r="B21601" i="2"/>
  <c r="B21600" i="2"/>
  <c r="B21599" i="2"/>
  <c r="B21598" i="2"/>
  <c r="B21597" i="2"/>
  <c r="B21596" i="2"/>
  <c r="B21595" i="2"/>
  <c r="B21594" i="2"/>
  <c r="B21593" i="2"/>
  <c r="B21592" i="2"/>
  <c r="B21591" i="2"/>
  <c r="B21590" i="2"/>
  <c r="B21589" i="2"/>
  <c r="B21588" i="2"/>
  <c r="B21587" i="2"/>
  <c r="B21586" i="2"/>
  <c r="B21585" i="2"/>
  <c r="B21584" i="2"/>
  <c r="B21583" i="2"/>
  <c r="B21582" i="2"/>
  <c r="B21581" i="2"/>
  <c r="B21580" i="2"/>
  <c r="B21579" i="2"/>
  <c r="B21578" i="2"/>
  <c r="B21577" i="2"/>
  <c r="B21576" i="2"/>
  <c r="B21575" i="2"/>
  <c r="B21574" i="2"/>
  <c r="B21573" i="2"/>
  <c r="B21572" i="2"/>
  <c r="B21571" i="2"/>
  <c r="B21570" i="2"/>
  <c r="B21569" i="2"/>
  <c r="B21568" i="2"/>
  <c r="B21567" i="2"/>
  <c r="B21566" i="2"/>
  <c r="B21565" i="2"/>
  <c r="B21564" i="2"/>
  <c r="B21563" i="2"/>
  <c r="B21562" i="2"/>
  <c r="B21561" i="2"/>
  <c r="B21560" i="2"/>
  <c r="B21559" i="2"/>
  <c r="B21558" i="2"/>
  <c r="B21557" i="2"/>
  <c r="B21556" i="2"/>
  <c r="B21555" i="2"/>
  <c r="B21554" i="2"/>
  <c r="B21553" i="2"/>
  <c r="B21552" i="2"/>
  <c r="B21551" i="2"/>
  <c r="B21550" i="2"/>
  <c r="B21549" i="2"/>
  <c r="B21548" i="2"/>
  <c r="B21547" i="2"/>
  <c r="B21546" i="2"/>
  <c r="B21545" i="2"/>
  <c r="B21544" i="2"/>
  <c r="B21543" i="2"/>
  <c r="B21542" i="2"/>
  <c r="B21541" i="2"/>
  <c r="B21540" i="2"/>
  <c r="B21539" i="2"/>
  <c r="B21538" i="2"/>
  <c r="B21537" i="2"/>
  <c r="B21536" i="2"/>
  <c r="B21535" i="2"/>
  <c r="B21534" i="2"/>
  <c r="B21533" i="2"/>
  <c r="B21532" i="2"/>
  <c r="B21531" i="2"/>
  <c r="B21530" i="2"/>
  <c r="B21529" i="2"/>
  <c r="B21528" i="2"/>
  <c r="B21527" i="2"/>
  <c r="B21526" i="2"/>
  <c r="B21525" i="2"/>
  <c r="B21524" i="2"/>
  <c r="B21523" i="2"/>
  <c r="B21522" i="2"/>
  <c r="B21521" i="2"/>
  <c r="B21520" i="2"/>
  <c r="B21519" i="2"/>
  <c r="B21518" i="2"/>
  <c r="B21517" i="2"/>
  <c r="B21516" i="2"/>
  <c r="B21515" i="2"/>
  <c r="B21514" i="2"/>
  <c r="B21513" i="2"/>
  <c r="B21512" i="2"/>
  <c r="B21511" i="2"/>
  <c r="B21510" i="2"/>
  <c r="B21509" i="2"/>
  <c r="B21508" i="2"/>
  <c r="B21507" i="2"/>
  <c r="B21506" i="2"/>
  <c r="B21505" i="2"/>
  <c r="B21504" i="2"/>
  <c r="B21503" i="2"/>
  <c r="B21502" i="2"/>
  <c r="B21501" i="2"/>
  <c r="B21500" i="2"/>
  <c r="B21499" i="2"/>
  <c r="B21498" i="2"/>
  <c r="B21497" i="2"/>
  <c r="B21496" i="2"/>
  <c r="B21495" i="2"/>
  <c r="B21494" i="2"/>
  <c r="B21493" i="2"/>
  <c r="B21492" i="2"/>
  <c r="B21491" i="2"/>
  <c r="B21490" i="2"/>
  <c r="B21489" i="2"/>
  <c r="B21488" i="2"/>
  <c r="B21487" i="2"/>
  <c r="B21486" i="2"/>
  <c r="B21485" i="2"/>
  <c r="B21484" i="2"/>
  <c r="B21483" i="2"/>
  <c r="B21482" i="2"/>
  <c r="B21481" i="2"/>
  <c r="B21480" i="2"/>
  <c r="B21479" i="2"/>
  <c r="B21478" i="2"/>
  <c r="B21477" i="2"/>
  <c r="B21476" i="2"/>
  <c r="B21475" i="2"/>
  <c r="B21474" i="2"/>
  <c r="B21473" i="2"/>
  <c r="B21472" i="2"/>
  <c r="B21471" i="2"/>
  <c r="B21470" i="2"/>
  <c r="B21469" i="2"/>
  <c r="B21468" i="2"/>
  <c r="B21467" i="2"/>
  <c r="B21466" i="2"/>
  <c r="B21465" i="2"/>
  <c r="B21464" i="2"/>
  <c r="B21463" i="2"/>
  <c r="B21462" i="2"/>
  <c r="B21461" i="2"/>
  <c r="B21460" i="2"/>
  <c r="B21459" i="2"/>
  <c r="B21458" i="2"/>
  <c r="B21457" i="2"/>
  <c r="B21456" i="2"/>
  <c r="B21455" i="2"/>
  <c r="B21454" i="2"/>
  <c r="B21453" i="2"/>
  <c r="B21452" i="2"/>
  <c r="B21451" i="2"/>
  <c r="B21450" i="2"/>
  <c r="B21449" i="2"/>
  <c r="B21448" i="2"/>
  <c r="B21447" i="2"/>
  <c r="B21446" i="2"/>
  <c r="B21445" i="2"/>
  <c r="B21444" i="2"/>
  <c r="B21443" i="2"/>
  <c r="B21442" i="2"/>
  <c r="B21441" i="2"/>
  <c r="B21440" i="2"/>
  <c r="B21439" i="2"/>
  <c r="B21438" i="2"/>
  <c r="B21437" i="2"/>
  <c r="B21436" i="2"/>
  <c r="B21435" i="2"/>
  <c r="B21434" i="2"/>
  <c r="B21433" i="2"/>
  <c r="B21432" i="2"/>
  <c r="B21431" i="2"/>
  <c r="B21430" i="2"/>
  <c r="B21429" i="2"/>
  <c r="B21428" i="2"/>
  <c r="B21427" i="2"/>
  <c r="B21426" i="2"/>
  <c r="B21425" i="2"/>
  <c r="B21424" i="2"/>
  <c r="B21423" i="2"/>
  <c r="B21422" i="2"/>
  <c r="B21421" i="2"/>
  <c r="B21420" i="2"/>
  <c r="B21419" i="2"/>
  <c r="B21418" i="2"/>
  <c r="B21417" i="2"/>
  <c r="B21416" i="2"/>
  <c r="B21415" i="2"/>
  <c r="B21414" i="2"/>
  <c r="B21413" i="2"/>
  <c r="B21412" i="2"/>
  <c r="B21411" i="2"/>
  <c r="B21410" i="2"/>
  <c r="B21409" i="2"/>
  <c r="B21408" i="2"/>
  <c r="B21407" i="2"/>
  <c r="B21406" i="2"/>
  <c r="B21405" i="2"/>
  <c r="B21404" i="2"/>
  <c r="B21403" i="2"/>
  <c r="B21402" i="2"/>
  <c r="B21401" i="2"/>
  <c r="B21400" i="2"/>
  <c r="B21399" i="2"/>
  <c r="B21398" i="2"/>
  <c r="B21397" i="2"/>
  <c r="B21396" i="2"/>
  <c r="B21395" i="2"/>
  <c r="B21394" i="2"/>
  <c r="B21393" i="2"/>
  <c r="B21392" i="2"/>
  <c r="B21391" i="2"/>
  <c r="B21390" i="2"/>
  <c r="B21389" i="2"/>
  <c r="B21388" i="2"/>
  <c r="B21387" i="2"/>
  <c r="B21386" i="2"/>
  <c r="B21385" i="2"/>
  <c r="B21384" i="2"/>
  <c r="B21383" i="2"/>
  <c r="B21382" i="2"/>
  <c r="B21381" i="2"/>
  <c r="B21380" i="2"/>
  <c r="B21379" i="2"/>
  <c r="B21378" i="2"/>
  <c r="B21377" i="2"/>
  <c r="B21376" i="2"/>
  <c r="B21375" i="2"/>
  <c r="B21374" i="2"/>
  <c r="B21373" i="2"/>
  <c r="B21372" i="2"/>
  <c r="B21371" i="2"/>
  <c r="B21370" i="2"/>
  <c r="B21369" i="2"/>
  <c r="B21368" i="2"/>
  <c r="B21367" i="2"/>
  <c r="B21366" i="2"/>
  <c r="B21365" i="2"/>
  <c r="B21364" i="2"/>
  <c r="B21363" i="2"/>
  <c r="B21362" i="2"/>
  <c r="B21361" i="2"/>
  <c r="B21360" i="2"/>
  <c r="B21359" i="2"/>
  <c r="B21358" i="2"/>
  <c r="B21357" i="2"/>
  <c r="B21356" i="2"/>
  <c r="B21355" i="2"/>
  <c r="B21354" i="2"/>
  <c r="B21353" i="2"/>
  <c r="B21352" i="2"/>
  <c r="B21351" i="2"/>
  <c r="B21350" i="2"/>
  <c r="B21349" i="2"/>
  <c r="B21348" i="2"/>
  <c r="B21347" i="2"/>
  <c r="B21346" i="2"/>
  <c r="B21345" i="2"/>
  <c r="B21344" i="2"/>
  <c r="B21343" i="2"/>
  <c r="B21342" i="2"/>
  <c r="B21341" i="2"/>
  <c r="B21340" i="2"/>
  <c r="B21339" i="2"/>
  <c r="B21338" i="2"/>
  <c r="B21337" i="2"/>
  <c r="B21336" i="2"/>
  <c r="B21335" i="2"/>
  <c r="B21334" i="2"/>
  <c r="B21333" i="2"/>
  <c r="B21332" i="2"/>
  <c r="B21331" i="2"/>
  <c r="B21330" i="2"/>
  <c r="B21329" i="2"/>
  <c r="B21328" i="2"/>
  <c r="B21327" i="2"/>
  <c r="B21326" i="2"/>
  <c r="B21325" i="2"/>
  <c r="B21324" i="2"/>
  <c r="B21323" i="2"/>
  <c r="B21322" i="2"/>
  <c r="B21321" i="2"/>
  <c r="B21320" i="2"/>
  <c r="B21319" i="2"/>
  <c r="B21318" i="2"/>
  <c r="B21317" i="2"/>
  <c r="B21316" i="2"/>
  <c r="B21315" i="2"/>
  <c r="B21314" i="2"/>
  <c r="B21313" i="2"/>
  <c r="B21312" i="2"/>
  <c r="B21311" i="2"/>
  <c r="B21310" i="2"/>
  <c r="B21309" i="2"/>
  <c r="B21308" i="2"/>
  <c r="B21307" i="2"/>
  <c r="B21306" i="2"/>
  <c r="B21305" i="2"/>
  <c r="B21304" i="2"/>
  <c r="B21303" i="2"/>
  <c r="B21302" i="2"/>
  <c r="B21301" i="2"/>
  <c r="B21300" i="2"/>
  <c r="B21299" i="2"/>
  <c r="B21298" i="2"/>
  <c r="B21297" i="2"/>
  <c r="B21296" i="2"/>
  <c r="B21295" i="2"/>
  <c r="B21294" i="2"/>
  <c r="B21293" i="2"/>
  <c r="B21292" i="2"/>
  <c r="B21291" i="2"/>
  <c r="B21290" i="2"/>
  <c r="B21289" i="2"/>
  <c r="B21288" i="2"/>
  <c r="B21287" i="2"/>
  <c r="B21286" i="2"/>
  <c r="B21285" i="2"/>
  <c r="B21284" i="2"/>
  <c r="B21283" i="2"/>
  <c r="B21282" i="2"/>
  <c r="B21281" i="2"/>
  <c r="B21280" i="2"/>
  <c r="B21279" i="2"/>
  <c r="B21278" i="2"/>
  <c r="B21277" i="2"/>
  <c r="B21276" i="2"/>
  <c r="B21275" i="2"/>
  <c r="B21274" i="2"/>
  <c r="B21273" i="2"/>
  <c r="B21272" i="2"/>
  <c r="B21271" i="2"/>
  <c r="B21270" i="2"/>
  <c r="B21269" i="2"/>
  <c r="B21268" i="2"/>
  <c r="B21267" i="2"/>
  <c r="B21266" i="2"/>
  <c r="B21265" i="2"/>
  <c r="B21264" i="2"/>
  <c r="B21263" i="2"/>
  <c r="B21262" i="2"/>
  <c r="B21261" i="2"/>
  <c r="B21260" i="2"/>
  <c r="B21259" i="2"/>
  <c r="B21258" i="2"/>
  <c r="B21257" i="2"/>
  <c r="B21256" i="2"/>
  <c r="B21255" i="2"/>
  <c r="B21254" i="2"/>
  <c r="B21253" i="2"/>
  <c r="B21252" i="2"/>
  <c r="B21251" i="2"/>
  <c r="B21250" i="2"/>
  <c r="B21249" i="2"/>
  <c r="B21248" i="2"/>
  <c r="B21247" i="2"/>
  <c r="B21246" i="2"/>
  <c r="B21245" i="2"/>
  <c r="B21244" i="2"/>
  <c r="B21243" i="2"/>
  <c r="B21242" i="2"/>
  <c r="B21241" i="2"/>
  <c r="B21240" i="2"/>
  <c r="B21239" i="2"/>
  <c r="B21238" i="2"/>
  <c r="B21237" i="2"/>
  <c r="B21236" i="2"/>
  <c r="B21235" i="2"/>
  <c r="B21234" i="2"/>
  <c r="B21233" i="2"/>
  <c r="B21232" i="2"/>
  <c r="B21231" i="2"/>
  <c r="B21230" i="2"/>
  <c r="B21229" i="2"/>
  <c r="B21228" i="2"/>
  <c r="B21227" i="2"/>
  <c r="B21226" i="2"/>
  <c r="B21225" i="2"/>
  <c r="B21224" i="2"/>
  <c r="B21223" i="2"/>
  <c r="B21222" i="2"/>
  <c r="B21221" i="2"/>
  <c r="B21220" i="2"/>
  <c r="B21219" i="2"/>
  <c r="B21218" i="2"/>
  <c r="B21217" i="2"/>
  <c r="B21216" i="2"/>
  <c r="B21215" i="2"/>
  <c r="B21214" i="2"/>
  <c r="B21213" i="2"/>
  <c r="B21212" i="2"/>
  <c r="B21211" i="2"/>
  <c r="B21210" i="2"/>
  <c r="B21209" i="2"/>
  <c r="B21208" i="2"/>
  <c r="B21207" i="2"/>
  <c r="B21206" i="2"/>
  <c r="B21205" i="2"/>
  <c r="B21204" i="2"/>
  <c r="B21203" i="2"/>
  <c r="B21202" i="2"/>
  <c r="B21201" i="2"/>
  <c r="B21200" i="2"/>
  <c r="B21199" i="2"/>
  <c r="B21198" i="2"/>
  <c r="B21197" i="2"/>
  <c r="B21196" i="2"/>
  <c r="B21195" i="2"/>
  <c r="B21194" i="2"/>
  <c r="B21193" i="2"/>
  <c r="B21192" i="2"/>
  <c r="B21191" i="2"/>
  <c r="B21190" i="2"/>
  <c r="B21189" i="2"/>
  <c r="B21188" i="2"/>
  <c r="B21187" i="2"/>
  <c r="B21186" i="2"/>
  <c r="B21185" i="2"/>
  <c r="B21184" i="2"/>
  <c r="B21183" i="2"/>
  <c r="B21182" i="2"/>
  <c r="B21181" i="2"/>
  <c r="B21180" i="2"/>
  <c r="B21179" i="2"/>
  <c r="B21178" i="2"/>
  <c r="B21177" i="2"/>
  <c r="B21176" i="2"/>
  <c r="B21175" i="2"/>
  <c r="B21174" i="2"/>
  <c r="B21173" i="2"/>
  <c r="B21172" i="2"/>
  <c r="B21171" i="2"/>
  <c r="B21170" i="2"/>
  <c r="B21169" i="2"/>
  <c r="B21168" i="2"/>
  <c r="B21167" i="2"/>
  <c r="B21166" i="2"/>
  <c r="B21165" i="2"/>
  <c r="B21164" i="2"/>
  <c r="B21163" i="2"/>
  <c r="B21162" i="2"/>
  <c r="B21161" i="2"/>
  <c r="B21160" i="2"/>
  <c r="B21159" i="2"/>
  <c r="B21158" i="2"/>
  <c r="B21157" i="2"/>
  <c r="B21156" i="2"/>
  <c r="B21155" i="2"/>
  <c r="B21154" i="2"/>
  <c r="B21153" i="2"/>
  <c r="B21152" i="2"/>
  <c r="B21151" i="2"/>
  <c r="B21150" i="2"/>
  <c r="B21149" i="2"/>
  <c r="B21148" i="2"/>
  <c r="B21147" i="2"/>
  <c r="B21146" i="2"/>
  <c r="B21145" i="2"/>
  <c r="B21144" i="2"/>
  <c r="B21143" i="2"/>
  <c r="B21142" i="2"/>
  <c r="B21141" i="2"/>
  <c r="B21140" i="2"/>
  <c r="B21139" i="2"/>
  <c r="B21138" i="2"/>
  <c r="B21137" i="2"/>
  <c r="B21136" i="2"/>
  <c r="B21135" i="2"/>
  <c r="B21134" i="2"/>
  <c r="B21133" i="2"/>
  <c r="B21132" i="2"/>
  <c r="B21131" i="2"/>
  <c r="B21130" i="2"/>
  <c r="B21129" i="2"/>
  <c r="B21128" i="2"/>
  <c r="B21127" i="2"/>
  <c r="B21126" i="2"/>
  <c r="B21125" i="2"/>
  <c r="B21124" i="2"/>
  <c r="B21123" i="2"/>
  <c r="B21122" i="2"/>
  <c r="B21121" i="2"/>
  <c r="B21120" i="2"/>
  <c r="B21119" i="2"/>
  <c r="B21118" i="2"/>
  <c r="B21117" i="2"/>
  <c r="B21116" i="2"/>
  <c r="B21115" i="2"/>
  <c r="B21114" i="2"/>
  <c r="B21113" i="2"/>
  <c r="B21112" i="2"/>
  <c r="B21111" i="2"/>
  <c r="B21110" i="2"/>
  <c r="B21109" i="2"/>
  <c r="B21108" i="2"/>
  <c r="B21107" i="2"/>
  <c r="B21106" i="2"/>
  <c r="B21105" i="2"/>
  <c r="B21104" i="2"/>
  <c r="B21103" i="2"/>
  <c r="B21102" i="2"/>
  <c r="B21101" i="2"/>
  <c r="B21100" i="2"/>
  <c r="B21099" i="2"/>
  <c r="B21098" i="2"/>
  <c r="B21097" i="2"/>
  <c r="B21096" i="2"/>
  <c r="B21095" i="2"/>
  <c r="B21094" i="2"/>
  <c r="B21093" i="2"/>
  <c r="B21092" i="2"/>
  <c r="B21091" i="2"/>
  <c r="B21090" i="2"/>
  <c r="B21089" i="2"/>
  <c r="B21088" i="2"/>
  <c r="B21087" i="2"/>
  <c r="B21086" i="2"/>
  <c r="B21085" i="2"/>
  <c r="B21084" i="2"/>
  <c r="B21083" i="2"/>
  <c r="B21082" i="2"/>
  <c r="B21081" i="2"/>
  <c r="B21080" i="2"/>
  <c r="B21079" i="2"/>
  <c r="B21078" i="2"/>
  <c r="B21077" i="2"/>
  <c r="B21076" i="2"/>
  <c r="B21075" i="2"/>
  <c r="B21074" i="2"/>
  <c r="B21073" i="2"/>
  <c r="B21072" i="2"/>
  <c r="B21071" i="2"/>
  <c r="B21070" i="2"/>
  <c r="B21069" i="2"/>
  <c r="B21068" i="2"/>
  <c r="B21067" i="2"/>
  <c r="B21066" i="2"/>
  <c r="B21065" i="2"/>
  <c r="B21064" i="2"/>
  <c r="B21063" i="2"/>
  <c r="B21062" i="2"/>
  <c r="B21061" i="2"/>
  <c r="B21060" i="2"/>
  <c r="B21059" i="2"/>
  <c r="B21058" i="2"/>
  <c r="B21057" i="2"/>
  <c r="B21056" i="2"/>
  <c r="B21055" i="2"/>
  <c r="B21054" i="2"/>
  <c r="B21053" i="2"/>
  <c r="B21052" i="2"/>
  <c r="B21051" i="2"/>
  <c r="B21050" i="2"/>
  <c r="B21049" i="2"/>
  <c r="B21048" i="2"/>
  <c r="B21047" i="2"/>
  <c r="B21046" i="2"/>
  <c r="B21045" i="2"/>
  <c r="B21044" i="2"/>
  <c r="B21043" i="2"/>
  <c r="B21042" i="2"/>
  <c r="B21041" i="2"/>
  <c r="B21040" i="2"/>
  <c r="B21039" i="2"/>
  <c r="B21038" i="2"/>
  <c r="B21037" i="2"/>
  <c r="B21036" i="2"/>
  <c r="B21035" i="2"/>
  <c r="B21034" i="2"/>
  <c r="B21033" i="2"/>
  <c r="B21032" i="2"/>
  <c r="B21031" i="2"/>
  <c r="B21030" i="2"/>
  <c r="B21029" i="2"/>
  <c r="B21028" i="2"/>
  <c r="B21027" i="2"/>
  <c r="B21026" i="2"/>
  <c r="B21025" i="2"/>
  <c r="B21024" i="2"/>
  <c r="B21023" i="2"/>
  <c r="B21022" i="2"/>
  <c r="B21021" i="2"/>
  <c r="B21020" i="2"/>
  <c r="B21019" i="2"/>
  <c r="B21018" i="2"/>
  <c r="B21017" i="2"/>
  <c r="B21016" i="2"/>
  <c r="B21015" i="2"/>
  <c r="B21014" i="2"/>
  <c r="B21013" i="2"/>
  <c r="B21012" i="2"/>
  <c r="B21011" i="2"/>
  <c r="B21010" i="2"/>
  <c r="B21009" i="2"/>
  <c r="B21008" i="2"/>
  <c r="B21007" i="2"/>
  <c r="B21006" i="2"/>
  <c r="B21005" i="2"/>
  <c r="B21004" i="2"/>
  <c r="B21003" i="2"/>
  <c r="B21002" i="2"/>
  <c r="B21001" i="2"/>
  <c r="B21000" i="2"/>
  <c r="B20999" i="2"/>
  <c r="B20998" i="2"/>
  <c r="B20997" i="2"/>
  <c r="B20996" i="2"/>
  <c r="B20995" i="2"/>
  <c r="B20994" i="2"/>
  <c r="B20993" i="2"/>
  <c r="B20992" i="2"/>
  <c r="B20991" i="2"/>
  <c r="B20990" i="2"/>
  <c r="B20989" i="2"/>
  <c r="B20988" i="2"/>
  <c r="B20987" i="2"/>
  <c r="B20986" i="2"/>
  <c r="B20985" i="2"/>
  <c r="B20984" i="2"/>
  <c r="B20983" i="2"/>
  <c r="B20982" i="2"/>
  <c r="B20981" i="2"/>
  <c r="B20980" i="2"/>
  <c r="B20979" i="2"/>
  <c r="B20978" i="2"/>
  <c r="B20977" i="2"/>
  <c r="B20976" i="2"/>
  <c r="B20975" i="2"/>
  <c r="B20974" i="2"/>
  <c r="B20973" i="2"/>
  <c r="B20972" i="2"/>
  <c r="B20971" i="2"/>
  <c r="B20970" i="2"/>
  <c r="B20969" i="2"/>
  <c r="B20968" i="2"/>
  <c r="B20967" i="2"/>
  <c r="B20966" i="2"/>
  <c r="B20965" i="2"/>
  <c r="B20964" i="2"/>
  <c r="B20963" i="2"/>
  <c r="B20962" i="2"/>
  <c r="B20961" i="2"/>
  <c r="B20960" i="2"/>
  <c r="B20959" i="2"/>
  <c r="B20958" i="2"/>
  <c r="B20957" i="2"/>
  <c r="B20956" i="2"/>
  <c r="B20955" i="2"/>
  <c r="B20954" i="2"/>
  <c r="B20953" i="2"/>
  <c r="B20952" i="2"/>
  <c r="B20951" i="2"/>
  <c r="B20950" i="2"/>
  <c r="B20949" i="2"/>
  <c r="B20948" i="2"/>
  <c r="B20947" i="2"/>
  <c r="B20946" i="2"/>
  <c r="B20945" i="2"/>
  <c r="B20944" i="2"/>
  <c r="B20943" i="2"/>
  <c r="B20942" i="2"/>
  <c r="B20941" i="2"/>
  <c r="B20940" i="2"/>
  <c r="B20939" i="2"/>
  <c r="B20938" i="2"/>
  <c r="B20937" i="2"/>
  <c r="B20936" i="2"/>
  <c r="B20935" i="2"/>
  <c r="B20934" i="2"/>
  <c r="B20933" i="2"/>
  <c r="B20932" i="2"/>
  <c r="B20931" i="2"/>
  <c r="B20930" i="2"/>
  <c r="B20929" i="2"/>
  <c r="B20928" i="2"/>
  <c r="B20927" i="2"/>
  <c r="B20926" i="2"/>
  <c r="B20925" i="2"/>
  <c r="B20924" i="2"/>
  <c r="B20923" i="2"/>
  <c r="B20922" i="2"/>
  <c r="B20921" i="2"/>
  <c r="B20920" i="2"/>
  <c r="B20919" i="2"/>
  <c r="B20918" i="2"/>
  <c r="B20917" i="2"/>
  <c r="B20916" i="2"/>
  <c r="B20915" i="2"/>
  <c r="B20914" i="2"/>
  <c r="B20913" i="2"/>
  <c r="B20912" i="2"/>
  <c r="B20911" i="2"/>
  <c r="B20910" i="2"/>
  <c r="B20909" i="2"/>
  <c r="B20908" i="2"/>
  <c r="B20907" i="2"/>
  <c r="B20906" i="2"/>
  <c r="B20905" i="2"/>
  <c r="B20904" i="2"/>
  <c r="B20903" i="2"/>
  <c r="B20902" i="2"/>
  <c r="B20901" i="2"/>
  <c r="B20900" i="2"/>
  <c r="B20899" i="2"/>
  <c r="B20898" i="2"/>
  <c r="B20897" i="2"/>
  <c r="B20896" i="2"/>
  <c r="B20895" i="2"/>
  <c r="B20894" i="2"/>
  <c r="B20893" i="2"/>
  <c r="B20892" i="2"/>
  <c r="B20891" i="2"/>
  <c r="B20890" i="2"/>
  <c r="B20889" i="2"/>
  <c r="B20888" i="2"/>
  <c r="B20887" i="2"/>
  <c r="B20886" i="2"/>
  <c r="B20885" i="2"/>
  <c r="B20884" i="2"/>
  <c r="B20883" i="2"/>
  <c r="B20882" i="2"/>
  <c r="B20881" i="2"/>
  <c r="B20880" i="2"/>
  <c r="B20879" i="2"/>
  <c r="B20878" i="2"/>
  <c r="B20877" i="2"/>
  <c r="B20876" i="2"/>
  <c r="B20875" i="2"/>
  <c r="B20874" i="2"/>
  <c r="B20873" i="2"/>
  <c r="B20872" i="2"/>
  <c r="B20871" i="2"/>
  <c r="B20870" i="2"/>
  <c r="B20869" i="2"/>
  <c r="B20868" i="2"/>
  <c r="B20867" i="2"/>
  <c r="B20866" i="2"/>
  <c r="B20865" i="2"/>
  <c r="B20864" i="2"/>
  <c r="B20863" i="2"/>
  <c r="B20862" i="2"/>
  <c r="B20861" i="2"/>
  <c r="B20860" i="2"/>
  <c r="B20859" i="2"/>
  <c r="B20858" i="2"/>
  <c r="B20857" i="2"/>
  <c r="B20856" i="2"/>
  <c r="B20855" i="2"/>
  <c r="B20854" i="2"/>
  <c r="B20853" i="2"/>
  <c r="B20852" i="2"/>
  <c r="B20851" i="2"/>
  <c r="B20850" i="2"/>
  <c r="B20849" i="2"/>
  <c r="B20848" i="2"/>
  <c r="B20847" i="2"/>
  <c r="B20846" i="2"/>
  <c r="B20845" i="2"/>
  <c r="B20844" i="2"/>
  <c r="B20843" i="2"/>
  <c r="B20842" i="2"/>
  <c r="B20841" i="2"/>
  <c r="B20840" i="2"/>
  <c r="B20839" i="2"/>
  <c r="B20838" i="2"/>
  <c r="B20837" i="2"/>
  <c r="B20836" i="2"/>
  <c r="B20835" i="2"/>
  <c r="B20834" i="2"/>
  <c r="B20833" i="2"/>
  <c r="B20832" i="2"/>
  <c r="B20831" i="2"/>
  <c r="B20830" i="2"/>
  <c r="B20829" i="2"/>
  <c r="B20828" i="2"/>
  <c r="B20827" i="2"/>
  <c r="B20826" i="2"/>
  <c r="B20825" i="2"/>
  <c r="B20824" i="2"/>
  <c r="B20823" i="2"/>
  <c r="B20822" i="2"/>
  <c r="B20821" i="2"/>
  <c r="B20820" i="2"/>
  <c r="B20819" i="2"/>
  <c r="B20818" i="2"/>
  <c r="B20817" i="2"/>
  <c r="B20816" i="2"/>
  <c r="B20815" i="2"/>
  <c r="B20814" i="2"/>
  <c r="B20813" i="2"/>
  <c r="B20812" i="2"/>
  <c r="B20811" i="2"/>
  <c r="B20810" i="2"/>
  <c r="B20809" i="2"/>
  <c r="B20808" i="2"/>
  <c r="B20807" i="2"/>
  <c r="B20806" i="2"/>
  <c r="B20805" i="2"/>
  <c r="B20804" i="2"/>
  <c r="B20803" i="2"/>
  <c r="B20802" i="2"/>
  <c r="B20801" i="2"/>
  <c r="B20800" i="2"/>
  <c r="B20799" i="2"/>
  <c r="B20798" i="2"/>
  <c r="B20797" i="2"/>
  <c r="B20796" i="2"/>
  <c r="B20795" i="2"/>
  <c r="B20794" i="2"/>
  <c r="B20793" i="2"/>
  <c r="B20792" i="2"/>
  <c r="B20791" i="2"/>
  <c r="B20790" i="2"/>
  <c r="B20789" i="2"/>
  <c r="B20788" i="2"/>
  <c r="B20787" i="2"/>
  <c r="B20786" i="2"/>
  <c r="B20785" i="2"/>
  <c r="B20784" i="2"/>
  <c r="B20783" i="2"/>
  <c r="B20782" i="2"/>
  <c r="B20781" i="2"/>
  <c r="B20780" i="2"/>
  <c r="B20779" i="2"/>
  <c r="B20778" i="2"/>
  <c r="B20777" i="2"/>
  <c r="B20776" i="2"/>
  <c r="B20775" i="2"/>
  <c r="B20774" i="2"/>
  <c r="B20773" i="2"/>
  <c r="B20772" i="2"/>
  <c r="B20771" i="2"/>
  <c r="B20770" i="2"/>
  <c r="B20769" i="2"/>
  <c r="B20768" i="2"/>
  <c r="B20767" i="2"/>
  <c r="B20766" i="2"/>
  <c r="B20765" i="2"/>
  <c r="B20764" i="2"/>
  <c r="B20763" i="2"/>
  <c r="B20762" i="2"/>
  <c r="B20761" i="2"/>
  <c r="B20760" i="2"/>
  <c r="B20759" i="2"/>
  <c r="B20758" i="2"/>
  <c r="B20757" i="2"/>
  <c r="B20756" i="2"/>
  <c r="B20755" i="2"/>
  <c r="B20754" i="2"/>
  <c r="B20753" i="2"/>
  <c r="B20752" i="2"/>
  <c r="B20751" i="2"/>
  <c r="B20750" i="2"/>
  <c r="B20749" i="2"/>
  <c r="B20748" i="2"/>
  <c r="B20747" i="2"/>
  <c r="B20746" i="2"/>
  <c r="B20745" i="2"/>
  <c r="B20744" i="2"/>
  <c r="B20743" i="2"/>
  <c r="B20742" i="2"/>
  <c r="B20741" i="2"/>
  <c r="B20740" i="2"/>
  <c r="B20739" i="2"/>
  <c r="B20738" i="2"/>
  <c r="B20737" i="2"/>
  <c r="B20736" i="2"/>
  <c r="B20735" i="2"/>
  <c r="B20734" i="2"/>
  <c r="B20733" i="2"/>
  <c r="B20732" i="2"/>
  <c r="B20731" i="2"/>
  <c r="B20730" i="2"/>
  <c r="B20729" i="2"/>
  <c r="B20728" i="2"/>
  <c r="B20727" i="2"/>
  <c r="B20726" i="2"/>
  <c r="B20725" i="2"/>
  <c r="B20724" i="2"/>
  <c r="B20723" i="2"/>
  <c r="B20722" i="2"/>
  <c r="B20721" i="2"/>
  <c r="B20720" i="2"/>
  <c r="B20719" i="2"/>
  <c r="B20718" i="2"/>
  <c r="B20717" i="2"/>
  <c r="B20716" i="2"/>
  <c r="B20715" i="2"/>
  <c r="B20714" i="2"/>
  <c r="B20713" i="2"/>
  <c r="B20712" i="2"/>
  <c r="B20711" i="2"/>
  <c r="B20710" i="2"/>
  <c r="B20709" i="2"/>
  <c r="B20708" i="2"/>
  <c r="B20707" i="2"/>
  <c r="B20706" i="2"/>
  <c r="B20705" i="2"/>
  <c r="B20704" i="2"/>
  <c r="B20703" i="2"/>
  <c r="B20702" i="2"/>
  <c r="B20701" i="2"/>
  <c r="B20700" i="2"/>
  <c r="B20699" i="2"/>
  <c r="B20698" i="2"/>
  <c r="B20697" i="2"/>
  <c r="B20696" i="2"/>
  <c r="B20695" i="2"/>
  <c r="B20694" i="2"/>
  <c r="B20693" i="2"/>
  <c r="B20692" i="2"/>
  <c r="B20691" i="2"/>
  <c r="B20690" i="2"/>
  <c r="B20689" i="2"/>
  <c r="B20688" i="2"/>
  <c r="B20687" i="2"/>
  <c r="B20686" i="2"/>
  <c r="B20685" i="2"/>
  <c r="B20684" i="2"/>
  <c r="B20683" i="2"/>
  <c r="B20682" i="2"/>
  <c r="B20681" i="2"/>
  <c r="B20680" i="2"/>
  <c r="B20679" i="2"/>
  <c r="B20678" i="2"/>
  <c r="B20677" i="2"/>
  <c r="B20676" i="2"/>
  <c r="B20675" i="2"/>
  <c r="B20674" i="2"/>
  <c r="B20673" i="2"/>
  <c r="B20672" i="2"/>
  <c r="B20671" i="2"/>
  <c r="B20670" i="2"/>
  <c r="B20669" i="2"/>
  <c r="B20668" i="2"/>
  <c r="B20667" i="2"/>
  <c r="B20666" i="2"/>
  <c r="B20665" i="2"/>
  <c r="B20664" i="2"/>
  <c r="B20663" i="2"/>
  <c r="B20662" i="2"/>
  <c r="B20661" i="2"/>
  <c r="B20660" i="2"/>
  <c r="B20659" i="2"/>
  <c r="B20658" i="2"/>
  <c r="B20657" i="2"/>
  <c r="B20656" i="2"/>
  <c r="B20655" i="2"/>
  <c r="B20654" i="2"/>
  <c r="B20653" i="2"/>
  <c r="B20652" i="2"/>
  <c r="B20651" i="2"/>
  <c r="B20650" i="2"/>
  <c r="B20649" i="2"/>
  <c r="B20648" i="2"/>
  <c r="B20647" i="2"/>
  <c r="B20646" i="2"/>
  <c r="B20645" i="2"/>
  <c r="B20644" i="2"/>
  <c r="B20643" i="2"/>
  <c r="B20642" i="2"/>
  <c r="B20641" i="2"/>
  <c r="B20640" i="2"/>
  <c r="B20639" i="2"/>
  <c r="B20638" i="2"/>
  <c r="B20637" i="2"/>
  <c r="B20636" i="2"/>
  <c r="B20635" i="2"/>
  <c r="B20634" i="2"/>
  <c r="B20633" i="2"/>
  <c r="B20632" i="2"/>
  <c r="B20631" i="2"/>
  <c r="B20630" i="2"/>
  <c r="B20629" i="2"/>
  <c r="B20628" i="2"/>
  <c r="B20627" i="2"/>
  <c r="B20626" i="2"/>
  <c r="B20625" i="2"/>
  <c r="B20624" i="2"/>
  <c r="B20623" i="2"/>
  <c r="B20622" i="2"/>
  <c r="B20621" i="2"/>
  <c r="B20620" i="2"/>
  <c r="B20619" i="2"/>
  <c r="B20618" i="2"/>
  <c r="B20617" i="2"/>
  <c r="B20616" i="2"/>
  <c r="B20615" i="2"/>
  <c r="B20614" i="2"/>
  <c r="B20613" i="2"/>
  <c r="B20612" i="2"/>
  <c r="B20611" i="2"/>
  <c r="B20610" i="2"/>
  <c r="B20609" i="2"/>
  <c r="B20608" i="2"/>
  <c r="B20607" i="2"/>
  <c r="B20606" i="2"/>
  <c r="B20605" i="2"/>
  <c r="B20604" i="2"/>
  <c r="B20603" i="2"/>
  <c r="B20602" i="2"/>
  <c r="B20601" i="2"/>
  <c r="B20600" i="2"/>
  <c r="B20599" i="2"/>
  <c r="B20598" i="2"/>
  <c r="B20597" i="2"/>
  <c r="B20596" i="2"/>
  <c r="B20595" i="2"/>
  <c r="B20594" i="2"/>
  <c r="B20593" i="2"/>
  <c r="B20592" i="2"/>
  <c r="B20591" i="2"/>
  <c r="B20590" i="2"/>
  <c r="B20589" i="2"/>
  <c r="B20588" i="2"/>
  <c r="B20587" i="2"/>
  <c r="B20586" i="2"/>
  <c r="B20585" i="2"/>
  <c r="B20584" i="2"/>
  <c r="B20583" i="2"/>
  <c r="B20582" i="2"/>
  <c r="B20581" i="2"/>
  <c r="B20580" i="2"/>
  <c r="B20579" i="2"/>
  <c r="B20578" i="2"/>
  <c r="B20577" i="2"/>
  <c r="B20576" i="2"/>
  <c r="B20575" i="2"/>
  <c r="B20574" i="2"/>
  <c r="B20573" i="2"/>
  <c r="B20572" i="2"/>
  <c r="B20571" i="2"/>
  <c r="B20570" i="2"/>
  <c r="B20569" i="2"/>
  <c r="B20568" i="2"/>
  <c r="B20567" i="2"/>
  <c r="B20566" i="2"/>
  <c r="B20565" i="2"/>
  <c r="B20564" i="2"/>
  <c r="B20563" i="2"/>
  <c r="B20562" i="2"/>
  <c r="B20561" i="2"/>
  <c r="B20560" i="2"/>
  <c r="B20559" i="2"/>
  <c r="B20558" i="2"/>
  <c r="B20557" i="2"/>
  <c r="B20556" i="2"/>
  <c r="B20555" i="2"/>
  <c r="B20554" i="2"/>
  <c r="B20553" i="2"/>
  <c r="B20552" i="2"/>
  <c r="B20551" i="2"/>
  <c r="B20550" i="2"/>
  <c r="B20549" i="2"/>
  <c r="B20548" i="2"/>
  <c r="B20547" i="2"/>
  <c r="B20546" i="2"/>
  <c r="B20545" i="2"/>
  <c r="B20544" i="2"/>
  <c r="B20543" i="2"/>
  <c r="B20542" i="2"/>
  <c r="B20541" i="2"/>
  <c r="B20540" i="2"/>
  <c r="B20539" i="2"/>
  <c r="B20538" i="2"/>
  <c r="B20537" i="2"/>
  <c r="B20536" i="2"/>
  <c r="B20535" i="2"/>
  <c r="B20534" i="2"/>
  <c r="B20533" i="2"/>
  <c r="B20532" i="2"/>
  <c r="B20531" i="2"/>
  <c r="B20530" i="2"/>
  <c r="B20529" i="2"/>
  <c r="B20528" i="2"/>
  <c r="B20527" i="2"/>
  <c r="B20526" i="2"/>
  <c r="B20525" i="2"/>
  <c r="B20524" i="2"/>
  <c r="B20523" i="2"/>
  <c r="B20522" i="2"/>
  <c r="B20521" i="2"/>
  <c r="B20520" i="2"/>
  <c r="B20519" i="2"/>
  <c r="B20518" i="2"/>
  <c r="B20517" i="2"/>
  <c r="B20516" i="2"/>
  <c r="B20515" i="2"/>
  <c r="B20514" i="2"/>
  <c r="B20513" i="2"/>
  <c r="B20512" i="2"/>
  <c r="B20511" i="2"/>
  <c r="B20510" i="2"/>
  <c r="B20509" i="2"/>
  <c r="B20508" i="2"/>
  <c r="B20507" i="2"/>
  <c r="B20506" i="2"/>
  <c r="B20505" i="2"/>
  <c r="B20504" i="2"/>
  <c r="B20503" i="2"/>
  <c r="B20502" i="2"/>
  <c r="B20501" i="2"/>
  <c r="B20500" i="2"/>
  <c r="B20499" i="2"/>
  <c r="B20498" i="2"/>
  <c r="B20497" i="2"/>
  <c r="B20496" i="2"/>
  <c r="B20495" i="2"/>
  <c r="B20494" i="2"/>
  <c r="B20493" i="2"/>
  <c r="B20492" i="2"/>
  <c r="B20491" i="2"/>
  <c r="B20490" i="2"/>
  <c r="B20489" i="2"/>
  <c r="B20488" i="2"/>
  <c r="B20487" i="2"/>
  <c r="B20486" i="2"/>
  <c r="B20485" i="2"/>
  <c r="B20484" i="2"/>
  <c r="B20483" i="2"/>
  <c r="B20482" i="2"/>
  <c r="B20481" i="2"/>
  <c r="B20480" i="2"/>
  <c r="B20479" i="2"/>
  <c r="B20478" i="2"/>
  <c r="B20477" i="2"/>
  <c r="B20476" i="2"/>
  <c r="B20475" i="2"/>
  <c r="B20474" i="2"/>
  <c r="B20473" i="2"/>
  <c r="B20472" i="2"/>
  <c r="B20471" i="2"/>
  <c r="B20470" i="2"/>
  <c r="B20469" i="2"/>
  <c r="B20468" i="2"/>
  <c r="B20467" i="2"/>
  <c r="B20466" i="2"/>
  <c r="B20465" i="2"/>
  <c r="B20464" i="2"/>
  <c r="B20463" i="2"/>
  <c r="B20462" i="2"/>
  <c r="B20461" i="2"/>
  <c r="B20460" i="2"/>
  <c r="B20459" i="2"/>
  <c r="B20458" i="2"/>
  <c r="B20457" i="2"/>
  <c r="B20456" i="2"/>
  <c r="B20455" i="2"/>
  <c r="B20454" i="2"/>
  <c r="B20453" i="2"/>
  <c r="B20452" i="2"/>
  <c r="B20451" i="2"/>
  <c r="B20450" i="2"/>
  <c r="B20449" i="2"/>
  <c r="B20448" i="2"/>
  <c r="B20447" i="2"/>
  <c r="B20446" i="2"/>
  <c r="B20445" i="2"/>
  <c r="B20444" i="2"/>
  <c r="B20443" i="2"/>
  <c r="B20442" i="2"/>
  <c r="B20441" i="2"/>
  <c r="B20440" i="2"/>
  <c r="B20439" i="2"/>
  <c r="B20438" i="2"/>
  <c r="B20437" i="2"/>
  <c r="B20436" i="2"/>
  <c r="B20435" i="2"/>
  <c r="B20434" i="2"/>
  <c r="B20433" i="2"/>
  <c r="B20432" i="2"/>
  <c r="B20431" i="2"/>
  <c r="B20430" i="2"/>
  <c r="B20429" i="2"/>
  <c r="B20428" i="2"/>
  <c r="B20427" i="2"/>
  <c r="B20426" i="2"/>
  <c r="B20425" i="2"/>
  <c r="B20424" i="2"/>
  <c r="B20423" i="2"/>
  <c r="B20422" i="2"/>
  <c r="B20421" i="2"/>
  <c r="B20420" i="2"/>
  <c r="B20419" i="2"/>
  <c r="B20418" i="2"/>
  <c r="B20417" i="2"/>
  <c r="B20416" i="2"/>
  <c r="B20415" i="2"/>
  <c r="B20414" i="2"/>
  <c r="B20413" i="2"/>
  <c r="B20412" i="2"/>
  <c r="B20411" i="2"/>
  <c r="B20410" i="2"/>
  <c r="B20409" i="2"/>
  <c r="B20408" i="2"/>
  <c r="B20407" i="2"/>
  <c r="B20406" i="2"/>
  <c r="B20405" i="2"/>
  <c r="B20404" i="2"/>
  <c r="B20403" i="2"/>
  <c r="B20402" i="2"/>
  <c r="B20401" i="2"/>
  <c r="B20400" i="2"/>
  <c r="B20399" i="2"/>
  <c r="B20398" i="2"/>
  <c r="B20397" i="2"/>
  <c r="B20396" i="2"/>
  <c r="B20395" i="2"/>
  <c r="B20394" i="2"/>
  <c r="B20393" i="2"/>
  <c r="B20392" i="2"/>
  <c r="B20391" i="2"/>
  <c r="B20390" i="2"/>
  <c r="B20389" i="2"/>
  <c r="B20388" i="2"/>
  <c r="B20387" i="2"/>
  <c r="B20386" i="2"/>
  <c r="B20385" i="2"/>
  <c r="B20384" i="2"/>
  <c r="B20383" i="2"/>
  <c r="B20382" i="2"/>
  <c r="B20381" i="2"/>
  <c r="B20380" i="2"/>
  <c r="B20379" i="2"/>
  <c r="B20378" i="2"/>
  <c r="B20377" i="2"/>
  <c r="B20376" i="2"/>
  <c r="B20375" i="2"/>
  <c r="B20374" i="2"/>
  <c r="B20373" i="2"/>
  <c r="B20372" i="2"/>
  <c r="B20371" i="2"/>
  <c r="B20370" i="2"/>
  <c r="B20369" i="2"/>
  <c r="B20368" i="2"/>
  <c r="B20367" i="2"/>
  <c r="B20366" i="2"/>
  <c r="B20365" i="2"/>
  <c r="B20364" i="2"/>
  <c r="B20363" i="2"/>
  <c r="B20362" i="2"/>
  <c r="B20361" i="2"/>
  <c r="B20360" i="2"/>
  <c r="B20359" i="2"/>
  <c r="B20358" i="2"/>
  <c r="B20357" i="2"/>
  <c r="B20356" i="2"/>
  <c r="B20355" i="2"/>
  <c r="B20354" i="2"/>
  <c r="B20353" i="2"/>
  <c r="B20352" i="2"/>
  <c r="B20351" i="2"/>
  <c r="B20350" i="2"/>
  <c r="B20349" i="2"/>
  <c r="B20348" i="2"/>
  <c r="B20347" i="2"/>
  <c r="B20346" i="2"/>
  <c r="B20345" i="2"/>
  <c r="B20344" i="2"/>
  <c r="B20343" i="2"/>
  <c r="B20342" i="2"/>
  <c r="B20341" i="2"/>
  <c r="B20340" i="2"/>
  <c r="B20339" i="2"/>
  <c r="B20338" i="2"/>
  <c r="B20337" i="2"/>
  <c r="B20336" i="2"/>
  <c r="B20335" i="2"/>
  <c r="B20334" i="2"/>
  <c r="B20333" i="2"/>
  <c r="B20332" i="2"/>
  <c r="B20331" i="2"/>
  <c r="B20330" i="2"/>
  <c r="B20329" i="2"/>
  <c r="B20328" i="2"/>
  <c r="B20327" i="2"/>
  <c r="B20326" i="2"/>
  <c r="B20325" i="2"/>
  <c r="B20324" i="2"/>
  <c r="B20323" i="2"/>
  <c r="B20322" i="2"/>
  <c r="B20321" i="2"/>
  <c r="B20320" i="2"/>
  <c r="B20319" i="2"/>
  <c r="B20318" i="2"/>
  <c r="B20317" i="2"/>
  <c r="B20316" i="2"/>
  <c r="B20315" i="2"/>
  <c r="B20314" i="2"/>
  <c r="B20313" i="2"/>
  <c r="B20312" i="2"/>
  <c r="B20311" i="2"/>
  <c r="B20310" i="2"/>
  <c r="B20309" i="2"/>
  <c r="B20308" i="2"/>
  <c r="B20307" i="2"/>
  <c r="B20306" i="2"/>
  <c r="B20305" i="2"/>
  <c r="B20304" i="2"/>
  <c r="B20303" i="2"/>
  <c r="B20302" i="2"/>
  <c r="B20301" i="2"/>
  <c r="B20300" i="2"/>
  <c r="B20299" i="2"/>
  <c r="B20298" i="2"/>
  <c r="B20297" i="2"/>
  <c r="B20296" i="2"/>
  <c r="B20295" i="2"/>
  <c r="B20294" i="2"/>
  <c r="B20293" i="2"/>
  <c r="B20292" i="2"/>
  <c r="B20291" i="2"/>
  <c r="B20290" i="2"/>
  <c r="B20289" i="2"/>
  <c r="B20288" i="2"/>
  <c r="B20287" i="2"/>
  <c r="B20286" i="2"/>
  <c r="B20285" i="2"/>
  <c r="B20284" i="2"/>
  <c r="B20283" i="2"/>
  <c r="B20282" i="2"/>
  <c r="B20281" i="2"/>
  <c r="B20280" i="2"/>
  <c r="B20279" i="2"/>
  <c r="B20278" i="2"/>
  <c r="B20277" i="2"/>
  <c r="B20276" i="2"/>
  <c r="B20275" i="2"/>
  <c r="B20274" i="2"/>
  <c r="B20273" i="2"/>
  <c r="B20272" i="2"/>
  <c r="B20271" i="2"/>
  <c r="B20270" i="2"/>
  <c r="B20269" i="2"/>
  <c r="B20268" i="2"/>
  <c r="B20267" i="2"/>
  <c r="B20266" i="2"/>
  <c r="B20265" i="2"/>
  <c r="B20264" i="2"/>
  <c r="B20263" i="2"/>
  <c r="B20262" i="2"/>
  <c r="B20261" i="2"/>
  <c r="B20260" i="2"/>
  <c r="B20259" i="2"/>
  <c r="B20258" i="2"/>
  <c r="B20257" i="2"/>
  <c r="B20256" i="2"/>
  <c r="B20255" i="2"/>
  <c r="B20254" i="2"/>
  <c r="B20253" i="2"/>
  <c r="B20252" i="2"/>
  <c r="B20251" i="2"/>
  <c r="B20250" i="2"/>
  <c r="B20249" i="2"/>
  <c r="B20248" i="2"/>
  <c r="B20247" i="2"/>
  <c r="B20246" i="2"/>
  <c r="B20245" i="2"/>
  <c r="B20244" i="2"/>
  <c r="B20243" i="2"/>
  <c r="B20242" i="2"/>
  <c r="B20241" i="2"/>
  <c r="B20240" i="2"/>
  <c r="B20239" i="2"/>
  <c r="B20238" i="2"/>
  <c r="B20237" i="2"/>
  <c r="B20236" i="2"/>
  <c r="B20235" i="2"/>
  <c r="B20234" i="2"/>
  <c r="B20233" i="2"/>
  <c r="B20232" i="2"/>
  <c r="B20231" i="2"/>
  <c r="B20230" i="2"/>
  <c r="B20229" i="2"/>
  <c r="B20228" i="2"/>
  <c r="B20227" i="2"/>
  <c r="B20226" i="2"/>
  <c r="B20225" i="2"/>
  <c r="B20224" i="2"/>
  <c r="B20223" i="2"/>
  <c r="B20222" i="2"/>
  <c r="B20221" i="2"/>
  <c r="B20220" i="2"/>
  <c r="B20219" i="2"/>
  <c r="B20218" i="2"/>
  <c r="B20217" i="2"/>
  <c r="B20216" i="2"/>
  <c r="B20215" i="2"/>
  <c r="B20214" i="2"/>
  <c r="B20213" i="2"/>
  <c r="B20212" i="2"/>
  <c r="B20211" i="2"/>
  <c r="B20210" i="2"/>
  <c r="B20209" i="2"/>
  <c r="B20208" i="2"/>
  <c r="B20207" i="2"/>
  <c r="B20206" i="2"/>
  <c r="B20205" i="2"/>
  <c r="B20204" i="2"/>
  <c r="B20203" i="2"/>
  <c r="B20202" i="2"/>
  <c r="B20201" i="2"/>
  <c r="B20200" i="2"/>
  <c r="B20199" i="2"/>
  <c r="B20198" i="2"/>
  <c r="B20197" i="2"/>
  <c r="B20196" i="2"/>
  <c r="B20195" i="2"/>
  <c r="B20194" i="2"/>
  <c r="B20193" i="2"/>
  <c r="B20192" i="2"/>
  <c r="B20191" i="2"/>
  <c r="B20190" i="2"/>
  <c r="B20189" i="2"/>
  <c r="B20188" i="2"/>
  <c r="B20187" i="2"/>
  <c r="B20186" i="2"/>
  <c r="B20185" i="2"/>
  <c r="B20184" i="2"/>
  <c r="B20183" i="2"/>
  <c r="B20182" i="2"/>
  <c r="B20181" i="2"/>
  <c r="B20180" i="2"/>
  <c r="B20179" i="2"/>
  <c r="B20178" i="2"/>
  <c r="B20177" i="2"/>
  <c r="B20176" i="2"/>
  <c r="B20175" i="2"/>
  <c r="B20174" i="2"/>
  <c r="B20173" i="2"/>
  <c r="B20172" i="2"/>
  <c r="B20171" i="2"/>
  <c r="B20170" i="2"/>
  <c r="B20169" i="2"/>
  <c r="B20168" i="2"/>
  <c r="B20167" i="2"/>
  <c r="B20166" i="2"/>
  <c r="B20165" i="2"/>
  <c r="B20164" i="2"/>
  <c r="B20163" i="2"/>
  <c r="B20162" i="2"/>
  <c r="B20161" i="2"/>
  <c r="B20160" i="2"/>
  <c r="B20159" i="2"/>
  <c r="B20158" i="2"/>
  <c r="B20157" i="2"/>
  <c r="B20156" i="2"/>
  <c r="B20155" i="2"/>
  <c r="B20154" i="2"/>
  <c r="B20153" i="2"/>
  <c r="B20152" i="2"/>
  <c r="B20151" i="2"/>
  <c r="B20150" i="2"/>
  <c r="B20149" i="2"/>
  <c r="B20148" i="2"/>
  <c r="B20147" i="2"/>
  <c r="B20146" i="2"/>
  <c r="B20145" i="2"/>
  <c r="B20144" i="2"/>
  <c r="B20143" i="2"/>
  <c r="B20142" i="2"/>
  <c r="B20141" i="2"/>
  <c r="B20140" i="2"/>
  <c r="B20139" i="2"/>
  <c r="B20138" i="2"/>
  <c r="B20137" i="2"/>
  <c r="B20136" i="2"/>
  <c r="B20135" i="2"/>
  <c r="B20134" i="2"/>
  <c r="B20133" i="2"/>
  <c r="B20132" i="2"/>
  <c r="B20131" i="2"/>
  <c r="B20130" i="2"/>
  <c r="B20129" i="2"/>
  <c r="B20128" i="2"/>
  <c r="B20127" i="2"/>
  <c r="B20126" i="2"/>
  <c r="B20125" i="2"/>
  <c r="B20124" i="2"/>
  <c r="B20123" i="2"/>
  <c r="B20122" i="2"/>
  <c r="B20121" i="2"/>
  <c r="B20120" i="2"/>
  <c r="B20119" i="2"/>
  <c r="B20118" i="2"/>
  <c r="B20117" i="2"/>
  <c r="B20116" i="2"/>
  <c r="B20115" i="2"/>
  <c r="B20114" i="2"/>
  <c r="B20113" i="2"/>
  <c r="B20112" i="2"/>
  <c r="B20111" i="2"/>
  <c r="B20110" i="2"/>
  <c r="B20109" i="2"/>
  <c r="B20108" i="2"/>
  <c r="B20107" i="2"/>
  <c r="B20106" i="2"/>
  <c r="B20105" i="2"/>
  <c r="B20104" i="2"/>
  <c r="B20103" i="2"/>
  <c r="B20102" i="2"/>
  <c r="B20101" i="2"/>
  <c r="B20100" i="2"/>
  <c r="B20099" i="2"/>
  <c r="B20098" i="2"/>
  <c r="B20097" i="2"/>
  <c r="B20096" i="2"/>
  <c r="B20095" i="2"/>
  <c r="B20094" i="2"/>
  <c r="B20093" i="2"/>
  <c r="B20092" i="2"/>
  <c r="B20091" i="2"/>
  <c r="B20090" i="2"/>
  <c r="B20089" i="2"/>
  <c r="B20088" i="2"/>
  <c r="B20087" i="2"/>
  <c r="B20086" i="2"/>
  <c r="B20085" i="2"/>
  <c r="B20084" i="2"/>
  <c r="B20083" i="2"/>
  <c r="B20082" i="2"/>
  <c r="B20081" i="2"/>
  <c r="B20080" i="2"/>
  <c r="B20079" i="2"/>
  <c r="B20078" i="2"/>
  <c r="B20077" i="2"/>
  <c r="B20076" i="2"/>
  <c r="B20075" i="2"/>
  <c r="B20074" i="2"/>
  <c r="B20073" i="2"/>
  <c r="B20072" i="2"/>
  <c r="B20071" i="2"/>
  <c r="B20070" i="2"/>
  <c r="B20069" i="2"/>
  <c r="B20068" i="2"/>
  <c r="B20067" i="2"/>
  <c r="B20066" i="2"/>
  <c r="B20065" i="2"/>
  <c r="B20064" i="2"/>
  <c r="B20063" i="2"/>
  <c r="B20062" i="2"/>
  <c r="B20061" i="2"/>
  <c r="B20060" i="2"/>
  <c r="B20059" i="2"/>
  <c r="B20058" i="2"/>
  <c r="B20057" i="2"/>
  <c r="B20056" i="2"/>
  <c r="B20055" i="2"/>
  <c r="B20054" i="2"/>
  <c r="B20053" i="2"/>
  <c r="B20052" i="2"/>
  <c r="B20051" i="2"/>
  <c r="B20050" i="2"/>
  <c r="B20049" i="2"/>
  <c r="B20048" i="2"/>
  <c r="B20047" i="2"/>
  <c r="B20046" i="2"/>
  <c r="B20045" i="2"/>
  <c r="B20044" i="2"/>
  <c r="B20043" i="2"/>
  <c r="B20042" i="2"/>
  <c r="B20041" i="2"/>
  <c r="B20040" i="2"/>
  <c r="B20039" i="2"/>
  <c r="B20038" i="2"/>
  <c r="B20037" i="2"/>
  <c r="B20036" i="2"/>
  <c r="B20035" i="2"/>
  <c r="B20034" i="2"/>
  <c r="B20033" i="2"/>
  <c r="B20032" i="2"/>
  <c r="B20031" i="2"/>
  <c r="B20030" i="2"/>
  <c r="B20029" i="2"/>
  <c r="B20028" i="2"/>
  <c r="B20027" i="2"/>
  <c r="B20026" i="2"/>
  <c r="B20025" i="2"/>
  <c r="B20024" i="2"/>
  <c r="B20023" i="2"/>
  <c r="B20022" i="2"/>
  <c r="B20021" i="2"/>
  <c r="B20020" i="2"/>
  <c r="B20019" i="2"/>
  <c r="B20018" i="2"/>
  <c r="B20017" i="2"/>
  <c r="B20016" i="2"/>
  <c r="B20015" i="2"/>
  <c r="B20014" i="2"/>
  <c r="B20013" i="2"/>
  <c r="B20012" i="2"/>
  <c r="B20011" i="2"/>
  <c r="B20010" i="2"/>
  <c r="B20009" i="2"/>
  <c r="B20008" i="2"/>
  <c r="B20007" i="2"/>
  <c r="B20006" i="2"/>
  <c r="B20005" i="2"/>
  <c r="B20004" i="2"/>
  <c r="B20003" i="2"/>
  <c r="B20002" i="2"/>
  <c r="B20001" i="2"/>
  <c r="B20000" i="2"/>
  <c r="B19999" i="2"/>
  <c r="B19998" i="2"/>
  <c r="B19997" i="2"/>
  <c r="B19996" i="2"/>
  <c r="B19995" i="2"/>
  <c r="B19994" i="2"/>
  <c r="B19993" i="2"/>
  <c r="B19992" i="2"/>
  <c r="B19991" i="2"/>
  <c r="B19990" i="2"/>
  <c r="B19989" i="2"/>
  <c r="B19988" i="2"/>
  <c r="B19987" i="2"/>
  <c r="B19986" i="2"/>
  <c r="B19985" i="2"/>
  <c r="B19984" i="2"/>
  <c r="B19983" i="2"/>
  <c r="B19982" i="2"/>
  <c r="B19981" i="2"/>
  <c r="B19980" i="2"/>
  <c r="B19979" i="2"/>
  <c r="B19978" i="2"/>
  <c r="B19977" i="2"/>
  <c r="B19976" i="2"/>
  <c r="B19975" i="2"/>
  <c r="B19974" i="2"/>
  <c r="B19973" i="2"/>
  <c r="B19972" i="2"/>
  <c r="B19971" i="2"/>
  <c r="B19970" i="2"/>
  <c r="B19969" i="2"/>
  <c r="B19968" i="2"/>
  <c r="B19967" i="2"/>
  <c r="B19966" i="2"/>
  <c r="B19965" i="2"/>
  <c r="B19964" i="2"/>
  <c r="B19963" i="2"/>
  <c r="B19962" i="2"/>
  <c r="B19961" i="2"/>
  <c r="B19960" i="2"/>
  <c r="B19959" i="2"/>
  <c r="B19958" i="2"/>
  <c r="B19957" i="2"/>
  <c r="B19956" i="2"/>
  <c r="B19955" i="2"/>
  <c r="B19954" i="2"/>
  <c r="B19953" i="2"/>
  <c r="B19952" i="2"/>
  <c r="B19951" i="2"/>
  <c r="B19950" i="2"/>
  <c r="B19949" i="2"/>
  <c r="B19948" i="2"/>
  <c r="B19947" i="2"/>
  <c r="B19946" i="2"/>
  <c r="B19945" i="2"/>
  <c r="B19944" i="2"/>
  <c r="B19943" i="2"/>
  <c r="B19942" i="2"/>
  <c r="B19941" i="2"/>
  <c r="B19940" i="2"/>
  <c r="B19939" i="2"/>
  <c r="B19938" i="2"/>
  <c r="B19937" i="2"/>
  <c r="B19936" i="2"/>
  <c r="B19935" i="2"/>
  <c r="B19934" i="2"/>
  <c r="B19933" i="2"/>
  <c r="B19932" i="2"/>
  <c r="B19931" i="2"/>
  <c r="B19930" i="2"/>
  <c r="B19929" i="2"/>
  <c r="B19928" i="2"/>
  <c r="B19927" i="2"/>
  <c r="B19926" i="2"/>
  <c r="B19925" i="2"/>
  <c r="B19924" i="2"/>
  <c r="B19923" i="2"/>
  <c r="B19922" i="2"/>
  <c r="B19921" i="2"/>
  <c r="B19920" i="2"/>
  <c r="B19919" i="2"/>
  <c r="B19918" i="2"/>
  <c r="B19917" i="2"/>
  <c r="B19916" i="2"/>
  <c r="B19915" i="2"/>
  <c r="B19914" i="2"/>
  <c r="B19913" i="2"/>
  <c r="B19912" i="2"/>
  <c r="B19911" i="2"/>
  <c r="B19910" i="2"/>
  <c r="B19909" i="2"/>
  <c r="B19908" i="2"/>
  <c r="B19907" i="2"/>
  <c r="B19906" i="2"/>
  <c r="B19905" i="2"/>
  <c r="B19904" i="2"/>
  <c r="B19903" i="2"/>
  <c r="B19902" i="2"/>
  <c r="B19901" i="2"/>
  <c r="B19900" i="2"/>
  <c r="B19899" i="2"/>
  <c r="B19898" i="2"/>
  <c r="B19897" i="2"/>
  <c r="B19896" i="2"/>
  <c r="B19895" i="2"/>
  <c r="B19894" i="2"/>
  <c r="B19893" i="2"/>
  <c r="B19892" i="2"/>
  <c r="B19891" i="2"/>
  <c r="B19890" i="2"/>
  <c r="B19889" i="2"/>
  <c r="B19888" i="2"/>
  <c r="B19887" i="2"/>
  <c r="B19886" i="2"/>
  <c r="B19885" i="2"/>
  <c r="B19884" i="2"/>
  <c r="B19883" i="2"/>
  <c r="B19882" i="2"/>
  <c r="B19881" i="2"/>
  <c r="B19880" i="2"/>
  <c r="B19879" i="2"/>
  <c r="B19878" i="2"/>
  <c r="B19877" i="2"/>
  <c r="B19876" i="2"/>
  <c r="B19875" i="2"/>
  <c r="B19874" i="2"/>
  <c r="B19873" i="2"/>
  <c r="B19872" i="2"/>
  <c r="B19871" i="2"/>
  <c r="B19870" i="2"/>
  <c r="B19869" i="2"/>
  <c r="B19868" i="2"/>
  <c r="B19867" i="2"/>
  <c r="B19866" i="2"/>
  <c r="B19865" i="2"/>
  <c r="B19864" i="2"/>
  <c r="B19863" i="2"/>
  <c r="B19862" i="2"/>
  <c r="B19861" i="2"/>
  <c r="B19860" i="2"/>
  <c r="B19859" i="2"/>
  <c r="B19858" i="2"/>
  <c r="B19857" i="2"/>
  <c r="B19856" i="2"/>
  <c r="B19855" i="2"/>
  <c r="B19854" i="2"/>
  <c r="B19853" i="2"/>
  <c r="B19852" i="2"/>
  <c r="B19851" i="2"/>
  <c r="B19850" i="2"/>
  <c r="B19849" i="2"/>
  <c r="B19848" i="2"/>
  <c r="B19847" i="2"/>
  <c r="B19846" i="2"/>
  <c r="B19845" i="2"/>
  <c r="B19844" i="2"/>
  <c r="B19843" i="2"/>
  <c r="B19842" i="2"/>
  <c r="B19841" i="2"/>
  <c r="B19840" i="2"/>
  <c r="B19839" i="2"/>
  <c r="B19838" i="2"/>
  <c r="B19837" i="2"/>
  <c r="B19836" i="2"/>
  <c r="B19835" i="2"/>
  <c r="B19834" i="2"/>
  <c r="B19833" i="2"/>
  <c r="B19832" i="2"/>
  <c r="B19831" i="2"/>
  <c r="B19830" i="2"/>
  <c r="B19829" i="2"/>
  <c r="B19828" i="2"/>
  <c r="B19827" i="2"/>
  <c r="B19826" i="2"/>
  <c r="B19825" i="2"/>
  <c r="B19824" i="2"/>
  <c r="B19823" i="2"/>
  <c r="B19822" i="2"/>
  <c r="B19821" i="2"/>
  <c r="B19820" i="2"/>
  <c r="B19819" i="2"/>
  <c r="B19818" i="2"/>
  <c r="B19817" i="2"/>
  <c r="B19816" i="2"/>
  <c r="B19815" i="2"/>
  <c r="B19814" i="2"/>
  <c r="B19813" i="2"/>
  <c r="B19812" i="2"/>
  <c r="B19811" i="2"/>
  <c r="B19810" i="2"/>
  <c r="B19809" i="2"/>
  <c r="B19808" i="2"/>
  <c r="B19807" i="2"/>
  <c r="B19806" i="2"/>
  <c r="B19805" i="2"/>
  <c r="B19804" i="2"/>
  <c r="B19803" i="2"/>
  <c r="B19802" i="2"/>
  <c r="B19801" i="2"/>
  <c r="B19800" i="2"/>
  <c r="B19799" i="2"/>
  <c r="B19798" i="2"/>
  <c r="B19797" i="2"/>
  <c r="B19796" i="2"/>
  <c r="B19795" i="2"/>
  <c r="B19794" i="2"/>
  <c r="B19793" i="2"/>
  <c r="B19792" i="2"/>
  <c r="B19791" i="2"/>
  <c r="B19790" i="2"/>
  <c r="B19789" i="2"/>
  <c r="B19788" i="2"/>
  <c r="B19787" i="2"/>
  <c r="B19786" i="2"/>
  <c r="B19785" i="2"/>
  <c r="B19784" i="2"/>
  <c r="B19783" i="2"/>
  <c r="B19782" i="2"/>
  <c r="B19781" i="2"/>
  <c r="B19780" i="2"/>
  <c r="B19779" i="2"/>
  <c r="B19778" i="2"/>
  <c r="B19777" i="2"/>
  <c r="B19776" i="2"/>
  <c r="B19775" i="2"/>
  <c r="B19774" i="2"/>
  <c r="B19773" i="2"/>
  <c r="B19772" i="2"/>
  <c r="B19771" i="2"/>
  <c r="B19770" i="2"/>
  <c r="B19769" i="2"/>
  <c r="B19768" i="2"/>
  <c r="B19767" i="2"/>
  <c r="B19766" i="2"/>
  <c r="B19765" i="2"/>
  <c r="B19764" i="2"/>
  <c r="B19763" i="2"/>
  <c r="B19762" i="2"/>
  <c r="B19761" i="2"/>
  <c r="B19760" i="2"/>
  <c r="B19759" i="2"/>
  <c r="B19758" i="2"/>
  <c r="B19757" i="2"/>
  <c r="B19756" i="2"/>
  <c r="B19755" i="2"/>
  <c r="B19754" i="2"/>
  <c r="B19753" i="2"/>
  <c r="B19752" i="2"/>
  <c r="B19751" i="2"/>
  <c r="B19750" i="2"/>
  <c r="B19749" i="2"/>
  <c r="B19748" i="2"/>
  <c r="B19747" i="2"/>
  <c r="B19746" i="2"/>
  <c r="B19745" i="2"/>
  <c r="B19744" i="2"/>
  <c r="B19743" i="2"/>
  <c r="B19742" i="2"/>
  <c r="B19741" i="2"/>
  <c r="B19740" i="2"/>
  <c r="B19739" i="2"/>
  <c r="B19738" i="2"/>
  <c r="B19737" i="2"/>
  <c r="B19736" i="2"/>
  <c r="B19735" i="2"/>
  <c r="B19734" i="2"/>
  <c r="B19733" i="2"/>
  <c r="B19732" i="2"/>
  <c r="B19731" i="2"/>
  <c r="B19730" i="2"/>
  <c r="B19729" i="2"/>
  <c r="B19728" i="2"/>
  <c r="B19727" i="2"/>
  <c r="B19726" i="2"/>
  <c r="B19725" i="2"/>
  <c r="B19724" i="2"/>
  <c r="B19723" i="2"/>
  <c r="B19722" i="2"/>
  <c r="B19721" i="2"/>
  <c r="B19720" i="2"/>
  <c r="B19719" i="2"/>
  <c r="B19718" i="2"/>
  <c r="B19717" i="2"/>
  <c r="B19716" i="2"/>
  <c r="B19715" i="2"/>
  <c r="B19714" i="2"/>
  <c r="B19713" i="2"/>
  <c r="B19712" i="2"/>
  <c r="B19711" i="2"/>
  <c r="B19710" i="2"/>
  <c r="B19709" i="2"/>
  <c r="B19708" i="2"/>
  <c r="B19707" i="2"/>
  <c r="B19706" i="2"/>
  <c r="B19705" i="2"/>
  <c r="B19704" i="2"/>
  <c r="B19703" i="2"/>
  <c r="B19702" i="2"/>
  <c r="B19701" i="2"/>
  <c r="B19700" i="2"/>
  <c r="B19699" i="2"/>
  <c r="B19698" i="2"/>
  <c r="B19697" i="2"/>
  <c r="B19696" i="2"/>
  <c r="B19695" i="2"/>
  <c r="B19694" i="2"/>
  <c r="B19693" i="2"/>
  <c r="B19692" i="2"/>
  <c r="B19691" i="2"/>
  <c r="B19690" i="2"/>
  <c r="B19689" i="2"/>
  <c r="B19688" i="2"/>
  <c r="B19687" i="2"/>
  <c r="B19686" i="2"/>
  <c r="B19685" i="2"/>
  <c r="B19684" i="2"/>
  <c r="B19683" i="2"/>
  <c r="B19682" i="2"/>
  <c r="B19681" i="2"/>
  <c r="B19680" i="2"/>
  <c r="B19679" i="2"/>
  <c r="B19678" i="2"/>
  <c r="B19677" i="2"/>
  <c r="B19676" i="2"/>
  <c r="B19675" i="2"/>
  <c r="B19674" i="2"/>
  <c r="B19673" i="2"/>
  <c r="B19672" i="2"/>
  <c r="B19671" i="2"/>
  <c r="B19670" i="2"/>
  <c r="B19669" i="2"/>
  <c r="B19668" i="2"/>
  <c r="B19667" i="2"/>
  <c r="B19666" i="2"/>
  <c r="B19665" i="2"/>
  <c r="B19664" i="2"/>
  <c r="B19663" i="2"/>
  <c r="B19662" i="2"/>
  <c r="B19661" i="2"/>
  <c r="B19660" i="2"/>
  <c r="B19659" i="2"/>
  <c r="B19658" i="2"/>
  <c r="B19657" i="2"/>
  <c r="B19656" i="2"/>
  <c r="B19655" i="2"/>
  <c r="B19654" i="2"/>
  <c r="B19653" i="2"/>
  <c r="B19652" i="2"/>
  <c r="B19651" i="2"/>
  <c r="B19650" i="2"/>
  <c r="B19649" i="2"/>
  <c r="B19648" i="2"/>
  <c r="B19647" i="2"/>
  <c r="B19646" i="2"/>
  <c r="B19645" i="2"/>
  <c r="B19644" i="2"/>
  <c r="B19643" i="2"/>
  <c r="B19642" i="2"/>
  <c r="B19641" i="2"/>
  <c r="B19640" i="2"/>
  <c r="B19639" i="2"/>
  <c r="B19638" i="2"/>
  <c r="B19637" i="2"/>
  <c r="B19636" i="2"/>
  <c r="B19635" i="2"/>
  <c r="B19634" i="2"/>
  <c r="B19633" i="2"/>
  <c r="B19632" i="2"/>
  <c r="B19631" i="2"/>
  <c r="B19630" i="2"/>
  <c r="B19629" i="2"/>
  <c r="B19628" i="2"/>
  <c r="B19627" i="2"/>
  <c r="B19626" i="2"/>
  <c r="B19625" i="2"/>
  <c r="B19624" i="2"/>
  <c r="B19623" i="2"/>
  <c r="B19622" i="2"/>
  <c r="B19621" i="2"/>
  <c r="B19620" i="2"/>
  <c r="B19619" i="2"/>
  <c r="B19618" i="2"/>
  <c r="B19617" i="2"/>
  <c r="B19616" i="2"/>
  <c r="B19615" i="2"/>
  <c r="B19614" i="2"/>
  <c r="B19613" i="2"/>
  <c r="B19612" i="2"/>
  <c r="B19611" i="2"/>
  <c r="B19610" i="2"/>
  <c r="B19609" i="2"/>
  <c r="B19608" i="2"/>
  <c r="B19607" i="2"/>
  <c r="B19606" i="2"/>
  <c r="B19605" i="2"/>
  <c r="B19604" i="2"/>
  <c r="B19603" i="2"/>
  <c r="B19602" i="2"/>
  <c r="B19601" i="2"/>
  <c r="B19600" i="2"/>
  <c r="B19599" i="2"/>
  <c r="B19598" i="2"/>
  <c r="B19597" i="2"/>
  <c r="B19596" i="2"/>
  <c r="B19595" i="2"/>
  <c r="B19594" i="2"/>
  <c r="B19593" i="2"/>
  <c r="B19592" i="2"/>
  <c r="B19591" i="2"/>
  <c r="B19590" i="2"/>
  <c r="B19589" i="2"/>
  <c r="B19588" i="2"/>
  <c r="B19587" i="2"/>
  <c r="B19586" i="2"/>
  <c r="B19585" i="2"/>
  <c r="B19584" i="2"/>
  <c r="B19583" i="2"/>
  <c r="B19582" i="2"/>
  <c r="B19581" i="2"/>
  <c r="B19580" i="2"/>
  <c r="B19579" i="2"/>
  <c r="B19578" i="2"/>
  <c r="B19577" i="2"/>
  <c r="B19576" i="2"/>
  <c r="B19575" i="2"/>
  <c r="B19574" i="2"/>
  <c r="B19573" i="2"/>
  <c r="B19572" i="2"/>
  <c r="B19571" i="2"/>
  <c r="B19570" i="2"/>
  <c r="B19569" i="2"/>
  <c r="B19568" i="2"/>
  <c r="B19567" i="2"/>
  <c r="B19566" i="2"/>
  <c r="B19565" i="2"/>
  <c r="B19564" i="2"/>
  <c r="B19563" i="2"/>
  <c r="B19562" i="2"/>
  <c r="B19561" i="2"/>
  <c r="B19560" i="2"/>
  <c r="B19559" i="2"/>
  <c r="B19558" i="2"/>
  <c r="B19557" i="2"/>
  <c r="B19556" i="2"/>
  <c r="B19555" i="2"/>
  <c r="B19554" i="2"/>
  <c r="B19553" i="2"/>
  <c r="B19552" i="2"/>
  <c r="B19551" i="2"/>
  <c r="B19550" i="2"/>
  <c r="B19549" i="2"/>
  <c r="B19548" i="2"/>
  <c r="B19547" i="2"/>
  <c r="B19546" i="2"/>
  <c r="B19545" i="2"/>
  <c r="B19544" i="2"/>
  <c r="B19543" i="2"/>
  <c r="B19542" i="2"/>
  <c r="B19541" i="2"/>
  <c r="B19540" i="2"/>
  <c r="B19539" i="2"/>
  <c r="B19538" i="2"/>
  <c r="B19537" i="2"/>
  <c r="B19536" i="2"/>
  <c r="B19535" i="2"/>
  <c r="B19534" i="2"/>
  <c r="B19533" i="2"/>
  <c r="B19532" i="2"/>
  <c r="B19531" i="2"/>
  <c r="B19530" i="2"/>
  <c r="B19529" i="2"/>
  <c r="B19528" i="2"/>
  <c r="B19527" i="2"/>
  <c r="B19526" i="2"/>
  <c r="B19525" i="2"/>
  <c r="B19524" i="2"/>
  <c r="B19523" i="2"/>
  <c r="B19522" i="2"/>
  <c r="B19521" i="2"/>
  <c r="B19520" i="2"/>
  <c r="B19519" i="2"/>
  <c r="B19518" i="2"/>
  <c r="B19517" i="2"/>
  <c r="B19516" i="2"/>
  <c r="B19515" i="2"/>
  <c r="B19514" i="2"/>
  <c r="B19513" i="2"/>
  <c r="B19512" i="2"/>
  <c r="B19511" i="2"/>
  <c r="B19510" i="2"/>
  <c r="B19509" i="2"/>
  <c r="B19508" i="2"/>
  <c r="B19507" i="2"/>
  <c r="B19506" i="2"/>
  <c r="B19505" i="2"/>
  <c r="B19504" i="2"/>
  <c r="B19503" i="2"/>
  <c r="B19502" i="2"/>
  <c r="B19501" i="2"/>
  <c r="B19500" i="2"/>
  <c r="B19499" i="2"/>
  <c r="B19498" i="2"/>
  <c r="B19497" i="2"/>
  <c r="B19496" i="2"/>
  <c r="B19495" i="2"/>
  <c r="B19494" i="2"/>
  <c r="B19493" i="2"/>
  <c r="B19492" i="2"/>
  <c r="B19491" i="2"/>
  <c r="B19490" i="2"/>
  <c r="B19489" i="2"/>
  <c r="B19488" i="2"/>
  <c r="B19487" i="2"/>
  <c r="B19486" i="2"/>
  <c r="B19485" i="2"/>
  <c r="B19484" i="2"/>
  <c r="B19483" i="2"/>
  <c r="B19482" i="2"/>
  <c r="B19481" i="2"/>
  <c r="B19480" i="2"/>
  <c r="B19479" i="2"/>
  <c r="B19478" i="2"/>
  <c r="B19477" i="2"/>
  <c r="B19476" i="2"/>
  <c r="B19475" i="2"/>
  <c r="B19474" i="2"/>
  <c r="B19473" i="2"/>
  <c r="B19472" i="2"/>
  <c r="B19471" i="2"/>
  <c r="B19470" i="2"/>
  <c r="B19469" i="2"/>
  <c r="B19468" i="2"/>
  <c r="B19467" i="2"/>
  <c r="B19466" i="2"/>
  <c r="B19465" i="2"/>
  <c r="B19464" i="2"/>
  <c r="B19463" i="2"/>
  <c r="B19462" i="2"/>
  <c r="B19461" i="2"/>
  <c r="B19460" i="2"/>
  <c r="B19459" i="2"/>
  <c r="B19458" i="2"/>
  <c r="B19457" i="2"/>
  <c r="B19456" i="2"/>
  <c r="B19455" i="2"/>
  <c r="B19454" i="2"/>
  <c r="B19453" i="2"/>
  <c r="B19452" i="2"/>
  <c r="B19451" i="2"/>
  <c r="B19450" i="2"/>
  <c r="B19449" i="2"/>
  <c r="B19448" i="2"/>
  <c r="B19447" i="2"/>
  <c r="B19446" i="2"/>
  <c r="B19445" i="2"/>
  <c r="B19444" i="2"/>
  <c r="B19443" i="2"/>
  <c r="B19442" i="2"/>
  <c r="B19441" i="2"/>
  <c r="B19440" i="2"/>
  <c r="B19439" i="2"/>
  <c r="B19438" i="2"/>
  <c r="B19437" i="2"/>
  <c r="B19436" i="2"/>
  <c r="B19435" i="2"/>
  <c r="B19434" i="2"/>
  <c r="B19433" i="2"/>
  <c r="B19432" i="2"/>
  <c r="B19431" i="2"/>
  <c r="B19430" i="2"/>
  <c r="B19429" i="2"/>
  <c r="B19428" i="2"/>
  <c r="B19427" i="2"/>
  <c r="B19426" i="2"/>
  <c r="B19425" i="2"/>
  <c r="B19424" i="2"/>
  <c r="B19423" i="2"/>
  <c r="B19422" i="2"/>
  <c r="B19421" i="2"/>
  <c r="B19420" i="2"/>
  <c r="B19419" i="2"/>
  <c r="B19418" i="2"/>
  <c r="B19417" i="2"/>
  <c r="B19416" i="2"/>
  <c r="B19415" i="2"/>
  <c r="B19414" i="2"/>
  <c r="B19413" i="2"/>
  <c r="B19412" i="2"/>
  <c r="B19411" i="2"/>
  <c r="B19410" i="2"/>
  <c r="B19409" i="2"/>
  <c r="B19408" i="2"/>
  <c r="B19407" i="2"/>
  <c r="B19406" i="2"/>
  <c r="B19405" i="2"/>
  <c r="B19404" i="2"/>
  <c r="B19403" i="2"/>
  <c r="B19402" i="2"/>
  <c r="B19401" i="2"/>
  <c r="B19400" i="2"/>
  <c r="B19399" i="2"/>
  <c r="B19398" i="2"/>
  <c r="B19397" i="2"/>
  <c r="B19396" i="2"/>
  <c r="B19395" i="2"/>
  <c r="B19394" i="2"/>
  <c r="B19393" i="2"/>
  <c r="B19392" i="2"/>
  <c r="B19391" i="2"/>
  <c r="B19390" i="2"/>
  <c r="B19389" i="2"/>
  <c r="B19388" i="2"/>
  <c r="B19387" i="2"/>
  <c r="B19386" i="2"/>
  <c r="B19385" i="2"/>
  <c r="B19384" i="2"/>
  <c r="B19383" i="2"/>
  <c r="B19382" i="2"/>
  <c r="B19381" i="2"/>
  <c r="B19380" i="2"/>
  <c r="B19379" i="2"/>
  <c r="B19378" i="2"/>
  <c r="B19377" i="2"/>
  <c r="B19376" i="2"/>
  <c r="B19375" i="2"/>
  <c r="B19374" i="2"/>
  <c r="B19373" i="2"/>
  <c r="B19372" i="2"/>
  <c r="B19371" i="2"/>
  <c r="B19370" i="2"/>
  <c r="B19369" i="2"/>
  <c r="B19368" i="2"/>
  <c r="B19367" i="2"/>
  <c r="B19366" i="2"/>
  <c r="B19365" i="2"/>
  <c r="B19364" i="2"/>
  <c r="B19363" i="2"/>
  <c r="B19362" i="2"/>
  <c r="B19361" i="2"/>
  <c r="B19360" i="2"/>
  <c r="B19359" i="2"/>
  <c r="B19358" i="2"/>
  <c r="B19357" i="2"/>
  <c r="B19356" i="2"/>
  <c r="B19355" i="2"/>
  <c r="B19354" i="2"/>
  <c r="B19353" i="2"/>
  <c r="B19352" i="2"/>
  <c r="B19351" i="2"/>
  <c r="B19350" i="2"/>
  <c r="B19349" i="2"/>
  <c r="B19348" i="2"/>
  <c r="B19347" i="2"/>
  <c r="B19346" i="2"/>
  <c r="B19345" i="2"/>
  <c r="B19344" i="2"/>
  <c r="B19343" i="2"/>
  <c r="B19342" i="2"/>
  <c r="B19341" i="2"/>
  <c r="B19340" i="2"/>
  <c r="B19339" i="2"/>
  <c r="B19338" i="2"/>
  <c r="B19337" i="2"/>
  <c r="B19336" i="2"/>
  <c r="B19335" i="2"/>
  <c r="B19334" i="2"/>
  <c r="B19333" i="2"/>
  <c r="B19332" i="2"/>
  <c r="B19331" i="2"/>
  <c r="B19330" i="2"/>
  <c r="B19329" i="2"/>
  <c r="B19328" i="2"/>
  <c r="B19327" i="2"/>
  <c r="B19326" i="2"/>
  <c r="B19325" i="2"/>
  <c r="B19324" i="2"/>
  <c r="B19323" i="2"/>
  <c r="B19322" i="2"/>
  <c r="B19321" i="2"/>
  <c r="B19320" i="2"/>
  <c r="B19319" i="2"/>
  <c r="B19318" i="2"/>
  <c r="B19317" i="2"/>
  <c r="B19316" i="2"/>
  <c r="B19315" i="2"/>
  <c r="B19314" i="2"/>
  <c r="B19313" i="2"/>
  <c r="B19312" i="2"/>
  <c r="B19311" i="2"/>
  <c r="B19310" i="2"/>
  <c r="B19309" i="2"/>
  <c r="B19308" i="2"/>
  <c r="B19307" i="2"/>
  <c r="B19306" i="2"/>
  <c r="B19305" i="2"/>
  <c r="B19304" i="2"/>
  <c r="B19303" i="2"/>
  <c r="B19302" i="2"/>
  <c r="B19301" i="2"/>
  <c r="B19300" i="2"/>
  <c r="B19299" i="2"/>
  <c r="B19298" i="2"/>
  <c r="B19297" i="2"/>
  <c r="B19296" i="2"/>
  <c r="B19295" i="2"/>
  <c r="B19294" i="2"/>
  <c r="B19293" i="2"/>
  <c r="B19292" i="2"/>
  <c r="B19291" i="2"/>
  <c r="B19290" i="2"/>
  <c r="B19289" i="2"/>
  <c r="B19288" i="2"/>
  <c r="B19287" i="2"/>
  <c r="B19286" i="2"/>
  <c r="B19285" i="2"/>
  <c r="B19284" i="2"/>
  <c r="B19283" i="2"/>
  <c r="B19282" i="2"/>
  <c r="B19281" i="2"/>
  <c r="B19280" i="2"/>
  <c r="B19279" i="2"/>
  <c r="B19278" i="2"/>
  <c r="B19277" i="2"/>
  <c r="B19276" i="2"/>
  <c r="B19275" i="2"/>
  <c r="B19274" i="2"/>
  <c r="B19273" i="2"/>
  <c r="B19272" i="2"/>
  <c r="B19271" i="2"/>
  <c r="B19270" i="2"/>
  <c r="B19269" i="2"/>
  <c r="B19268" i="2"/>
  <c r="B19267" i="2"/>
  <c r="B19266" i="2"/>
  <c r="B19265" i="2"/>
  <c r="B19264" i="2"/>
  <c r="B19263" i="2"/>
  <c r="B19262" i="2"/>
  <c r="B19261" i="2"/>
  <c r="B19260" i="2"/>
  <c r="B19259" i="2"/>
  <c r="B19258" i="2"/>
  <c r="B19257" i="2"/>
  <c r="B19256" i="2"/>
  <c r="B19255" i="2"/>
  <c r="B19254" i="2"/>
  <c r="B19253" i="2"/>
  <c r="B19252" i="2"/>
  <c r="B19251" i="2"/>
  <c r="B19250" i="2"/>
  <c r="B19249" i="2"/>
  <c r="B19248" i="2"/>
  <c r="B19247" i="2"/>
  <c r="B19246" i="2"/>
  <c r="B19245" i="2"/>
  <c r="B19244" i="2"/>
  <c r="B19243" i="2"/>
  <c r="B19242" i="2"/>
  <c r="B19241" i="2"/>
  <c r="B19240" i="2"/>
  <c r="B19239" i="2"/>
  <c r="B19238" i="2"/>
  <c r="B19237" i="2"/>
  <c r="B19236" i="2"/>
  <c r="B19235" i="2"/>
  <c r="B19234" i="2"/>
  <c r="B19233" i="2"/>
  <c r="B19232" i="2"/>
  <c r="B19231" i="2"/>
  <c r="B19230" i="2"/>
  <c r="B19229" i="2"/>
  <c r="B19228" i="2"/>
  <c r="B19227" i="2"/>
  <c r="B19226" i="2"/>
  <c r="B19225" i="2"/>
  <c r="B19224" i="2"/>
  <c r="B19223" i="2"/>
  <c r="B19222" i="2"/>
  <c r="B19221" i="2"/>
  <c r="B19220" i="2"/>
  <c r="B19219" i="2"/>
  <c r="B19218" i="2"/>
  <c r="B19217" i="2"/>
  <c r="B19216" i="2"/>
  <c r="B19215" i="2"/>
  <c r="B19214" i="2"/>
  <c r="B19213" i="2"/>
  <c r="B19212" i="2"/>
  <c r="B19211" i="2"/>
  <c r="B19210" i="2"/>
  <c r="B19209" i="2"/>
  <c r="B19208" i="2"/>
  <c r="B19207" i="2"/>
  <c r="B19206" i="2"/>
  <c r="B19205" i="2"/>
  <c r="B19204" i="2"/>
  <c r="B19203" i="2"/>
  <c r="B19202" i="2"/>
  <c r="B19201" i="2"/>
  <c r="B19200" i="2"/>
  <c r="B19199" i="2"/>
  <c r="B19198" i="2"/>
  <c r="B19197" i="2"/>
  <c r="B19196" i="2"/>
  <c r="B19195" i="2"/>
  <c r="B19194" i="2"/>
  <c r="B19193" i="2"/>
  <c r="B19192" i="2"/>
  <c r="B19191" i="2"/>
  <c r="B19190" i="2"/>
  <c r="B19189" i="2"/>
  <c r="B19188" i="2"/>
  <c r="B19187" i="2"/>
  <c r="B19186" i="2"/>
  <c r="B19185" i="2"/>
  <c r="B19184" i="2"/>
  <c r="B19183" i="2"/>
  <c r="B19182" i="2"/>
  <c r="B19181" i="2"/>
  <c r="B19180" i="2"/>
  <c r="B19179" i="2"/>
  <c r="B19178" i="2"/>
  <c r="B19177" i="2"/>
  <c r="B19176" i="2"/>
  <c r="B19175" i="2"/>
  <c r="B19174" i="2"/>
  <c r="B19173" i="2"/>
  <c r="B19172" i="2"/>
  <c r="B19171" i="2"/>
  <c r="B19170" i="2"/>
  <c r="B19169" i="2"/>
  <c r="B19168" i="2"/>
  <c r="B19167" i="2"/>
  <c r="B19166" i="2"/>
  <c r="B19165" i="2"/>
  <c r="B19164" i="2"/>
  <c r="B19163" i="2"/>
  <c r="B19162" i="2"/>
  <c r="B19161" i="2"/>
  <c r="B19160" i="2"/>
  <c r="B19159" i="2"/>
  <c r="B19158" i="2"/>
  <c r="B19157" i="2"/>
  <c r="B19156" i="2"/>
  <c r="B19155" i="2"/>
  <c r="B19154" i="2"/>
  <c r="B19153" i="2"/>
  <c r="B19152" i="2"/>
  <c r="B19151" i="2"/>
  <c r="B19150" i="2"/>
  <c r="B19149" i="2"/>
  <c r="B19148" i="2"/>
  <c r="B19147" i="2"/>
  <c r="B19146" i="2"/>
  <c r="B19145" i="2"/>
  <c r="B19144" i="2"/>
  <c r="B19143" i="2"/>
  <c r="B19142" i="2"/>
  <c r="B19141" i="2"/>
  <c r="B19140" i="2"/>
  <c r="B19139" i="2"/>
  <c r="B19138" i="2"/>
  <c r="B19137" i="2"/>
  <c r="B19136" i="2"/>
  <c r="B19135" i="2"/>
  <c r="B19134" i="2"/>
  <c r="B19133" i="2"/>
  <c r="B19132" i="2"/>
  <c r="B19131" i="2"/>
  <c r="B19130" i="2"/>
  <c r="B19129" i="2"/>
  <c r="B19128" i="2"/>
  <c r="B19127" i="2"/>
  <c r="B19126" i="2"/>
  <c r="B19125" i="2"/>
  <c r="B19124" i="2"/>
  <c r="B19123" i="2"/>
  <c r="B19122" i="2"/>
  <c r="B19121" i="2"/>
  <c r="B19120" i="2"/>
  <c r="B19119" i="2"/>
  <c r="B19118" i="2"/>
  <c r="B19117" i="2"/>
  <c r="B19116" i="2"/>
  <c r="B19115" i="2"/>
  <c r="B19114" i="2"/>
  <c r="B19113" i="2"/>
  <c r="B19112" i="2"/>
  <c r="B19111" i="2"/>
  <c r="B19110" i="2"/>
  <c r="B19109" i="2"/>
  <c r="B19108" i="2"/>
  <c r="B19107" i="2"/>
  <c r="B19106" i="2"/>
  <c r="B19105" i="2"/>
  <c r="B19104" i="2"/>
  <c r="B19103" i="2"/>
  <c r="B19102" i="2"/>
  <c r="B19101" i="2"/>
  <c r="B19100" i="2"/>
  <c r="B19099" i="2"/>
  <c r="B19098" i="2"/>
  <c r="B19097" i="2"/>
  <c r="B19096" i="2"/>
  <c r="B19095" i="2"/>
  <c r="B19094" i="2"/>
  <c r="B19093" i="2"/>
  <c r="B19092" i="2"/>
  <c r="B19091" i="2"/>
  <c r="B19090" i="2"/>
  <c r="B19089" i="2"/>
  <c r="B19088" i="2"/>
  <c r="B19087" i="2"/>
  <c r="B19086" i="2"/>
  <c r="B19085" i="2"/>
  <c r="B19084" i="2"/>
  <c r="B19083" i="2"/>
  <c r="B19082" i="2"/>
  <c r="B19081" i="2"/>
  <c r="B19080" i="2"/>
  <c r="B19079" i="2"/>
  <c r="B19078" i="2"/>
  <c r="B19077" i="2"/>
  <c r="B19076" i="2"/>
  <c r="B19075" i="2"/>
  <c r="B19074" i="2"/>
  <c r="B19073" i="2"/>
  <c r="B19072" i="2"/>
  <c r="B19071" i="2"/>
  <c r="B19070" i="2"/>
  <c r="B19069" i="2"/>
  <c r="B19068" i="2"/>
  <c r="B19067" i="2"/>
  <c r="B19066" i="2"/>
  <c r="B19065" i="2"/>
  <c r="B19064" i="2"/>
  <c r="B19063" i="2"/>
  <c r="B19062" i="2"/>
  <c r="B19061" i="2"/>
  <c r="B19060" i="2"/>
  <c r="B19059" i="2"/>
  <c r="B19058" i="2"/>
  <c r="B19057" i="2"/>
  <c r="B19056" i="2"/>
  <c r="B19055" i="2"/>
  <c r="B19054" i="2"/>
  <c r="B19053" i="2"/>
  <c r="B19052" i="2"/>
  <c r="B19051" i="2"/>
  <c r="B19050" i="2"/>
  <c r="B19049" i="2"/>
  <c r="B19048" i="2"/>
  <c r="B19047" i="2"/>
  <c r="B19046" i="2"/>
  <c r="B19045" i="2"/>
  <c r="B19044" i="2"/>
  <c r="B19043" i="2"/>
  <c r="B19042" i="2"/>
  <c r="B19041" i="2"/>
  <c r="B19040" i="2"/>
  <c r="B19039" i="2"/>
  <c r="B19038" i="2"/>
  <c r="B19037" i="2"/>
  <c r="B19036" i="2"/>
  <c r="B19035" i="2"/>
  <c r="B19034" i="2"/>
  <c r="B19033" i="2"/>
  <c r="B19032" i="2"/>
  <c r="B19031" i="2"/>
  <c r="B19030" i="2"/>
  <c r="B19029" i="2"/>
  <c r="B19028" i="2"/>
  <c r="B19027" i="2"/>
  <c r="B19026" i="2"/>
  <c r="B19025" i="2"/>
  <c r="B19024" i="2"/>
  <c r="B19023" i="2"/>
  <c r="B19022" i="2"/>
  <c r="B19021" i="2"/>
  <c r="B19020" i="2"/>
  <c r="B19019" i="2"/>
  <c r="B19018" i="2"/>
  <c r="B19017" i="2"/>
  <c r="B19016" i="2"/>
  <c r="B19015" i="2"/>
  <c r="B19014" i="2"/>
  <c r="B19013" i="2"/>
  <c r="B19012" i="2"/>
  <c r="B19011" i="2"/>
  <c r="B19010" i="2"/>
  <c r="B19009" i="2"/>
  <c r="B19008" i="2"/>
  <c r="B19007" i="2"/>
  <c r="B19006" i="2"/>
  <c r="B19005" i="2"/>
  <c r="B19004" i="2"/>
  <c r="B19003" i="2"/>
  <c r="B19002" i="2"/>
  <c r="B19001" i="2"/>
  <c r="B19000" i="2"/>
  <c r="B18999" i="2"/>
  <c r="B18998" i="2"/>
  <c r="B18997" i="2"/>
  <c r="B18996" i="2"/>
  <c r="B18995" i="2"/>
  <c r="B18994" i="2"/>
  <c r="B18993" i="2"/>
  <c r="B18992" i="2"/>
  <c r="B18991" i="2"/>
  <c r="B18990" i="2"/>
  <c r="B18989" i="2"/>
  <c r="B18988" i="2"/>
  <c r="B18987" i="2"/>
  <c r="B18986" i="2"/>
  <c r="B18985" i="2"/>
  <c r="B18984" i="2"/>
  <c r="B18983" i="2"/>
  <c r="B18982" i="2"/>
  <c r="B18981" i="2"/>
  <c r="B18980" i="2"/>
  <c r="B18979" i="2"/>
  <c r="B18978" i="2"/>
  <c r="B18977" i="2"/>
  <c r="B18976" i="2"/>
  <c r="B18975" i="2"/>
  <c r="B18974" i="2"/>
  <c r="B18973" i="2"/>
  <c r="B18972" i="2"/>
  <c r="B18971" i="2"/>
  <c r="B18970" i="2"/>
  <c r="B18969" i="2"/>
  <c r="B18968" i="2"/>
  <c r="B18967" i="2"/>
  <c r="B18966" i="2"/>
  <c r="B18965" i="2"/>
  <c r="B18964" i="2"/>
  <c r="B18963" i="2"/>
  <c r="B18962" i="2"/>
  <c r="B18961" i="2"/>
  <c r="B18960" i="2"/>
  <c r="B18959" i="2"/>
  <c r="B18958" i="2"/>
  <c r="B18957" i="2"/>
  <c r="B18956" i="2"/>
  <c r="B18955" i="2"/>
  <c r="B18954" i="2"/>
  <c r="B18953" i="2"/>
  <c r="B18952" i="2"/>
  <c r="B18951" i="2"/>
  <c r="B18950" i="2"/>
  <c r="B18949" i="2"/>
  <c r="B18948" i="2"/>
  <c r="B18947" i="2"/>
  <c r="B18946" i="2"/>
  <c r="B18945" i="2"/>
  <c r="B18944" i="2"/>
  <c r="B18943" i="2"/>
  <c r="B18942" i="2"/>
  <c r="B18941" i="2"/>
  <c r="B18940" i="2"/>
  <c r="B18939" i="2"/>
  <c r="B18938" i="2"/>
  <c r="B18937" i="2"/>
  <c r="B18936" i="2"/>
  <c r="B18935" i="2"/>
  <c r="B18934" i="2"/>
  <c r="B18933" i="2"/>
  <c r="B18932" i="2"/>
  <c r="B18931" i="2"/>
  <c r="B18930" i="2"/>
  <c r="B18929" i="2"/>
  <c r="B18928" i="2"/>
  <c r="B18927" i="2"/>
  <c r="B18926" i="2"/>
  <c r="B18925" i="2"/>
  <c r="B18924" i="2"/>
  <c r="B18923" i="2"/>
  <c r="B18922" i="2"/>
  <c r="B18921" i="2"/>
  <c r="B18920" i="2"/>
  <c r="B18919" i="2"/>
  <c r="B18918" i="2"/>
  <c r="B18917" i="2"/>
  <c r="B18916" i="2"/>
  <c r="B18915" i="2"/>
  <c r="B18914" i="2"/>
  <c r="B18913" i="2"/>
  <c r="B18912" i="2"/>
  <c r="B18911" i="2"/>
  <c r="B18910" i="2"/>
  <c r="B18909" i="2"/>
  <c r="B18908" i="2"/>
  <c r="B18907" i="2"/>
  <c r="B18906" i="2"/>
  <c r="B18905" i="2"/>
  <c r="B18904" i="2"/>
  <c r="B18903" i="2"/>
  <c r="B18902" i="2"/>
  <c r="B18901" i="2"/>
  <c r="B18900" i="2"/>
  <c r="B18899" i="2"/>
  <c r="B18898" i="2"/>
  <c r="B18897" i="2"/>
  <c r="B18896" i="2"/>
  <c r="B18895" i="2"/>
  <c r="B18894" i="2"/>
  <c r="B18893" i="2"/>
  <c r="B18892" i="2"/>
  <c r="B18891" i="2"/>
  <c r="B18890" i="2"/>
  <c r="B18889" i="2"/>
  <c r="B18888" i="2"/>
  <c r="B18887" i="2"/>
  <c r="B18886" i="2"/>
  <c r="B18885" i="2"/>
  <c r="B18884" i="2"/>
  <c r="B18883" i="2"/>
  <c r="B18882" i="2"/>
  <c r="B18881" i="2"/>
  <c r="B18880" i="2"/>
  <c r="B18879" i="2"/>
  <c r="B18878" i="2"/>
  <c r="B18877" i="2"/>
  <c r="B18876" i="2"/>
  <c r="B18875" i="2"/>
  <c r="B18874" i="2"/>
  <c r="B18873" i="2"/>
  <c r="B18872" i="2"/>
  <c r="B18871" i="2"/>
  <c r="B18870" i="2"/>
  <c r="B18869" i="2"/>
  <c r="B18868" i="2"/>
  <c r="B18867" i="2"/>
  <c r="B18866" i="2"/>
  <c r="B18865" i="2"/>
  <c r="B18864" i="2"/>
  <c r="B18863" i="2"/>
  <c r="B18862" i="2"/>
  <c r="B18861" i="2"/>
  <c r="B18860" i="2"/>
  <c r="B18859" i="2"/>
  <c r="B18858" i="2"/>
  <c r="B18857" i="2"/>
  <c r="B18856" i="2"/>
  <c r="B18855" i="2"/>
  <c r="B18854" i="2"/>
  <c r="B18853" i="2"/>
  <c r="B18852" i="2"/>
  <c r="B18851" i="2"/>
  <c r="B18850" i="2"/>
  <c r="B18849" i="2"/>
  <c r="B18848" i="2"/>
  <c r="B18847" i="2"/>
  <c r="B18846" i="2"/>
  <c r="B18845" i="2"/>
  <c r="B18844" i="2"/>
  <c r="B18843" i="2"/>
  <c r="B18842" i="2"/>
  <c r="B18841" i="2"/>
  <c r="B18840" i="2"/>
  <c r="B18839" i="2"/>
  <c r="B18838" i="2"/>
  <c r="B18837" i="2"/>
  <c r="B18836" i="2"/>
  <c r="B18835" i="2"/>
  <c r="B18834" i="2"/>
  <c r="B18833" i="2"/>
  <c r="B18832" i="2"/>
  <c r="B18831" i="2"/>
  <c r="B18830" i="2"/>
  <c r="B18829" i="2"/>
  <c r="B18828" i="2"/>
  <c r="B18827" i="2"/>
  <c r="B18826" i="2"/>
  <c r="B18825" i="2"/>
  <c r="B18824" i="2"/>
  <c r="B18823" i="2"/>
  <c r="B18822" i="2"/>
  <c r="B18821" i="2"/>
  <c r="B18820" i="2"/>
  <c r="B18819" i="2"/>
  <c r="B18818" i="2"/>
  <c r="B18817" i="2"/>
  <c r="B18816" i="2"/>
  <c r="B18815" i="2"/>
  <c r="B18814" i="2"/>
  <c r="B18813" i="2"/>
  <c r="B18812" i="2"/>
  <c r="B18811" i="2"/>
  <c r="B18810" i="2"/>
  <c r="B18809" i="2"/>
  <c r="B18808" i="2"/>
  <c r="B18807" i="2"/>
  <c r="B18806" i="2"/>
  <c r="B18805" i="2"/>
  <c r="B18804" i="2"/>
  <c r="B18803" i="2"/>
  <c r="B18802" i="2"/>
  <c r="B18801" i="2"/>
  <c r="B18800" i="2"/>
  <c r="B18799" i="2"/>
  <c r="B18798" i="2"/>
  <c r="B18797" i="2"/>
  <c r="B18796" i="2"/>
  <c r="B18795" i="2"/>
  <c r="B18794" i="2"/>
  <c r="B18793" i="2"/>
  <c r="B18792" i="2"/>
  <c r="B18791" i="2"/>
  <c r="B18790" i="2"/>
  <c r="B18789" i="2"/>
  <c r="B18788" i="2"/>
  <c r="B18787" i="2"/>
  <c r="B18786" i="2"/>
  <c r="B18785" i="2"/>
  <c r="B18784" i="2"/>
  <c r="B18783" i="2"/>
  <c r="B18782" i="2"/>
  <c r="B18781" i="2"/>
  <c r="B18780" i="2"/>
  <c r="B18779" i="2"/>
  <c r="B18778" i="2"/>
  <c r="B18777" i="2"/>
  <c r="B18776" i="2"/>
  <c r="B18775" i="2"/>
  <c r="B18774" i="2"/>
  <c r="B18773" i="2"/>
  <c r="B18772" i="2"/>
  <c r="B18771" i="2"/>
  <c r="B18770" i="2"/>
  <c r="B18769" i="2"/>
  <c r="B18768" i="2"/>
  <c r="B18767" i="2"/>
  <c r="B18766" i="2"/>
  <c r="B18765" i="2"/>
  <c r="B18764" i="2"/>
  <c r="B18763" i="2"/>
  <c r="B18762" i="2"/>
  <c r="B18761" i="2"/>
  <c r="B18760" i="2"/>
  <c r="B18759" i="2"/>
  <c r="B18758" i="2"/>
  <c r="B18757" i="2"/>
  <c r="B18756" i="2"/>
  <c r="B18755" i="2"/>
  <c r="B18754" i="2"/>
  <c r="B18753" i="2"/>
  <c r="B18752" i="2"/>
  <c r="B18751" i="2"/>
  <c r="B18750" i="2"/>
  <c r="B18749" i="2"/>
  <c r="B18748" i="2"/>
  <c r="B18747" i="2"/>
  <c r="B18746" i="2"/>
  <c r="B18745" i="2"/>
  <c r="B18744" i="2"/>
  <c r="B18743" i="2"/>
  <c r="B18742" i="2"/>
  <c r="B18741" i="2"/>
  <c r="B18740" i="2"/>
  <c r="B18739" i="2"/>
  <c r="B18738" i="2"/>
  <c r="B18737" i="2"/>
  <c r="B18736" i="2"/>
  <c r="B18735" i="2"/>
  <c r="B18734" i="2"/>
  <c r="B18733" i="2"/>
  <c r="B18732" i="2"/>
  <c r="B18731" i="2"/>
  <c r="B18730" i="2"/>
  <c r="B18729" i="2"/>
  <c r="B18728" i="2"/>
  <c r="B18727" i="2"/>
  <c r="B18726" i="2"/>
  <c r="B18725" i="2"/>
  <c r="B18724" i="2"/>
  <c r="B18723" i="2"/>
  <c r="B18722" i="2"/>
  <c r="B18721" i="2"/>
  <c r="B18720" i="2"/>
  <c r="B18719" i="2"/>
  <c r="B18718" i="2"/>
  <c r="B18717" i="2"/>
  <c r="B18716" i="2"/>
  <c r="B18715" i="2"/>
  <c r="B18714" i="2"/>
  <c r="B18713" i="2"/>
  <c r="B18712" i="2"/>
  <c r="B18711" i="2"/>
  <c r="B18710" i="2"/>
  <c r="B18709" i="2"/>
  <c r="B18708" i="2"/>
  <c r="B18707" i="2"/>
  <c r="B18706" i="2"/>
  <c r="B18705" i="2"/>
  <c r="B18704" i="2"/>
  <c r="B18703" i="2"/>
  <c r="B18702" i="2"/>
  <c r="B18701" i="2"/>
  <c r="B18700" i="2"/>
  <c r="B18699" i="2"/>
  <c r="B18698" i="2"/>
  <c r="B18697" i="2"/>
  <c r="B18696" i="2"/>
  <c r="B18695" i="2"/>
  <c r="B18694" i="2"/>
  <c r="B18693" i="2"/>
  <c r="B18692" i="2"/>
  <c r="B18691" i="2"/>
  <c r="B18690" i="2"/>
  <c r="B18689" i="2"/>
  <c r="B18688" i="2"/>
  <c r="B18687" i="2"/>
  <c r="B18686" i="2"/>
  <c r="B18685" i="2"/>
  <c r="B18684" i="2"/>
  <c r="B18683" i="2"/>
  <c r="B18682" i="2"/>
  <c r="B18681" i="2"/>
  <c r="B18680" i="2"/>
  <c r="B18679" i="2"/>
  <c r="B18678" i="2"/>
  <c r="B18677" i="2"/>
  <c r="B18676" i="2"/>
  <c r="B18675" i="2"/>
  <c r="B18674" i="2"/>
  <c r="B18673" i="2"/>
  <c r="B18672" i="2"/>
  <c r="B18671" i="2"/>
  <c r="B18670" i="2"/>
  <c r="B18669" i="2"/>
  <c r="B18668" i="2"/>
  <c r="B18667" i="2"/>
  <c r="B18666" i="2"/>
  <c r="B18665" i="2"/>
  <c r="B18664" i="2"/>
  <c r="B18663" i="2"/>
  <c r="B18662" i="2"/>
  <c r="B18661" i="2"/>
  <c r="B18660" i="2"/>
  <c r="B18659" i="2"/>
  <c r="B18658" i="2"/>
  <c r="B18657" i="2"/>
  <c r="B18656" i="2"/>
  <c r="B18655" i="2"/>
  <c r="B18654" i="2"/>
  <c r="B18653" i="2"/>
  <c r="B18652" i="2"/>
  <c r="B18651" i="2"/>
  <c r="B18650" i="2"/>
  <c r="B18649" i="2"/>
  <c r="B18648" i="2"/>
  <c r="B18647" i="2"/>
  <c r="B18646" i="2"/>
  <c r="B18645" i="2"/>
  <c r="B18644" i="2"/>
  <c r="B18643" i="2"/>
  <c r="B18642" i="2"/>
  <c r="B18641" i="2"/>
  <c r="B18640" i="2"/>
  <c r="B18639" i="2"/>
  <c r="B18638" i="2"/>
  <c r="B18637" i="2"/>
  <c r="B18636" i="2"/>
  <c r="B18635" i="2"/>
  <c r="B18634" i="2"/>
  <c r="B18633" i="2"/>
  <c r="B18632" i="2"/>
  <c r="B18631" i="2"/>
  <c r="B18630" i="2"/>
  <c r="B18629" i="2"/>
  <c r="B18628" i="2"/>
  <c r="B18627" i="2"/>
  <c r="B18626" i="2"/>
  <c r="B18625" i="2"/>
  <c r="B18624" i="2"/>
  <c r="B18623" i="2"/>
  <c r="B18622" i="2"/>
  <c r="B18621" i="2"/>
  <c r="B18620" i="2"/>
  <c r="B18619" i="2"/>
  <c r="B18618" i="2"/>
  <c r="B18617" i="2"/>
  <c r="B18616" i="2"/>
  <c r="B18615" i="2"/>
  <c r="B18614" i="2"/>
  <c r="B18613" i="2"/>
  <c r="B18612" i="2"/>
  <c r="B18611" i="2"/>
  <c r="B18610" i="2"/>
  <c r="B18609" i="2"/>
  <c r="B18608" i="2"/>
  <c r="B18607" i="2"/>
  <c r="B18606" i="2"/>
  <c r="B18605" i="2"/>
  <c r="B18604" i="2"/>
  <c r="B18603" i="2"/>
  <c r="B18602" i="2"/>
  <c r="B18601" i="2"/>
  <c r="B18600" i="2"/>
  <c r="B18599" i="2"/>
  <c r="B18598" i="2"/>
  <c r="B18597" i="2"/>
  <c r="B18596" i="2"/>
  <c r="B18595" i="2"/>
  <c r="B18594" i="2"/>
  <c r="B18593" i="2"/>
  <c r="B18592" i="2"/>
  <c r="B18591" i="2"/>
  <c r="B18590" i="2"/>
  <c r="B18589" i="2"/>
  <c r="B18588" i="2"/>
  <c r="B18587" i="2"/>
  <c r="B18586" i="2"/>
  <c r="B18585" i="2"/>
  <c r="B18584" i="2"/>
  <c r="B18583" i="2"/>
  <c r="B18582" i="2"/>
  <c r="B18581" i="2"/>
  <c r="B18580" i="2"/>
  <c r="B18579" i="2"/>
  <c r="B18578" i="2"/>
  <c r="B18577" i="2"/>
  <c r="B18576" i="2"/>
  <c r="B18575" i="2"/>
  <c r="B18574" i="2"/>
  <c r="B18573" i="2"/>
  <c r="B18572" i="2"/>
  <c r="B18571" i="2"/>
  <c r="B18570" i="2"/>
  <c r="B18569" i="2"/>
  <c r="B18568" i="2"/>
  <c r="B18567" i="2"/>
  <c r="B18566" i="2"/>
  <c r="B18565" i="2"/>
  <c r="B18564" i="2"/>
  <c r="B18563" i="2"/>
  <c r="B18562" i="2"/>
  <c r="B18561" i="2"/>
  <c r="B18560" i="2"/>
  <c r="B18559" i="2"/>
  <c r="B18558" i="2"/>
  <c r="B18557" i="2"/>
  <c r="B18556" i="2"/>
  <c r="B18555" i="2"/>
  <c r="B18554" i="2"/>
  <c r="B18553" i="2"/>
  <c r="B18552" i="2"/>
  <c r="B18551" i="2"/>
  <c r="B18550" i="2"/>
  <c r="B18549" i="2"/>
  <c r="B18548" i="2"/>
  <c r="B18547" i="2"/>
  <c r="B18546" i="2"/>
  <c r="B18545" i="2"/>
  <c r="B18544" i="2"/>
  <c r="B18543" i="2"/>
  <c r="B18542" i="2"/>
  <c r="B18541" i="2"/>
  <c r="B18540" i="2"/>
  <c r="B18539" i="2"/>
  <c r="B18538" i="2"/>
  <c r="B18537" i="2"/>
  <c r="B18536" i="2"/>
  <c r="B18535" i="2"/>
  <c r="B18534" i="2"/>
  <c r="B18533" i="2"/>
  <c r="B18532" i="2"/>
  <c r="B18531" i="2"/>
  <c r="B18530" i="2"/>
  <c r="B18529" i="2"/>
  <c r="B18528" i="2"/>
  <c r="B18527" i="2"/>
  <c r="B18526" i="2"/>
  <c r="B18525" i="2"/>
  <c r="B18524" i="2"/>
  <c r="B18523" i="2"/>
  <c r="B18522" i="2"/>
  <c r="B18521" i="2"/>
  <c r="B18520" i="2"/>
  <c r="B18519" i="2"/>
  <c r="B18518" i="2"/>
  <c r="B18517" i="2"/>
  <c r="B18516" i="2"/>
  <c r="B18515" i="2"/>
  <c r="B18514" i="2"/>
  <c r="B18513" i="2"/>
  <c r="B18512" i="2"/>
  <c r="B18511" i="2"/>
  <c r="B18510" i="2"/>
  <c r="B18509" i="2"/>
  <c r="B18508" i="2"/>
  <c r="B18507" i="2"/>
  <c r="B18506" i="2"/>
  <c r="B18505" i="2"/>
  <c r="B18504" i="2"/>
  <c r="B18503" i="2"/>
  <c r="B18502" i="2"/>
  <c r="B18501" i="2"/>
  <c r="B18500" i="2"/>
  <c r="B18499" i="2"/>
  <c r="B18498" i="2"/>
  <c r="B18497" i="2"/>
  <c r="B18496" i="2"/>
  <c r="B18495" i="2"/>
  <c r="B18494" i="2"/>
  <c r="B18493" i="2"/>
  <c r="B18492" i="2"/>
  <c r="B18491" i="2"/>
  <c r="B18490" i="2"/>
  <c r="B18489" i="2"/>
  <c r="B18488" i="2"/>
  <c r="B18487" i="2"/>
  <c r="B18486" i="2"/>
  <c r="B18485" i="2"/>
  <c r="B18484" i="2"/>
  <c r="B18483" i="2"/>
  <c r="B18482" i="2"/>
  <c r="B18481" i="2"/>
  <c r="B18480" i="2"/>
  <c r="B18479" i="2"/>
  <c r="B18478" i="2"/>
  <c r="B18477" i="2"/>
  <c r="B18476" i="2"/>
  <c r="B18475" i="2"/>
  <c r="B18474" i="2"/>
  <c r="B18473" i="2"/>
  <c r="B18472" i="2"/>
  <c r="B18471" i="2"/>
  <c r="B18470" i="2"/>
  <c r="B18469" i="2"/>
  <c r="B18468" i="2"/>
  <c r="B18467" i="2"/>
  <c r="B18466" i="2"/>
  <c r="B18465" i="2"/>
  <c r="B18464" i="2"/>
  <c r="B18463" i="2"/>
  <c r="B18462" i="2"/>
  <c r="B18461" i="2"/>
  <c r="B18460" i="2"/>
  <c r="B18459" i="2"/>
  <c r="B18458" i="2"/>
  <c r="B18457" i="2"/>
  <c r="B18456" i="2"/>
  <c r="B18455" i="2"/>
  <c r="B18454" i="2"/>
  <c r="B18453" i="2"/>
  <c r="B18452" i="2"/>
  <c r="B18451" i="2"/>
  <c r="B18450" i="2"/>
  <c r="B18449" i="2"/>
  <c r="B18448" i="2"/>
  <c r="B18447" i="2"/>
  <c r="B18446" i="2"/>
  <c r="B18445" i="2"/>
  <c r="B18444" i="2"/>
  <c r="B18443" i="2"/>
  <c r="B18442" i="2"/>
  <c r="B18441" i="2"/>
  <c r="B18440" i="2"/>
  <c r="B18439" i="2"/>
  <c r="B18438" i="2"/>
  <c r="B18437" i="2"/>
  <c r="B18436" i="2"/>
  <c r="B18435" i="2"/>
  <c r="B18434" i="2"/>
  <c r="B18433" i="2"/>
  <c r="B18432" i="2"/>
  <c r="B18431" i="2"/>
  <c r="B18430" i="2"/>
  <c r="B18429" i="2"/>
  <c r="B18428" i="2"/>
  <c r="B18427" i="2"/>
  <c r="B18426" i="2"/>
  <c r="B18425" i="2"/>
  <c r="B18424" i="2"/>
  <c r="B18423" i="2"/>
  <c r="B18422" i="2"/>
  <c r="B18421" i="2"/>
  <c r="B18420" i="2"/>
  <c r="B18419" i="2"/>
  <c r="B18418" i="2"/>
  <c r="B18417" i="2"/>
  <c r="B18416" i="2"/>
  <c r="B18415" i="2"/>
  <c r="B18414" i="2"/>
  <c r="B18413" i="2"/>
  <c r="B18412" i="2"/>
  <c r="B18411" i="2"/>
  <c r="B18410" i="2"/>
  <c r="B18409" i="2"/>
  <c r="B18408" i="2"/>
  <c r="B18407" i="2"/>
  <c r="B18406" i="2"/>
  <c r="B18405" i="2"/>
  <c r="B18404" i="2"/>
  <c r="B18403" i="2"/>
  <c r="B18402" i="2"/>
  <c r="B18401" i="2"/>
  <c r="B18400" i="2"/>
  <c r="B18399" i="2"/>
  <c r="B18398" i="2"/>
  <c r="B18397" i="2"/>
  <c r="B18396" i="2"/>
  <c r="B18395" i="2"/>
  <c r="B18394" i="2"/>
  <c r="B18393" i="2"/>
  <c r="B18392" i="2"/>
  <c r="B18391" i="2"/>
  <c r="B18390" i="2"/>
  <c r="B18389" i="2"/>
  <c r="B18388" i="2"/>
  <c r="B18387" i="2"/>
  <c r="B18386" i="2"/>
  <c r="B18385" i="2"/>
  <c r="B18384" i="2"/>
  <c r="B18383" i="2"/>
  <c r="B18382" i="2"/>
  <c r="B18381" i="2"/>
  <c r="B18380" i="2"/>
  <c r="B18379" i="2"/>
  <c r="B18378" i="2"/>
  <c r="B18377" i="2"/>
  <c r="B18376" i="2"/>
  <c r="B18375" i="2"/>
  <c r="B18374" i="2"/>
  <c r="B18373" i="2"/>
  <c r="B18372" i="2"/>
  <c r="B18371" i="2"/>
  <c r="B18370" i="2"/>
  <c r="B18369" i="2"/>
  <c r="B18368" i="2"/>
  <c r="B18367" i="2"/>
  <c r="B18366" i="2"/>
  <c r="B18365" i="2"/>
  <c r="B18364" i="2"/>
  <c r="B18363" i="2"/>
  <c r="B18362" i="2"/>
  <c r="B18361" i="2"/>
  <c r="B18360" i="2"/>
  <c r="B18359" i="2"/>
  <c r="B18358" i="2"/>
  <c r="B18357" i="2"/>
  <c r="B18356" i="2"/>
  <c r="B18355" i="2"/>
  <c r="B18354" i="2"/>
  <c r="B18353" i="2"/>
  <c r="B18352" i="2"/>
  <c r="B18351" i="2"/>
  <c r="B18350" i="2"/>
  <c r="B18349" i="2"/>
  <c r="B18348" i="2"/>
  <c r="B18347" i="2"/>
  <c r="B18346" i="2"/>
  <c r="B18345" i="2"/>
  <c r="B18344" i="2"/>
  <c r="B18343" i="2"/>
  <c r="B18342" i="2"/>
  <c r="B18341" i="2"/>
  <c r="B18340" i="2"/>
  <c r="B18339" i="2"/>
  <c r="B18338" i="2"/>
  <c r="B18337" i="2"/>
  <c r="B18336" i="2"/>
  <c r="B18335" i="2"/>
  <c r="B18334" i="2"/>
  <c r="B18333" i="2"/>
  <c r="B18332" i="2"/>
  <c r="B18331" i="2"/>
  <c r="B18330" i="2"/>
  <c r="B18329" i="2"/>
  <c r="B18328" i="2"/>
  <c r="B18327" i="2"/>
  <c r="B18326" i="2"/>
  <c r="B18325" i="2"/>
  <c r="B18324" i="2"/>
  <c r="B18323" i="2"/>
  <c r="B18322" i="2"/>
  <c r="B18321" i="2"/>
  <c r="B18320" i="2"/>
  <c r="B18319" i="2"/>
  <c r="B18318" i="2"/>
  <c r="B18317" i="2"/>
  <c r="B18316" i="2"/>
  <c r="B18315" i="2"/>
  <c r="B18314" i="2"/>
  <c r="B18313" i="2"/>
  <c r="B18312" i="2"/>
  <c r="B18311" i="2"/>
  <c r="B18310" i="2"/>
  <c r="B18309" i="2"/>
  <c r="B18308" i="2"/>
  <c r="B18307" i="2"/>
  <c r="B18306" i="2"/>
  <c r="B18305" i="2"/>
  <c r="B18304" i="2"/>
  <c r="B18303" i="2"/>
  <c r="B18302" i="2"/>
  <c r="B18301" i="2"/>
  <c r="B18300" i="2"/>
  <c r="B18299" i="2"/>
  <c r="B18298" i="2"/>
  <c r="B18297" i="2"/>
  <c r="B18296" i="2"/>
  <c r="B18295" i="2"/>
  <c r="B18294" i="2"/>
  <c r="B18293" i="2"/>
  <c r="B18292" i="2"/>
  <c r="B18291" i="2"/>
  <c r="B18290" i="2"/>
  <c r="B18289" i="2"/>
  <c r="B18288" i="2"/>
  <c r="B18287" i="2"/>
  <c r="B18286" i="2"/>
  <c r="B18285" i="2"/>
  <c r="B18284" i="2"/>
  <c r="B18283" i="2"/>
  <c r="B18282" i="2"/>
  <c r="B18281" i="2"/>
  <c r="B18280" i="2"/>
  <c r="B18279" i="2"/>
  <c r="B18278" i="2"/>
  <c r="B18277" i="2"/>
  <c r="B18276" i="2"/>
  <c r="B18275" i="2"/>
  <c r="B18274" i="2"/>
  <c r="B18273" i="2"/>
  <c r="B18272" i="2"/>
  <c r="B18271" i="2"/>
  <c r="B18270" i="2"/>
  <c r="B18269" i="2"/>
  <c r="B18268" i="2"/>
  <c r="B18267" i="2"/>
  <c r="B18266" i="2"/>
  <c r="B18265" i="2"/>
  <c r="B18264" i="2"/>
  <c r="B18263" i="2"/>
  <c r="B18262" i="2"/>
  <c r="B18261" i="2"/>
  <c r="B18260" i="2"/>
  <c r="B18259" i="2"/>
  <c r="B18258" i="2"/>
  <c r="B18257" i="2"/>
  <c r="B18256" i="2"/>
  <c r="B18255" i="2"/>
  <c r="B18254" i="2"/>
  <c r="B18253" i="2"/>
  <c r="B18252" i="2"/>
  <c r="B18251" i="2"/>
  <c r="B18250" i="2"/>
  <c r="B18249" i="2"/>
  <c r="B18248" i="2"/>
  <c r="B18247" i="2"/>
  <c r="B18246" i="2"/>
  <c r="B18245" i="2"/>
  <c r="B18244" i="2"/>
  <c r="B18243" i="2"/>
  <c r="B18242" i="2"/>
  <c r="B18241" i="2"/>
  <c r="B18240" i="2"/>
  <c r="B18239" i="2"/>
  <c r="B18238" i="2"/>
  <c r="B18237" i="2"/>
  <c r="B18236" i="2"/>
  <c r="B18235" i="2"/>
  <c r="B18234" i="2"/>
  <c r="B18233" i="2"/>
  <c r="B18232" i="2"/>
  <c r="B18231" i="2"/>
  <c r="B18230" i="2"/>
  <c r="B18229" i="2"/>
  <c r="B18228" i="2"/>
  <c r="B18227" i="2"/>
  <c r="B18226" i="2"/>
  <c r="B18225" i="2"/>
  <c r="B18224" i="2"/>
  <c r="B18223" i="2"/>
  <c r="B18222" i="2"/>
  <c r="B18221" i="2"/>
  <c r="B18220" i="2"/>
  <c r="B18219" i="2"/>
  <c r="B18218" i="2"/>
  <c r="B18217" i="2"/>
  <c r="B18216" i="2"/>
  <c r="B18215" i="2"/>
  <c r="B18214" i="2"/>
  <c r="B18213" i="2"/>
  <c r="B18212" i="2"/>
  <c r="B18211" i="2"/>
  <c r="B18210" i="2"/>
  <c r="B18209" i="2"/>
  <c r="B18208" i="2"/>
  <c r="B18207" i="2"/>
  <c r="B18206" i="2"/>
  <c r="B18205" i="2"/>
  <c r="B18204" i="2"/>
  <c r="B18203" i="2"/>
  <c r="B18202" i="2"/>
  <c r="B18201" i="2"/>
  <c r="B18200" i="2"/>
  <c r="B18199" i="2"/>
  <c r="B18198" i="2"/>
  <c r="B18197" i="2"/>
  <c r="B18196" i="2"/>
  <c r="B18195" i="2"/>
  <c r="B18194" i="2"/>
  <c r="B18193" i="2"/>
  <c r="B18192" i="2"/>
  <c r="B18191" i="2"/>
  <c r="B18190" i="2"/>
  <c r="B18189" i="2"/>
  <c r="B18188" i="2"/>
  <c r="B18187" i="2"/>
  <c r="B18186" i="2"/>
  <c r="B18185" i="2"/>
  <c r="B18184" i="2"/>
  <c r="B18183" i="2"/>
  <c r="B18182" i="2"/>
  <c r="B18181" i="2"/>
  <c r="B18180" i="2"/>
  <c r="B18179" i="2"/>
  <c r="B18178" i="2"/>
  <c r="B18177" i="2"/>
  <c r="B18176" i="2"/>
  <c r="B18175" i="2"/>
  <c r="B18174" i="2"/>
  <c r="B18173" i="2"/>
  <c r="B18172" i="2"/>
  <c r="B18171" i="2"/>
  <c r="B18170" i="2"/>
  <c r="B18169" i="2"/>
  <c r="B18168" i="2"/>
  <c r="B18167" i="2"/>
  <c r="B18166" i="2"/>
  <c r="B18165" i="2"/>
  <c r="B18164" i="2"/>
  <c r="B18163" i="2"/>
  <c r="B18162" i="2"/>
  <c r="B18161" i="2"/>
  <c r="B18160" i="2"/>
  <c r="B18159" i="2"/>
  <c r="B18158" i="2"/>
  <c r="B18157" i="2"/>
  <c r="B18156" i="2"/>
  <c r="B18155" i="2"/>
  <c r="B18154" i="2"/>
  <c r="B18153" i="2"/>
  <c r="B18152" i="2"/>
  <c r="B18151" i="2"/>
  <c r="B18150" i="2"/>
  <c r="B18149" i="2"/>
  <c r="B18148" i="2"/>
  <c r="B18147" i="2"/>
  <c r="B18146" i="2"/>
  <c r="B18145" i="2"/>
  <c r="B18144" i="2"/>
  <c r="B18143" i="2"/>
  <c r="B18142" i="2"/>
  <c r="B18141" i="2"/>
  <c r="B18140" i="2"/>
  <c r="B18139" i="2"/>
  <c r="B18138" i="2"/>
  <c r="B18137" i="2"/>
  <c r="B18136" i="2"/>
  <c r="B18135" i="2"/>
  <c r="B18134" i="2"/>
  <c r="B18133" i="2"/>
  <c r="B18132" i="2"/>
  <c r="B18131" i="2"/>
  <c r="B18130" i="2"/>
  <c r="B18129" i="2"/>
  <c r="B18128" i="2"/>
  <c r="B18127" i="2"/>
  <c r="B18126" i="2"/>
  <c r="B18125" i="2"/>
  <c r="B18124" i="2"/>
  <c r="B18123" i="2"/>
  <c r="B18122" i="2"/>
  <c r="B18121" i="2"/>
  <c r="B18120" i="2"/>
  <c r="B18119" i="2"/>
  <c r="B18118" i="2"/>
  <c r="B18117" i="2"/>
  <c r="B18116" i="2"/>
  <c r="B18115" i="2"/>
  <c r="B18114" i="2"/>
  <c r="B18113" i="2"/>
  <c r="B18112" i="2"/>
  <c r="B18111" i="2"/>
  <c r="B18110" i="2"/>
  <c r="B18109" i="2"/>
  <c r="B18108" i="2"/>
  <c r="B18107" i="2"/>
  <c r="B18106" i="2"/>
  <c r="B18105" i="2"/>
  <c r="B18104" i="2"/>
  <c r="B18103" i="2"/>
  <c r="B18102" i="2"/>
  <c r="B18101" i="2"/>
  <c r="B18100" i="2"/>
  <c r="B18099" i="2"/>
  <c r="B18098" i="2"/>
  <c r="B18097" i="2"/>
  <c r="B18096" i="2"/>
  <c r="B18095" i="2"/>
  <c r="B18094" i="2"/>
  <c r="B18093" i="2"/>
  <c r="B18092" i="2"/>
  <c r="B18091" i="2"/>
  <c r="B18090" i="2"/>
  <c r="B18089" i="2"/>
  <c r="B18088" i="2"/>
  <c r="B18087" i="2"/>
  <c r="B18086" i="2"/>
  <c r="B18085" i="2"/>
  <c r="B18084" i="2"/>
  <c r="B18083" i="2"/>
  <c r="B18082" i="2"/>
  <c r="B18081" i="2"/>
  <c r="B18080" i="2"/>
  <c r="B18079" i="2"/>
  <c r="B18078" i="2"/>
  <c r="B18077" i="2"/>
  <c r="B18076" i="2"/>
  <c r="B18075" i="2"/>
  <c r="B18074" i="2"/>
  <c r="B18073" i="2"/>
  <c r="B18072" i="2"/>
  <c r="B18071" i="2"/>
  <c r="B18070" i="2"/>
  <c r="B18069" i="2"/>
  <c r="B18068" i="2"/>
  <c r="B18067" i="2"/>
  <c r="B18066" i="2"/>
  <c r="B18065" i="2"/>
  <c r="B18064" i="2"/>
  <c r="B18063" i="2"/>
  <c r="B18062" i="2"/>
  <c r="B18061" i="2"/>
  <c r="B18060" i="2"/>
  <c r="B18059" i="2"/>
  <c r="B18058" i="2"/>
  <c r="B18057" i="2"/>
  <c r="B18056" i="2"/>
  <c r="B18055" i="2"/>
  <c r="B18054" i="2"/>
  <c r="B18053" i="2"/>
  <c r="B18052" i="2"/>
  <c r="B18051" i="2"/>
  <c r="B18050" i="2"/>
  <c r="B18049" i="2"/>
  <c r="B18048" i="2"/>
  <c r="B18047" i="2"/>
  <c r="B18046" i="2"/>
  <c r="B18045" i="2"/>
  <c r="B18044" i="2"/>
  <c r="B18043" i="2"/>
  <c r="B18042" i="2"/>
  <c r="B18041" i="2"/>
  <c r="B18040" i="2"/>
  <c r="B18039" i="2"/>
  <c r="B18038" i="2"/>
  <c r="B18037" i="2"/>
  <c r="B18036" i="2"/>
  <c r="B18035" i="2"/>
  <c r="B18034" i="2"/>
  <c r="B18033" i="2"/>
  <c r="B18032" i="2"/>
  <c r="B18031" i="2"/>
  <c r="B18030" i="2"/>
  <c r="B18029" i="2"/>
  <c r="B18028" i="2"/>
  <c r="B18027" i="2"/>
  <c r="B18026" i="2"/>
  <c r="B18025" i="2"/>
  <c r="B18024" i="2"/>
  <c r="B18023" i="2"/>
  <c r="B18022" i="2"/>
  <c r="B18021" i="2"/>
  <c r="B18020" i="2"/>
  <c r="B18019" i="2"/>
  <c r="B18018" i="2"/>
  <c r="B18017" i="2"/>
  <c r="B18016" i="2"/>
  <c r="B18015" i="2"/>
  <c r="B18014" i="2"/>
  <c r="B18013" i="2"/>
  <c r="B18012" i="2"/>
  <c r="B18011" i="2"/>
  <c r="B18010" i="2"/>
  <c r="B18009" i="2"/>
  <c r="B18008" i="2"/>
  <c r="B18007" i="2"/>
  <c r="B18006" i="2"/>
  <c r="B18005" i="2"/>
  <c r="B18004" i="2"/>
  <c r="B18003" i="2"/>
  <c r="B18002" i="2"/>
  <c r="B18001" i="2"/>
  <c r="B18000" i="2"/>
  <c r="B17999" i="2"/>
  <c r="B17998" i="2"/>
  <c r="B17997" i="2"/>
  <c r="B17996" i="2"/>
  <c r="B17995" i="2"/>
  <c r="B17994" i="2"/>
  <c r="B17993" i="2"/>
  <c r="B17992" i="2"/>
  <c r="B17991" i="2"/>
  <c r="B17990" i="2"/>
  <c r="B17989" i="2"/>
  <c r="B17988" i="2"/>
  <c r="B17987" i="2"/>
  <c r="B17986" i="2"/>
  <c r="B17985" i="2"/>
  <c r="B17984" i="2"/>
  <c r="B17983" i="2"/>
  <c r="B17982" i="2"/>
  <c r="B17981" i="2"/>
  <c r="B17980" i="2"/>
  <c r="B17979" i="2"/>
  <c r="B17978" i="2"/>
  <c r="B17977" i="2"/>
  <c r="B17976" i="2"/>
  <c r="B17975" i="2"/>
  <c r="B17974" i="2"/>
  <c r="B17973" i="2"/>
  <c r="B17972" i="2"/>
  <c r="B17971" i="2"/>
  <c r="B17970" i="2"/>
  <c r="B17969" i="2"/>
  <c r="B17968" i="2"/>
  <c r="B17967" i="2"/>
  <c r="B17966" i="2"/>
  <c r="B17965" i="2"/>
  <c r="B17964" i="2"/>
  <c r="B17963" i="2"/>
  <c r="B17962" i="2"/>
  <c r="B17961" i="2"/>
  <c r="B17960" i="2"/>
  <c r="B17959" i="2"/>
  <c r="B17958" i="2"/>
  <c r="B17957" i="2"/>
  <c r="B17956" i="2"/>
  <c r="B17955" i="2"/>
  <c r="B17954" i="2"/>
  <c r="B17953" i="2"/>
  <c r="B17952" i="2"/>
  <c r="B17951" i="2"/>
  <c r="B17950" i="2"/>
  <c r="B17949" i="2"/>
  <c r="B17948" i="2"/>
  <c r="B17947" i="2"/>
  <c r="B17946" i="2"/>
  <c r="B17945" i="2"/>
  <c r="B17944" i="2"/>
  <c r="B17943" i="2"/>
  <c r="B17942" i="2"/>
  <c r="B17941" i="2"/>
  <c r="B17940" i="2"/>
  <c r="B17939" i="2"/>
  <c r="B17938" i="2"/>
  <c r="B17937" i="2"/>
  <c r="B17936" i="2"/>
  <c r="B17935" i="2"/>
  <c r="B17934" i="2"/>
  <c r="B17933" i="2"/>
  <c r="B17932" i="2"/>
  <c r="B17931" i="2"/>
  <c r="B17930" i="2"/>
  <c r="B17929" i="2"/>
  <c r="B17928" i="2"/>
  <c r="B17927" i="2"/>
  <c r="B17926" i="2"/>
  <c r="B17925" i="2"/>
  <c r="B17924" i="2"/>
  <c r="B17923" i="2"/>
  <c r="B17922" i="2"/>
  <c r="B17921" i="2"/>
  <c r="B17920" i="2"/>
  <c r="B17919" i="2"/>
  <c r="B17918" i="2"/>
  <c r="B17917" i="2"/>
  <c r="B17916" i="2"/>
  <c r="B17915" i="2"/>
  <c r="B17914" i="2"/>
  <c r="B17913" i="2"/>
  <c r="B17912" i="2"/>
  <c r="B17911" i="2"/>
  <c r="B17910" i="2"/>
  <c r="B17909" i="2"/>
  <c r="B17908" i="2"/>
  <c r="B17907" i="2"/>
  <c r="B17906" i="2"/>
  <c r="B17905" i="2"/>
  <c r="B17904" i="2"/>
  <c r="B17903" i="2"/>
  <c r="B17902" i="2"/>
  <c r="B17901" i="2"/>
  <c r="B17900" i="2"/>
  <c r="B17899" i="2"/>
  <c r="B17898" i="2"/>
  <c r="B17897" i="2"/>
  <c r="B17896" i="2"/>
  <c r="B17895" i="2"/>
  <c r="B17894" i="2"/>
  <c r="B17893" i="2"/>
  <c r="B17892" i="2"/>
  <c r="B17891" i="2"/>
  <c r="B17890" i="2"/>
  <c r="B17889" i="2"/>
  <c r="B17888" i="2"/>
  <c r="B17887" i="2"/>
  <c r="B17886" i="2"/>
  <c r="B17885" i="2"/>
  <c r="B17884" i="2"/>
  <c r="B17883" i="2"/>
  <c r="B17882" i="2"/>
  <c r="B17881" i="2"/>
  <c r="B17880" i="2"/>
  <c r="B17879" i="2"/>
  <c r="B17878" i="2"/>
  <c r="B17877" i="2"/>
  <c r="B17876" i="2"/>
  <c r="B17875" i="2"/>
  <c r="B17874" i="2"/>
  <c r="B17873" i="2"/>
  <c r="B17872" i="2"/>
  <c r="B17871" i="2"/>
  <c r="B17870" i="2"/>
  <c r="B17869" i="2"/>
  <c r="B17868" i="2"/>
  <c r="B17867" i="2"/>
  <c r="B17866" i="2"/>
  <c r="B17865" i="2"/>
  <c r="B17864" i="2"/>
  <c r="B17863" i="2"/>
  <c r="B17862" i="2"/>
  <c r="B17861" i="2"/>
  <c r="B17860" i="2"/>
  <c r="B17859" i="2"/>
  <c r="B17858" i="2"/>
  <c r="B17857" i="2"/>
  <c r="B17856" i="2"/>
  <c r="B17855" i="2"/>
  <c r="B17854" i="2"/>
  <c r="B17853" i="2"/>
  <c r="B17852" i="2"/>
  <c r="B17851" i="2"/>
  <c r="B17850" i="2"/>
  <c r="B17849" i="2"/>
  <c r="B17848" i="2"/>
  <c r="B17847" i="2"/>
  <c r="B17846" i="2"/>
  <c r="B17845" i="2"/>
  <c r="B17844" i="2"/>
  <c r="B17843" i="2"/>
  <c r="B17842" i="2"/>
  <c r="B17841" i="2"/>
  <c r="B17840" i="2"/>
  <c r="B17839" i="2"/>
  <c r="B17838" i="2"/>
  <c r="B17837" i="2"/>
  <c r="B17836" i="2"/>
  <c r="B17835" i="2"/>
  <c r="B17834" i="2"/>
  <c r="B17833" i="2"/>
  <c r="B17832" i="2"/>
  <c r="B17831" i="2"/>
  <c r="B17830" i="2"/>
  <c r="B17829" i="2"/>
  <c r="B17828" i="2"/>
  <c r="B17827" i="2"/>
  <c r="B17826" i="2"/>
  <c r="B17825" i="2"/>
  <c r="B17824" i="2"/>
  <c r="B17823" i="2"/>
  <c r="B17822" i="2"/>
  <c r="B17821" i="2"/>
  <c r="B17820" i="2"/>
  <c r="B17819" i="2"/>
  <c r="B17818" i="2"/>
  <c r="B17817" i="2"/>
  <c r="B17816" i="2"/>
  <c r="B17815" i="2"/>
  <c r="B17814" i="2"/>
  <c r="B17813" i="2"/>
  <c r="B17812" i="2"/>
  <c r="B17811" i="2"/>
  <c r="B17810" i="2"/>
  <c r="B17809" i="2"/>
  <c r="B17808" i="2"/>
  <c r="B17807" i="2"/>
  <c r="B17806" i="2"/>
  <c r="B17805" i="2"/>
  <c r="B17804" i="2"/>
  <c r="B17803" i="2"/>
  <c r="B17802" i="2"/>
  <c r="B17801" i="2"/>
  <c r="B17800" i="2"/>
  <c r="B17799" i="2"/>
  <c r="B17798" i="2"/>
  <c r="B17797" i="2"/>
  <c r="B17796" i="2"/>
  <c r="B17795" i="2"/>
  <c r="B17794" i="2"/>
  <c r="B17793" i="2"/>
  <c r="B17792" i="2"/>
  <c r="B17791" i="2"/>
  <c r="B17790" i="2"/>
  <c r="B17789" i="2"/>
  <c r="B17788" i="2"/>
  <c r="B17787" i="2"/>
  <c r="B17786" i="2"/>
  <c r="B17785" i="2"/>
  <c r="B17784" i="2"/>
  <c r="B17783" i="2"/>
  <c r="B17782" i="2"/>
  <c r="B17781" i="2"/>
  <c r="B17780" i="2"/>
  <c r="B17779" i="2"/>
  <c r="B17778" i="2"/>
  <c r="B17777" i="2"/>
  <c r="B17776" i="2"/>
  <c r="B17775" i="2"/>
  <c r="B17774" i="2"/>
  <c r="B17773" i="2"/>
  <c r="B17772" i="2"/>
  <c r="B17771" i="2"/>
  <c r="B17770" i="2"/>
  <c r="B17769" i="2"/>
  <c r="B17768" i="2"/>
  <c r="B17767" i="2"/>
  <c r="B17766" i="2"/>
  <c r="B17765" i="2"/>
  <c r="B17764" i="2"/>
  <c r="B17763" i="2"/>
  <c r="B17762" i="2"/>
  <c r="B17761" i="2"/>
  <c r="B17760" i="2"/>
  <c r="B17759" i="2"/>
  <c r="B17758" i="2"/>
  <c r="B17757" i="2"/>
  <c r="B17756" i="2"/>
  <c r="B17755" i="2"/>
  <c r="B17754" i="2"/>
  <c r="B17753" i="2"/>
  <c r="B17752" i="2"/>
  <c r="B17751" i="2"/>
  <c r="B17750" i="2"/>
  <c r="B17749" i="2"/>
  <c r="B17748" i="2"/>
  <c r="B17747" i="2"/>
  <c r="B17746" i="2"/>
  <c r="B17745" i="2"/>
  <c r="B17744" i="2"/>
  <c r="B17743" i="2"/>
  <c r="B17742" i="2"/>
  <c r="B17741" i="2"/>
  <c r="B17740" i="2"/>
  <c r="B17739" i="2"/>
  <c r="B17738" i="2"/>
  <c r="B17737" i="2"/>
  <c r="B17736" i="2"/>
  <c r="B17735" i="2"/>
  <c r="B17734" i="2"/>
  <c r="B17733" i="2"/>
  <c r="B17732" i="2"/>
  <c r="B17731" i="2"/>
  <c r="B17730" i="2"/>
  <c r="B17729" i="2"/>
  <c r="B17728" i="2"/>
  <c r="B17727" i="2"/>
  <c r="B17726" i="2"/>
  <c r="B17725" i="2"/>
  <c r="B17724" i="2"/>
  <c r="B17723" i="2"/>
  <c r="B17722" i="2"/>
  <c r="B17721" i="2"/>
  <c r="B17720" i="2"/>
  <c r="B17719" i="2"/>
  <c r="B17718" i="2"/>
  <c r="B17717" i="2"/>
  <c r="B17716" i="2"/>
  <c r="B17715" i="2"/>
  <c r="B17714" i="2"/>
  <c r="B17713" i="2"/>
  <c r="B17712" i="2"/>
  <c r="B17711" i="2"/>
  <c r="B17710" i="2"/>
  <c r="B17709" i="2"/>
  <c r="B17708" i="2"/>
  <c r="B17707" i="2"/>
  <c r="B17706" i="2"/>
  <c r="B17705" i="2"/>
  <c r="B17704" i="2"/>
  <c r="B17703" i="2"/>
  <c r="B17702" i="2"/>
  <c r="B17701" i="2"/>
  <c r="B17700" i="2"/>
  <c r="B17699" i="2"/>
  <c r="B17698" i="2"/>
  <c r="B17697" i="2"/>
  <c r="B17696" i="2"/>
  <c r="B17695" i="2"/>
  <c r="B17694" i="2"/>
  <c r="B17693" i="2"/>
  <c r="B17692" i="2"/>
  <c r="B17691" i="2"/>
  <c r="B17690" i="2"/>
  <c r="B17689" i="2"/>
  <c r="B17688" i="2"/>
  <c r="B17687" i="2"/>
  <c r="B17686" i="2"/>
  <c r="B17685" i="2"/>
  <c r="B17684" i="2"/>
  <c r="B17683" i="2"/>
  <c r="B17682" i="2"/>
  <c r="B17681" i="2"/>
  <c r="B17680" i="2"/>
  <c r="B17679" i="2"/>
  <c r="B17678" i="2"/>
  <c r="B17677" i="2"/>
  <c r="B17676" i="2"/>
  <c r="B17675" i="2"/>
  <c r="B17674" i="2"/>
  <c r="B17673" i="2"/>
  <c r="B17672" i="2"/>
  <c r="B17671" i="2"/>
  <c r="B17670" i="2"/>
  <c r="B17669" i="2"/>
  <c r="B17668" i="2"/>
  <c r="B17667" i="2"/>
  <c r="B17666" i="2"/>
  <c r="B17665" i="2"/>
  <c r="B17664" i="2"/>
  <c r="B17663" i="2"/>
  <c r="B17662" i="2"/>
  <c r="B17661" i="2"/>
  <c r="B17660" i="2"/>
  <c r="B17659" i="2"/>
  <c r="B17658" i="2"/>
  <c r="B17657" i="2"/>
  <c r="B17656" i="2"/>
  <c r="B17655" i="2"/>
  <c r="B17654" i="2"/>
  <c r="B17653" i="2"/>
  <c r="B17652" i="2"/>
  <c r="B17651" i="2"/>
  <c r="B17650" i="2"/>
  <c r="B17649" i="2"/>
  <c r="B17648" i="2"/>
  <c r="B17647" i="2"/>
  <c r="B17646" i="2"/>
  <c r="B17645" i="2"/>
  <c r="B17644" i="2"/>
  <c r="B17643" i="2"/>
  <c r="B17642" i="2"/>
  <c r="B17641" i="2"/>
  <c r="B17640" i="2"/>
  <c r="B17639" i="2"/>
  <c r="B17638" i="2"/>
  <c r="B17637" i="2"/>
  <c r="B17636" i="2"/>
  <c r="B17635" i="2"/>
  <c r="B17634" i="2"/>
  <c r="B17633" i="2"/>
  <c r="B17632" i="2"/>
  <c r="B17631" i="2"/>
  <c r="B17630" i="2"/>
  <c r="B17629" i="2"/>
  <c r="B17628" i="2"/>
  <c r="B17627" i="2"/>
  <c r="B17626" i="2"/>
  <c r="B17625" i="2"/>
  <c r="B17624" i="2"/>
  <c r="B17623" i="2"/>
  <c r="B17622" i="2"/>
  <c r="B17621" i="2"/>
  <c r="B17620" i="2"/>
  <c r="B17619" i="2"/>
  <c r="B17618" i="2"/>
  <c r="B17617" i="2"/>
  <c r="B17616" i="2"/>
  <c r="B17615" i="2"/>
  <c r="B17614" i="2"/>
  <c r="B17613" i="2"/>
  <c r="B17612" i="2"/>
  <c r="B17611" i="2"/>
  <c r="B17610" i="2"/>
  <c r="B17609" i="2"/>
  <c r="B17608" i="2"/>
  <c r="B17607" i="2"/>
  <c r="B17606" i="2"/>
  <c r="B17605" i="2"/>
  <c r="B17604" i="2"/>
  <c r="B17603" i="2"/>
  <c r="B17602" i="2"/>
  <c r="B17601" i="2"/>
  <c r="B17600" i="2"/>
  <c r="B17599" i="2"/>
  <c r="B17598" i="2"/>
  <c r="B17597" i="2"/>
  <c r="B17596" i="2"/>
  <c r="B17595" i="2"/>
  <c r="B17594" i="2"/>
  <c r="B17593" i="2"/>
  <c r="B17592" i="2"/>
  <c r="B17591" i="2"/>
  <c r="B17590" i="2"/>
  <c r="B17589" i="2"/>
  <c r="B17588" i="2"/>
  <c r="B17587" i="2"/>
  <c r="B17586" i="2"/>
  <c r="B17585" i="2"/>
  <c r="B17584" i="2"/>
  <c r="B17583" i="2"/>
  <c r="B17582" i="2"/>
  <c r="B17581" i="2"/>
  <c r="B17580" i="2"/>
  <c r="B17579" i="2"/>
  <c r="B17578" i="2"/>
  <c r="B17577" i="2"/>
  <c r="B17576" i="2"/>
  <c r="B17575" i="2"/>
  <c r="B17574" i="2"/>
  <c r="B17573" i="2"/>
  <c r="B17572" i="2"/>
  <c r="B17571" i="2"/>
  <c r="B17570" i="2"/>
  <c r="B17569" i="2"/>
  <c r="B17568" i="2"/>
  <c r="B17567" i="2"/>
  <c r="B17566" i="2"/>
  <c r="B17565" i="2"/>
  <c r="B17564" i="2"/>
  <c r="B17563" i="2"/>
  <c r="B17562" i="2"/>
  <c r="B17561" i="2"/>
  <c r="B17560" i="2"/>
  <c r="B17559" i="2"/>
  <c r="B17558" i="2"/>
  <c r="B17557" i="2"/>
  <c r="B17556" i="2"/>
  <c r="B17555" i="2"/>
  <c r="B17554" i="2"/>
  <c r="B17553" i="2"/>
  <c r="B17552" i="2"/>
  <c r="B17551" i="2"/>
  <c r="B17550" i="2"/>
  <c r="B17549" i="2"/>
  <c r="B17548" i="2"/>
  <c r="B17547" i="2"/>
  <c r="B17546" i="2"/>
  <c r="B17545" i="2"/>
  <c r="B17544" i="2"/>
  <c r="B17543" i="2"/>
  <c r="B17542" i="2"/>
  <c r="B17541" i="2"/>
  <c r="B17540" i="2"/>
  <c r="B17539" i="2"/>
  <c r="B17538" i="2"/>
  <c r="B17537" i="2"/>
  <c r="B17536" i="2"/>
  <c r="B17535" i="2"/>
  <c r="B17534" i="2"/>
  <c r="B17533" i="2"/>
  <c r="B17532" i="2"/>
  <c r="B17531" i="2"/>
  <c r="B17530" i="2"/>
  <c r="B17529" i="2"/>
  <c r="B17528" i="2"/>
  <c r="B17527" i="2"/>
  <c r="B17526" i="2"/>
  <c r="B17525" i="2"/>
  <c r="B17524" i="2"/>
  <c r="B17523" i="2"/>
  <c r="B17522" i="2"/>
  <c r="B17521" i="2"/>
  <c r="B17520" i="2"/>
  <c r="B17519" i="2"/>
  <c r="B17518" i="2"/>
  <c r="B17517" i="2"/>
  <c r="B17516" i="2"/>
  <c r="B17515" i="2"/>
  <c r="B17514" i="2"/>
  <c r="B17513" i="2"/>
  <c r="B17512" i="2"/>
  <c r="B17511" i="2"/>
  <c r="B17510" i="2"/>
  <c r="B17509" i="2"/>
  <c r="B17508" i="2"/>
  <c r="B17507" i="2"/>
  <c r="B17506" i="2"/>
  <c r="B17505" i="2"/>
  <c r="B17504" i="2"/>
  <c r="B17503" i="2"/>
  <c r="B17502" i="2"/>
  <c r="B17501" i="2"/>
  <c r="B17500" i="2"/>
  <c r="B17499" i="2"/>
  <c r="B17498" i="2"/>
  <c r="B17497" i="2"/>
  <c r="B17496" i="2"/>
  <c r="B17495" i="2"/>
  <c r="B17494" i="2"/>
  <c r="B17493" i="2"/>
  <c r="B17492" i="2"/>
  <c r="B17491" i="2"/>
  <c r="B17490" i="2"/>
  <c r="B17489" i="2"/>
  <c r="B17488" i="2"/>
  <c r="B17487" i="2"/>
  <c r="B17486" i="2"/>
  <c r="B17485" i="2"/>
  <c r="B17484" i="2"/>
  <c r="B17483" i="2"/>
  <c r="B17482" i="2"/>
  <c r="B17481" i="2"/>
  <c r="B17480" i="2"/>
  <c r="B17479" i="2"/>
  <c r="B17478" i="2"/>
  <c r="B17477" i="2"/>
  <c r="B17476" i="2"/>
  <c r="B17475" i="2"/>
  <c r="B17474" i="2"/>
  <c r="B17473" i="2"/>
  <c r="B17472" i="2"/>
  <c r="B17471" i="2"/>
  <c r="B17470" i="2"/>
  <c r="B17469" i="2"/>
  <c r="B17468" i="2"/>
  <c r="B17467" i="2"/>
  <c r="B17466" i="2"/>
  <c r="B17465" i="2"/>
  <c r="B17464" i="2"/>
  <c r="B17463" i="2"/>
  <c r="B17462" i="2"/>
  <c r="B17461" i="2"/>
  <c r="B17460" i="2"/>
  <c r="B17459" i="2"/>
  <c r="B17458" i="2"/>
  <c r="B17457" i="2"/>
  <c r="B17456" i="2"/>
  <c r="B17455" i="2"/>
  <c r="B17454" i="2"/>
  <c r="B17453" i="2"/>
  <c r="B17452" i="2"/>
  <c r="B17451" i="2"/>
  <c r="B17450" i="2"/>
  <c r="B17449" i="2"/>
  <c r="B17448" i="2"/>
  <c r="B17447" i="2"/>
  <c r="B17446" i="2"/>
  <c r="B17445" i="2"/>
  <c r="B17444" i="2"/>
  <c r="B17443" i="2"/>
  <c r="B17442" i="2"/>
  <c r="B17441" i="2"/>
  <c r="B17440" i="2"/>
  <c r="B17439" i="2"/>
  <c r="B17438" i="2"/>
  <c r="B17437" i="2"/>
  <c r="B17436" i="2"/>
  <c r="B17435" i="2"/>
  <c r="B17434" i="2"/>
  <c r="B17433" i="2"/>
  <c r="B17432" i="2"/>
  <c r="B17431" i="2"/>
  <c r="B17430" i="2"/>
  <c r="B17429" i="2"/>
  <c r="B17428" i="2"/>
  <c r="B17427" i="2"/>
  <c r="B17426" i="2"/>
  <c r="B17425" i="2"/>
  <c r="B17424" i="2"/>
  <c r="B17423" i="2"/>
  <c r="B17422" i="2"/>
  <c r="B17421" i="2"/>
  <c r="B17420" i="2"/>
  <c r="B17419" i="2"/>
  <c r="B17418" i="2"/>
  <c r="B17417" i="2"/>
  <c r="B17416" i="2"/>
  <c r="B17415" i="2"/>
  <c r="B17414" i="2"/>
  <c r="B17413" i="2"/>
  <c r="B17412" i="2"/>
  <c r="B17411" i="2"/>
  <c r="B17410" i="2"/>
  <c r="B17409" i="2"/>
  <c r="B17408" i="2"/>
  <c r="B17407" i="2"/>
  <c r="B17406" i="2"/>
  <c r="B17405" i="2"/>
  <c r="B17404" i="2"/>
  <c r="B17403" i="2"/>
  <c r="B17402" i="2"/>
  <c r="B17401" i="2"/>
  <c r="B17400" i="2"/>
  <c r="B17399" i="2"/>
  <c r="B17398" i="2"/>
  <c r="B17397" i="2"/>
  <c r="B17396" i="2"/>
  <c r="B17395" i="2"/>
  <c r="B17394" i="2"/>
  <c r="B17393" i="2"/>
  <c r="B17392" i="2"/>
  <c r="B17391" i="2"/>
  <c r="B17390" i="2"/>
  <c r="B17389" i="2"/>
  <c r="B17388" i="2"/>
  <c r="B17387" i="2"/>
  <c r="B17386" i="2"/>
  <c r="B17385" i="2"/>
  <c r="B17384" i="2"/>
  <c r="B17383" i="2"/>
  <c r="B17382" i="2"/>
  <c r="B17381" i="2"/>
  <c r="B17380" i="2"/>
  <c r="B17379" i="2"/>
  <c r="B17378" i="2"/>
  <c r="B17377" i="2"/>
  <c r="B17376" i="2"/>
  <c r="B17375" i="2"/>
  <c r="B17374" i="2"/>
  <c r="B17373" i="2"/>
  <c r="B17372" i="2"/>
  <c r="B17371" i="2"/>
  <c r="B17370" i="2"/>
  <c r="B17369" i="2"/>
  <c r="B17368" i="2"/>
  <c r="B17367" i="2"/>
  <c r="B17366" i="2"/>
  <c r="B17365" i="2"/>
  <c r="B17364" i="2"/>
  <c r="B17363" i="2"/>
  <c r="B17362" i="2"/>
  <c r="B17361" i="2"/>
  <c r="B17360" i="2"/>
  <c r="B17359" i="2"/>
  <c r="B17358" i="2"/>
  <c r="B17357" i="2"/>
  <c r="B17356" i="2"/>
  <c r="B17355" i="2"/>
  <c r="B17354" i="2"/>
  <c r="B17353" i="2"/>
  <c r="B17352" i="2"/>
  <c r="B17351" i="2"/>
  <c r="B17350" i="2"/>
  <c r="B17349" i="2"/>
  <c r="B17348" i="2"/>
  <c r="B17347" i="2"/>
  <c r="B17346" i="2"/>
  <c r="B17345" i="2"/>
  <c r="B17344" i="2"/>
  <c r="B17343" i="2"/>
  <c r="B17342" i="2"/>
  <c r="B17341" i="2"/>
  <c r="B17340" i="2"/>
  <c r="B17339" i="2"/>
  <c r="B17338" i="2"/>
  <c r="B17337" i="2"/>
  <c r="B17336" i="2"/>
  <c r="B17335" i="2"/>
  <c r="B17334" i="2"/>
  <c r="B17333" i="2"/>
  <c r="B17332" i="2"/>
  <c r="B17331" i="2"/>
  <c r="B17330" i="2"/>
  <c r="B17329" i="2"/>
  <c r="B17328" i="2"/>
  <c r="B17327" i="2"/>
  <c r="B17326" i="2"/>
  <c r="B17325" i="2"/>
  <c r="B17324" i="2"/>
  <c r="B17323" i="2"/>
  <c r="B17322" i="2"/>
  <c r="B17321" i="2"/>
  <c r="B17320" i="2"/>
  <c r="B17319" i="2"/>
  <c r="B17318" i="2"/>
  <c r="B17317" i="2"/>
  <c r="B17316" i="2"/>
  <c r="B17315" i="2"/>
  <c r="B17314" i="2"/>
  <c r="B17313" i="2"/>
  <c r="B17312" i="2"/>
  <c r="B17311" i="2"/>
  <c r="B17310" i="2"/>
  <c r="B17309" i="2"/>
  <c r="B17308" i="2"/>
  <c r="B17307" i="2"/>
  <c r="B17306" i="2"/>
  <c r="B17305" i="2"/>
  <c r="B17304" i="2"/>
  <c r="B17303" i="2"/>
  <c r="B17302" i="2"/>
  <c r="B17301" i="2"/>
  <c r="B17300" i="2"/>
  <c r="B17299" i="2"/>
  <c r="B17298" i="2"/>
  <c r="B17297" i="2"/>
  <c r="B17296" i="2"/>
  <c r="B17295" i="2"/>
  <c r="B17294" i="2"/>
  <c r="B17293" i="2"/>
  <c r="B17292" i="2"/>
  <c r="B17291" i="2"/>
  <c r="B17290" i="2"/>
  <c r="B17289" i="2"/>
  <c r="B17288" i="2"/>
  <c r="B17287" i="2"/>
  <c r="B17286" i="2"/>
  <c r="B17285" i="2"/>
  <c r="B17284" i="2"/>
  <c r="B17283" i="2"/>
  <c r="B17282" i="2"/>
  <c r="B17281" i="2"/>
  <c r="B17280" i="2"/>
  <c r="B17279" i="2"/>
  <c r="B17278" i="2"/>
  <c r="B17277" i="2"/>
  <c r="B17276" i="2"/>
  <c r="B17275" i="2"/>
  <c r="B17274" i="2"/>
  <c r="B17273" i="2"/>
  <c r="B17272" i="2"/>
  <c r="B17271" i="2"/>
  <c r="B17270" i="2"/>
  <c r="B17269" i="2"/>
  <c r="B17268" i="2"/>
  <c r="B17267" i="2"/>
  <c r="B17266" i="2"/>
  <c r="B17265" i="2"/>
  <c r="B17264" i="2"/>
  <c r="B17263" i="2"/>
  <c r="B17262" i="2"/>
  <c r="B17261" i="2"/>
  <c r="B17260" i="2"/>
  <c r="B17259" i="2"/>
  <c r="B17258" i="2"/>
  <c r="B17257" i="2"/>
  <c r="B17256" i="2"/>
  <c r="B17255" i="2"/>
  <c r="B17254" i="2"/>
  <c r="B17253" i="2"/>
  <c r="B17252" i="2"/>
  <c r="B17251" i="2"/>
  <c r="B17250" i="2"/>
  <c r="B17249" i="2"/>
  <c r="B17248" i="2"/>
  <c r="B17247" i="2"/>
  <c r="B17246" i="2"/>
  <c r="B17245" i="2"/>
  <c r="B17244" i="2"/>
  <c r="B17243" i="2"/>
  <c r="B17242" i="2"/>
  <c r="B17241" i="2"/>
  <c r="B17240" i="2"/>
  <c r="B17239" i="2"/>
  <c r="B17238" i="2"/>
  <c r="B17237" i="2"/>
  <c r="B17236" i="2"/>
  <c r="B17235" i="2"/>
  <c r="B17234" i="2"/>
  <c r="B17233" i="2"/>
  <c r="B17232" i="2"/>
  <c r="B17231" i="2"/>
  <c r="B17230" i="2"/>
  <c r="B17229" i="2"/>
  <c r="B17228" i="2"/>
  <c r="B17227" i="2"/>
  <c r="B17226" i="2"/>
  <c r="B17225" i="2"/>
  <c r="B17224" i="2"/>
  <c r="B17223" i="2"/>
  <c r="B17222" i="2"/>
  <c r="B17221" i="2"/>
  <c r="B17220" i="2"/>
  <c r="B17219" i="2"/>
  <c r="B17218" i="2"/>
  <c r="B17217" i="2"/>
  <c r="B17216" i="2"/>
  <c r="B17215" i="2"/>
  <c r="B17214" i="2"/>
  <c r="B17213" i="2"/>
  <c r="B17212" i="2"/>
  <c r="B17211" i="2"/>
  <c r="B17210" i="2"/>
  <c r="B17209" i="2"/>
  <c r="B17208" i="2"/>
  <c r="B17207" i="2"/>
  <c r="B17206" i="2"/>
  <c r="B17205" i="2"/>
  <c r="B17204" i="2"/>
  <c r="B17203" i="2"/>
  <c r="B17202" i="2"/>
  <c r="B17201" i="2"/>
  <c r="B17200" i="2"/>
  <c r="B17199" i="2"/>
  <c r="B17198" i="2"/>
  <c r="B17197" i="2"/>
  <c r="B17196" i="2"/>
  <c r="B17195" i="2"/>
  <c r="B17194" i="2"/>
  <c r="B17193" i="2"/>
  <c r="B17192" i="2"/>
  <c r="B17191" i="2"/>
  <c r="B17190" i="2"/>
  <c r="B17189" i="2"/>
  <c r="B17188" i="2"/>
  <c r="B17187" i="2"/>
  <c r="B17186" i="2"/>
  <c r="B17185" i="2"/>
  <c r="B17184" i="2"/>
  <c r="B17183" i="2"/>
  <c r="B17182" i="2"/>
  <c r="B17181" i="2"/>
  <c r="B17180" i="2"/>
  <c r="B17179" i="2"/>
  <c r="B17178" i="2"/>
  <c r="B17177" i="2"/>
  <c r="B17176" i="2"/>
  <c r="B17175" i="2"/>
  <c r="B17174" i="2"/>
  <c r="B17173" i="2"/>
  <c r="B17172" i="2"/>
  <c r="B17171" i="2"/>
  <c r="B17170" i="2"/>
  <c r="B17169" i="2"/>
  <c r="B17168" i="2"/>
  <c r="B17167" i="2"/>
  <c r="B17166" i="2"/>
  <c r="B17165" i="2"/>
  <c r="B17164" i="2"/>
  <c r="B17163" i="2"/>
  <c r="B17162" i="2"/>
  <c r="B17161" i="2"/>
  <c r="B17160" i="2"/>
  <c r="B17159" i="2"/>
  <c r="B17158" i="2"/>
  <c r="B17157" i="2"/>
  <c r="B17156" i="2"/>
  <c r="B17155" i="2"/>
  <c r="B17154" i="2"/>
  <c r="B17153" i="2"/>
  <c r="B17152" i="2"/>
  <c r="B17151" i="2"/>
  <c r="B17150" i="2"/>
  <c r="B17149" i="2"/>
  <c r="B17148" i="2"/>
  <c r="B17147" i="2"/>
  <c r="B17146" i="2"/>
  <c r="B17145" i="2"/>
  <c r="B17144" i="2"/>
  <c r="B17143" i="2"/>
  <c r="B17142" i="2"/>
  <c r="B17141" i="2"/>
  <c r="B17140" i="2"/>
  <c r="B17139" i="2"/>
  <c r="B17138" i="2"/>
  <c r="B17137" i="2"/>
  <c r="B17136" i="2"/>
  <c r="B17135" i="2"/>
  <c r="B17134" i="2"/>
  <c r="B17133" i="2"/>
  <c r="B17132" i="2"/>
  <c r="B17131" i="2"/>
  <c r="B17130" i="2"/>
  <c r="B17129" i="2"/>
  <c r="B17128" i="2"/>
  <c r="B17127" i="2"/>
  <c r="B17126" i="2"/>
  <c r="B17125" i="2"/>
  <c r="B17124" i="2"/>
  <c r="B17123" i="2"/>
  <c r="B17122" i="2"/>
  <c r="B17121" i="2"/>
  <c r="B17120" i="2"/>
  <c r="B17119" i="2"/>
  <c r="B17118" i="2"/>
  <c r="B17117" i="2"/>
  <c r="B17116" i="2"/>
  <c r="B17115" i="2"/>
  <c r="B17114" i="2"/>
  <c r="B17113" i="2"/>
  <c r="B17112" i="2"/>
  <c r="B17111" i="2"/>
  <c r="B17110" i="2"/>
  <c r="B17109" i="2"/>
  <c r="B17108" i="2"/>
  <c r="B17107" i="2"/>
  <c r="B17106" i="2"/>
  <c r="B17105" i="2"/>
  <c r="B17104" i="2"/>
  <c r="B17103" i="2"/>
  <c r="B17102" i="2"/>
  <c r="B17101" i="2"/>
  <c r="B17100" i="2"/>
  <c r="B17099" i="2"/>
  <c r="B17098" i="2"/>
  <c r="B17097" i="2"/>
  <c r="B17096" i="2"/>
  <c r="B17095" i="2"/>
  <c r="B17094" i="2"/>
  <c r="B17093" i="2"/>
  <c r="B17092" i="2"/>
  <c r="B17091" i="2"/>
  <c r="B17090" i="2"/>
  <c r="B17089" i="2"/>
  <c r="B17088" i="2"/>
  <c r="B17087" i="2"/>
  <c r="B17086" i="2"/>
  <c r="B17085" i="2"/>
  <c r="B17084" i="2"/>
  <c r="B17083" i="2"/>
  <c r="B17082" i="2"/>
  <c r="B17081" i="2"/>
  <c r="B17080" i="2"/>
  <c r="B17079" i="2"/>
  <c r="B17078" i="2"/>
  <c r="B17077" i="2"/>
  <c r="B17076" i="2"/>
  <c r="B17075" i="2"/>
  <c r="B17074" i="2"/>
  <c r="B17073" i="2"/>
  <c r="B17072" i="2"/>
  <c r="B17071" i="2"/>
  <c r="B17070" i="2"/>
  <c r="B17069" i="2"/>
  <c r="B17068" i="2"/>
  <c r="B17067" i="2"/>
  <c r="B17066" i="2"/>
  <c r="B17065" i="2"/>
  <c r="B17064" i="2"/>
  <c r="B17063" i="2"/>
  <c r="B17062" i="2"/>
  <c r="B17061" i="2"/>
  <c r="B17060" i="2"/>
  <c r="B17059" i="2"/>
  <c r="B17058" i="2"/>
  <c r="B17057" i="2"/>
  <c r="B17056" i="2"/>
  <c r="B17055" i="2"/>
  <c r="B17054" i="2"/>
  <c r="B17053" i="2"/>
  <c r="B17052" i="2"/>
  <c r="B17051" i="2"/>
  <c r="B17050" i="2"/>
  <c r="B17049" i="2"/>
  <c r="B17048" i="2"/>
  <c r="B17047" i="2"/>
  <c r="B17046" i="2"/>
  <c r="B17045" i="2"/>
  <c r="B17044" i="2"/>
  <c r="B17043" i="2"/>
  <c r="B17042" i="2"/>
  <c r="B17041" i="2"/>
  <c r="B17040" i="2"/>
  <c r="B17039" i="2"/>
  <c r="B17038" i="2"/>
  <c r="B17037" i="2"/>
  <c r="B17036" i="2"/>
  <c r="B17035" i="2"/>
  <c r="B17034" i="2"/>
  <c r="B17033" i="2"/>
  <c r="B17032" i="2"/>
  <c r="B17031" i="2"/>
  <c r="B17030" i="2"/>
  <c r="B17029" i="2"/>
  <c r="B17028" i="2"/>
  <c r="B17027" i="2"/>
  <c r="B17026" i="2"/>
  <c r="B17025" i="2"/>
  <c r="B17024" i="2"/>
  <c r="B17023" i="2"/>
  <c r="B17022" i="2"/>
  <c r="B17021" i="2"/>
  <c r="B17020" i="2"/>
  <c r="B17019" i="2"/>
  <c r="B17018" i="2"/>
  <c r="B17017" i="2"/>
  <c r="B17016" i="2"/>
  <c r="B17015" i="2"/>
  <c r="B17014" i="2"/>
  <c r="B17013" i="2"/>
  <c r="B17012" i="2"/>
  <c r="B17011" i="2"/>
  <c r="B17010" i="2"/>
  <c r="B17009" i="2"/>
  <c r="B17008" i="2"/>
  <c r="B17007" i="2"/>
  <c r="B17006" i="2"/>
  <c r="B17005" i="2"/>
  <c r="B17004" i="2"/>
  <c r="B17003" i="2"/>
  <c r="B17002" i="2"/>
  <c r="B17001" i="2"/>
  <c r="B17000" i="2"/>
  <c r="B16999" i="2"/>
  <c r="B16998" i="2"/>
  <c r="B16997" i="2"/>
  <c r="B16996" i="2"/>
  <c r="B16995" i="2"/>
  <c r="B16994" i="2"/>
  <c r="B16993" i="2"/>
  <c r="B16992" i="2"/>
  <c r="B16991" i="2"/>
  <c r="B16990" i="2"/>
  <c r="B16989" i="2"/>
  <c r="B16988" i="2"/>
  <c r="B16987" i="2"/>
  <c r="B16986" i="2"/>
  <c r="B16985" i="2"/>
  <c r="B16984" i="2"/>
  <c r="B16983" i="2"/>
  <c r="B16982" i="2"/>
  <c r="B16981" i="2"/>
  <c r="B16980" i="2"/>
  <c r="B16979" i="2"/>
  <c r="B16978" i="2"/>
  <c r="B16977" i="2"/>
  <c r="B16976" i="2"/>
  <c r="B16975" i="2"/>
  <c r="B16974" i="2"/>
  <c r="B16973" i="2"/>
  <c r="B16972" i="2"/>
  <c r="B16971" i="2"/>
  <c r="B16970" i="2"/>
  <c r="B16969" i="2"/>
  <c r="B16968" i="2"/>
  <c r="B16967" i="2"/>
  <c r="B16966" i="2"/>
  <c r="B16965" i="2"/>
  <c r="B16964" i="2"/>
  <c r="B16963" i="2"/>
  <c r="B16962" i="2"/>
  <c r="B16961" i="2"/>
  <c r="B16960" i="2"/>
  <c r="B16959" i="2"/>
  <c r="B16958" i="2"/>
  <c r="B16957" i="2"/>
  <c r="B16956" i="2"/>
  <c r="B16955" i="2"/>
  <c r="B16954" i="2"/>
  <c r="B16953" i="2"/>
  <c r="B16952" i="2"/>
  <c r="B16951" i="2"/>
  <c r="B16950" i="2"/>
  <c r="B16949" i="2"/>
  <c r="B16948" i="2"/>
  <c r="B16947" i="2"/>
  <c r="B16946" i="2"/>
  <c r="B16945" i="2"/>
  <c r="B16944" i="2"/>
  <c r="B16943" i="2"/>
  <c r="B16942" i="2"/>
  <c r="B16941" i="2"/>
  <c r="B16940" i="2"/>
  <c r="B16939" i="2"/>
  <c r="B16938" i="2"/>
  <c r="B16937" i="2"/>
  <c r="B16936" i="2"/>
  <c r="B16935" i="2"/>
  <c r="B16934" i="2"/>
  <c r="B16933" i="2"/>
  <c r="B16932" i="2"/>
  <c r="B16931" i="2"/>
  <c r="B16930" i="2"/>
  <c r="B16929" i="2"/>
  <c r="B16928" i="2"/>
  <c r="B16927" i="2"/>
  <c r="B16926" i="2"/>
  <c r="B16925" i="2"/>
  <c r="B16924" i="2"/>
  <c r="B16923" i="2"/>
  <c r="B16922" i="2"/>
  <c r="B16921" i="2"/>
  <c r="B16920" i="2"/>
  <c r="B16919" i="2"/>
  <c r="B16918" i="2"/>
  <c r="B16917" i="2"/>
  <c r="B16916" i="2"/>
  <c r="B16915" i="2"/>
  <c r="B16914" i="2"/>
  <c r="B16913" i="2"/>
  <c r="B16912" i="2"/>
  <c r="B16911" i="2"/>
  <c r="B16910" i="2"/>
  <c r="B16909" i="2"/>
  <c r="B16908" i="2"/>
  <c r="B16907" i="2"/>
  <c r="B16906" i="2"/>
  <c r="B16905" i="2"/>
  <c r="B16904" i="2"/>
  <c r="B16903" i="2"/>
  <c r="B16902" i="2"/>
  <c r="B16901" i="2"/>
  <c r="B16900" i="2"/>
  <c r="B16899" i="2"/>
  <c r="B16898" i="2"/>
  <c r="B16897" i="2"/>
  <c r="B16896" i="2"/>
  <c r="B16895" i="2"/>
  <c r="B16894" i="2"/>
  <c r="B16893" i="2"/>
  <c r="B16892" i="2"/>
  <c r="B16891" i="2"/>
  <c r="B16890" i="2"/>
  <c r="B16889" i="2"/>
  <c r="B16888" i="2"/>
  <c r="B16887" i="2"/>
  <c r="B16886" i="2"/>
  <c r="B16885" i="2"/>
  <c r="B16884" i="2"/>
  <c r="B16883" i="2"/>
  <c r="B16882" i="2"/>
  <c r="B16881" i="2"/>
  <c r="B16880" i="2"/>
  <c r="B16879" i="2"/>
  <c r="B16878" i="2"/>
  <c r="B16877" i="2"/>
  <c r="B16876" i="2"/>
  <c r="B16875" i="2"/>
  <c r="B16874" i="2"/>
  <c r="B16873" i="2"/>
  <c r="B16872" i="2"/>
  <c r="B16871" i="2"/>
  <c r="B16870" i="2"/>
  <c r="B16869" i="2"/>
  <c r="B16868" i="2"/>
  <c r="B16867" i="2"/>
  <c r="B16866" i="2"/>
  <c r="B16865" i="2"/>
  <c r="B16864" i="2"/>
  <c r="B16863" i="2"/>
  <c r="B16862" i="2"/>
  <c r="B16861" i="2"/>
  <c r="B16860" i="2"/>
  <c r="B16859" i="2"/>
  <c r="B16858" i="2"/>
  <c r="B16857" i="2"/>
  <c r="B16856" i="2"/>
  <c r="B16855" i="2"/>
  <c r="B16854" i="2"/>
  <c r="B16853" i="2"/>
  <c r="B16852" i="2"/>
  <c r="B16851" i="2"/>
  <c r="B16850" i="2"/>
  <c r="B16849" i="2"/>
  <c r="B16848" i="2"/>
  <c r="B16847" i="2"/>
  <c r="B16846" i="2"/>
  <c r="B16845" i="2"/>
  <c r="B16844" i="2"/>
  <c r="B16843" i="2"/>
  <c r="B16842" i="2"/>
  <c r="B16841" i="2"/>
  <c r="B16840" i="2"/>
  <c r="B16839" i="2"/>
  <c r="B16838" i="2"/>
  <c r="B16837" i="2"/>
  <c r="B16836" i="2"/>
  <c r="B16835" i="2"/>
  <c r="B16834" i="2"/>
  <c r="B16833" i="2"/>
  <c r="B16832" i="2"/>
  <c r="B16831" i="2"/>
  <c r="B16830" i="2"/>
  <c r="B16829" i="2"/>
  <c r="B16828" i="2"/>
  <c r="B16827" i="2"/>
  <c r="B16826" i="2"/>
  <c r="B16825" i="2"/>
  <c r="B16824" i="2"/>
  <c r="B16823" i="2"/>
  <c r="B16822" i="2"/>
  <c r="B16821" i="2"/>
  <c r="B16820" i="2"/>
  <c r="B16819" i="2"/>
  <c r="B16818" i="2"/>
  <c r="B16817" i="2"/>
  <c r="B16816" i="2"/>
  <c r="B16815" i="2"/>
  <c r="B16814" i="2"/>
  <c r="B16813" i="2"/>
  <c r="B16812" i="2"/>
  <c r="B16811" i="2"/>
  <c r="B16810" i="2"/>
  <c r="B16809" i="2"/>
  <c r="B16808" i="2"/>
  <c r="B16807" i="2"/>
  <c r="B16806" i="2"/>
  <c r="B16805" i="2"/>
  <c r="B16804" i="2"/>
  <c r="B16803" i="2"/>
  <c r="B16802" i="2"/>
  <c r="B16801" i="2"/>
  <c r="B16800" i="2"/>
  <c r="B16799" i="2"/>
  <c r="B16798" i="2"/>
  <c r="B16797" i="2"/>
  <c r="B16796" i="2"/>
  <c r="B16795" i="2"/>
  <c r="B16794" i="2"/>
  <c r="B16793" i="2"/>
  <c r="B16792" i="2"/>
  <c r="B16791" i="2"/>
  <c r="B16790" i="2"/>
  <c r="B16789" i="2"/>
  <c r="B16788" i="2"/>
  <c r="B16787" i="2"/>
  <c r="B16786" i="2"/>
  <c r="B16785" i="2"/>
  <c r="B16784" i="2"/>
  <c r="B16783" i="2"/>
  <c r="B16782" i="2"/>
  <c r="B16781" i="2"/>
  <c r="B16780" i="2"/>
  <c r="B16779" i="2"/>
  <c r="B16778" i="2"/>
  <c r="B16777" i="2"/>
  <c r="B16776" i="2"/>
  <c r="B16775" i="2"/>
  <c r="B16774" i="2"/>
  <c r="B16773" i="2"/>
  <c r="B16772" i="2"/>
  <c r="B16771" i="2"/>
  <c r="B16770" i="2"/>
  <c r="B16769" i="2"/>
  <c r="B16768" i="2"/>
  <c r="B16767" i="2"/>
  <c r="B16766" i="2"/>
  <c r="B16765" i="2"/>
  <c r="B16764" i="2"/>
  <c r="B16763" i="2"/>
  <c r="B16762" i="2"/>
  <c r="B16761" i="2"/>
  <c r="B16760" i="2"/>
  <c r="B16759" i="2"/>
  <c r="B16758" i="2"/>
  <c r="B16757" i="2"/>
  <c r="B16756" i="2"/>
  <c r="B16755" i="2"/>
  <c r="B16754" i="2"/>
  <c r="B16753" i="2"/>
  <c r="B16752" i="2"/>
  <c r="B16751" i="2"/>
  <c r="B16750" i="2"/>
  <c r="B16749" i="2"/>
  <c r="B16748" i="2"/>
  <c r="B16747" i="2"/>
  <c r="B16746" i="2"/>
  <c r="B16745" i="2"/>
  <c r="B16744" i="2"/>
  <c r="B16743" i="2"/>
  <c r="B16742" i="2"/>
  <c r="B16741" i="2"/>
  <c r="B16740" i="2"/>
  <c r="B16739" i="2"/>
  <c r="B16738" i="2"/>
  <c r="B16737" i="2"/>
  <c r="B16736" i="2"/>
  <c r="B16735" i="2"/>
  <c r="B16734" i="2"/>
  <c r="B16733" i="2"/>
  <c r="B16732" i="2"/>
  <c r="B16731" i="2"/>
  <c r="B16730" i="2"/>
  <c r="B16729" i="2"/>
  <c r="B16728" i="2"/>
  <c r="B16727" i="2"/>
  <c r="B16726" i="2"/>
  <c r="B16725" i="2"/>
  <c r="B16724" i="2"/>
  <c r="B16723" i="2"/>
  <c r="B16722" i="2"/>
  <c r="B16721" i="2"/>
  <c r="B16720" i="2"/>
  <c r="B16719" i="2"/>
  <c r="B16718" i="2"/>
  <c r="B16717" i="2"/>
  <c r="B16716" i="2"/>
  <c r="B16715" i="2"/>
  <c r="B16714" i="2"/>
  <c r="B16713" i="2"/>
  <c r="B16712" i="2"/>
  <c r="B16711" i="2"/>
  <c r="B16710" i="2"/>
  <c r="B16709" i="2"/>
  <c r="B16708" i="2"/>
  <c r="B16707" i="2"/>
  <c r="B16706" i="2"/>
  <c r="B16705" i="2"/>
  <c r="B16704" i="2"/>
  <c r="B16703" i="2"/>
  <c r="B16702" i="2"/>
  <c r="B16701" i="2"/>
  <c r="B16700" i="2"/>
  <c r="B16699" i="2"/>
  <c r="B16698" i="2"/>
  <c r="B16697" i="2"/>
  <c r="B16696" i="2"/>
  <c r="B16695" i="2"/>
  <c r="B16694" i="2"/>
  <c r="B16693" i="2"/>
  <c r="B16692" i="2"/>
  <c r="B16691" i="2"/>
  <c r="B16690" i="2"/>
  <c r="B16689" i="2"/>
  <c r="B16688" i="2"/>
  <c r="B16687" i="2"/>
  <c r="B16686" i="2"/>
  <c r="B16685" i="2"/>
  <c r="B16684" i="2"/>
  <c r="B16683" i="2"/>
  <c r="B16682" i="2"/>
  <c r="B16681" i="2"/>
  <c r="B16680" i="2"/>
  <c r="B16679" i="2"/>
  <c r="B16678" i="2"/>
  <c r="B16677" i="2"/>
  <c r="B16676" i="2"/>
  <c r="B16675" i="2"/>
  <c r="B16674" i="2"/>
  <c r="B16673" i="2"/>
  <c r="B16672" i="2"/>
  <c r="B16671" i="2"/>
  <c r="B16670" i="2"/>
  <c r="B16669" i="2"/>
  <c r="B16668" i="2"/>
  <c r="B16667" i="2"/>
  <c r="B16666" i="2"/>
  <c r="B16665" i="2"/>
  <c r="B16664" i="2"/>
  <c r="B16663" i="2"/>
  <c r="B16662" i="2"/>
  <c r="B16661" i="2"/>
  <c r="B16660" i="2"/>
  <c r="B16659" i="2"/>
  <c r="B16658" i="2"/>
  <c r="B16657" i="2"/>
  <c r="B16656" i="2"/>
  <c r="B16655" i="2"/>
  <c r="B16654" i="2"/>
  <c r="B16653" i="2"/>
  <c r="B16652" i="2"/>
  <c r="B16651" i="2"/>
  <c r="B16650" i="2"/>
  <c r="B16649" i="2"/>
  <c r="B16648" i="2"/>
  <c r="B16647" i="2"/>
  <c r="B16646" i="2"/>
  <c r="B16645" i="2"/>
  <c r="B16644" i="2"/>
  <c r="B16643" i="2"/>
  <c r="B16642" i="2"/>
  <c r="B16641" i="2"/>
  <c r="B16640" i="2"/>
  <c r="B16639" i="2"/>
  <c r="B16638" i="2"/>
  <c r="B16637" i="2"/>
  <c r="B16636" i="2"/>
  <c r="B16635" i="2"/>
  <c r="B16634" i="2"/>
  <c r="B16633" i="2"/>
  <c r="B16632" i="2"/>
  <c r="B16631" i="2"/>
  <c r="B16630" i="2"/>
  <c r="B16629" i="2"/>
  <c r="B16628" i="2"/>
  <c r="B16627" i="2"/>
  <c r="B16626" i="2"/>
  <c r="B16625" i="2"/>
  <c r="B16624" i="2"/>
  <c r="B16623" i="2"/>
  <c r="B16622" i="2"/>
  <c r="B16621" i="2"/>
  <c r="B16620" i="2"/>
  <c r="B16619" i="2"/>
  <c r="B16618" i="2"/>
  <c r="B16617" i="2"/>
  <c r="B16616" i="2"/>
  <c r="B16615" i="2"/>
  <c r="B16614" i="2"/>
  <c r="B16613" i="2"/>
  <c r="B16612" i="2"/>
  <c r="B16611" i="2"/>
  <c r="B16610" i="2"/>
  <c r="B16609" i="2"/>
  <c r="B16608" i="2"/>
  <c r="B16607" i="2"/>
  <c r="B16606" i="2"/>
  <c r="B16605" i="2"/>
  <c r="B16604" i="2"/>
  <c r="B16603" i="2"/>
  <c r="B16602" i="2"/>
  <c r="B16601" i="2"/>
  <c r="B16600" i="2"/>
  <c r="B16599" i="2"/>
  <c r="B16598" i="2"/>
  <c r="B16597" i="2"/>
  <c r="B16596" i="2"/>
  <c r="B16595" i="2"/>
  <c r="B16594" i="2"/>
  <c r="B16593" i="2"/>
  <c r="B16592" i="2"/>
  <c r="B16591" i="2"/>
  <c r="B16590" i="2"/>
  <c r="B16589" i="2"/>
  <c r="B16588" i="2"/>
  <c r="B16587" i="2"/>
  <c r="B16586" i="2"/>
  <c r="B16585" i="2"/>
  <c r="B16584" i="2"/>
  <c r="B16583" i="2"/>
  <c r="B16582" i="2"/>
  <c r="B16581" i="2"/>
  <c r="B16580" i="2"/>
  <c r="B16579" i="2"/>
  <c r="B16578" i="2"/>
  <c r="B16577" i="2"/>
  <c r="B16576" i="2"/>
  <c r="B16575" i="2"/>
  <c r="B16574" i="2"/>
  <c r="B16573" i="2"/>
  <c r="B16572" i="2"/>
  <c r="B16571" i="2"/>
  <c r="B16570" i="2"/>
  <c r="B16569" i="2"/>
  <c r="B16568" i="2"/>
  <c r="B16567" i="2"/>
  <c r="B16566" i="2"/>
  <c r="B16565" i="2"/>
  <c r="B16564" i="2"/>
  <c r="B16563" i="2"/>
  <c r="B16562" i="2"/>
  <c r="B16561" i="2"/>
  <c r="B16560" i="2"/>
  <c r="B16559" i="2"/>
  <c r="B16558" i="2"/>
  <c r="B16557" i="2"/>
  <c r="B16556" i="2"/>
  <c r="B16555" i="2"/>
  <c r="B16554" i="2"/>
  <c r="B16553" i="2"/>
  <c r="B16552" i="2"/>
  <c r="B16551" i="2"/>
  <c r="B16550" i="2"/>
  <c r="B16549" i="2"/>
  <c r="B16548" i="2"/>
  <c r="B16547" i="2"/>
  <c r="B16546" i="2"/>
  <c r="B16545" i="2"/>
  <c r="B16544" i="2"/>
  <c r="B16543" i="2"/>
  <c r="B16542" i="2"/>
  <c r="B16541" i="2"/>
  <c r="B16540" i="2"/>
  <c r="B16539" i="2"/>
  <c r="B16538" i="2"/>
  <c r="B16537" i="2"/>
  <c r="B16536" i="2"/>
  <c r="B16535" i="2"/>
  <c r="B16534" i="2"/>
  <c r="B16533" i="2"/>
  <c r="B16532" i="2"/>
  <c r="B16531" i="2"/>
  <c r="B16530" i="2"/>
  <c r="B16529" i="2"/>
  <c r="B16528" i="2"/>
  <c r="B16527" i="2"/>
  <c r="B16526" i="2"/>
  <c r="B16525" i="2"/>
  <c r="B16524" i="2"/>
  <c r="B16523" i="2"/>
  <c r="B16522" i="2"/>
  <c r="B16521" i="2"/>
  <c r="B16520" i="2"/>
  <c r="B16519" i="2"/>
  <c r="B16518" i="2"/>
  <c r="B16517" i="2"/>
  <c r="B16516" i="2"/>
  <c r="B16515" i="2"/>
  <c r="B16514" i="2"/>
  <c r="B16513" i="2"/>
  <c r="B16512" i="2"/>
  <c r="B16511" i="2"/>
  <c r="B16510" i="2"/>
  <c r="B16509" i="2"/>
  <c r="B16508" i="2"/>
  <c r="B16507" i="2"/>
  <c r="B16506" i="2"/>
  <c r="B16505" i="2"/>
  <c r="B16504" i="2"/>
  <c r="B16503" i="2"/>
  <c r="B16502" i="2"/>
  <c r="B16501" i="2"/>
  <c r="B16500" i="2"/>
  <c r="B16499" i="2"/>
  <c r="B16498" i="2"/>
  <c r="B16497" i="2"/>
  <c r="B16496" i="2"/>
  <c r="B16495" i="2"/>
  <c r="B16494" i="2"/>
  <c r="B16493" i="2"/>
  <c r="B16492" i="2"/>
  <c r="B16491" i="2"/>
  <c r="B16490" i="2"/>
  <c r="B16489" i="2"/>
  <c r="B16488" i="2"/>
  <c r="B16487" i="2"/>
  <c r="B16486" i="2"/>
  <c r="B16485" i="2"/>
  <c r="B16484" i="2"/>
  <c r="B16483" i="2"/>
  <c r="B16482" i="2"/>
  <c r="B16481" i="2"/>
  <c r="B16480" i="2"/>
  <c r="B16479" i="2"/>
  <c r="B16478" i="2"/>
  <c r="B16477" i="2"/>
  <c r="B16476" i="2"/>
  <c r="B16475" i="2"/>
  <c r="B16474" i="2"/>
  <c r="B16473" i="2"/>
  <c r="B16472" i="2"/>
  <c r="B16471" i="2"/>
  <c r="B16470" i="2"/>
  <c r="B16469" i="2"/>
  <c r="B16468" i="2"/>
  <c r="B16467" i="2"/>
  <c r="B16466" i="2"/>
  <c r="B16465" i="2"/>
  <c r="B16464" i="2"/>
  <c r="B16463" i="2"/>
  <c r="B16462" i="2"/>
  <c r="B16461" i="2"/>
  <c r="B16460" i="2"/>
  <c r="B16459" i="2"/>
  <c r="B16458" i="2"/>
  <c r="B16457" i="2"/>
  <c r="B16456" i="2"/>
  <c r="B16455" i="2"/>
  <c r="B16454" i="2"/>
  <c r="B16453" i="2"/>
  <c r="B16452" i="2"/>
  <c r="B16451" i="2"/>
  <c r="B16450" i="2"/>
  <c r="B16449" i="2"/>
  <c r="B16448" i="2"/>
  <c r="B16447" i="2"/>
  <c r="B16446" i="2"/>
  <c r="B16445" i="2"/>
  <c r="B16444" i="2"/>
  <c r="B16443" i="2"/>
  <c r="B16442" i="2"/>
  <c r="B16441" i="2"/>
  <c r="B16440" i="2"/>
  <c r="B16439" i="2"/>
  <c r="B16438" i="2"/>
  <c r="B16437" i="2"/>
  <c r="B16436" i="2"/>
  <c r="B16435" i="2"/>
  <c r="B16434" i="2"/>
  <c r="B16433" i="2"/>
  <c r="B16432" i="2"/>
  <c r="B16431" i="2"/>
  <c r="B16430" i="2"/>
  <c r="B16429" i="2"/>
  <c r="B16428" i="2"/>
  <c r="B16427" i="2"/>
  <c r="B16426" i="2"/>
  <c r="B16425" i="2"/>
  <c r="B16424" i="2"/>
  <c r="B16423" i="2"/>
  <c r="B16422" i="2"/>
  <c r="B16421" i="2"/>
  <c r="B16420" i="2"/>
  <c r="B16419" i="2"/>
  <c r="B16418" i="2"/>
  <c r="B16417" i="2"/>
  <c r="B16416" i="2"/>
  <c r="B16415" i="2"/>
  <c r="B16414" i="2"/>
  <c r="B16413" i="2"/>
  <c r="B16412" i="2"/>
  <c r="B16411" i="2"/>
  <c r="B16410" i="2"/>
  <c r="B16409" i="2"/>
  <c r="B16408" i="2"/>
  <c r="B16407" i="2"/>
  <c r="B16406" i="2"/>
  <c r="B16405" i="2"/>
  <c r="B16404" i="2"/>
  <c r="B16403" i="2"/>
  <c r="B16402" i="2"/>
  <c r="B16401" i="2"/>
  <c r="B16400" i="2"/>
  <c r="B16399" i="2"/>
  <c r="B16398" i="2"/>
  <c r="B16397" i="2"/>
  <c r="B16396" i="2"/>
  <c r="B16395" i="2"/>
  <c r="B16394" i="2"/>
  <c r="B16393" i="2"/>
  <c r="B16392" i="2"/>
  <c r="B16391" i="2"/>
  <c r="B16390" i="2"/>
  <c r="B16389" i="2"/>
  <c r="B16388" i="2"/>
  <c r="B16387" i="2"/>
  <c r="B16386" i="2"/>
  <c r="B16385" i="2"/>
  <c r="B16384" i="2"/>
  <c r="B16383" i="2"/>
  <c r="B16382" i="2"/>
  <c r="B16381" i="2"/>
  <c r="B16380" i="2"/>
  <c r="B16379" i="2"/>
  <c r="B16378" i="2"/>
  <c r="B16377" i="2"/>
  <c r="B16376" i="2"/>
  <c r="B16375" i="2"/>
  <c r="B16374" i="2"/>
  <c r="B16373" i="2"/>
  <c r="B16372" i="2"/>
  <c r="B16371" i="2"/>
  <c r="B16370" i="2"/>
  <c r="B16369" i="2"/>
  <c r="B16368" i="2"/>
  <c r="B16367" i="2"/>
  <c r="B16366" i="2"/>
  <c r="B16365" i="2"/>
  <c r="B16364" i="2"/>
  <c r="B16363" i="2"/>
  <c r="B16362" i="2"/>
  <c r="B16361" i="2"/>
  <c r="B16360" i="2"/>
  <c r="B16359" i="2"/>
  <c r="B16358" i="2"/>
  <c r="B16357" i="2"/>
  <c r="B16356" i="2"/>
  <c r="B16355" i="2"/>
  <c r="B16354" i="2"/>
  <c r="B16353" i="2"/>
  <c r="B16352" i="2"/>
  <c r="B16351" i="2"/>
  <c r="B16350" i="2"/>
  <c r="B16349" i="2"/>
  <c r="B16348" i="2"/>
  <c r="B16347" i="2"/>
  <c r="B16346" i="2"/>
  <c r="B16345" i="2"/>
  <c r="B16344" i="2"/>
  <c r="B16343" i="2"/>
  <c r="B16342" i="2"/>
  <c r="B16341" i="2"/>
  <c r="B16340" i="2"/>
  <c r="B16339" i="2"/>
  <c r="B16338" i="2"/>
  <c r="B16337" i="2"/>
  <c r="B16336" i="2"/>
  <c r="B16335" i="2"/>
  <c r="B16334" i="2"/>
  <c r="B16333" i="2"/>
  <c r="B16332" i="2"/>
  <c r="B16331" i="2"/>
  <c r="B16330" i="2"/>
  <c r="B16329" i="2"/>
  <c r="B16328" i="2"/>
  <c r="B16327" i="2"/>
  <c r="B16326" i="2"/>
  <c r="B16325" i="2"/>
  <c r="B16324" i="2"/>
  <c r="B16323" i="2"/>
  <c r="B16322" i="2"/>
  <c r="B16321" i="2"/>
  <c r="B16320" i="2"/>
  <c r="B16319" i="2"/>
  <c r="B16318" i="2"/>
  <c r="B16317" i="2"/>
  <c r="B16316" i="2"/>
  <c r="B16315" i="2"/>
  <c r="B16314" i="2"/>
  <c r="B16313" i="2"/>
  <c r="B16312" i="2"/>
  <c r="B16311" i="2"/>
  <c r="B16310" i="2"/>
  <c r="B16309" i="2"/>
  <c r="B16308" i="2"/>
  <c r="B16307" i="2"/>
  <c r="B16306" i="2"/>
  <c r="B16305" i="2"/>
  <c r="B16304" i="2"/>
  <c r="B16303" i="2"/>
  <c r="B16302" i="2"/>
  <c r="B16301" i="2"/>
  <c r="B16300" i="2"/>
  <c r="B16299" i="2"/>
  <c r="B16298" i="2"/>
  <c r="B16297" i="2"/>
  <c r="B16296" i="2"/>
  <c r="B16295" i="2"/>
  <c r="B16294" i="2"/>
  <c r="B16293" i="2"/>
  <c r="B16292" i="2"/>
  <c r="B16291" i="2"/>
  <c r="B16290" i="2"/>
  <c r="B16289" i="2"/>
  <c r="B16288" i="2"/>
  <c r="B16287" i="2"/>
  <c r="B16286" i="2"/>
  <c r="B16285" i="2"/>
  <c r="B16284" i="2"/>
  <c r="B16283" i="2"/>
  <c r="B16282" i="2"/>
  <c r="B16281" i="2"/>
  <c r="B16280" i="2"/>
  <c r="B16279" i="2"/>
  <c r="B16278" i="2"/>
  <c r="B16277" i="2"/>
  <c r="B16276" i="2"/>
  <c r="B16275" i="2"/>
  <c r="B16274" i="2"/>
  <c r="B16273" i="2"/>
  <c r="B16272" i="2"/>
  <c r="B16271" i="2"/>
  <c r="B16270" i="2"/>
  <c r="B16269" i="2"/>
  <c r="B16268" i="2"/>
  <c r="B16267" i="2"/>
  <c r="B16266" i="2"/>
  <c r="B16265" i="2"/>
  <c r="B16264" i="2"/>
  <c r="B16263" i="2"/>
  <c r="B16262" i="2"/>
  <c r="B16261" i="2"/>
  <c r="B16260" i="2"/>
  <c r="B16259" i="2"/>
  <c r="B16258" i="2"/>
  <c r="B16257" i="2"/>
  <c r="B16256" i="2"/>
  <c r="B16255" i="2"/>
  <c r="B16254" i="2"/>
  <c r="B16253" i="2"/>
  <c r="B16252" i="2"/>
  <c r="B16251" i="2"/>
  <c r="B16250" i="2"/>
  <c r="B16249" i="2"/>
  <c r="B16248" i="2"/>
  <c r="B16247" i="2"/>
  <c r="B16246" i="2"/>
  <c r="B16245" i="2"/>
  <c r="B16244" i="2"/>
  <c r="B16243" i="2"/>
  <c r="B16242" i="2"/>
  <c r="B16241" i="2"/>
  <c r="B16240" i="2"/>
  <c r="B16239" i="2"/>
  <c r="B16238" i="2"/>
  <c r="B16237" i="2"/>
  <c r="B16236" i="2"/>
  <c r="B16235" i="2"/>
  <c r="B16234" i="2"/>
  <c r="B16233" i="2"/>
  <c r="B16232" i="2"/>
  <c r="B16231" i="2"/>
  <c r="B16230" i="2"/>
  <c r="B16229" i="2"/>
  <c r="B16228" i="2"/>
  <c r="B16227" i="2"/>
  <c r="B16226" i="2"/>
  <c r="B16225" i="2"/>
  <c r="B16224" i="2"/>
  <c r="B16223" i="2"/>
  <c r="B16222" i="2"/>
  <c r="B16221" i="2"/>
  <c r="B16220" i="2"/>
  <c r="B16219" i="2"/>
  <c r="B16218" i="2"/>
  <c r="B16217" i="2"/>
  <c r="B16216" i="2"/>
  <c r="B16215" i="2"/>
  <c r="B16214" i="2"/>
  <c r="B16213" i="2"/>
  <c r="B16212" i="2"/>
  <c r="B16211" i="2"/>
  <c r="B16210" i="2"/>
  <c r="B16209" i="2"/>
  <c r="B16208" i="2"/>
  <c r="B16207" i="2"/>
  <c r="B16206" i="2"/>
  <c r="B16205" i="2"/>
  <c r="B16204" i="2"/>
  <c r="B16203" i="2"/>
  <c r="B16202" i="2"/>
  <c r="B16201" i="2"/>
  <c r="B16200" i="2"/>
  <c r="B16199" i="2"/>
  <c r="B16198" i="2"/>
  <c r="B16197" i="2"/>
  <c r="B16196" i="2"/>
  <c r="B16195" i="2"/>
  <c r="B16194" i="2"/>
  <c r="B16193" i="2"/>
  <c r="B16192" i="2"/>
  <c r="B16191" i="2"/>
  <c r="B16190" i="2"/>
  <c r="B16189" i="2"/>
  <c r="B16188" i="2"/>
  <c r="B16187" i="2"/>
  <c r="B16186" i="2"/>
  <c r="B16185" i="2"/>
  <c r="B16184" i="2"/>
  <c r="B16183" i="2"/>
  <c r="B16182" i="2"/>
  <c r="B16181" i="2"/>
  <c r="B16180" i="2"/>
  <c r="B16179" i="2"/>
  <c r="B16178" i="2"/>
  <c r="B16177" i="2"/>
  <c r="B16176" i="2"/>
  <c r="B16175" i="2"/>
  <c r="B16174" i="2"/>
  <c r="B16173" i="2"/>
  <c r="B16172" i="2"/>
  <c r="B16171" i="2"/>
  <c r="B16170" i="2"/>
  <c r="B16169" i="2"/>
  <c r="B16168" i="2"/>
  <c r="B16167" i="2"/>
  <c r="B16166" i="2"/>
  <c r="B16165" i="2"/>
  <c r="B16164" i="2"/>
  <c r="B16163" i="2"/>
  <c r="B16162" i="2"/>
  <c r="B16161" i="2"/>
  <c r="B16160" i="2"/>
  <c r="B16159" i="2"/>
  <c r="B16158" i="2"/>
  <c r="B16157" i="2"/>
  <c r="B16156" i="2"/>
  <c r="B16155" i="2"/>
  <c r="B16154" i="2"/>
  <c r="B16153" i="2"/>
  <c r="B16152" i="2"/>
  <c r="B16151" i="2"/>
  <c r="B16150" i="2"/>
  <c r="B16149" i="2"/>
  <c r="B16148" i="2"/>
  <c r="B16147" i="2"/>
  <c r="B16146" i="2"/>
  <c r="B16145" i="2"/>
  <c r="B16144" i="2"/>
  <c r="B16143" i="2"/>
  <c r="B16142" i="2"/>
  <c r="B16141" i="2"/>
  <c r="B16140" i="2"/>
  <c r="B16139" i="2"/>
  <c r="B16138" i="2"/>
  <c r="B16137" i="2"/>
  <c r="B16136" i="2"/>
  <c r="B16135" i="2"/>
  <c r="B16134" i="2"/>
  <c r="B16133" i="2"/>
  <c r="B16132" i="2"/>
  <c r="B16131" i="2"/>
  <c r="B16130" i="2"/>
  <c r="B16129" i="2"/>
  <c r="B16128" i="2"/>
  <c r="B16127" i="2"/>
  <c r="B16126" i="2"/>
  <c r="B16125" i="2"/>
  <c r="B16124" i="2"/>
  <c r="B16123" i="2"/>
  <c r="B16122" i="2"/>
  <c r="B16121" i="2"/>
  <c r="B16120" i="2"/>
  <c r="B16119" i="2"/>
  <c r="B16118" i="2"/>
  <c r="B16117" i="2"/>
  <c r="B16116" i="2"/>
  <c r="B16115" i="2"/>
  <c r="B16114" i="2"/>
  <c r="B16113" i="2"/>
  <c r="B16112" i="2"/>
  <c r="B16111" i="2"/>
  <c r="B16110" i="2"/>
  <c r="B16109" i="2"/>
  <c r="B16108" i="2"/>
  <c r="B16107" i="2"/>
  <c r="B16106" i="2"/>
  <c r="B16105" i="2"/>
  <c r="B16104" i="2"/>
  <c r="B16103" i="2"/>
  <c r="B16102" i="2"/>
  <c r="B16101" i="2"/>
  <c r="B16100" i="2"/>
  <c r="B16099" i="2"/>
  <c r="B16098" i="2"/>
  <c r="B16097" i="2"/>
  <c r="B16096" i="2"/>
  <c r="B16095" i="2"/>
  <c r="B16094" i="2"/>
  <c r="B16093" i="2"/>
  <c r="B16092" i="2"/>
  <c r="B16091" i="2"/>
  <c r="B16090" i="2"/>
  <c r="B16089" i="2"/>
  <c r="B16088" i="2"/>
  <c r="B16087" i="2"/>
  <c r="B16086" i="2"/>
  <c r="B16085" i="2"/>
  <c r="B16084" i="2"/>
  <c r="B16083" i="2"/>
  <c r="B16082" i="2"/>
  <c r="B16081" i="2"/>
  <c r="B16080" i="2"/>
  <c r="B16079" i="2"/>
  <c r="B16078" i="2"/>
  <c r="B16077" i="2"/>
  <c r="B16076" i="2"/>
  <c r="B16075" i="2"/>
  <c r="B16074" i="2"/>
  <c r="B16073" i="2"/>
  <c r="B16072" i="2"/>
  <c r="B16071" i="2"/>
  <c r="B16070" i="2"/>
  <c r="B16069" i="2"/>
  <c r="B16068" i="2"/>
  <c r="B16067" i="2"/>
  <c r="B16066" i="2"/>
  <c r="B16065" i="2"/>
  <c r="B16064" i="2"/>
  <c r="B16063" i="2"/>
  <c r="B16062" i="2"/>
  <c r="B16061" i="2"/>
  <c r="B16060" i="2"/>
  <c r="B16059" i="2"/>
  <c r="B16058" i="2"/>
  <c r="B16057" i="2"/>
  <c r="B16056" i="2"/>
  <c r="B16055" i="2"/>
  <c r="B16054" i="2"/>
  <c r="B16053" i="2"/>
  <c r="B16052" i="2"/>
  <c r="B16051" i="2"/>
  <c r="B16050" i="2"/>
  <c r="B16049" i="2"/>
  <c r="B16048" i="2"/>
  <c r="B16047" i="2"/>
  <c r="B16046" i="2"/>
  <c r="B16045" i="2"/>
  <c r="B16044" i="2"/>
  <c r="B16043" i="2"/>
  <c r="B16042" i="2"/>
  <c r="B16041" i="2"/>
  <c r="B16040" i="2"/>
  <c r="B16039" i="2"/>
  <c r="B16038" i="2"/>
  <c r="B16037" i="2"/>
  <c r="B16036" i="2"/>
  <c r="B16035" i="2"/>
  <c r="B16034" i="2"/>
  <c r="B16033" i="2"/>
  <c r="B16032" i="2"/>
  <c r="B16031" i="2"/>
  <c r="B16030" i="2"/>
  <c r="B16029" i="2"/>
  <c r="B16028" i="2"/>
  <c r="B16027" i="2"/>
  <c r="B16026" i="2"/>
  <c r="B16025" i="2"/>
  <c r="B16024" i="2"/>
  <c r="B16023" i="2"/>
  <c r="B16022" i="2"/>
  <c r="B16021" i="2"/>
  <c r="B16020" i="2"/>
  <c r="B16019" i="2"/>
  <c r="B16018" i="2"/>
  <c r="B16017" i="2"/>
  <c r="B16016" i="2"/>
  <c r="B16015" i="2"/>
  <c r="B16014" i="2"/>
  <c r="B16013" i="2"/>
  <c r="B16012" i="2"/>
  <c r="B16011" i="2"/>
  <c r="B16010" i="2"/>
  <c r="B16009" i="2"/>
  <c r="B16008" i="2"/>
  <c r="B16007" i="2"/>
  <c r="B16006" i="2"/>
  <c r="B16005" i="2"/>
  <c r="B16004" i="2"/>
  <c r="B16003" i="2"/>
  <c r="B16002" i="2"/>
  <c r="B16001" i="2"/>
  <c r="B16000" i="2"/>
  <c r="B15999" i="2"/>
  <c r="B15998" i="2"/>
  <c r="B15997" i="2"/>
  <c r="B15996" i="2"/>
  <c r="B15995" i="2"/>
  <c r="B15994" i="2"/>
  <c r="B15993" i="2"/>
  <c r="B15992" i="2"/>
  <c r="B15991" i="2"/>
  <c r="B15990" i="2"/>
  <c r="B15989" i="2"/>
  <c r="B15988" i="2"/>
  <c r="B15987" i="2"/>
  <c r="B15986" i="2"/>
  <c r="B15985" i="2"/>
  <c r="B15984" i="2"/>
  <c r="B15983" i="2"/>
  <c r="B15982" i="2"/>
  <c r="B15981" i="2"/>
  <c r="B15980" i="2"/>
  <c r="B15979" i="2"/>
  <c r="B15978" i="2"/>
  <c r="B15977" i="2"/>
  <c r="B15976" i="2"/>
  <c r="B15975" i="2"/>
  <c r="B15974" i="2"/>
  <c r="B15973" i="2"/>
  <c r="B15972" i="2"/>
  <c r="B15971" i="2"/>
  <c r="B15970" i="2"/>
  <c r="B15969" i="2"/>
  <c r="B15968" i="2"/>
  <c r="B15967" i="2"/>
  <c r="B15966" i="2"/>
  <c r="B15965" i="2"/>
  <c r="B15964" i="2"/>
  <c r="B15963" i="2"/>
  <c r="B15962" i="2"/>
  <c r="B15961" i="2"/>
  <c r="B15960" i="2"/>
  <c r="B15959" i="2"/>
  <c r="B15958" i="2"/>
  <c r="B15957" i="2"/>
  <c r="B15956" i="2"/>
  <c r="B15955" i="2"/>
  <c r="B15954" i="2"/>
  <c r="B15953" i="2"/>
  <c r="B15952" i="2"/>
  <c r="B15951" i="2"/>
  <c r="B15950" i="2"/>
  <c r="B15949" i="2"/>
  <c r="B15948" i="2"/>
  <c r="B15947" i="2"/>
  <c r="B15946" i="2"/>
  <c r="B15945" i="2"/>
  <c r="B15944" i="2"/>
  <c r="B15943" i="2"/>
  <c r="B15942" i="2"/>
  <c r="B15941" i="2"/>
  <c r="B15940" i="2"/>
  <c r="B15939" i="2"/>
  <c r="B15938" i="2"/>
  <c r="B15937" i="2"/>
  <c r="B15936" i="2"/>
  <c r="B15935" i="2"/>
  <c r="B15934" i="2"/>
  <c r="B15933" i="2"/>
  <c r="B15932" i="2"/>
  <c r="B15931" i="2"/>
  <c r="B15930" i="2"/>
  <c r="B15929" i="2"/>
  <c r="B15928" i="2"/>
  <c r="B15927" i="2"/>
  <c r="B15926" i="2"/>
  <c r="B15925" i="2"/>
  <c r="B15924" i="2"/>
  <c r="B15923" i="2"/>
  <c r="B15922" i="2"/>
  <c r="B15921" i="2"/>
  <c r="B15920" i="2"/>
  <c r="B15919" i="2"/>
  <c r="B15918" i="2"/>
  <c r="B15917" i="2"/>
  <c r="B15916" i="2"/>
  <c r="B15915" i="2"/>
  <c r="B15914" i="2"/>
  <c r="B15913" i="2"/>
  <c r="B15912" i="2"/>
  <c r="B15911" i="2"/>
  <c r="B15910" i="2"/>
  <c r="B15909" i="2"/>
  <c r="B15908" i="2"/>
  <c r="B15907" i="2"/>
  <c r="B15906" i="2"/>
  <c r="B15905" i="2"/>
  <c r="B15904" i="2"/>
  <c r="B15903" i="2"/>
  <c r="B15902" i="2"/>
  <c r="B15901" i="2"/>
  <c r="B15900" i="2"/>
  <c r="B15899" i="2"/>
  <c r="B15898" i="2"/>
  <c r="B15897" i="2"/>
  <c r="B15896" i="2"/>
  <c r="B15895" i="2"/>
  <c r="B15894" i="2"/>
  <c r="B15893" i="2"/>
  <c r="B15892" i="2"/>
  <c r="B15891" i="2"/>
  <c r="B15890" i="2"/>
  <c r="B15889" i="2"/>
  <c r="B15888" i="2"/>
  <c r="B15887" i="2"/>
  <c r="B15886" i="2"/>
  <c r="B15885" i="2"/>
  <c r="B15884" i="2"/>
  <c r="B15883" i="2"/>
  <c r="B15882" i="2"/>
  <c r="B15881" i="2"/>
  <c r="B15880" i="2"/>
  <c r="B15879" i="2"/>
  <c r="B15878" i="2"/>
  <c r="B15877" i="2"/>
  <c r="B15876" i="2"/>
  <c r="B15875" i="2"/>
  <c r="B15874" i="2"/>
  <c r="B15873" i="2"/>
  <c r="B15872" i="2"/>
  <c r="B15871" i="2"/>
  <c r="B15870" i="2"/>
  <c r="B15869" i="2"/>
  <c r="B15868" i="2"/>
  <c r="B15867" i="2"/>
  <c r="B15866" i="2"/>
  <c r="B15865" i="2"/>
  <c r="B15864" i="2"/>
  <c r="B15863" i="2"/>
  <c r="B15862" i="2"/>
  <c r="B15861" i="2"/>
  <c r="B15860" i="2"/>
  <c r="B15859" i="2"/>
  <c r="B15858" i="2"/>
  <c r="B15857" i="2"/>
  <c r="B15856" i="2"/>
  <c r="B15855" i="2"/>
  <c r="B15854" i="2"/>
  <c r="B15853" i="2"/>
  <c r="B15852" i="2"/>
  <c r="B15851" i="2"/>
  <c r="B15850" i="2"/>
  <c r="B15849" i="2"/>
  <c r="B15848" i="2"/>
  <c r="B15847" i="2"/>
  <c r="B15846" i="2"/>
  <c r="B15845" i="2"/>
  <c r="B15844" i="2"/>
  <c r="B15843" i="2"/>
  <c r="B15842" i="2"/>
  <c r="B15841" i="2"/>
  <c r="B15840" i="2"/>
  <c r="B15839" i="2"/>
  <c r="B15838" i="2"/>
  <c r="B15837" i="2"/>
  <c r="B15836" i="2"/>
  <c r="B15835" i="2"/>
  <c r="B15834" i="2"/>
  <c r="B15833" i="2"/>
  <c r="B15832" i="2"/>
  <c r="B15831" i="2"/>
  <c r="B15830" i="2"/>
  <c r="B15829" i="2"/>
  <c r="B15828" i="2"/>
  <c r="B15827" i="2"/>
  <c r="B15826" i="2"/>
  <c r="B15825" i="2"/>
  <c r="B15824" i="2"/>
  <c r="B15823" i="2"/>
  <c r="B15822" i="2"/>
  <c r="B15821" i="2"/>
  <c r="B15820" i="2"/>
  <c r="B15819" i="2"/>
  <c r="B15818" i="2"/>
  <c r="B15817" i="2"/>
  <c r="B15816" i="2"/>
  <c r="B15815" i="2"/>
  <c r="B15814" i="2"/>
  <c r="B15813" i="2"/>
  <c r="B15812" i="2"/>
  <c r="B15811" i="2"/>
  <c r="B15810" i="2"/>
  <c r="B15809" i="2"/>
  <c r="B15808" i="2"/>
  <c r="B15807" i="2"/>
  <c r="B15806" i="2"/>
  <c r="B15805" i="2"/>
  <c r="B15804" i="2"/>
  <c r="B15803" i="2"/>
  <c r="B15802" i="2"/>
  <c r="B15801" i="2"/>
  <c r="B15800" i="2"/>
  <c r="B15799" i="2"/>
  <c r="B15798" i="2"/>
  <c r="B15797" i="2"/>
  <c r="B15796" i="2"/>
  <c r="B15795" i="2"/>
  <c r="B15794" i="2"/>
  <c r="B15793" i="2"/>
  <c r="B15792" i="2"/>
  <c r="B15791" i="2"/>
  <c r="B15790" i="2"/>
  <c r="B15789" i="2"/>
  <c r="B15788" i="2"/>
  <c r="B15787" i="2"/>
  <c r="B15786" i="2"/>
  <c r="B15785" i="2"/>
  <c r="B15784" i="2"/>
  <c r="B15783" i="2"/>
  <c r="B15782" i="2"/>
  <c r="B15781" i="2"/>
  <c r="B15780" i="2"/>
  <c r="B15779" i="2"/>
  <c r="B15778" i="2"/>
  <c r="B15777" i="2"/>
  <c r="B15776" i="2"/>
  <c r="B15775" i="2"/>
  <c r="B15774" i="2"/>
  <c r="B15773" i="2"/>
  <c r="B15772" i="2"/>
  <c r="B15771" i="2"/>
  <c r="B15770" i="2"/>
  <c r="B15769" i="2"/>
  <c r="B15768" i="2"/>
  <c r="B15767" i="2"/>
  <c r="B15766" i="2"/>
  <c r="B15765" i="2"/>
  <c r="B15764" i="2"/>
  <c r="B15763" i="2"/>
  <c r="B15762" i="2"/>
  <c r="B15761" i="2"/>
  <c r="B15760" i="2"/>
  <c r="B15759" i="2"/>
  <c r="B15758" i="2"/>
  <c r="B15757" i="2"/>
  <c r="B15756" i="2"/>
  <c r="B15755" i="2"/>
  <c r="B15754" i="2"/>
  <c r="B15753" i="2"/>
  <c r="B15752" i="2"/>
  <c r="B15751" i="2"/>
  <c r="B15750" i="2"/>
  <c r="B15749" i="2"/>
  <c r="B15748" i="2"/>
  <c r="B15747" i="2"/>
  <c r="B15746" i="2"/>
  <c r="B15745" i="2"/>
  <c r="B15744" i="2"/>
  <c r="B15743" i="2"/>
  <c r="B15742" i="2"/>
  <c r="B15741" i="2"/>
  <c r="B15740" i="2"/>
  <c r="B15739" i="2"/>
  <c r="B15738" i="2"/>
  <c r="B15737" i="2"/>
  <c r="B15736" i="2"/>
  <c r="B15735" i="2"/>
  <c r="B15734" i="2"/>
  <c r="B15733" i="2"/>
  <c r="B15732" i="2"/>
  <c r="B15731" i="2"/>
  <c r="B15730" i="2"/>
  <c r="B15729" i="2"/>
  <c r="B15728" i="2"/>
  <c r="B15727" i="2"/>
  <c r="B15726" i="2"/>
  <c r="B15725" i="2"/>
  <c r="B15724" i="2"/>
  <c r="B15723" i="2"/>
  <c r="B15722" i="2"/>
  <c r="B15721" i="2"/>
  <c r="B15720" i="2"/>
  <c r="B15719" i="2"/>
  <c r="B15718" i="2"/>
  <c r="B15717" i="2"/>
  <c r="B15716" i="2"/>
  <c r="B15715" i="2"/>
  <c r="B15714" i="2"/>
  <c r="B15713" i="2"/>
  <c r="B15712" i="2"/>
  <c r="B15711" i="2"/>
  <c r="B15710" i="2"/>
  <c r="B15709" i="2"/>
  <c r="B15708" i="2"/>
  <c r="B15707" i="2"/>
  <c r="B15706" i="2"/>
  <c r="B15705" i="2"/>
  <c r="B15704" i="2"/>
  <c r="B15703" i="2"/>
  <c r="B15702" i="2"/>
  <c r="B15701" i="2"/>
  <c r="B15700" i="2"/>
  <c r="B15699" i="2"/>
  <c r="B15698" i="2"/>
  <c r="B15697" i="2"/>
  <c r="B15696" i="2"/>
  <c r="B15695" i="2"/>
  <c r="B15694" i="2"/>
  <c r="B15693" i="2"/>
  <c r="B15692" i="2"/>
  <c r="B15691" i="2"/>
  <c r="B15690" i="2"/>
  <c r="B15689" i="2"/>
  <c r="B15688" i="2"/>
  <c r="B15687" i="2"/>
  <c r="B15686" i="2"/>
  <c r="B15685" i="2"/>
  <c r="B15684" i="2"/>
  <c r="B15683" i="2"/>
  <c r="B15682" i="2"/>
  <c r="B15681" i="2"/>
  <c r="B15680" i="2"/>
  <c r="B15679" i="2"/>
  <c r="B15678" i="2"/>
  <c r="B15677" i="2"/>
  <c r="B15676" i="2"/>
  <c r="B15675" i="2"/>
  <c r="B15674" i="2"/>
  <c r="B15673" i="2"/>
  <c r="B15672" i="2"/>
  <c r="B15671" i="2"/>
  <c r="B15670" i="2"/>
  <c r="B15669" i="2"/>
  <c r="B15668" i="2"/>
  <c r="B15667" i="2"/>
  <c r="B15666" i="2"/>
  <c r="B15665" i="2"/>
  <c r="B15664" i="2"/>
  <c r="B15663" i="2"/>
  <c r="B15662" i="2"/>
  <c r="B15661" i="2"/>
  <c r="B15660" i="2"/>
  <c r="B15659" i="2"/>
  <c r="B15658" i="2"/>
  <c r="B15657" i="2"/>
  <c r="B15656" i="2"/>
  <c r="B15655" i="2"/>
  <c r="B15654" i="2"/>
  <c r="B15653" i="2"/>
  <c r="B15652" i="2"/>
  <c r="B15651" i="2"/>
  <c r="B15650" i="2"/>
  <c r="B15649" i="2"/>
  <c r="B15648" i="2"/>
  <c r="B15647" i="2"/>
  <c r="B15646" i="2"/>
  <c r="B15645" i="2"/>
  <c r="B15644" i="2"/>
  <c r="B15643" i="2"/>
  <c r="B15642" i="2"/>
  <c r="B15641" i="2"/>
  <c r="B15640" i="2"/>
  <c r="B15639" i="2"/>
  <c r="B15638" i="2"/>
  <c r="B15637" i="2"/>
  <c r="B15636" i="2"/>
  <c r="B15635" i="2"/>
  <c r="B15634" i="2"/>
  <c r="B15633" i="2"/>
  <c r="B15632" i="2"/>
  <c r="B15631" i="2"/>
  <c r="B15630" i="2"/>
  <c r="B15629" i="2"/>
  <c r="B15628" i="2"/>
  <c r="B15627" i="2"/>
  <c r="B15626" i="2"/>
  <c r="B15625" i="2"/>
  <c r="B15624" i="2"/>
  <c r="B15623" i="2"/>
  <c r="B15622" i="2"/>
  <c r="B15621" i="2"/>
  <c r="B15620" i="2"/>
  <c r="B15619" i="2"/>
  <c r="B15618" i="2"/>
  <c r="B15617" i="2"/>
  <c r="B15616" i="2"/>
  <c r="B15615" i="2"/>
  <c r="B15614" i="2"/>
  <c r="B15613" i="2"/>
  <c r="B15612" i="2"/>
  <c r="B15611" i="2"/>
  <c r="B15610" i="2"/>
  <c r="B15609" i="2"/>
  <c r="B15608" i="2"/>
  <c r="B15607" i="2"/>
  <c r="B15606" i="2"/>
  <c r="B15605" i="2"/>
  <c r="B15604" i="2"/>
  <c r="B15603" i="2"/>
  <c r="B15602" i="2"/>
  <c r="B15601" i="2"/>
  <c r="B15600" i="2"/>
  <c r="B15599" i="2"/>
  <c r="B15598" i="2"/>
  <c r="B15597" i="2"/>
  <c r="B15596" i="2"/>
  <c r="B15595" i="2"/>
  <c r="B15594" i="2"/>
  <c r="B15593" i="2"/>
  <c r="B15592" i="2"/>
  <c r="B15591" i="2"/>
  <c r="B15590" i="2"/>
  <c r="B15589" i="2"/>
  <c r="B15588" i="2"/>
  <c r="B15587" i="2"/>
  <c r="B15586" i="2"/>
  <c r="B15585" i="2"/>
  <c r="B15584" i="2"/>
  <c r="B15583" i="2"/>
  <c r="B15582" i="2"/>
  <c r="B15581" i="2"/>
  <c r="B15580" i="2"/>
  <c r="B15579" i="2"/>
  <c r="B15578" i="2"/>
  <c r="B15577" i="2"/>
  <c r="B15576" i="2"/>
  <c r="B15575" i="2"/>
  <c r="B15574" i="2"/>
  <c r="B15573" i="2"/>
  <c r="B15572" i="2"/>
  <c r="B15571" i="2"/>
  <c r="B15570" i="2"/>
  <c r="B15569" i="2"/>
  <c r="B15568" i="2"/>
  <c r="B15567" i="2"/>
  <c r="B15566" i="2"/>
  <c r="B15565" i="2"/>
  <c r="B15564" i="2"/>
  <c r="B15563" i="2"/>
  <c r="B15562" i="2"/>
  <c r="B15561" i="2"/>
  <c r="B15560" i="2"/>
  <c r="B15559" i="2"/>
  <c r="B15558" i="2"/>
  <c r="B15557" i="2"/>
  <c r="B15556" i="2"/>
  <c r="B15555" i="2"/>
  <c r="B15554" i="2"/>
  <c r="B15553" i="2"/>
  <c r="B15552" i="2"/>
  <c r="B15551" i="2"/>
  <c r="B15550" i="2"/>
  <c r="B15549" i="2"/>
  <c r="B15548" i="2"/>
  <c r="B15547" i="2"/>
  <c r="B15546" i="2"/>
  <c r="B15545" i="2"/>
  <c r="B15544" i="2"/>
  <c r="B15543" i="2"/>
  <c r="B15542" i="2"/>
  <c r="B15541" i="2"/>
  <c r="B15540" i="2"/>
  <c r="B15539" i="2"/>
  <c r="B15538" i="2"/>
  <c r="B15537" i="2"/>
  <c r="B15536" i="2"/>
  <c r="B15535" i="2"/>
  <c r="B15534" i="2"/>
  <c r="B15533" i="2"/>
  <c r="B15532" i="2"/>
  <c r="B15531" i="2"/>
  <c r="B15530" i="2"/>
  <c r="B15529" i="2"/>
  <c r="B15528" i="2"/>
  <c r="B15527" i="2"/>
  <c r="B15526" i="2"/>
  <c r="B15525" i="2"/>
  <c r="B15524" i="2"/>
  <c r="B15523" i="2"/>
  <c r="B15522" i="2"/>
  <c r="B15521" i="2"/>
  <c r="B15520" i="2"/>
  <c r="B15519" i="2"/>
  <c r="B15518" i="2"/>
  <c r="B15517" i="2"/>
  <c r="B15516" i="2"/>
  <c r="B15515" i="2"/>
  <c r="B15514" i="2"/>
  <c r="B15513" i="2"/>
  <c r="B15512" i="2"/>
  <c r="B15511" i="2"/>
  <c r="B15510" i="2"/>
  <c r="B15509" i="2"/>
  <c r="B15508" i="2"/>
  <c r="B15507" i="2"/>
  <c r="B15506" i="2"/>
  <c r="B15505" i="2"/>
  <c r="B15504" i="2"/>
  <c r="B15503" i="2"/>
  <c r="B15502" i="2"/>
  <c r="B15501" i="2"/>
  <c r="B15500" i="2"/>
  <c r="B15499" i="2"/>
  <c r="B15498" i="2"/>
  <c r="B15497" i="2"/>
  <c r="B15496" i="2"/>
  <c r="B15495" i="2"/>
  <c r="B15494" i="2"/>
  <c r="B15493" i="2"/>
  <c r="B15492" i="2"/>
  <c r="B15491" i="2"/>
  <c r="B15490" i="2"/>
  <c r="B15489" i="2"/>
  <c r="B15488" i="2"/>
  <c r="B15487" i="2"/>
  <c r="B15486" i="2"/>
  <c r="B15485" i="2"/>
  <c r="B15484" i="2"/>
  <c r="B15483" i="2"/>
  <c r="B15482" i="2"/>
  <c r="B15481" i="2"/>
  <c r="B15480" i="2"/>
  <c r="B15479" i="2"/>
  <c r="B15478" i="2"/>
  <c r="B15477" i="2"/>
  <c r="B15476" i="2"/>
  <c r="B15475" i="2"/>
  <c r="B15474" i="2"/>
  <c r="B15473" i="2"/>
  <c r="B15472" i="2"/>
  <c r="B15471" i="2"/>
  <c r="B15470" i="2"/>
  <c r="B15469" i="2"/>
  <c r="B15468" i="2"/>
  <c r="B15467" i="2"/>
  <c r="B15466" i="2"/>
  <c r="B15465" i="2"/>
  <c r="B15464" i="2"/>
  <c r="B15463" i="2"/>
  <c r="B15462" i="2"/>
  <c r="B15461" i="2"/>
  <c r="B15460" i="2"/>
  <c r="B15459" i="2"/>
  <c r="B15458" i="2"/>
  <c r="B15457" i="2"/>
  <c r="B15456" i="2"/>
  <c r="B15455" i="2"/>
  <c r="B15454" i="2"/>
  <c r="B15453" i="2"/>
  <c r="B15452" i="2"/>
  <c r="B15451" i="2"/>
  <c r="B15450" i="2"/>
  <c r="B15449" i="2"/>
  <c r="B15448" i="2"/>
  <c r="B15447" i="2"/>
  <c r="B15446" i="2"/>
  <c r="B15445" i="2"/>
  <c r="B15444" i="2"/>
  <c r="B15443" i="2"/>
  <c r="B15442" i="2"/>
  <c r="B15441" i="2"/>
  <c r="B15440" i="2"/>
  <c r="B15439" i="2"/>
  <c r="B15438" i="2"/>
  <c r="B15437" i="2"/>
  <c r="B15436" i="2"/>
  <c r="B15435" i="2"/>
  <c r="B15434" i="2"/>
  <c r="B15433" i="2"/>
  <c r="B15432" i="2"/>
  <c r="B15431" i="2"/>
  <c r="B15430" i="2"/>
  <c r="B15429" i="2"/>
  <c r="B15428" i="2"/>
  <c r="B15427" i="2"/>
  <c r="B15426" i="2"/>
  <c r="B15425" i="2"/>
  <c r="B15424" i="2"/>
  <c r="B15423" i="2"/>
  <c r="B15422" i="2"/>
  <c r="B15421" i="2"/>
  <c r="B15420" i="2"/>
  <c r="B15419" i="2"/>
  <c r="B15418" i="2"/>
  <c r="B15417" i="2"/>
  <c r="B15416" i="2"/>
  <c r="B15415" i="2"/>
  <c r="B15414" i="2"/>
  <c r="B15413" i="2"/>
  <c r="B15412" i="2"/>
  <c r="B15411" i="2"/>
  <c r="B15410" i="2"/>
  <c r="B15409" i="2"/>
  <c r="B15408" i="2"/>
  <c r="B15407" i="2"/>
  <c r="B15406" i="2"/>
  <c r="B15405" i="2"/>
  <c r="B15404" i="2"/>
  <c r="B15403" i="2"/>
  <c r="B15402" i="2"/>
  <c r="B15401" i="2"/>
  <c r="B15400" i="2"/>
  <c r="B15399" i="2"/>
  <c r="B15398" i="2"/>
  <c r="B15397" i="2"/>
  <c r="B15396" i="2"/>
  <c r="B15395" i="2"/>
  <c r="B15394" i="2"/>
  <c r="B15393" i="2"/>
  <c r="B15392" i="2"/>
  <c r="B15391" i="2"/>
  <c r="B15390" i="2"/>
  <c r="B15389" i="2"/>
  <c r="B15388" i="2"/>
  <c r="B15387" i="2"/>
  <c r="B15386" i="2"/>
  <c r="B15385" i="2"/>
  <c r="B15384" i="2"/>
  <c r="B15383" i="2"/>
  <c r="B15382" i="2"/>
  <c r="B15381" i="2"/>
  <c r="B15380" i="2"/>
  <c r="B15379" i="2"/>
  <c r="B15378" i="2"/>
  <c r="B15377" i="2"/>
  <c r="B15376" i="2"/>
  <c r="B15375" i="2"/>
  <c r="B15374" i="2"/>
  <c r="B15373" i="2"/>
  <c r="B15372" i="2"/>
  <c r="B15371" i="2"/>
  <c r="B15370" i="2"/>
  <c r="B15369" i="2"/>
  <c r="B15368" i="2"/>
  <c r="B15367" i="2"/>
  <c r="B15366" i="2"/>
  <c r="B15365" i="2"/>
  <c r="B15364" i="2"/>
  <c r="B15363" i="2"/>
  <c r="B15362" i="2"/>
  <c r="B15361" i="2"/>
  <c r="B15360" i="2"/>
  <c r="B15359" i="2"/>
  <c r="B15358" i="2"/>
  <c r="B15357" i="2"/>
  <c r="B15356" i="2"/>
  <c r="B15355" i="2"/>
  <c r="B15354" i="2"/>
  <c r="B15353" i="2"/>
  <c r="B15352" i="2"/>
  <c r="B15351" i="2"/>
  <c r="B15350" i="2"/>
  <c r="B15349" i="2"/>
  <c r="B15348" i="2"/>
  <c r="B15347" i="2"/>
  <c r="B15346" i="2"/>
  <c r="B15345" i="2"/>
  <c r="B15344" i="2"/>
  <c r="B15343" i="2"/>
  <c r="B15342" i="2"/>
  <c r="B15341" i="2"/>
  <c r="B15340" i="2"/>
  <c r="B15339" i="2"/>
  <c r="B15338" i="2"/>
  <c r="B15337" i="2"/>
  <c r="B15336" i="2"/>
  <c r="B15335" i="2"/>
  <c r="B15334" i="2"/>
  <c r="B15333" i="2"/>
  <c r="B15332" i="2"/>
  <c r="B15331" i="2"/>
  <c r="B15330" i="2"/>
  <c r="B15329" i="2"/>
  <c r="B15328" i="2"/>
  <c r="B15327" i="2"/>
  <c r="B15326" i="2"/>
  <c r="B15325" i="2"/>
  <c r="B15324" i="2"/>
  <c r="B15323" i="2"/>
  <c r="B15322" i="2"/>
  <c r="B15321" i="2"/>
  <c r="B15320" i="2"/>
  <c r="B15319" i="2"/>
  <c r="B15318" i="2"/>
  <c r="B15317" i="2"/>
  <c r="B15316" i="2"/>
  <c r="B15315" i="2"/>
  <c r="B15314" i="2"/>
  <c r="B15313" i="2"/>
  <c r="B15312" i="2"/>
  <c r="B15311" i="2"/>
  <c r="B15310" i="2"/>
  <c r="B15309" i="2"/>
  <c r="B15308" i="2"/>
  <c r="B15307" i="2"/>
  <c r="B15306" i="2"/>
  <c r="B15305" i="2"/>
  <c r="B15304" i="2"/>
  <c r="B15303" i="2"/>
  <c r="B15302" i="2"/>
  <c r="B15301" i="2"/>
  <c r="B15300" i="2"/>
  <c r="B15299" i="2"/>
  <c r="B15298" i="2"/>
  <c r="B15297" i="2"/>
  <c r="B15296" i="2"/>
  <c r="B15295" i="2"/>
  <c r="B15294" i="2"/>
  <c r="B15293" i="2"/>
  <c r="B15292" i="2"/>
  <c r="B15291" i="2"/>
  <c r="B15290" i="2"/>
  <c r="B15289" i="2"/>
  <c r="B15288" i="2"/>
  <c r="B15287" i="2"/>
  <c r="B15286" i="2"/>
  <c r="B15285" i="2"/>
  <c r="B15284" i="2"/>
  <c r="B15283" i="2"/>
  <c r="B15282" i="2"/>
  <c r="B15281" i="2"/>
  <c r="B15280" i="2"/>
  <c r="B15279" i="2"/>
  <c r="B15278" i="2"/>
  <c r="B15277" i="2"/>
  <c r="B15276" i="2"/>
  <c r="B15275" i="2"/>
  <c r="B15274" i="2"/>
  <c r="B15273" i="2"/>
  <c r="B15272" i="2"/>
  <c r="B15271" i="2"/>
  <c r="B15270" i="2"/>
  <c r="B15269" i="2"/>
  <c r="B15268" i="2"/>
  <c r="B15267" i="2"/>
  <c r="B15266" i="2"/>
  <c r="B15265" i="2"/>
  <c r="B15264" i="2"/>
  <c r="B15263" i="2"/>
  <c r="B15262" i="2"/>
  <c r="B15261" i="2"/>
  <c r="B15260" i="2"/>
  <c r="B15259" i="2"/>
  <c r="B15258" i="2"/>
  <c r="B15257" i="2"/>
  <c r="B15256" i="2"/>
  <c r="B15255" i="2"/>
  <c r="B15254" i="2"/>
  <c r="B15253" i="2"/>
  <c r="B15252" i="2"/>
  <c r="B15251" i="2"/>
  <c r="B15250" i="2"/>
  <c r="B15249" i="2"/>
  <c r="B15248" i="2"/>
  <c r="B15247" i="2"/>
  <c r="B15246" i="2"/>
  <c r="B15245" i="2"/>
  <c r="B15244" i="2"/>
  <c r="B15243" i="2"/>
  <c r="B15242" i="2"/>
  <c r="B15241" i="2"/>
  <c r="B15240" i="2"/>
  <c r="B15239" i="2"/>
  <c r="B15238" i="2"/>
  <c r="B15237" i="2"/>
  <c r="B15236" i="2"/>
  <c r="B15235" i="2"/>
  <c r="B15234" i="2"/>
  <c r="B15233" i="2"/>
  <c r="B15232" i="2"/>
  <c r="B15231" i="2"/>
  <c r="B15230" i="2"/>
  <c r="B15229" i="2"/>
  <c r="B15228" i="2"/>
  <c r="B15227" i="2"/>
  <c r="B15226" i="2"/>
  <c r="B15225" i="2"/>
  <c r="B15224" i="2"/>
  <c r="B15223" i="2"/>
  <c r="B15222" i="2"/>
  <c r="B15221" i="2"/>
  <c r="B15220" i="2"/>
  <c r="B15219" i="2"/>
  <c r="B15218" i="2"/>
  <c r="B15217" i="2"/>
  <c r="B15216" i="2"/>
  <c r="B15215" i="2"/>
  <c r="B15214" i="2"/>
  <c r="B15213" i="2"/>
  <c r="B15212" i="2"/>
  <c r="B15211" i="2"/>
  <c r="B15210" i="2"/>
  <c r="B15209" i="2"/>
  <c r="B15208" i="2"/>
  <c r="B15207" i="2"/>
  <c r="B15206" i="2"/>
  <c r="B15205" i="2"/>
  <c r="B15204" i="2"/>
  <c r="B15203" i="2"/>
  <c r="B15202" i="2"/>
  <c r="B15201" i="2"/>
  <c r="B15200" i="2"/>
  <c r="B15199" i="2"/>
  <c r="B15198" i="2"/>
  <c r="B15197" i="2"/>
  <c r="B15196" i="2"/>
  <c r="B15195" i="2"/>
  <c r="B15194" i="2"/>
  <c r="B15193" i="2"/>
  <c r="B15192" i="2"/>
  <c r="B15191" i="2"/>
  <c r="B15190" i="2"/>
  <c r="B15189" i="2"/>
  <c r="B15188" i="2"/>
  <c r="B15187" i="2"/>
  <c r="B15186" i="2"/>
  <c r="B15185" i="2"/>
  <c r="B15184" i="2"/>
  <c r="B15183" i="2"/>
  <c r="B15182" i="2"/>
  <c r="B15181" i="2"/>
  <c r="B15180" i="2"/>
  <c r="B15179" i="2"/>
  <c r="B15178" i="2"/>
  <c r="B15177" i="2"/>
  <c r="B15176" i="2"/>
  <c r="B15175" i="2"/>
  <c r="B15174" i="2"/>
  <c r="B15173" i="2"/>
  <c r="B15172" i="2"/>
  <c r="B15171" i="2"/>
  <c r="B15170" i="2"/>
  <c r="B15169" i="2"/>
  <c r="B15168" i="2"/>
  <c r="B15167" i="2"/>
  <c r="B15166" i="2"/>
  <c r="B15165" i="2"/>
  <c r="B15164" i="2"/>
  <c r="B15163" i="2"/>
  <c r="B15162" i="2"/>
  <c r="B15161" i="2"/>
  <c r="B15160" i="2"/>
  <c r="B15159" i="2"/>
  <c r="B15158" i="2"/>
  <c r="B15157" i="2"/>
  <c r="B15156" i="2"/>
  <c r="B15155" i="2"/>
  <c r="B15154" i="2"/>
  <c r="B15153" i="2"/>
  <c r="B15152" i="2"/>
  <c r="B15151" i="2"/>
  <c r="B15150" i="2"/>
  <c r="B15149" i="2"/>
  <c r="B15148" i="2"/>
  <c r="B15147" i="2"/>
  <c r="B15146" i="2"/>
  <c r="B15145" i="2"/>
  <c r="B15144" i="2"/>
  <c r="B15143" i="2"/>
  <c r="B15142" i="2"/>
  <c r="B15141" i="2"/>
  <c r="B15140" i="2"/>
  <c r="B15139" i="2"/>
  <c r="B15138" i="2"/>
  <c r="B15137" i="2"/>
  <c r="B15136" i="2"/>
  <c r="B15135" i="2"/>
  <c r="B15134" i="2"/>
  <c r="B15133" i="2"/>
  <c r="B15132" i="2"/>
  <c r="B15131" i="2"/>
  <c r="B15130" i="2"/>
  <c r="B15129" i="2"/>
  <c r="B15128" i="2"/>
  <c r="B15127" i="2"/>
  <c r="B15126" i="2"/>
  <c r="B15125" i="2"/>
  <c r="B15124" i="2"/>
  <c r="B15123" i="2"/>
  <c r="B15122" i="2"/>
  <c r="B15121" i="2"/>
  <c r="B15120" i="2"/>
  <c r="B15119" i="2"/>
  <c r="B15118" i="2"/>
  <c r="B15117" i="2"/>
  <c r="B15116" i="2"/>
  <c r="B15115" i="2"/>
  <c r="B15114" i="2"/>
  <c r="B15113" i="2"/>
  <c r="B15112" i="2"/>
  <c r="B15111" i="2"/>
  <c r="B15110" i="2"/>
  <c r="B15109" i="2"/>
  <c r="B15108" i="2"/>
  <c r="B15107" i="2"/>
  <c r="B15106" i="2"/>
  <c r="B15105" i="2"/>
  <c r="B15104" i="2"/>
  <c r="B15103" i="2"/>
  <c r="B15102" i="2"/>
  <c r="B15101" i="2"/>
  <c r="B15100" i="2"/>
  <c r="B15099" i="2"/>
  <c r="B15098" i="2"/>
  <c r="B15097" i="2"/>
  <c r="B15096" i="2"/>
  <c r="B15095" i="2"/>
  <c r="B15094" i="2"/>
  <c r="B15093" i="2"/>
  <c r="B15092" i="2"/>
  <c r="B15091" i="2"/>
  <c r="B15090" i="2"/>
  <c r="B15089" i="2"/>
  <c r="B15088" i="2"/>
  <c r="B15087" i="2"/>
  <c r="B15086" i="2"/>
  <c r="B15085" i="2"/>
  <c r="B15084" i="2"/>
  <c r="B15083" i="2"/>
  <c r="B15082" i="2"/>
  <c r="B15081" i="2"/>
  <c r="B15080" i="2"/>
  <c r="B15079" i="2"/>
  <c r="B15078" i="2"/>
  <c r="B15077" i="2"/>
  <c r="B15076" i="2"/>
  <c r="B15075" i="2"/>
  <c r="B15074" i="2"/>
  <c r="B15073" i="2"/>
  <c r="B15072" i="2"/>
  <c r="B15071" i="2"/>
  <c r="B15070" i="2"/>
  <c r="B15069" i="2"/>
  <c r="B15068" i="2"/>
  <c r="B15067" i="2"/>
  <c r="B15066" i="2"/>
  <c r="B15065" i="2"/>
  <c r="B15064" i="2"/>
  <c r="B15063" i="2"/>
  <c r="B15062" i="2"/>
  <c r="B15061" i="2"/>
  <c r="B15060" i="2"/>
  <c r="B15059" i="2"/>
  <c r="B15058" i="2"/>
  <c r="B15057" i="2"/>
  <c r="B15056" i="2"/>
  <c r="B15055" i="2"/>
  <c r="B15054" i="2"/>
  <c r="B15053" i="2"/>
  <c r="B15052" i="2"/>
  <c r="B15051" i="2"/>
  <c r="B15050" i="2"/>
  <c r="B15049" i="2"/>
  <c r="B15048" i="2"/>
  <c r="B15047" i="2"/>
  <c r="B15046" i="2"/>
  <c r="B15045" i="2"/>
  <c r="B15044" i="2"/>
  <c r="B15043" i="2"/>
  <c r="B15042" i="2"/>
  <c r="B15041" i="2"/>
  <c r="B15040" i="2"/>
  <c r="B15039" i="2"/>
  <c r="B15038" i="2"/>
  <c r="B15037" i="2"/>
  <c r="B15036" i="2"/>
  <c r="B15035" i="2"/>
  <c r="B15034" i="2"/>
  <c r="B15033" i="2"/>
  <c r="B15032" i="2"/>
  <c r="B15031" i="2"/>
  <c r="B15030" i="2"/>
  <c r="B15029" i="2"/>
  <c r="B15028" i="2"/>
  <c r="B15027" i="2"/>
  <c r="B15026" i="2"/>
  <c r="B15025" i="2"/>
  <c r="B15024" i="2"/>
  <c r="B15023" i="2"/>
  <c r="B15022" i="2"/>
  <c r="B15021" i="2"/>
  <c r="B15020" i="2"/>
  <c r="B15019" i="2"/>
  <c r="B15018" i="2"/>
  <c r="B15017" i="2"/>
  <c r="B15016" i="2"/>
  <c r="B15015" i="2"/>
  <c r="B15014" i="2"/>
  <c r="B15013" i="2"/>
  <c r="B15012" i="2"/>
  <c r="B15011" i="2"/>
  <c r="B15010" i="2"/>
  <c r="B15009" i="2"/>
  <c r="B15008" i="2"/>
  <c r="B15007" i="2"/>
  <c r="B15006" i="2"/>
  <c r="B15005" i="2"/>
  <c r="B15004" i="2"/>
  <c r="B15003" i="2"/>
  <c r="B15002" i="2"/>
  <c r="B15001" i="2"/>
  <c r="B15000" i="2"/>
  <c r="B14999" i="2"/>
  <c r="B14998" i="2"/>
  <c r="B14997" i="2"/>
  <c r="B14996" i="2"/>
  <c r="B14995" i="2"/>
  <c r="B14994" i="2"/>
  <c r="B14993" i="2"/>
  <c r="B14992" i="2"/>
  <c r="B14991" i="2"/>
  <c r="B14990" i="2"/>
  <c r="B14989" i="2"/>
  <c r="B14988" i="2"/>
  <c r="B14987" i="2"/>
  <c r="B14986" i="2"/>
  <c r="B14985" i="2"/>
  <c r="B14984" i="2"/>
  <c r="B14983" i="2"/>
  <c r="B14982" i="2"/>
  <c r="B14981" i="2"/>
  <c r="B14980" i="2"/>
  <c r="B14979" i="2"/>
  <c r="B14978" i="2"/>
  <c r="B14977" i="2"/>
  <c r="B14976" i="2"/>
  <c r="B14975" i="2"/>
  <c r="B14974" i="2"/>
  <c r="B14973" i="2"/>
  <c r="B14972" i="2"/>
  <c r="B14971" i="2"/>
  <c r="B14970" i="2"/>
  <c r="B14969" i="2"/>
  <c r="B14968" i="2"/>
  <c r="B14967" i="2"/>
  <c r="B14966" i="2"/>
  <c r="B14965" i="2"/>
  <c r="B14964" i="2"/>
  <c r="B14963" i="2"/>
  <c r="B14962" i="2"/>
  <c r="B14961" i="2"/>
  <c r="B14960" i="2"/>
  <c r="B14959" i="2"/>
  <c r="B14958" i="2"/>
  <c r="B14957" i="2"/>
  <c r="B14956" i="2"/>
  <c r="B14955" i="2"/>
  <c r="B14954" i="2"/>
  <c r="B14953" i="2"/>
  <c r="B14952" i="2"/>
  <c r="B14951" i="2"/>
  <c r="B14950" i="2"/>
  <c r="B14949" i="2"/>
  <c r="B14948" i="2"/>
  <c r="B14947" i="2"/>
  <c r="B14946" i="2"/>
  <c r="B14945" i="2"/>
  <c r="B14944" i="2"/>
  <c r="B14943" i="2"/>
  <c r="B14942" i="2"/>
  <c r="B14941" i="2"/>
  <c r="B14940" i="2"/>
  <c r="B14939" i="2"/>
  <c r="B14938" i="2"/>
  <c r="B14937" i="2"/>
  <c r="B14936" i="2"/>
  <c r="B14935" i="2"/>
  <c r="B14934" i="2"/>
  <c r="B14933" i="2"/>
  <c r="B14932" i="2"/>
  <c r="B14931" i="2"/>
  <c r="B14930" i="2"/>
  <c r="B14929" i="2"/>
  <c r="B14928" i="2"/>
  <c r="B14927" i="2"/>
  <c r="B14926" i="2"/>
  <c r="B14925" i="2"/>
  <c r="B14924" i="2"/>
  <c r="B14923" i="2"/>
  <c r="B14922" i="2"/>
  <c r="B14921" i="2"/>
  <c r="B14920" i="2"/>
  <c r="B14919" i="2"/>
  <c r="B14918" i="2"/>
  <c r="B14917" i="2"/>
  <c r="B14916" i="2"/>
  <c r="B14915" i="2"/>
  <c r="B14914" i="2"/>
  <c r="B14913" i="2"/>
  <c r="B14912" i="2"/>
  <c r="B14911" i="2"/>
  <c r="B14910" i="2"/>
  <c r="B14909" i="2"/>
  <c r="B14908" i="2"/>
  <c r="B14907" i="2"/>
  <c r="B14906" i="2"/>
  <c r="B14905" i="2"/>
  <c r="B14904" i="2"/>
  <c r="B14903" i="2"/>
  <c r="B14902" i="2"/>
  <c r="B14901" i="2"/>
  <c r="B14900" i="2"/>
  <c r="B14899" i="2"/>
  <c r="B14898" i="2"/>
  <c r="B14897" i="2"/>
  <c r="B14896" i="2"/>
  <c r="B14895" i="2"/>
  <c r="B14894" i="2"/>
  <c r="B14893" i="2"/>
  <c r="B14892" i="2"/>
  <c r="B14891" i="2"/>
  <c r="B14890" i="2"/>
  <c r="B14889" i="2"/>
  <c r="B14888" i="2"/>
  <c r="B14887" i="2"/>
  <c r="B14886" i="2"/>
  <c r="B14885" i="2"/>
  <c r="B14884" i="2"/>
  <c r="B14883" i="2"/>
  <c r="B14882" i="2"/>
  <c r="B14881" i="2"/>
  <c r="B14880" i="2"/>
  <c r="B14879" i="2"/>
  <c r="B14878" i="2"/>
  <c r="B14877" i="2"/>
  <c r="B14876" i="2"/>
  <c r="B14875" i="2"/>
  <c r="B14874" i="2"/>
  <c r="B14873" i="2"/>
  <c r="B14872" i="2"/>
  <c r="B14871" i="2"/>
  <c r="B14870" i="2"/>
  <c r="B14869" i="2"/>
  <c r="B14868" i="2"/>
  <c r="B14867" i="2"/>
  <c r="B14866" i="2"/>
  <c r="B14865" i="2"/>
  <c r="B14864" i="2"/>
  <c r="B14863" i="2"/>
  <c r="B14862" i="2"/>
  <c r="B14861" i="2"/>
  <c r="B14860" i="2"/>
  <c r="B14859" i="2"/>
  <c r="B14858" i="2"/>
  <c r="B14857" i="2"/>
  <c r="B14856" i="2"/>
  <c r="B14855" i="2"/>
  <c r="B14854" i="2"/>
  <c r="B14853" i="2"/>
  <c r="B14852" i="2"/>
  <c r="B14851" i="2"/>
  <c r="B14850" i="2"/>
  <c r="B14849" i="2"/>
  <c r="B14848" i="2"/>
  <c r="B14847" i="2"/>
  <c r="B14846" i="2"/>
  <c r="B14845" i="2"/>
  <c r="B14844" i="2"/>
  <c r="B14843" i="2"/>
  <c r="B14842" i="2"/>
  <c r="B14841" i="2"/>
  <c r="B14840" i="2"/>
  <c r="B14839" i="2"/>
  <c r="B14838" i="2"/>
  <c r="B14837" i="2"/>
  <c r="B14836" i="2"/>
  <c r="B14835" i="2"/>
  <c r="B14834" i="2"/>
  <c r="B14833" i="2"/>
  <c r="B14832" i="2"/>
  <c r="B14831" i="2"/>
  <c r="B14830" i="2"/>
  <c r="B14829" i="2"/>
  <c r="B14828" i="2"/>
  <c r="B14827" i="2"/>
  <c r="B14826" i="2"/>
  <c r="B14825" i="2"/>
  <c r="B14824" i="2"/>
  <c r="B14823" i="2"/>
  <c r="B14822" i="2"/>
  <c r="B14821" i="2"/>
  <c r="B14820" i="2"/>
  <c r="B14819" i="2"/>
  <c r="B14818" i="2"/>
  <c r="B14817" i="2"/>
  <c r="B14816" i="2"/>
  <c r="B14815" i="2"/>
  <c r="B14814" i="2"/>
  <c r="B14813" i="2"/>
  <c r="B14812" i="2"/>
  <c r="B14811" i="2"/>
  <c r="B14810" i="2"/>
  <c r="B14809" i="2"/>
  <c r="B14808" i="2"/>
  <c r="B14807" i="2"/>
  <c r="B14806" i="2"/>
  <c r="B14805" i="2"/>
  <c r="B14804" i="2"/>
  <c r="B14803" i="2"/>
  <c r="B14802" i="2"/>
  <c r="B14801" i="2"/>
  <c r="B14800" i="2"/>
  <c r="B14799" i="2"/>
  <c r="B14798" i="2"/>
  <c r="B14797" i="2"/>
  <c r="B14796" i="2"/>
  <c r="B14795" i="2"/>
  <c r="B14794" i="2"/>
  <c r="B14793" i="2"/>
  <c r="B14792" i="2"/>
  <c r="B14791" i="2"/>
  <c r="B14790" i="2"/>
  <c r="B14789" i="2"/>
  <c r="B14788" i="2"/>
  <c r="B14787" i="2"/>
  <c r="B14786" i="2"/>
  <c r="B14785" i="2"/>
  <c r="B14784" i="2"/>
  <c r="B14783" i="2"/>
  <c r="B14782" i="2"/>
  <c r="B14781" i="2"/>
  <c r="B14780" i="2"/>
  <c r="B14779" i="2"/>
  <c r="B14778" i="2"/>
  <c r="B14777" i="2"/>
  <c r="B14776" i="2"/>
  <c r="B14775" i="2"/>
  <c r="B14774" i="2"/>
  <c r="B14773" i="2"/>
  <c r="B14772" i="2"/>
  <c r="B14771" i="2"/>
  <c r="B14770" i="2"/>
  <c r="B14769" i="2"/>
  <c r="B14768" i="2"/>
  <c r="B14767" i="2"/>
  <c r="B14766" i="2"/>
  <c r="B14765" i="2"/>
  <c r="B14764" i="2"/>
  <c r="B14763" i="2"/>
  <c r="B14762" i="2"/>
  <c r="B14761" i="2"/>
  <c r="B14760" i="2"/>
  <c r="B14759" i="2"/>
  <c r="B14758" i="2"/>
  <c r="B14757" i="2"/>
  <c r="B14756" i="2"/>
  <c r="B14755" i="2"/>
  <c r="B14754" i="2"/>
  <c r="B14753" i="2"/>
  <c r="B14752" i="2"/>
  <c r="B14751" i="2"/>
  <c r="B14750" i="2"/>
  <c r="B14749" i="2"/>
  <c r="B14748" i="2"/>
  <c r="B14747" i="2"/>
  <c r="B14746" i="2"/>
  <c r="B14745" i="2"/>
  <c r="B14744" i="2"/>
  <c r="B14743" i="2"/>
  <c r="B14742" i="2"/>
  <c r="B14741" i="2"/>
  <c r="B14740" i="2"/>
  <c r="B14739" i="2"/>
  <c r="B14738" i="2"/>
  <c r="B14737" i="2"/>
  <c r="B14736" i="2"/>
  <c r="B14735" i="2"/>
  <c r="B14734" i="2"/>
  <c r="B14733" i="2"/>
  <c r="B14732" i="2"/>
  <c r="B14731" i="2"/>
  <c r="B14730" i="2"/>
  <c r="B14729" i="2"/>
  <c r="B14728" i="2"/>
  <c r="B14727" i="2"/>
  <c r="B14726" i="2"/>
  <c r="B14725" i="2"/>
  <c r="B14724" i="2"/>
  <c r="B14723" i="2"/>
  <c r="B14722" i="2"/>
  <c r="B14721" i="2"/>
  <c r="B14720" i="2"/>
  <c r="B14719" i="2"/>
  <c r="B14718" i="2"/>
  <c r="B14717" i="2"/>
  <c r="B14716" i="2"/>
  <c r="B14715" i="2"/>
  <c r="B14714" i="2"/>
  <c r="B14713" i="2"/>
  <c r="B14712" i="2"/>
  <c r="B14711" i="2"/>
  <c r="B14710" i="2"/>
  <c r="B14709" i="2"/>
  <c r="B14708" i="2"/>
  <c r="B14707" i="2"/>
  <c r="B14706" i="2"/>
  <c r="B14705" i="2"/>
  <c r="B14704" i="2"/>
  <c r="B14703" i="2"/>
  <c r="B14702" i="2"/>
  <c r="B14701" i="2"/>
  <c r="B14700" i="2"/>
  <c r="B14699" i="2"/>
  <c r="B14698" i="2"/>
  <c r="B14697" i="2"/>
  <c r="B14696" i="2"/>
  <c r="B14695" i="2"/>
  <c r="B14694" i="2"/>
  <c r="B14693" i="2"/>
  <c r="B14692" i="2"/>
  <c r="B14691" i="2"/>
  <c r="B14690" i="2"/>
  <c r="B14689" i="2"/>
  <c r="B14688" i="2"/>
  <c r="B14687" i="2"/>
  <c r="B14686" i="2"/>
  <c r="B14685" i="2"/>
  <c r="B14684" i="2"/>
  <c r="B14683" i="2"/>
  <c r="B14682" i="2"/>
  <c r="B14681" i="2"/>
  <c r="B14680" i="2"/>
  <c r="B14679" i="2"/>
  <c r="B14678" i="2"/>
  <c r="B14677" i="2"/>
  <c r="B14676" i="2"/>
  <c r="B14675" i="2"/>
  <c r="B14674" i="2"/>
  <c r="B14673" i="2"/>
  <c r="B14672" i="2"/>
  <c r="B14671" i="2"/>
  <c r="B14670" i="2"/>
  <c r="B14669" i="2"/>
  <c r="B14668" i="2"/>
  <c r="B14667" i="2"/>
  <c r="B14666" i="2"/>
  <c r="B14665" i="2"/>
  <c r="B14664" i="2"/>
  <c r="B14663" i="2"/>
  <c r="B14662" i="2"/>
  <c r="B14661" i="2"/>
  <c r="B14660" i="2"/>
  <c r="B14659" i="2"/>
  <c r="B14658" i="2"/>
  <c r="B14657" i="2"/>
  <c r="B14656" i="2"/>
  <c r="B14655" i="2"/>
  <c r="B14654" i="2"/>
  <c r="B14653" i="2"/>
  <c r="B14652" i="2"/>
  <c r="B14651" i="2"/>
  <c r="B14650" i="2"/>
  <c r="B14649" i="2"/>
  <c r="B14648" i="2"/>
  <c r="B14647" i="2"/>
  <c r="B14646" i="2"/>
  <c r="B14645" i="2"/>
  <c r="B14644" i="2"/>
  <c r="B14643" i="2"/>
  <c r="B14642" i="2"/>
  <c r="B14641" i="2"/>
  <c r="B14640" i="2"/>
  <c r="B14639" i="2"/>
  <c r="B14638" i="2"/>
  <c r="B14637" i="2"/>
  <c r="B14636" i="2"/>
  <c r="B14635" i="2"/>
  <c r="B14634" i="2"/>
  <c r="B14633" i="2"/>
  <c r="B14632" i="2"/>
  <c r="B14631" i="2"/>
  <c r="B14630" i="2"/>
  <c r="B14629" i="2"/>
  <c r="B14628" i="2"/>
  <c r="B14627" i="2"/>
  <c r="B14626" i="2"/>
  <c r="B14625" i="2"/>
  <c r="B14624" i="2"/>
  <c r="B14623" i="2"/>
  <c r="B14622" i="2"/>
  <c r="B14621" i="2"/>
  <c r="B14620" i="2"/>
  <c r="B14619" i="2"/>
  <c r="B14618" i="2"/>
  <c r="B14617" i="2"/>
  <c r="B14616" i="2"/>
  <c r="B14615" i="2"/>
  <c r="B14614" i="2"/>
  <c r="B14613" i="2"/>
  <c r="B14612" i="2"/>
  <c r="B14611" i="2"/>
  <c r="B14610" i="2"/>
  <c r="B14609" i="2"/>
  <c r="B14608" i="2"/>
  <c r="B14607" i="2"/>
  <c r="B14606" i="2"/>
  <c r="B14605" i="2"/>
  <c r="B14604" i="2"/>
  <c r="B14603" i="2"/>
  <c r="B14602" i="2"/>
  <c r="B14601" i="2"/>
  <c r="B14600" i="2"/>
  <c r="B14599" i="2"/>
  <c r="B14598" i="2"/>
  <c r="B14597" i="2"/>
  <c r="B14596" i="2"/>
  <c r="B14595" i="2"/>
  <c r="B14594" i="2"/>
  <c r="B14593" i="2"/>
  <c r="B14592" i="2"/>
  <c r="B14591" i="2"/>
  <c r="B14590" i="2"/>
  <c r="B14589" i="2"/>
  <c r="B14588" i="2"/>
  <c r="B14587" i="2"/>
  <c r="B14586" i="2"/>
  <c r="B14585" i="2"/>
  <c r="B14584" i="2"/>
  <c r="B14583" i="2"/>
  <c r="B14582" i="2"/>
  <c r="B14581" i="2"/>
  <c r="B14580" i="2"/>
  <c r="B14579" i="2"/>
  <c r="B14578" i="2"/>
  <c r="B14577" i="2"/>
  <c r="B14576" i="2"/>
  <c r="B14575" i="2"/>
  <c r="B14574" i="2"/>
  <c r="B14573" i="2"/>
  <c r="B14572" i="2"/>
  <c r="B14571" i="2"/>
  <c r="B14570" i="2"/>
  <c r="B14569" i="2"/>
  <c r="B14568" i="2"/>
  <c r="B14567" i="2"/>
  <c r="B14566" i="2"/>
  <c r="B14565" i="2"/>
  <c r="B14564" i="2"/>
  <c r="B14563" i="2"/>
  <c r="B14562" i="2"/>
  <c r="B14561" i="2"/>
  <c r="B14560" i="2"/>
  <c r="B14559" i="2"/>
  <c r="B14558" i="2"/>
  <c r="B14557" i="2"/>
  <c r="B14556" i="2"/>
  <c r="B14555" i="2"/>
  <c r="B14554" i="2"/>
  <c r="B14553" i="2"/>
  <c r="B14552" i="2"/>
  <c r="B14551" i="2"/>
  <c r="B14550" i="2"/>
  <c r="B14549" i="2"/>
  <c r="B14548" i="2"/>
  <c r="B14547" i="2"/>
  <c r="B14546" i="2"/>
  <c r="B14545" i="2"/>
  <c r="B14544" i="2"/>
  <c r="B14543" i="2"/>
  <c r="B14542" i="2"/>
  <c r="B14541" i="2"/>
  <c r="B14540" i="2"/>
  <c r="B14539" i="2"/>
  <c r="B14538" i="2"/>
  <c r="B14537" i="2"/>
  <c r="B14536" i="2"/>
  <c r="B14535" i="2"/>
  <c r="B14534" i="2"/>
  <c r="B14533" i="2"/>
  <c r="B14532" i="2"/>
  <c r="B14531" i="2"/>
  <c r="B14530" i="2"/>
  <c r="B14529" i="2"/>
  <c r="B14528" i="2"/>
  <c r="B14527" i="2"/>
  <c r="B14526" i="2"/>
  <c r="B14525" i="2"/>
  <c r="B14524" i="2"/>
  <c r="B14523" i="2"/>
  <c r="B14522" i="2"/>
  <c r="B14521" i="2"/>
  <c r="B14520" i="2"/>
  <c r="B14519" i="2"/>
  <c r="B14518" i="2"/>
  <c r="B14517" i="2"/>
  <c r="B14516" i="2"/>
  <c r="B14515" i="2"/>
  <c r="B14514" i="2"/>
  <c r="B14513" i="2"/>
  <c r="B14512" i="2"/>
  <c r="B14511" i="2"/>
  <c r="B14510" i="2"/>
  <c r="B14509" i="2"/>
  <c r="B14508" i="2"/>
  <c r="B14507" i="2"/>
  <c r="B14506" i="2"/>
  <c r="B14505" i="2"/>
  <c r="B14504" i="2"/>
  <c r="B14503" i="2"/>
  <c r="B14502" i="2"/>
  <c r="B14501" i="2"/>
  <c r="B14500" i="2"/>
  <c r="B14499" i="2"/>
  <c r="B14498" i="2"/>
  <c r="B14497" i="2"/>
  <c r="B14496" i="2"/>
  <c r="B14495" i="2"/>
  <c r="B14494" i="2"/>
  <c r="B14493" i="2"/>
  <c r="B14492" i="2"/>
  <c r="B14491" i="2"/>
  <c r="B14490" i="2"/>
  <c r="B14489" i="2"/>
  <c r="B14488" i="2"/>
  <c r="B14487" i="2"/>
  <c r="B14486" i="2"/>
  <c r="B14485" i="2"/>
  <c r="B14484" i="2"/>
  <c r="B14483" i="2"/>
  <c r="B14482" i="2"/>
  <c r="B14481" i="2"/>
  <c r="B14480" i="2"/>
  <c r="B14479" i="2"/>
  <c r="B14478" i="2"/>
  <c r="B14477" i="2"/>
  <c r="B14476" i="2"/>
  <c r="B14475" i="2"/>
  <c r="B14474" i="2"/>
  <c r="B14473" i="2"/>
  <c r="B14472" i="2"/>
  <c r="B14471" i="2"/>
  <c r="B14470" i="2"/>
  <c r="B14469" i="2"/>
  <c r="B14468" i="2"/>
  <c r="B14467" i="2"/>
  <c r="B14466" i="2"/>
  <c r="B14465" i="2"/>
  <c r="B14464" i="2"/>
  <c r="B14463" i="2"/>
  <c r="B14462" i="2"/>
  <c r="B14461" i="2"/>
  <c r="B14460" i="2"/>
  <c r="B14459" i="2"/>
  <c r="B14458" i="2"/>
  <c r="B14457" i="2"/>
  <c r="B14456" i="2"/>
  <c r="B14455" i="2"/>
  <c r="B14454" i="2"/>
  <c r="B14453" i="2"/>
  <c r="B14452" i="2"/>
  <c r="B14451" i="2"/>
  <c r="B14450" i="2"/>
  <c r="B14449" i="2"/>
  <c r="B14448" i="2"/>
  <c r="B14447" i="2"/>
  <c r="B14446" i="2"/>
  <c r="B14445" i="2"/>
  <c r="B14444" i="2"/>
  <c r="B14443" i="2"/>
  <c r="B14442" i="2"/>
  <c r="B14441" i="2"/>
  <c r="B14440" i="2"/>
  <c r="B14439" i="2"/>
  <c r="B14438" i="2"/>
  <c r="B14437" i="2"/>
  <c r="B14436" i="2"/>
  <c r="B14435" i="2"/>
  <c r="B14434" i="2"/>
  <c r="B14433" i="2"/>
  <c r="B14432" i="2"/>
  <c r="B14431" i="2"/>
  <c r="B14430" i="2"/>
  <c r="B14429" i="2"/>
  <c r="B14428" i="2"/>
  <c r="B14427" i="2"/>
  <c r="B14426" i="2"/>
  <c r="B14425" i="2"/>
  <c r="B14424" i="2"/>
  <c r="B14423" i="2"/>
  <c r="B14422" i="2"/>
  <c r="B14421" i="2"/>
  <c r="B14420" i="2"/>
  <c r="B14419" i="2"/>
  <c r="B14418" i="2"/>
  <c r="B14417" i="2"/>
  <c r="B14416" i="2"/>
  <c r="B14415" i="2"/>
  <c r="B14414" i="2"/>
  <c r="B14413" i="2"/>
  <c r="B14412" i="2"/>
  <c r="B14411" i="2"/>
  <c r="B14410" i="2"/>
  <c r="B14409" i="2"/>
  <c r="B14408" i="2"/>
  <c r="B14407" i="2"/>
  <c r="B14406" i="2"/>
  <c r="B14405" i="2"/>
  <c r="B14404" i="2"/>
  <c r="B14403" i="2"/>
  <c r="B14402" i="2"/>
  <c r="B14401" i="2"/>
  <c r="B14400" i="2"/>
  <c r="B14399" i="2"/>
  <c r="B14398" i="2"/>
  <c r="B14397" i="2"/>
  <c r="B14396" i="2"/>
  <c r="B14395" i="2"/>
  <c r="B14394" i="2"/>
  <c r="B14393" i="2"/>
  <c r="B14392" i="2"/>
  <c r="B14391" i="2"/>
  <c r="B14390" i="2"/>
  <c r="B14389" i="2"/>
  <c r="B14388" i="2"/>
  <c r="B14387" i="2"/>
  <c r="B14386" i="2"/>
  <c r="B14385" i="2"/>
  <c r="B14384" i="2"/>
  <c r="B14383" i="2"/>
  <c r="B14382" i="2"/>
  <c r="B14381" i="2"/>
  <c r="B14380" i="2"/>
  <c r="B14379" i="2"/>
  <c r="B14378" i="2"/>
  <c r="B14377" i="2"/>
  <c r="B14376" i="2"/>
  <c r="B14375" i="2"/>
  <c r="B14374" i="2"/>
  <c r="B14373" i="2"/>
  <c r="B14372" i="2"/>
  <c r="B14371" i="2"/>
  <c r="B14370" i="2"/>
  <c r="B14369" i="2"/>
  <c r="B14368" i="2"/>
  <c r="B14367" i="2"/>
  <c r="B14366" i="2"/>
  <c r="B14365" i="2"/>
  <c r="B14364" i="2"/>
  <c r="B14363" i="2"/>
  <c r="B14362" i="2"/>
  <c r="B14361" i="2"/>
  <c r="B14360" i="2"/>
  <c r="B14359" i="2"/>
  <c r="B14358" i="2"/>
  <c r="B14357" i="2"/>
  <c r="B14356" i="2"/>
  <c r="B14355" i="2"/>
  <c r="B14354" i="2"/>
  <c r="B14353" i="2"/>
  <c r="B14352" i="2"/>
  <c r="B14351" i="2"/>
  <c r="B14350" i="2"/>
  <c r="B14349" i="2"/>
  <c r="B14348" i="2"/>
  <c r="B14347" i="2"/>
  <c r="B14346" i="2"/>
  <c r="B14345" i="2"/>
  <c r="B14344" i="2"/>
  <c r="B14343" i="2"/>
  <c r="B14342" i="2"/>
  <c r="B14341" i="2"/>
  <c r="B14340" i="2"/>
  <c r="B14339" i="2"/>
  <c r="B14338" i="2"/>
  <c r="B14337" i="2"/>
  <c r="B14336" i="2"/>
  <c r="B14335" i="2"/>
  <c r="B14334" i="2"/>
  <c r="B14333" i="2"/>
  <c r="B14332" i="2"/>
  <c r="B14331" i="2"/>
  <c r="B14330" i="2"/>
  <c r="B14329" i="2"/>
  <c r="B14328" i="2"/>
  <c r="B14327" i="2"/>
  <c r="B14326" i="2"/>
  <c r="B14325" i="2"/>
  <c r="B14324" i="2"/>
  <c r="B14323" i="2"/>
  <c r="B14322" i="2"/>
  <c r="B14321" i="2"/>
  <c r="B14320" i="2"/>
  <c r="B14319" i="2"/>
  <c r="B14318" i="2"/>
  <c r="B14317" i="2"/>
  <c r="B14316" i="2"/>
  <c r="B14315" i="2"/>
  <c r="B14314" i="2"/>
  <c r="B14313" i="2"/>
  <c r="B14312" i="2"/>
  <c r="B14311" i="2"/>
  <c r="B14310" i="2"/>
  <c r="B14309" i="2"/>
  <c r="B14308" i="2"/>
  <c r="B14307" i="2"/>
  <c r="B14306" i="2"/>
  <c r="B14305" i="2"/>
  <c r="B14304" i="2"/>
  <c r="B14303" i="2"/>
  <c r="B14302" i="2"/>
  <c r="B14301" i="2"/>
  <c r="B14300" i="2"/>
  <c r="B14299" i="2"/>
  <c r="B14298" i="2"/>
  <c r="B14297" i="2"/>
  <c r="B14296" i="2"/>
  <c r="B14295" i="2"/>
  <c r="B14294" i="2"/>
  <c r="B14293" i="2"/>
  <c r="B14292" i="2"/>
  <c r="B14291" i="2"/>
  <c r="B14290" i="2"/>
  <c r="B14289" i="2"/>
  <c r="B14288" i="2"/>
  <c r="B14287" i="2"/>
  <c r="B14286" i="2"/>
  <c r="B14285" i="2"/>
  <c r="B14284" i="2"/>
  <c r="B14283" i="2"/>
  <c r="B14282" i="2"/>
  <c r="B14281" i="2"/>
  <c r="B14280" i="2"/>
  <c r="B14279" i="2"/>
  <c r="B14278" i="2"/>
  <c r="B14277" i="2"/>
  <c r="B14276" i="2"/>
  <c r="B14275" i="2"/>
  <c r="B14274" i="2"/>
  <c r="B14273" i="2"/>
  <c r="B14272" i="2"/>
  <c r="B14271" i="2"/>
  <c r="B14270" i="2"/>
  <c r="B14269" i="2"/>
  <c r="B14268" i="2"/>
  <c r="B14267" i="2"/>
  <c r="B14266" i="2"/>
  <c r="B14265" i="2"/>
  <c r="B14264" i="2"/>
  <c r="B14263" i="2"/>
  <c r="B14262" i="2"/>
  <c r="B14261" i="2"/>
  <c r="B14260" i="2"/>
  <c r="B14259" i="2"/>
  <c r="B14258" i="2"/>
  <c r="B14257" i="2"/>
  <c r="B14256" i="2"/>
  <c r="B14255" i="2"/>
  <c r="B14254" i="2"/>
  <c r="B14253" i="2"/>
  <c r="B14252" i="2"/>
  <c r="B14251" i="2"/>
  <c r="B14250" i="2"/>
  <c r="B14249" i="2"/>
  <c r="B14248" i="2"/>
  <c r="B14247" i="2"/>
  <c r="B14246" i="2"/>
  <c r="B14245" i="2"/>
  <c r="B14244" i="2"/>
  <c r="B14243" i="2"/>
  <c r="B14242" i="2"/>
  <c r="B14241" i="2"/>
  <c r="B14240" i="2"/>
  <c r="B14239" i="2"/>
  <c r="B14238" i="2"/>
  <c r="B14237" i="2"/>
  <c r="B14236" i="2"/>
  <c r="B14235" i="2"/>
  <c r="B14234" i="2"/>
  <c r="B14233" i="2"/>
  <c r="B14232" i="2"/>
  <c r="B14231" i="2"/>
  <c r="B14230" i="2"/>
  <c r="B14229" i="2"/>
  <c r="B14228" i="2"/>
  <c r="B14227" i="2"/>
  <c r="B14226" i="2"/>
  <c r="B14225" i="2"/>
  <c r="B14224" i="2"/>
  <c r="B14223" i="2"/>
  <c r="B14222" i="2"/>
  <c r="B14221" i="2"/>
  <c r="B14220" i="2"/>
  <c r="B14219" i="2"/>
  <c r="B14218" i="2"/>
  <c r="B14217" i="2"/>
  <c r="B14216" i="2"/>
  <c r="B14215" i="2"/>
  <c r="B14214" i="2"/>
  <c r="B14213" i="2"/>
  <c r="B14212" i="2"/>
  <c r="B14211" i="2"/>
  <c r="B14210" i="2"/>
  <c r="B14209" i="2"/>
  <c r="B14208" i="2"/>
  <c r="B14207" i="2"/>
  <c r="B14206" i="2"/>
  <c r="B14205" i="2"/>
  <c r="B14204" i="2"/>
  <c r="B14203" i="2"/>
  <c r="B14202" i="2"/>
  <c r="B14201" i="2"/>
  <c r="B14200" i="2"/>
  <c r="B14199" i="2"/>
  <c r="B14198" i="2"/>
  <c r="B14197" i="2"/>
  <c r="B14196" i="2"/>
  <c r="B14195" i="2"/>
  <c r="B14194" i="2"/>
  <c r="B14193" i="2"/>
  <c r="B14192" i="2"/>
  <c r="B14191" i="2"/>
  <c r="B14190" i="2"/>
  <c r="B14189" i="2"/>
  <c r="B14188" i="2"/>
  <c r="B14187" i="2"/>
  <c r="B14186" i="2"/>
  <c r="B14185" i="2"/>
  <c r="B14184" i="2"/>
  <c r="B14183" i="2"/>
  <c r="B14182" i="2"/>
  <c r="B14181" i="2"/>
  <c r="B14180" i="2"/>
  <c r="B14179" i="2"/>
  <c r="B14178" i="2"/>
  <c r="B14177" i="2"/>
  <c r="B14176" i="2"/>
  <c r="B14175" i="2"/>
  <c r="B14174" i="2"/>
  <c r="B14173" i="2"/>
  <c r="B14172" i="2"/>
  <c r="B14171" i="2"/>
  <c r="B14170" i="2"/>
  <c r="B14169" i="2"/>
  <c r="B14168" i="2"/>
  <c r="B14167" i="2"/>
  <c r="B14166" i="2"/>
  <c r="B14165" i="2"/>
  <c r="B14164" i="2"/>
  <c r="B14163" i="2"/>
  <c r="B14162" i="2"/>
  <c r="B14161" i="2"/>
  <c r="B14160" i="2"/>
  <c r="B14159" i="2"/>
  <c r="B14158" i="2"/>
  <c r="B14157" i="2"/>
  <c r="B14156" i="2"/>
  <c r="B14155" i="2"/>
  <c r="B14154" i="2"/>
  <c r="B14153" i="2"/>
  <c r="B14152" i="2"/>
  <c r="B14151" i="2"/>
  <c r="B14150" i="2"/>
  <c r="B14149" i="2"/>
  <c r="B14148" i="2"/>
  <c r="B14147" i="2"/>
  <c r="B14146" i="2"/>
  <c r="B14145" i="2"/>
  <c r="B14144" i="2"/>
  <c r="B14143" i="2"/>
  <c r="B14142" i="2"/>
  <c r="B14141" i="2"/>
  <c r="B14140" i="2"/>
  <c r="B14139" i="2"/>
  <c r="B14138" i="2"/>
  <c r="B14137" i="2"/>
  <c r="B14136" i="2"/>
  <c r="B14135" i="2"/>
  <c r="B14134" i="2"/>
  <c r="B14133" i="2"/>
  <c r="B14132" i="2"/>
  <c r="B14131" i="2"/>
  <c r="B14130" i="2"/>
  <c r="B14129" i="2"/>
  <c r="B14128" i="2"/>
  <c r="B14127" i="2"/>
  <c r="B14126" i="2"/>
  <c r="B14125" i="2"/>
  <c r="B14124" i="2"/>
  <c r="B14123" i="2"/>
  <c r="B14122" i="2"/>
  <c r="B14121" i="2"/>
  <c r="B14120" i="2"/>
  <c r="B14119" i="2"/>
  <c r="B14118" i="2"/>
  <c r="B14117" i="2"/>
  <c r="B14116" i="2"/>
  <c r="B14115" i="2"/>
  <c r="B14114" i="2"/>
  <c r="B14113" i="2"/>
  <c r="B14112" i="2"/>
  <c r="B14111" i="2"/>
  <c r="B14110" i="2"/>
  <c r="B14109" i="2"/>
  <c r="B14108" i="2"/>
  <c r="B14107" i="2"/>
  <c r="B14106" i="2"/>
  <c r="B14105" i="2"/>
  <c r="B14104" i="2"/>
  <c r="B14103" i="2"/>
  <c r="B14102" i="2"/>
  <c r="B14101" i="2"/>
  <c r="B14100" i="2"/>
  <c r="B14099" i="2"/>
  <c r="B14098" i="2"/>
  <c r="B14097" i="2"/>
  <c r="B14096" i="2"/>
  <c r="B14095" i="2"/>
  <c r="B14094" i="2"/>
  <c r="B14093" i="2"/>
  <c r="B14092" i="2"/>
  <c r="B14091" i="2"/>
  <c r="B14090" i="2"/>
  <c r="B14089" i="2"/>
  <c r="B14088" i="2"/>
  <c r="B14087" i="2"/>
  <c r="B14086" i="2"/>
  <c r="B14085" i="2"/>
  <c r="B14084" i="2"/>
  <c r="B14083" i="2"/>
  <c r="B14082" i="2"/>
  <c r="B14081" i="2"/>
  <c r="B14080" i="2"/>
  <c r="B14079" i="2"/>
  <c r="B14078" i="2"/>
  <c r="B14077" i="2"/>
  <c r="B14076" i="2"/>
  <c r="B14075" i="2"/>
  <c r="B14074" i="2"/>
  <c r="B14073" i="2"/>
  <c r="B14072" i="2"/>
  <c r="B14071" i="2"/>
  <c r="B14070" i="2"/>
  <c r="B14069" i="2"/>
  <c r="B14068" i="2"/>
  <c r="B14067" i="2"/>
  <c r="B14066" i="2"/>
  <c r="B14065" i="2"/>
  <c r="B14064" i="2"/>
  <c r="B14063" i="2"/>
  <c r="B14062" i="2"/>
  <c r="B14061" i="2"/>
  <c r="B14060" i="2"/>
  <c r="B14059" i="2"/>
  <c r="B14058" i="2"/>
  <c r="B14057" i="2"/>
  <c r="B14056" i="2"/>
  <c r="B14055" i="2"/>
  <c r="B14054" i="2"/>
  <c r="B14053" i="2"/>
  <c r="B14052" i="2"/>
  <c r="B14051" i="2"/>
  <c r="B14050" i="2"/>
  <c r="B14049" i="2"/>
  <c r="B14048" i="2"/>
  <c r="B14047" i="2"/>
  <c r="B14046" i="2"/>
  <c r="B14045" i="2"/>
  <c r="B14044" i="2"/>
  <c r="B14043" i="2"/>
  <c r="B14042" i="2"/>
  <c r="B14041" i="2"/>
  <c r="B14040" i="2"/>
  <c r="B14039" i="2"/>
  <c r="B14038" i="2"/>
  <c r="B14037" i="2"/>
  <c r="B14036" i="2"/>
  <c r="B14035" i="2"/>
  <c r="B14034" i="2"/>
  <c r="B14033" i="2"/>
  <c r="B14032" i="2"/>
  <c r="B14031" i="2"/>
  <c r="B14030" i="2"/>
  <c r="B14029" i="2"/>
  <c r="B14028" i="2"/>
  <c r="B14027" i="2"/>
  <c r="B14026" i="2"/>
  <c r="B14025" i="2"/>
  <c r="B14024" i="2"/>
  <c r="B14023" i="2"/>
  <c r="B14022" i="2"/>
  <c r="B14021" i="2"/>
  <c r="B14020" i="2"/>
  <c r="B14019" i="2"/>
  <c r="B14018" i="2"/>
  <c r="B14017" i="2"/>
  <c r="B14016" i="2"/>
  <c r="B14015" i="2"/>
  <c r="B14014" i="2"/>
  <c r="B14013" i="2"/>
  <c r="B14012" i="2"/>
  <c r="B14011" i="2"/>
  <c r="B14010" i="2"/>
  <c r="B14009" i="2"/>
  <c r="B14008" i="2"/>
  <c r="B14007" i="2"/>
  <c r="B14006" i="2"/>
  <c r="B14005" i="2"/>
  <c r="B14004" i="2"/>
  <c r="B14003" i="2"/>
  <c r="B14002" i="2"/>
  <c r="B14001" i="2"/>
  <c r="B14000" i="2"/>
  <c r="B13999" i="2"/>
  <c r="B13998" i="2"/>
  <c r="B13997" i="2"/>
  <c r="B13996" i="2"/>
  <c r="B13995" i="2"/>
  <c r="B13994" i="2"/>
  <c r="B13993" i="2"/>
  <c r="B13992" i="2"/>
  <c r="B13991" i="2"/>
  <c r="B13990" i="2"/>
  <c r="B13989" i="2"/>
  <c r="B13988" i="2"/>
  <c r="B13987" i="2"/>
  <c r="B13986" i="2"/>
  <c r="B13985" i="2"/>
  <c r="B13984" i="2"/>
  <c r="B13983" i="2"/>
  <c r="B13982" i="2"/>
  <c r="B13981" i="2"/>
  <c r="B13980" i="2"/>
  <c r="B13979" i="2"/>
  <c r="B13978" i="2"/>
  <c r="B13977" i="2"/>
  <c r="B13976" i="2"/>
  <c r="B13975" i="2"/>
  <c r="B13974" i="2"/>
  <c r="B13973" i="2"/>
  <c r="B13972" i="2"/>
  <c r="B13971" i="2"/>
  <c r="B13970" i="2"/>
  <c r="B13969" i="2"/>
  <c r="B13968" i="2"/>
  <c r="B13967" i="2"/>
  <c r="B13966" i="2"/>
  <c r="B13965" i="2"/>
  <c r="B13964" i="2"/>
  <c r="B13963" i="2"/>
  <c r="B13962" i="2"/>
  <c r="B13961" i="2"/>
  <c r="B13960" i="2"/>
  <c r="B13959" i="2"/>
  <c r="B13958" i="2"/>
  <c r="B13957" i="2"/>
  <c r="B13956" i="2"/>
  <c r="B13955" i="2"/>
  <c r="B13954" i="2"/>
  <c r="B13953" i="2"/>
  <c r="B13952" i="2"/>
  <c r="B13951" i="2"/>
  <c r="B13950" i="2"/>
  <c r="B13949" i="2"/>
  <c r="B13948" i="2"/>
  <c r="B13947" i="2"/>
  <c r="B13946" i="2"/>
  <c r="B13945" i="2"/>
  <c r="B13944" i="2"/>
  <c r="B13943" i="2"/>
  <c r="B13942" i="2"/>
  <c r="B13941" i="2"/>
  <c r="B13940" i="2"/>
  <c r="B13939" i="2"/>
  <c r="B13938" i="2"/>
  <c r="B13937" i="2"/>
  <c r="B13936" i="2"/>
  <c r="B13935" i="2"/>
  <c r="B13934" i="2"/>
  <c r="B13933" i="2"/>
  <c r="B13932" i="2"/>
  <c r="B13931" i="2"/>
  <c r="B13930" i="2"/>
  <c r="B13929" i="2"/>
  <c r="B13928" i="2"/>
  <c r="B13927" i="2"/>
  <c r="B13926" i="2"/>
  <c r="B13925" i="2"/>
  <c r="B13924" i="2"/>
  <c r="B13923" i="2"/>
  <c r="B13922" i="2"/>
  <c r="B13921" i="2"/>
  <c r="B13920" i="2"/>
  <c r="B13919" i="2"/>
  <c r="B13918" i="2"/>
  <c r="B13917" i="2"/>
  <c r="B13916" i="2"/>
  <c r="B13915" i="2"/>
  <c r="B13914" i="2"/>
  <c r="B13913" i="2"/>
  <c r="B13912" i="2"/>
  <c r="B13911" i="2"/>
  <c r="B13910" i="2"/>
  <c r="B13909" i="2"/>
  <c r="B13908" i="2"/>
  <c r="B13907" i="2"/>
  <c r="B13906" i="2"/>
  <c r="B13905" i="2"/>
  <c r="B13904" i="2"/>
  <c r="B13903" i="2"/>
  <c r="B13902" i="2"/>
  <c r="B13901" i="2"/>
  <c r="B13900" i="2"/>
  <c r="B13899" i="2"/>
  <c r="B13898" i="2"/>
  <c r="B13897" i="2"/>
  <c r="B13896" i="2"/>
  <c r="B13895" i="2"/>
  <c r="B13894" i="2"/>
  <c r="B13893" i="2"/>
  <c r="B13892" i="2"/>
  <c r="B13891" i="2"/>
  <c r="B13890" i="2"/>
  <c r="B13889" i="2"/>
  <c r="B13888" i="2"/>
  <c r="B13887" i="2"/>
  <c r="B13886" i="2"/>
  <c r="B13885" i="2"/>
  <c r="B13884" i="2"/>
  <c r="B13883" i="2"/>
  <c r="B13882" i="2"/>
  <c r="B13881" i="2"/>
  <c r="B13880" i="2"/>
  <c r="B13879" i="2"/>
  <c r="B13878" i="2"/>
  <c r="B13877" i="2"/>
  <c r="B13876" i="2"/>
  <c r="B13875" i="2"/>
  <c r="B13874" i="2"/>
  <c r="B13873" i="2"/>
  <c r="B13872" i="2"/>
  <c r="B13871" i="2"/>
  <c r="B13870" i="2"/>
  <c r="B13869" i="2"/>
  <c r="B13868" i="2"/>
  <c r="B13867" i="2"/>
  <c r="B13866" i="2"/>
  <c r="B13865" i="2"/>
  <c r="B13864" i="2"/>
  <c r="B13863" i="2"/>
  <c r="B13862" i="2"/>
  <c r="B13861" i="2"/>
  <c r="B13860" i="2"/>
  <c r="B13859" i="2"/>
  <c r="B13858" i="2"/>
  <c r="B13857" i="2"/>
  <c r="B13856" i="2"/>
  <c r="B13855" i="2"/>
  <c r="B13854" i="2"/>
  <c r="B13853" i="2"/>
  <c r="B13852" i="2"/>
  <c r="B13851" i="2"/>
  <c r="B13850" i="2"/>
  <c r="B13849" i="2"/>
  <c r="B13848" i="2"/>
  <c r="B13847" i="2"/>
  <c r="B13846" i="2"/>
  <c r="B13845" i="2"/>
  <c r="B13844" i="2"/>
  <c r="B13843" i="2"/>
  <c r="B13842" i="2"/>
  <c r="B13841" i="2"/>
  <c r="B13840" i="2"/>
  <c r="B13839" i="2"/>
  <c r="B13838" i="2"/>
  <c r="B13837" i="2"/>
  <c r="B13836" i="2"/>
  <c r="B13835" i="2"/>
  <c r="B13834" i="2"/>
  <c r="B13833" i="2"/>
  <c r="B13832" i="2"/>
  <c r="B13831" i="2"/>
  <c r="B13830" i="2"/>
  <c r="B13829" i="2"/>
  <c r="B13828" i="2"/>
  <c r="B13827" i="2"/>
  <c r="B13826" i="2"/>
  <c r="B13825" i="2"/>
  <c r="B13824" i="2"/>
  <c r="B13823" i="2"/>
  <c r="B13822" i="2"/>
  <c r="B13821" i="2"/>
  <c r="B13820" i="2"/>
  <c r="B13819" i="2"/>
  <c r="B13818" i="2"/>
  <c r="B13817" i="2"/>
  <c r="B13816" i="2"/>
  <c r="B13815" i="2"/>
  <c r="B13814" i="2"/>
  <c r="B13813" i="2"/>
  <c r="B13812" i="2"/>
  <c r="B13811" i="2"/>
  <c r="B13810" i="2"/>
  <c r="B13809" i="2"/>
  <c r="B13808" i="2"/>
  <c r="B13807" i="2"/>
  <c r="B13806" i="2"/>
  <c r="B13805" i="2"/>
  <c r="B13804" i="2"/>
  <c r="B13803" i="2"/>
  <c r="B13802" i="2"/>
  <c r="B13801" i="2"/>
  <c r="B13800" i="2"/>
  <c r="B13799" i="2"/>
  <c r="B13798" i="2"/>
  <c r="B13797" i="2"/>
  <c r="B13796" i="2"/>
  <c r="B13795" i="2"/>
  <c r="B13794" i="2"/>
  <c r="B13793" i="2"/>
  <c r="B13792" i="2"/>
  <c r="B13791" i="2"/>
  <c r="B13790" i="2"/>
  <c r="B13789" i="2"/>
  <c r="B13788" i="2"/>
  <c r="B13787" i="2"/>
  <c r="B13786" i="2"/>
  <c r="B13785" i="2"/>
  <c r="B13784" i="2"/>
  <c r="B13783" i="2"/>
  <c r="B13782" i="2"/>
  <c r="B13781" i="2"/>
  <c r="B13780" i="2"/>
  <c r="B13779" i="2"/>
  <c r="B13778" i="2"/>
  <c r="B13777" i="2"/>
  <c r="B13776" i="2"/>
  <c r="B13775" i="2"/>
  <c r="B13774" i="2"/>
  <c r="B13773" i="2"/>
  <c r="B13772" i="2"/>
  <c r="B13771" i="2"/>
  <c r="B13770" i="2"/>
  <c r="B13769" i="2"/>
  <c r="B13768" i="2"/>
  <c r="B13767" i="2"/>
  <c r="B13766" i="2"/>
  <c r="B13765" i="2"/>
  <c r="B13764" i="2"/>
  <c r="B13763" i="2"/>
  <c r="B13762" i="2"/>
  <c r="B13761" i="2"/>
  <c r="B13760" i="2"/>
  <c r="B13759" i="2"/>
  <c r="B13758" i="2"/>
  <c r="B13757" i="2"/>
  <c r="B13756" i="2"/>
  <c r="B13755" i="2"/>
  <c r="B13754" i="2"/>
  <c r="B13753" i="2"/>
  <c r="B13752" i="2"/>
  <c r="B13751" i="2"/>
  <c r="B13750" i="2"/>
  <c r="B13749" i="2"/>
  <c r="B13748" i="2"/>
  <c r="B13747" i="2"/>
  <c r="B13746" i="2"/>
  <c r="B13745" i="2"/>
  <c r="B13744" i="2"/>
  <c r="B13743" i="2"/>
  <c r="B13742" i="2"/>
  <c r="B13741" i="2"/>
  <c r="B13740" i="2"/>
  <c r="B13739" i="2"/>
  <c r="B13738" i="2"/>
  <c r="B13737" i="2"/>
  <c r="B13736" i="2"/>
  <c r="B13735" i="2"/>
  <c r="B13734" i="2"/>
  <c r="B13733" i="2"/>
  <c r="B13732" i="2"/>
  <c r="B13731" i="2"/>
  <c r="B13730" i="2"/>
  <c r="B13729" i="2"/>
  <c r="B13728" i="2"/>
  <c r="B13727" i="2"/>
  <c r="B13726" i="2"/>
  <c r="B13725" i="2"/>
  <c r="B13724" i="2"/>
  <c r="B13723" i="2"/>
  <c r="B13722" i="2"/>
  <c r="B13721" i="2"/>
  <c r="B13720" i="2"/>
  <c r="B13719" i="2"/>
  <c r="B13718" i="2"/>
  <c r="B13717" i="2"/>
  <c r="B13716" i="2"/>
  <c r="B13715" i="2"/>
  <c r="B13714" i="2"/>
  <c r="B13713" i="2"/>
  <c r="B13712" i="2"/>
  <c r="B13711" i="2"/>
  <c r="B13710" i="2"/>
  <c r="B13709" i="2"/>
  <c r="B13708" i="2"/>
  <c r="B13707" i="2"/>
  <c r="B13706" i="2"/>
  <c r="B13705" i="2"/>
  <c r="B13704" i="2"/>
  <c r="B13703" i="2"/>
  <c r="B13702" i="2"/>
  <c r="B13701" i="2"/>
  <c r="B13700" i="2"/>
  <c r="B13699" i="2"/>
  <c r="B13698" i="2"/>
  <c r="B13697" i="2"/>
  <c r="B13696" i="2"/>
  <c r="B13695" i="2"/>
  <c r="B13694" i="2"/>
  <c r="B13693" i="2"/>
  <c r="B13692" i="2"/>
  <c r="B13691" i="2"/>
  <c r="B13690" i="2"/>
  <c r="B13689" i="2"/>
  <c r="B13688" i="2"/>
  <c r="B13687" i="2"/>
  <c r="B13686" i="2"/>
  <c r="B13685" i="2"/>
  <c r="B13684" i="2"/>
  <c r="B13683" i="2"/>
  <c r="B13682" i="2"/>
  <c r="B13681" i="2"/>
  <c r="B13680" i="2"/>
  <c r="B13679" i="2"/>
  <c r="B13678" i="2"/>
  <c r="B13677" i="2"/>
  <c r="B13676" i="2"/>
  <c r="B13675" i="2"/>
  <c r="B13674" i="2"/>
  <c r="B13673" i="2"/>
  <c r="B13672" i="2"/>
  <c r="B13671" i="2"/>
  <c r="B13670" i="2"/>
  <c r="B13669" i="2"/>
  <c r="B13668" i="2"/>
  <c r="B13667" i="2"/>
  <c r="B13666" i="2"/>
  <c r="B13665" i="2"/>
  <c r="B13664" i="2"/>
  <c r="B13663" i="2"/>
  <c r="B13662" i="2"/>
  <c r="B13661" i="2"/>
  <c r="B13660" i="2"/>
  <c r="B13659" i="2"/>
  <c r="B13658" i="2"/>
  <c r="B13657" i="2"/>
  <c r="B13656" i="2"/>
  <c r="B13655" i="2"/>
  <c r="B13654" i="2"/>
  <c r="B13653" i="2"/>
  <c r="B13652" i="2"/>
  <c r="B13651" i="2"/>
  <c r="B13650" i="2"/>
  <c r="B13649" i="2"/>
  <c r="B13648" i="2"/>
  <c r="B13647" i="2"/>
  <c r="B13646" i="2"/>
  <c r="B13645" i="2"/>
  <c r="B13644" i="2"/>
  <c r="B13643" i="2"/>
  <c r="B13642" i="2"/>
  <c r="B13641" i="2"/>
  <c r="B13640" i="2"/>
  <c r="B13639" i="2"/>
  <c r="B13638" i="2"/>
  <c r="B13637" i="2"/>
  <c r="B13636" i="2"/>
  <c r="B13635" i="2"/>
  <c r="B13634" i="2"/>
  <c r="B13633" i="2"/>
  <c r="B13632" i="2"/>
  <c r="B13631" i="2"/>
  <c r="B13630" i="2"/>
  <c r="B13629" i="2"/>
  <c r="B13628" i="2"/>
  <c r="B13627" i="2"/>
  <c r="B13626" i="2"/>
  <c r="B13625" i="2"/>
  <c r="B13624" i="2"/>
  <c r="B13623" i="2"/>
  <c r="B13622" i="2"/>
  <c r="B13621" i="2"/>
  <c r="B13620" i="2"/>
  <c r="B13619" i="2"/>
  <c r="B13618" i="2"/>
  <c r="B13617" i="2"/>
  <c r="B13616" i="2"/>
  <c r="B13615" i="2"/>
  <c r="B13614" i="2"/>
  <c r="B13613" i="2"/>
  <c r="B13612" i="2"/>
  <c r="B13611" i="2"/>
  <c r="B13610" i="2"/>
  <c r="B13609" i="2"/>
  <c r="B13608" i="2"/>
  <c r="B13607" i="2"/>
  <c r="B13606" i="2"/>
  <c r="B13605" i="2"/>
  <c r="B13604" i="2"/>
  <c r="B13603" i="2"/>
  <c r="B13602" i="2"/>
  <c r="B13601" i="2"/>
  <c r="B13600" i="2"/>
  <c r="B13599" i="2"/>
  <c r="B13598" i="2"/>
  <c r="B13597" i="2"/>
  <c r="B13596" i="2"/>
  <c r="B13595" i="2"/>
  <c r="B13594" i="2"/>
  <c r="B13593" i="2"/>
  <c r="B13592" i="2"/>
  <c r="B13591" i="2"/>
  <c r="B13590" i="2"/>
  <c r="B13589" i="2"/>
  <c r="B13588" i="2"/>
  <c r="B13587" i="2"/>
  <c r="B13586" i="2"/>
  <c r="B13585" i="2"/>
  <c r="B13584" i="2"/>
  <c r="B13583" i="2"/>
  <c r="B13582" i="2"/>
  <c r="B13581" i="2"/>
  <c r="B13580" i="2"/>
  <c r="B13579" i="2"/>
  <c r="B13578" i="2"/>
  <c r="B13577" i="2"/>
  <c r="B13576" i="2"/>
  <c r="B13575" i="2"/>
  <c r="B13574" i="2"/>
  <c r="B13573" i="2"/>
  <c r="B13572" i="2"/>
  <c r="B13571" i="2"/>
  <c r="B13570" i="2"/>
  <c r="B13569" i="2"/>
  <c r="B13568" i="2"/>
  <c r="B13567" i="2"/>
  <c r="B13566" i="2"/>
  <c r="B13565" i="2"/>
  <c r="B13564" i="2"/>
  <c r="B13563" i="2"/>
  <c r="B13562" i="2"/>
  <c r="B13561" i="2"/>
  <c r="B13560" i="2"/>
  <c r="B13559" i="2"/>
  <c r="B13558" i="2"/>
  <c r="B13557" i="2"/>
  <c r="B13556" i="2"/>
  <c r="B13555" i="2"/>
  <c r="B13554" i="2"/>
  <c r="B13553" i="2"/>
  <c r="B13552" i="2"/>
  <c r="B13551" i="2"/>
  <c r="B13550" i="2"/>
  <c r="B13549" i="2"/>
  <c r="B13548" i="2"/>
  <c r="B13547" i="2"/>
  <c r="B13546" i="2"/>
  <c r="B13545" i="2"/>
  <c r="B13544" i="2"/>
  <c r="B13543" i="2"/>
  <c r="B13542" i="2"/>
  <c r="B13541" i="2"/>
  <c r="B13540" i="2"/>
  <c r="B13539" i="2"/>
  <c r="B13538" i="2"/>
  <c r="B13537" i="2"/>
  <c r="B13536" i="2"/>
  <c r="B13535" i="2"/>
  <c r="B13534" i="2"/>
  <c r="B13533" i="2"/>
  <c r="B13532" i="2"/>
  <c r="B13531" i="2"/>
  <c r="B13530" i="2"/>
  <c r="B13529" i="2"/>
  <c r="B13528" i="2"/>
  <c r="B13527" i="2"/>
  <c r="B13526" i="2"/>
  <c r="B13525" i="2"/>
  <c r="B13524" i="2"/>
  <c r="B13523" i="2"/>
  <c r="B13522" i="2"/>
  <c r="B13521" i="2"/>
  <c r="B13520" i="2"/>
  <c r="B13519" i="2"/>
  <c r="B13518" i="2"/>
  <c r="B13517" i="2"/>
  <c r="B13516" i="2"/>
  <c r="B13515" i="2"/>
  <c r="B13514" i="2"/>
  <c r="B13513" i="2"/>
  <c r="B13512" i="2"/>
  <c r="B13511" i="2"/>
  <c r="B13510" i="2"/>
  <c r="B13509" i="2"/>
  <c r="B13508" i="2"/>
  <c r="B13507" i="2"/>
  <c r="B13506" i="2"/>
  <c r="B13505" i="2"/>
  <c r="B13504" i="2"/>
  <c r="B13503" i="2"/>
  <c r="B13502" i="2"/>
  <c r="B13501" i="2"/>
  <c r="B13500" i="2"/>
  <c r="B13499" i="2"/>
  <c r="B13498" i="2"/>
  <c r="B13497" i="2"/>
  <c r="B13496" i="2"/>
  <c r="B13495" i="2"/>
  <c r="B13494" i="2"/>
  <c r="B13493" i="2"/>
  <c r="B13492" i="2"/>
  <c r="B13491" i="2"/>
  <c r="B13490" i="2"/>
  <c r="B13489" i="2"/>
  <c r="B13488" i="2"/>
  <c r="B13487" i="2"/>
  <c r="B13486" i="2"/>
  <c r="B13485" i="2"/>
  <c r="B13484" i="2"/>
  <c r="B13483" i="2"/>
  <c r="B13482" i="2"/>
  <c r="B13481" i="2"/>
  <c r="B13480" i="2"/>
  <c r="B13479" i="2"/>
  <c r="B13478" i="2"/>
  <c r="B13477" i="2"/>
  <c r="B13476" i="2"/>
  <c r="B13475" i="2"/>
  <c r="B13474" i="2"/>
  <c r="B13473" i="2"/>
  <c r="B13472" i="2"/>
  <c r="B13471" i="2"/>
  <c r="B13470" i="2"/>
  <c r="B13469" i="2"/>
  <c r="B13468" i="2"/>
  <c r="B13467" i="2"/>
  <c r="B13466" i="2"/>
  <c r="B13465" i="2"/>
  <c r="B13464" i="2"/>
  <c r="B13463" i="2"/>
  <c r="B13462" i="2"/>
  <c r="B13461" i="2"/>
  <c r="B13460" i="2"/>
  <c r="B13459" i="2"/>
  <c r="B13458" i="2"/>
  <c r="B13457" i="2"/>
  <c r="B13456" i="2"/>
  <c r="B13455" i="2"/>
  <c r="B13454" i="2"/>
  <c r="B13453" i="2"/>
  <c r="B13452" i="2"/>
  <c r="B13451" i="2"/>
  <c r="B13450" i="2"/>
  <c r="B13449" i="2"/>
  <c r="B13448" i="2"/>
  <c r="B13447" i="2"/>
  <c r="B13446" i="2"/>
  <c r="B13445" i="2"/>
  <c r="B13444" i="2"/>
  <c r="B13443" i="2"/>
  <c r="B13442" i="2"/>
  <c r="B13441" i="2"/>
  <c r="B13440" i="2"/>
  <c r="B13439" i="2"/>
  <c r="B13438" i="2"/>
  <c r="B13437" i="2"/>
  <c r="B13436" i="2"/>
  <c r="B13435" i="2"/>
  <c r="B13434" i="2"/>
  <c r="B13433" i="2"/>
  <c r="B13432" i="2"/>
  <c r="B13431" i="2"/>
  <c r="B13430" i="2"/>
  <c r="B13429" i="2"/>
  <c r="B13428" i="2"/>
  <c r="B13427" i="2"/>
  <c r="B13426" i="2"/>
  <c r="B13425" i="2"/>
  <c r="B13424" i="2"/>
  <c r="B13423" i="2"/>
  <c r="B13422" i="2"/>
  <c r="B13421" i="2"/>
  <c r="B13420" i="2"/>
  <c r="B13419" i="2"/>
  <c r="B13418" i="2"/>
  <c r="B13417" i="2"/>
  <c r="B13416" i="2"/>
  <c r="B13415" i="2"/>
  <c r="B13414" i="2"/>
  <c r="B13413" i="2"/>
  <c r="B13412" i="2"/>
  <c r="B13411" i="2"/>
  <c r="B13410" i="2"/>
  <c r="B13409" i="2"/>
  <c r="B13408" i="2"/>
  <c r="B13407" i="2"/>
  <c r="B13406" i="2"/>
  <c r="B13405" i="2"/>
  <c r="B13404" i="2"/>
  <c r="B13403" i="2"/>
  <c r="B13402" i="2"/>
  <c r="B13401" i="2"/>
  <c r="B13400" i="2"/>
  <c r="B13399" i="2"/>
  <c r="B13398" i="2"/>
  <c r="B13397" i="2"/>
  <c r="B13396" i="2"/>
  <c r="B13395" i="2"/>
  <c r="B13394" i="2"/>
  <c r="B13393" i="2"/>
  <c r="B13392" i="2"/>
  <c r="B13391" i="2"/>
  <c r="B13390" i="2"/>
  <c r="B13389" i="2"/>
  <c r="B13388" i="2"/>
  <c r="B13387" i="2"/>
  <c r="B13386" i="2"/>
  <c r="B13385" i="2"/>
  <c r="B13384" i="2"/>
  <c r="B13383" i="2"/>
  <c r="B13382" i="2"/>
  <c r="B13381" i="2"/>
  <c r="B13380" i="2"/>
  <c r="B13379" i="2"/>
  <c r="B13378" i="2"/>
  <c r="B13377" i="2"/>
  <c r="B13376" i="2"/>
  <c r="B13375" i="2"/>
  <c r="B13374" i="2"/>
  <c r="B13373" i="2"/>
  <c r="B13372" i="2"/>
  <c r="B13371" i="2"/>
  <c r="B13370" i="2"/>
  <c r="B13369" i="2"/>
  <c r="B13368" i="2"/>
  <c r="B13367" i="2"/>
  <c r="B13366" i="2"/>
  <c r="B13365" i="2"/>
  <c r="B13364" i="2"/>
  <c r="B13363" i="2"/>
  <c r="B13362" i="2"/>
  <c r="B13361" i="2"/>
  <c r="B13360" i="2"/>
  <c r="B13359" i="2"/>
  <c r="B13358" i="2"/>
  <c r="B13357" i="2"/>
  <c r="B13356" i="2"/>
  <c r="B13355" i="2"/>
  <c r="B13354" i="2"/>
  <c r="B13353" i="2"/>
  <c r="B13352" i="2"/>
  <c r="B13351" i="2"/>
  <c r="B13350" i="2"/>
  <c r="B13349" i="2"/>
  <c r="B13348" i="2"/>
  <c r="B13347" i="2"/>
  <c r="B13346" i="2"/>
  <c r="B13345" i="2"/>
  <c r="B13344" i="2"/>
  <c r="B13343" i="2"/>
  <c r="B13342" i="2"/>
  <c r="B13341" i="2"/>
  <c r="B13340" i="2"/>
  <c r="B13339" i="2"/>
  <c r="B13338" i="2"/>
  <c r="B13337" i="2"/>
  <c r="B13336" i="2"/>
  <c r="B13335" i="2"/>
  <c r="B13334" i="2"/>
  <c r="B13333" i="2"/>
  <c r="B13332" i="2"/>
  <c r="B13331" i="2"/>
  <c r="B13330" i="2"/>
  <c r="B13329" i="2"/>
  <c r="B13328" i="2"/>
  <c r="B13327" i="2"/>
  <c r="B13326" i="2"/>
  <c r="B13325" i="2"/>
  <c r="B13324" i="2"/>
  <c r="B13323" i="2"/>
  <c r="B13322" i="2"/>
  <c r="B13321" i="2"/>
  <c r="B13320" i="2"/>
  <c r="B13319" i="2"/>
  <c r="B13318" i="2"/>
  <c r="B13317" i="2"/>
  <c r="B13316" i="2"/>
  <c r="B13315" i="2"/>
  <c r="B13314" i="2"/>
  <c r="B13313" i="2"/>
  <c r="B13312" i="2"/>
  <c r="B13311" i="2"/>
  <c r="B13310" i="2"/>
  <c r="B13309" i="2"/>
  <c r="B13308" i="2"/>
  <c r="B13307" i="2"/>
  <c r="B13306" i="2"/>
  <c r="B13305" i="2"/>
  <c r="B13304" i="2"/>
  <c r="B13303" i="2"/>
  <c r="B13302" i="2"/>
  <c r="B13301" i="2"/>
  <c r="B13300" i="2"/>
  <c r="B13299" i="2"/>
  <c r="B13298" i="2"/>
  <c r="B13297" i="2"/>
  <c r="B13296" i="2"/>
  <c r="B13295" i="2"/>
  <c r="B13294" i="2"/>
  <c r="B13293" i="2"/>
  <c r="B13292" i="2"/>
  <c r="B13291" i="2"/>
  <c r="B13290" i="2"/>
  <c r="B13289" i="2"/>
  <c r="B13288" i="2"/>
  <c r="B13287" i="2"/>
  <c r="B13286" i="2"/>
  <c r="B13285" i="2"/>
  <c r="B13284" i="2"/>
  <c r="B13283" i="2"/>
  <c r="B13282" i="2"/>
  <c r="B13281" i="2"/>
  <c r="B13280" i="2"/>
  <c r="B13279" i="2"/>
  <c r="B13278" i="2"/>
  <c r="B13277" i="2"/>
  <c r="B13276" i="2"/>
  <c r="B13275" i="2"/>
  <c r="B13274" i="2"/>
  <c r="B13273" i="2"/>
  <c r="B13272" i="2"/>
  <c r="B13271" i="2"/>
  <c r="B13270" i="2"/>
  <c r="B13269" i="2"/>
  <c r="B13268" i="2"/>
  <c r="B13267" i="2"/>
  <c r="B13266" i="2"/>
  <c r="B13265" i="2"/>
  <c r="B13264" i="2"/>
  <c r="B13263" i="2"/>
  <c r="B13262" i="2"/>
  <c r="B13261" i="2"/>
  <c r="B13260" i="2"/>
  <c r="B13259" i="2"/>
  <c r="B13258" i="2"/>
  <c r="B13257" i="2"/>
  <c r="B13256" i="2"/>
  <c r="B13255" i="2"/>
  <c r="B13254" i="2"/>
  <c r="B13253" i="2"/>
  <c r="B13252" i="2"/>
  <c r="B13251" i="2"/>
  <c r="B13250" i="2"/>
  <c r="B13249" i="2"/>
  <c r="B13248" i="2"/>
  <c r="B13247" i="2"/>
  <c r="B13246" i="2"/>
  <c r="B13245" i="2"/>
  <c r="B13244" i="2"/>
  <c r="B13243" i="2"/>
  <c r="B13242" i="2"/>
  <c r="B13241" i="2"/>
  <c r="B13240" i="2"/>
  <c r="B13239" i="2"/>
  <c r="B13238" i="2"/>
  <c r="B13237" i="2"/>
  <c r="B13236" i="2"/>
  <c r="B13235" i="2"/>
  <c r="B13234" i="2"/>
  <c r="B13233" i="2"/>
  <c r="B13232" i="2"/>
  <c r="B13231" i="2"/>
  <c r="B13230" i="2"/>
  <c r="B13229" i="2"/>
  <c r="B13228" i="2"/>
  <c r="B13227" i="2"/>
  <c r="B13226" i="2"/>
  <c r="B13225" i="2"/>
  <c r="B13224" i="2"/>
  <c r="B13223" i="2"/>
  <c r="B13222" i="2"/>
  <c r="B13221" i="2"/>
  <c r="B13220" i="2"/>
  <c r="B13219" i="2"/>
  <c r="B13218" i="2"/>
  <c r="B13217" i="2"/>
  <c r="B13216" i="2"/>
  <c r="B13215" i="2"/>
  <c r="B13214" i="2"/>
  <c r="B13213" i="2"/>
  <c r="B13212" i="2"/>
  <c r="B13211" i="2"/>
  <c r="B13210" i="2"/>
  <c r="B13209" i="2"/>
  <c r="B13208" i="2"/>
  <c r="B13207" i="2"/>
  <c r="B13206" i="2"/>
  <c r="B13205" i="2"/>
  <c r="B13204" i="2"/>
  <c r="B13203" i="2"/>
  <c r="B13202" i="2"/>
  <c r="B13201" i="2"/>
  <c r="B13200" i="2"/>
  <c r="B13199" i="2"/>
  <c r="B13198" i="2"/>
  <c r="B13197" i="2"/>
  <c r="B13196" i="2"/>
  <c r="B13195" i="2"/>
  <c r="B13194" i="2"/>
  <c r="B13193" i="2"/>
  <c r="B13192" i="2"/>
  <c r="B13191" i="2"/>
  <c r="B13190" i="2"/>
  <c r="B13189" i="2"/>
  <c r="B13188" i="2"/>
  <c r="B13187" i="2"/>
  <c r="B13186" i="2"/>
  <c r="B13185" i="2"/>
  <c r="B13184" i="2"/>
  <c r="B13183" i="2"/>
  <c r="B13182" i="2"/>
  <c r="B13181" i="2"/>
  <c r="B13180" i="2"/>
  <c r="B13179" i="2"/>
  <c r="B13178" i="2"/>
  <c r="B13177" i="2"/>
  <c r="B13176" i="2"/>
  <c r="B13175" i="2"/>
  <c r="B13174" i="2"/>
  <c r="B13173" i="2"/>
  <c r="B13172" i="2"/>
  <c r="B13171" i="2"/>
  <c r="B13170" i="2"/>
  <c r="B13169" i="2"/>
  <c r="B13168" i="2"/>
  <c r="B13167" i="2"/>
  <c r="B13166" i="2"/>
  <c r="B13165" i="2"/>
  <c r="B13164" i="2"/>
  <c r="B13163" i="2"/>
  <c r="B13162" i="2"/>
  <c r="B13161" i="2"/>
  <c r="B13160" i="2"/>
  <c r="B13159" i="2"/>
  <c r="B13158" i="2"/>
  <c r="B13157" i="2"/>
  <c r="B13156" i="2"/>
  <c r="B13155" i="2"/>
  <c r="B13154" i="2"/>
  <c r="B13153" i="2"/>
  <c r="B13152" i="2"/>
  <c r="B13151" i="2"/>
  <c r="B13150" i="2"/>
  <c r="B13149" i="2"/>
  <c r="B13148" i="2"/>
  <c r="B13147" i="2"/>
  <c r="B13146" i="2"/>
  <c r="B13145" i="2"/>
  <c r="B13144" i="2"/>
  <c r="B13143" i="2"/>
  <c r="B13142" i="2"/>
  <c r="B13141" i="2"/>
  <c r="B13140" i="2"/>
  <c r="B13139" i="2"/>
  <c r="B13138" i="2"/>
  <c r="B13137" i="2"/>
  <c r="B13136" i="2"/>
  <c r="B13135" i="2"/>
  <c r="B13134" i="2"/>
  <c r="B13133" i="2"/>
  <c r="B13132" i="2"/>
  <c r="B13131" i="2"/>
  <c r="B13130" i="2"/>
  <c r="B13129" i="2"/>
  <c r="B13128" i="2"/>
  <c r="B13127" i="2"/>
  <c r="B13126" i="2"/>
  <c r="B13125" i="2"/>
  <c r="B13124" i="2"/>
  <c r="B13123" i="2"/>
  <c r="B13122" i="2"/>
  <c r="B13121" i="2"/>
  <c r="B13120" i="2"/>
  <c r="B13119" i="2"/>
  <c r="B13118" i="2"/>
  <c r="B13117" i="2"/>
  <c r="B13116" i="2"/>
  <c r="B13115" i="2"/>
  <c r="B13114" i="2"/>
  <c r="B13113" i="2"/>
  <c r="B13112" i="2"/>
  <c r="B13111" i="2"/>
  <c r="B13110" i="2"/>
  <c r="B13109" i="2"/>
  <c r="B13108" i="2"/>
  <c r="B13107" i="2"/>
  <c r="B13106" i="2"/>
  <c r="B13105" i="2"/>
  <c r="B13104" i="2"/>
  <c r="B13103" i="2"/>
  <c r="B13102" i="2"/>
  <c r="B13101" i="2"/>
  <c r="B13100" i="2"/>
  <c r="B13099" i="2"/>
  <c r="B13098" i="2"/>
  <c r="B13097" i="2"/>
  <c r="B13096" i="2"/>
  <c r="B13095" i="2"/>
  <c r="B13094" i="2"/>
  <c r="B13093" i="2"/>
  <c r="B13092" i="2"/>
  <c r="B13091" i="2"/>
  <c r="B13090" i="2"/>
  <c r="B13089" i="2"/>
  <c r="B13088" i="2"/>
  <c r="B13087" i="2"/>
  <c r="B13086" i="2"/>
  <c r="B13085" i="2"/>
  <c r="B13084" i="2"/>
  <c r="B13083" i="2"/>
  <c r="B13082" i="2"/>
  <c r="B13081" i="2"/>
  <c r="B13080" i="2"/>
  <c r="B13079" i="2"/>
  <c r="B13078" i="2"/>
  <c r="B13077" i="2"/>
  <c r="B13076" i="2"/>
  <c r="B13075" i="2"/>
  <c r="B13074" i="2"/>
  <c r="B13073" i="2"/>
  <c r="B13072" i="2"/>
  <c r="B13071" i="2"/>
  <c r="B13070" i="2"/>
  <c r="B13069" i="2"/>
  <c r="B13068" i="2"/>
  <c r="B13067" i="2"/>
  <c r="B13066" i="2"/>
  <c r="B13065" i="2"/>
  <c r="B13064" i="2"/>
  <c r="B13063" i="2"/>
  <c r="B13062" i="2"/>
  <c r="B13061" i="2"/>
  <c r="B13060" i="2"/>
  <c r="B13059" i="2"/>
  <c r="B13058" i="2"/>
  <c r="B13057" i="2"/>
  <c r="B13056" i="2"/>
  <c r="B13055" i="2"/>
  <c r="B13054" i="2"/>
  <c r="B13053" i="2"/>
  <c r="B13052" i="2"/>
  <c r="B13051" i="2"/>
  <c r="B13050" i="2"/>
  <c r="B13049" i="2"/>
  <c r="B13048" i="2"/>
  <c r="B13047" i="2"/>
  <c r="B13046" i="2"/>
  <c r="B13045" i="2"/>
  <c r="B13044" i="2"/>
  <c r="B13043" i="2"/>
  <c r="B13042" i="2"/>
  <c r="B13041" i="2"/>
  <c r="B13040" i="2"/>
  <c r="B13039" i="2"/>
  <c r="B13038" i="2"/>
  <c r="B13037" i="2"/>
  <c r="B13036" i="2"/>
  <c r="B13035" i="2"/>
  <c r="B13034" i="2"/>
  <c r="B13033" i="2"/>
  <c r="B13032" i="2"/>
  <c r="B13031" i="2"/>
  <c r="B13030" i="2"/>
  <c r="B13029" i="2"/>
  <c r="B13028" i="2"/>
  <c r="B13027" i="2"/>
  <c r="B13026" i="2"/>
  <c r="B13025" i="2"/>
  <c r="B13024" i="2"/>
  <c r="B13023" i="2"/>
  <c r="B13022" i="2"/>
  <c r="B13021" i="2"/>
  <c r="B13020" i="2"/>
  <c r="B13019" i="2"/>
  <c r="B13018" i="2"/>
  <c r="B13017" i="2"/>
  <c r="B13016" i="2"/>
  <c r="B13015" i="2"/>
  <c r="B13014" i="2"/>
  <c r="B13013" i="2"/>
  <c r="B13012" i="2"/>
  <c r="B13011" i="2"/>
  <c r="B13010" i="2"/>
  <c r="B13009" i="2"/>
  <c r="B13008" i="2"/>
  <c r="B13007" i="2"/>
  <c r="B13006" i="2"/>
  <c r="B13005" i="2"/>
  <c r="B13004" i="2"/>
  <c r="B13003" i="2"/>
  <c r="B13002" i="2"/>
  <c r="B13001" i="2"/>
  <c r="B13000" i="2"/>
  <c r="B12999" i="2"/>
  <c r="B12998" i="2"/>
  <c r="B12997" i="2"/>
  <c r="B12996" i="2"/>
  <c r="B12995" i="2"/>
  <c r="B12994" i="2"/>
  <c r="B12993" i="2"/>
  <c r="B12992" i="2"/>
  <c r="B12991" i="2"/>
  <c r="B12990" i="2"/>
  <c r="B12989" i="2"/>
  <c r="B12988" i="2"/>
  <c r="B12987" i="2"/>
  <c r="B12986" i="2"/>
  <c r="B12985" i="2"/>
  <c r="B12984" i="2"/>
  <c r="B12983" i="2"/>
  <c r="B12982" i="2"/>
  <c r="B12981" i="2"/>
  <c r="B12980" i="2"/>
  <c r="B12979" i="2"/>
  <c r="B12978" i="2"/>
  <c r="B12977" i="2"/>
  <c r="B12976" i="2"/>
  <c r="B12975" i="2"/>
  <c r="B12974" i="2"/>
  <c r="B12973" i="2"/>
  <c r="B12972" i="2"/>
  <c r="B12971" i="2"/>
  <c r="B12970" i="2"/>
  <c r="B12969" i="2"/>
  <c r="B12968" i="2"/>
  <c r="B12967" i="2"/>
  <c r="B12966" i="2"/>
  <c r="B12965" i="2"/>
  <c r="B12964" i="2"/>
  <c r="B12963" i="2"/>
  <c r="B12962" i="2"/>
  <c r="B12961" i="2"/>
  <c r="B12960" i="2"/>
  <c r="B12959" i="2"/>
  <c r="B12958" i="2"/>
  <c r="B12957" i="2"/>
  <c r="B12956" i="2"/>
  <c r="B12955" i="2"/>
  <c r="B12954" i="2"/>
  <c r="B12953" i="2"/>
  <c r="B12952" i="2"/>
  <c r="B12951" i="2"/>
  <c r="B12950" i="2"/>
  <c r="B12949" i="2"/>
  <c r="B12948" i="2"/>
  <c r="B12947" i="2"/>
  <c r="B12946" i="2"/>
  <c r="B12945" i="2"/>
  <c r="B12944" i="2"/>
  <c r="B12943" i="2"/>
  <c r="B12942" i="2"/>
  <c r="B12941" i="2"/>
  <c r="B12940" i="2"/>
  <c r="B12939" i="2"/>
  <c r="B12938" i="2"/>
  <c r="B12937" i="2"/>
  <c r="B12936" i="2"/>
  <c r="B12935" i="2"/>
  <c r="B12934" i="2"/>
  <c r="B12933" i="2"/>
  <c r="B12932" i="2"/>
  <c r="B12931" i="2"/>
  <c r="B12930" i="2"/>
  <c r="B12929" i="2"/>
  <c r="B12928" i="2"/>
  <c r="B12927" i="2"/>
  <c r="B12926" i="2"/>
  <c r="B12925" i="2"/>
  <c r="B12924" i="2"/>
  <c r="B12923" i="2"/>
  <c r="B12922" i="2"/>
  <c r="B12921" i="2"/>
  <c r="B12920" i="2"/>
  <c r="B12919" i="2"/>
  <c r="B12918" i="2"/>
  <c r="B12917" i="2"/>
  <c r="B12916" i="2"/>
  <c r="B12915" i="2"/>
  <c r="B12914" i="2"/>
  <c r="B12913" i="2"/>
  <c r="B12912" i="2"/>
  <c r="B12911" i="2"/>
  <c r="B12910" i="2"/>
  <c r="B12909" i="2"/>
  <c r="B12908" i="2"/>
  <c r="B12907" i="2"/>
  <c r="B12906" i="2"/>
  <c r="B12905" i="2"/>
  <c r="B12904" i="2"/>
  <c r="B12903" i="2"/>
  <c r="B12902" i="2"/>
  <c r="B12901" i="2"/>
  <c r="B12900" i="2"/>
  <c r="B12899" i="2"/>
  <c r="B12898" i="2"/>
  <c r="B12897" i="2"/>
  <c r="B12896" i="2"/>
  <c r="B12895" i="2"/>
  <c r="B12894" i="2"/>
  <c r="B12893" i="2"/>
  <c r="B12892" i="2"/>
  <c r="B12891" i="2"/>
  <c r="B12890" i="2"/>
  <c r="B12889" i="2"/>
  <c r="B12888" i="2"/>
  <c r="B12887" i="2"/>
  <c r="B12886" i="2"/>
  <c r="B12885" i="2"/>
  <c r="B12884" i="2"/>
  <c r="B12883" i="2"/>
  <c r="B12882" i="2"/>
  <c r="B12881" i="2"/>
  <c r="B12880" i="2"/>
  <c r="B12879" i="2"/>
  <c r="B12878" i="2"/>
  <c r="B12877" i="2"/>
  <c r="B12876" i="2"/>
  <c r="B12875" i="2"/>
  <c r="B12874" i="2"/>
  <c r="B12873" i="2"/>
  <c r="B12872" i="2"/>
  <c r="B12871" i="2"/>
  <c r="B12870" i="2"/>
  <c r="B12869" i="2"/>
  <c r="B12868" i="2"/>
  <c r="B12867" i="2"/>
  <c r="B12866" i="2"/>
  <c r="B12865" i="2"/>
  <c r="B12864" i="2"/>
  <c r="B12863" i="2"/>
  <c r="B12862" i="2"/>
  <c r="B12861" i="2"/>
  <c r="B12860" i="2"/>
  <c r="B12859" i="2"/>
  <c r="B12858" i="2"/>
  <c r="B12857" i="2"/>
  <c r="B12856" i="2"/>
  <c r="B12855" i="2"/>
  <c r="B12854" i="2"/>
  <c r="B12853" i="2"/>
  <c r="B12852" i="2"/>
  <c r="B12851" i="2"/>
  <c r="B12850" i="2"/>
  <c r="B12849" i="2"/>
  <c r="B12848" i="2"/>
  <c r="B12847" i="2"/>
  <c r="B12846" i="2"/>
  <c r="B12845" i="2"/>
  <c r="B12844" i="2"/>
  <c r="B12843" i="2"/>
  <c r="B12842" i="2"/>
  <c r="B12841" i="2"/>
  <c r="B12840" i="2"/>
  <c r="B12839" i="2"/>
  <c r="B12838" i="2"/>
  <c r="B12837" i="2"/>
  <c r="B12836" i="2"/>
  <c r="B12835" i="2"/>
  <c r="B12834" i="2"/>
  <c r="B12833" i="2"/>
  <c r="B12832" i="2"/>
  <c r="B12831" i="2"/>
  <c r="B12830" i="2"/>
  <c r="B12829" i="2"/>
  <c r="B12828" i="2"/>
  <c r="B12827" i="2"/>
  <c r="B12826" i="2"/>
  <c r="B12825" i="2"/>
  <c r="B12824" i="2"/>
  <c r="B12823" i="2"/>
  <c r="B12822" i="2"/>
  <c r="B12821" i="2"/>
  <c r="B12820" i="2"/>
  <c r="B12819" i="2"/>
  <c r="B12818" i="2"/>
  <c r="B12817" i="2"/>
  <c r="B12816" i="2"/>
  <c r="B12815" i="2"/>
  <c r="B12814" i="2"/>
  <c r="B12813" i="2"/>
  <c r="B12812" i="2"/>
  <c r="B12811" i="2"/>
  <c r="B12810" i="2"/>
  <c r="B12809" i="2"/>
  <c r="B12808" i="2"/>
  <c r="B12807" i="2"/>
  <c r="B12806" i="2"/>
  <c r="B12805" i="2"/>
  <c r="B12804" i="2"/>
  <c r="B12803" i="2"/>
  <c r="B12802" i="2"/>
  <c r="B12801" i="2"/>
  <c r="B12800" i="2"/>
  <c r="B12799" i="2"/>
  <c r="B12798" i="2"/>
  <c r="B12797" i="2"/>
  <c r="B12796" i="2"/>
  <c r="B12795" i="2"/>
  <c r="B12794" i="2"/>
  <c r="B12793" i="2"/>
  <c r="B12792" i="2"/>
  <c r="B12791" i="2"/>
  <c r="B12790" i="2"/>
  <c r="B12789" i="2"/>
  <c r="B12788" i="2"/>
  <c r="B12787" i="2"/>
  <c r="B12786" i="2"/>
  <c r="B12785" i="2"/>
  <c r="B12784" i="2"/>
  <c r="B12783" i="2"/>
  <c r="B12782" i="2"/>
  <c r="B12781" i="2"/>
  <c r="B12780" i="2"/>
  <c r="B12779" i="2"/>
  <c r="B12778" i="2"/>
  <c r="B12777" i="2"/>
  <c r="B12776" i="2"/>
  <c r="B12775" i="2"/>
  <c r="B12774" i="2"/>
  <c r="B12773" i="2"/>
  <c r="B12772" i="2"/>
  <c r="B12771" i="2"/>
  <c r="B12770" i="2"/>
  <c r="B12769" i="2"/>
  <c r="B12768" i="2"/>
  <c r="B12767" i="2"/>
  <c r="B12766" i="2"/>
  <c r="B12765" i="2"/>
  <c r="B12764" i="2"/>
  <c r="B12763" i="2"/>
  <c r="B12762" i="2"/>
  <c r="B12761" i="2"/>
  <c r="B12760" i="2"/>
  <c r="B12759" i="2"/>
  <c r="B12758" i="2"/>
  <c r="B12757" i="2"/>
  <c r="B12756" i="2"/>
  <c r="B12755" i="2"/>
  <c r="B12754" i="2"/>
  <c r="B12753" i="2"/>
  <c r="B12752" i="2"/>
  <c r="B12751" i="2"/>
  <c r="B12750" i="2"/>
  <c r="B12749" i="2"/>
  <c r="B12748" i="2"/>
  <c r="B12747" i="2"/>
  <c r="B12746" i="2"/>
  <c r="B12745" i="2"/>
  <c r="B12744" i="2"/>
  <c r="B12743" i="2"/>
  <c r="B12742" i="2"/>
  <c r="B12741" i="2"/>
  <c r="B12740" i="2"/>
  <c r="B12739" i="2"/>
  <c r="B12738" i="2"/>
  <c r="B12737" i="2"/>
  <c r="B12736" i="2"/>
  <c r="B12735" i="2"/>
  <c r="B12734" i="2"/>
  <c r="B12733" i="2"/>
  <c r="B12732" i="2"/>
  <c r="B12731" i="2"/>
  <c r="B12730" i="2"/>
  <c r="B12729" i="2"/>
  <c r="B12728" i="2"/>
  <c r="B12727" i="2"/>
  <c r="B12726" i="2"/>
  <c r="B12725" i="2"/>
  <c r="B12724" i="2"/>
  <c r="B12723" i="2"/>
  <c r="B12722" i="2"/>
  <c r="B12721" i="2"/>
  <c r="B12720" i="2"/>
  <c r="B12719" i="2"/>
  <c r="B12718" i="2"/>
  <c r="B12717" i="2"/>
  <c r="B12716" i="2"/>
  <c r="B12715" i="2"/>
  <c r="B12714" i="2"/>
  <c r="B12713" i="2"/>
  <c r="B12712" i="2"/>
  <c r="B12711" i="2"/>
  <c r="B12710" i="2"/>
  <c r="B12709" i="2"/>
  <c r="B12708" i="2"/>
  <c r="B12707" i="2"/>
  <c r="B12706" i="2"/>
  <c r="B12705" i="2"/>
  <c r="B12704" i="2"/>
  <c r="B12703" i="2"/>
  <c r="B12702" i="2"/>
  <c r="B12701" i="2"/>
  <c r="B12700" i="2"/>
  <c r="B12699" i="2"/>
  <c r="B12698" i="2"/>
  <c r="B12697" i="2"/>
  <c r="B12696" i="2"/>
  <c r="B12695" i="2"/>
  <c r="B12694" i="2"/>
  <c r="B12693" i="2"/>
  <c r="B12692" i="2"/>
  <c r="B12691" i="2"/>
  <c r="B12690" i="2"/>
  <c r="B12689" i="2"/>
  <c r="B12688" i="2"/>
  <c r="B12687" i="2"/>
  <c r="B12686" i="2"/>
  <c r="B12685" i="2"/>
  <c r="B12684" i="2"/>
  <c r="B12683" i="2"/>
  <c r="B12682" i="2"/>
  <c r="B12681" i="2"/>
  <c r="B12680" i="2"/>
  <c r="B12679" i="2"/>
  <c r="B12678" i="2"/>
  <c r="B12677" i="2"/>
  <c r="B12676" i="2"/>
  <c r="B12675" i="2"/>
  <c r="B12674" i="2"/>
  <c r="B12673" i="2"/>
  <c r="B12672" i="2"/>
  <c r="B12671" i="2"/>
  <c r="B12670" i="2"/>
  <c r="B12669" i="2"/>
  <c r="B12668" i="2"/>
  <c r="B12667" i="2"/>
  <c r="B12666" i="2"/>
  <c r="B12665" i="2"/>
  <c r="B12664" i="2"/>
  <c r="B12663" i="2"/>
  <c r="B12662" i="2"/>
  <c r="B12661" i="2"/>
  <c r="B12660" i="2"/>
  <c r="B12659" i="2"/>
  <c r="B12658" i="2"/>
  <c r="B12657" i="2"/>
  <c r="B12656" i="2"/>
  <c r="B12655" i="2"/>
  <c r="B12654" i="2"/>
  <c r="B12653" i="2"/>
  <c r="B12652" i="2"/>
  <c r="B12651" i="2"/>
  <c r="B12650" i="2"/>
  <c r="B12649" i="2"/>
  <c r="B12648" i="2"/>
  <c r="B12647" i="2"/>
  <c r="B12646" i="2"/>
  <c r="B12645" i="2"/>
  <c r="B12644" i="2"/>
  <c r="B12643" i="2"/>
  <c r="B12642" i="2"/>
  <c r="B12641" i="2"/>
  <c r="B12640" i="2"/>
  <c r="B12639" i="2"/>
  <c r="B12638" i="2"/>
  <c r="B12637" i="2"/>
  <c r="B12636" i="2"/>
  <c r="B12635" i="2"/>
  <c r="B12634" i="2"/>
  <c r="B12633" i="2"/>
  <c r="B12632" i="2"/>
  <c r="B12631" i="2"/>
  <c r="B12630" i="2"/>
  <c r="B12629" i="2"/>
  <c r="B12628" i="2"/>
  <c r="B12627" i="2"/>
  <c r="B12626" i="2"/>
  <c r="B12625" i="2"/>
  <c r="B12624" i="2"/>
  <c r="B12623" i="2"/>
  <c r="B12622" i="2"/>
  <c r="B12621" i="2"/>
  <c r="B12620" i="2"/>
  <c r="B12619" i="2"/>
  <c r="B12618" i="2"/>
  <c r="B12617" i="2"/>
  <c r="B12616" i="2"/>
  <c r="B12615" i="2"/>
  <c r="B12614" i="2"/>
  <c r="B12613" i="2"/>
  <c r="B12612" i="2"/>
  <c r="B12611" i="2"/>
  <c r="B12610" i="2"/>
  <c r="B12609" i="2"/>
  <c r="B12608" i="2"/>
  <c r="B12607" i="2"/>
  <c r="B12606" i="2"/>
  <c r="B12605" i="2"/>
  <c r="B12604" i="2"/>
  <c r="B12603" i="2"/>
  <c r="B12602" i="2"/>
  <c r="B12601" i="2"/>
  <c r="B12600" i="2"/>
  <c r="B12599" i="2"/>
  <c r="B12598" i="2"/>
  <c r="B12597" i="2"/>
  <c r="B12596" i="2"/>
  <c r="B12595" i="2"/>
  <c r="B12594" i="2"/>
  <c r="B12593" i="2"/>
  <c r="B12592" i="2"/>
  <c r="B12591" i="2"/>
  <c r="B12590" i="2"/>
  <c r="B12589" i="2"/>
  <c r="B12588" i="2"/>
  <c r="B12587" i="2"/>
  <c r="B12586" i="2"/>
  <c r="B12585" i="2"/>
  <c r="B12584" i="2"/>
  <c r="B12583" i="2"/>
  <c r="B12582" i="2"/>
  <c r="B12581" i="2"/>
  <c r="B12580" i="2"/>
  <c r="B12579" i="2"/>
  <c r="B12578" i="2"/>
  <c r="B12577" i="2"/>
  <c r="B12576" i="2"/>
  <c r="B12575" i="2"/>
  <c r="B12574" i="2"/>
  <c r="B12573" i="2"/>
  <c r="B12572" i="2"/>
  <c r="B12571" i="2"/>
  <c r="B12570" i="2"/>
  <c r="B12569" i="2"/>
  <c r="B12568" i="2"/>
  <c r="B12567" i="2"/>
  <c r="B12566" i="2"/>
  <c r="B12565" i="2"/>
  <c r="B12564" i="2"/>
  <c r="B12563" i="2"/>
  <c r="B12562" i="2"/>
  <c r="B12561" i="2"/>
  <c r="B12560" i="2"/>
  <c r="B12559" i="2"/>
  <c r="B12558" i="2"/>
  <c r="B12557" i="2"/>
  <c r="B12556" i="2"/>
  <c r="B12555" i="2"/>
  <c r="B12554" i="2"/>
  <c r="B12553" i="2"/>
  <c r="B12552" i="2"/>
  <c r="B12551" i="2"/>
  <c r="B12550" i="2"/>
  <c r="B12549" i="2"/>
  <c r="B12548" i="2"/>
  <c r="B12547" i="2"/>
  <c r="B12546" i="2"/>
  <c r="B12545" i="2"/>
  <c r="B12544" i="2"/>
  <c r="B12543" i="2"/>
  <c r="B12542" i="2"/>
  <c r="B12541" i="2"/>
  <c r="B12540" i="2"/>
  <c r="B12539" i="2"/>
  <c r="B12538" i="2"/>
  <c r="B12537" i="2"/>
  <c r="B12536" i="2"/>
  <c r="B12535" i="2"/>
  <c r="B12534" i="2"/>
  <c r="B12533" i="2"/>
  <c r="B12532" i="2"/>
  <c r="B12531" i="2"/>
  <c r="B12530" i="2"/>
  <c r="B12529" i="2"/>
  <c r="B12528" i="2"/>
  <c r="B12527" i="2"/>
  <c r="B12526" i="2"/>
  <c r="B12525" i="2"/>
  <c r="B12524" i="2"/>
  <c r="B12523" i="2"/>
  <c r="B12522" i="2"/>
  <c r="B12521" i="2"/>
  <c r="B12520" i="2"/>
  <c r="B12519" i="2"/>
  <c r="B12518" i="2"/>
  <c r="B12517" i="2"/>
  <c r="B12516" i="2"/>
  <c r="B12515" i="2"/>
  <c r="B12514" i="2"/>
  <c r="B12513" i="2"/>
  <c r="B12512" i="2"/>
  <c r="B12511" i="2"/>
  <c r="B12510" i="2"/>
  <c r="B12509" i="2"/>
  <c r="B12508" i="2"/>
  <c r="B12507" i="2"/>
  <c r="B12506" i="2"/>
  <c r="B12505" i="2"/>
  <c r="B12504" i="2"/>
  <c r="B12503" i="2"/>
  <c r="B12502" i="2"/>
  <c r="B12501" i="2"/>
  <c r="B12500" i="2"/>
  <c r="B12499" i="2"/>
  <c r="B12498" i="2"/>
  <c r="B12497" i="2"/>
  <c r="B12496" i="2"/>
  <c r="B12495" i="2"/>
  <c r="B12494" i="2"/>
  <c r="B12493" i="2"/>
  <c r="B12492" i="2"/>
  <c r="B12491" i="2"/>
  <c r="B12490" i="2"/>
  <c r="B12489" i="2"/>
  <c r="B12488" i="2"/>
  <c r="B12487" i="2"/>
  <c r="B12486" i="2"/>
  <c r="B12485" i="2"/>
  <c r="B12484" i="2"/>
  <c r="B12483" i="2"/>
  <c r="B12482" i="2"/>
  <c r="B12481" i="2"/>
  <c r="B12480" i="2"/>
  <c r="B12479" i="2"/>
  <c r="B12478" i="2"/>
  <c r="B12477" i="2"/>
  <c r="B12476" i="2"/>
  <c r="B12475" i="2"/>
  <c r="B12474" i="2"/>
  <c r="B12473" i="2"/>
  <c r="B12472" i="2"/>
  <c r="B12471" i="2"/>
  <c r="B12470" i="2"/>
  <c r="B12469" i="2"/>
  <c r="B12468" i="2"/>
  <c r="B12467" i="2"/>
  <c r="B12466" i="2"/>
  <c r="B12465" i="2"/>
  <c r="B12464" i="2"/>
  <c r="B12463" i="2"/>
  <c r="B12462" i="2"/>
  <c r="B12461" i="2"/>
  <c r="B12460" i="2"/>
  <c r="B12459" i="2"/>
  <c r="B12458" i="2"/>
  <c r="B12457" i="2"/>
  <c r="B12456" i="2"/>
  <c r="B12455" i="2"/>
  <c r="B12454" i="2"/>
  <c r="B12453" i="2"/>
  <c r="B12452" i="2"/>
  <c r="B12451" i="2"/>
  <c r="B12450" i="2"/>
  <c r="B12449" i="2"/>
  <c r="B12448" i="2"/>
  <c r="B12447" i="2"/>
  <c r="B12446" i="2"/>
  <c r="B12445" i="2"/>
  <c r="B12444" i="2"/>
  <c r="B12443" i="2"/>
  <c r="B12442" i="2"/>
  <c r="B12441" i="2"/>
  <c r="B12440" i="2"/>
  <c r="B12439" i="2"/>
  <c r="B12438" i="2"/>
  <c r="B12437" i="2"/>
  <c r="B12436" i="2"/>
  <c r="B12435" i="2"/>
  <c r="B12434" i="2"/>
  <c r="B12433" i="2"/>
  <c r="B12432" i="2"/>
  <c r="B12431" i="2"/>
  <c r="B12430" i="2"/>
  <c r="B12429" i="2"/>
  <c r="B12428" i="2"/>
  <c r="B12427" i="2"/>
  <c r="B12426" i="2"/>
  <c r="B12425" i="2"/>
  <c r="B12424" i="2"/>
  <c r="B12423" i="2"/>
  <c r="B12422" i="2"/>
  <c r="B12421" i="2"/>
  <c r="B12420" i="2"/>
  <c r="B12419" i="2"/>
  <c r="B12418" i="2"/>
  <c r="B12417" i="2"/>
  <c r="B12416" i="2"/>
  <c r="B12415" i="2"/>
  <c r="B12414" i="2"/>
  <c r="B12413" i="2"/>
  <c r="B12412" i="2"/>
  <c r="B12411" i="2"/>
  <c r="B12410" i="2"/>
  <c r="B12409" i="2"/>
  <c r="B12408" i="2"/>
  <c r="B12407" i="2"/>
  <c r="B12406" i="2"/>
  <c r="B12405" i="2"/>
  <c r="B12404" i="2"/>
  <c r="B12403" i="2"/>
  <c r="B12402" i="2"/>
  <c r="B12401" i="2"/>
  <c r="B12400" i="2"/>
  <c r="B12399" i="2"/>
  <c r="B12398" i="2"/>
  <c r="B12397" i="2"/>
  <c r="B12396" i="2"/>
  <c r="B12395" i="2"/>
  <c r="B12394" i="2"/>
  <c r="B12393" i="2"/>
  <c r="B12392" i="2"/>
  <c r="B12391" i="2"/>
  <c r="B12390" i="2"/>
  <c r="B12389" i="2"/>
  <c r="B12388" i="2"/>
  <c r="B12387" i="2"/>
  <c r="B12386" i="2"/>
  <c r="B12385" i="2"/>
  <c r="B12384" i="2"/>
  <c r="B12383" i="2"/>
  <c r="B12382" i="2"/>
  <c r="B12381" i="2"/>
  <c r="B12380" i="2"/>
  <c r="B12379" i="2"/>
  <c r="B12378" i="2"/>
  <c r="B12377" i="2"/>
  <c r="B12376" i="2"/>
  <c r="B12375" i="2"/>
  <c r="B12374" i="2"/>
  <c r="B12373" i="2"/>
  <c r="B12372" i="2"/>
  <c r="B12371" i="2"/>
  <c r="B12370" i="2"/>
  <c r="B12369" i="2"/>
  <c r="B12368" i="2"/>
  <c r="B12367" i="2"/>
  <c r="B12366" i="2"/>
  <c r="B12365" i="2"/>
  <c r="B12364" i="2"/>
  <c r="B12363" i="2"/>
  <c r="B12362" i="2"/>
  <c r="B12361" i="2"/>
  <c r="B12360" i="2"/>
  <c r="B12359" i="2"/>
  <c r="B12358" i="2"/>
  <c r="B12357" i="2"/>
  <c r="B12356" i="2"/>
  <c r="B12355" i="2"/>
  <c r="B12354" i="2"/>
  <c r="B12353" i="2"/>
  <c r="B12352" i="2"/>
  <c r="B12351" i="2"/>
  <c r="B12350" i="2"/>
  <c r="B12349" i="2"/>
  <c r="B12348" i="2"/>
  <c r="B12347" i="2"/>
  <c r="B12346" i="2"/>
  <c r="B12345" i="2"/>
  <c r="B12344" i="2"/>
  <c r="B12343" i="2"/>
  <c r="B12342" i="2"/>
  <c r="B12341" i="2"/>
  <c r="B12340" i="2"/>
  <c r="B12339" i="2"/>
  <c r="B12338" i="2"/>
  <c r="B12337" i="2"/>
  <c r="B12336" i="2"/>
  <c r="B12335" i="2"/>
  <c r="B12334" i="2"/>
  <c r="B12333" i="2"/>
  <c r="B12332" i="2"/>
  <c r="B12331" i="2"/>
  <c r="B12330" i="2"/>
  <c r="B12329" i="2"/>
  <c r="B12328" i="2"/>
  <c r="B12327" i="2"/>
  <c r="B12326" i="2"/>
  <c r="B12325" i="2"/>
  <c r="B12324" i="2"/>
  <c r="B12323" i="2"/>
  <c r="B12322" i="2"/>
  <c r="B12321" i="2"/>
  <c r="B12320" i="2"/>
  <c r="B12319" i="2"/>
  <c r="B12318" i="2"/>
  <c r="B12317" i="2"/>
  <c r="B12316" i="2"/>
  <c r="B12315" i="2"/>
  <c r="B12314" i="2"/>
  <c r="B12313" i="2"/>
  <c r="B12312" i="2"/>
  <c r="B12311" i="2"/>
  <c r="B12310" i="2"/>
  <c r="B12309" i="2"/>
  <c r="B12308" i="2"/>
  <c r="B12307" i="2"/>
  <c r="B12306" i="2"/>
  <c r="B12305" i="2"/>
  <c r="B12304" i="2"/>
  <c r="B12303" i="2"/>
  <c r="B12302" i="2"/>
  <c r="B12301" i="2"/>
  <c r="B12300" i="2"/>
  <c r="B12299" i="2"/>
  <c r="B12298" i="2"/>
  <c r="B12297" i="2"/>
  <c r="B12296" i="2"/>
  <c r="B12295" i="2"/>
  <c r="B12294" i="2"/>
  <c r="B12293" i="2"/>
  <c r="B12292" i="2"/>
  <c r="B12291" i="2"/>
  <c r="B12290" i="2"/>
  <c r="B12289" i="2"/>
  <c r="B12288" i="2"/>
  <c r="B12287" i="2"/>
  <c r="B12286" i="2"/>
  <c r="B12285" i="2"/>
  <c r="B12284" i="2"/>
  <c r="B12283" i="2"/>
  <c r="B12282" i="2"/>
  <c r="B12281" i="2"/>
  <c r="B12280" i="2"/>
  <c r="B12279" i="2"/>
  <c r="B12278" i="2"/>
  <c r="B12277" i="2"/>
  <c r="B12276" i="2"/>
  <c r="B12275" i="2"/>
  <c r="B12274" i="2"/>
  <c r="B12273" i="2"/>
  <c r="B12272" i="2"/>
  <c r="B12271" i="2"/>
  <c r="B12270" i="2"/>
  <c r="B12269" i="2"/>
  <c r="B12268" i="2"/>
  <c r="B12267" i="2"/>
  <c r="B12266" i="2"/>
  <c r="B12265" i="2"/>
  <c r="B12264" i="2"/>
  <c r="B12263" i="2"/>
  <c r="B12262" i="2"/>
  <c r="B12261" i="2"/>
  <c r="B12260" i="2"/>
  <c r="B12259" i="2"/>
  <c r="B12258" i="2"/>
  <c r="B12257" i="2"/>
  <c r="B12256" i="2"/>
  <c r="B12255" i="2"/>
  <c r="B12254" i="2"/>
  <c r="B12253" i="2"/>
  <c r="B12252" i="2"/>
  <c r="B12251" i="2"/>
  <c r="B12250" i="2"/>
  <c r="B12249" i="2"/>
  <c r="B12248" i="2"/>
  <c r="B12247" i="2"/>
  <c r="B12246" i="2"/>
  <c r="B12245" i="2"/>
  <c r="B12244" i="2"/>
  <c r="B12243" i="2"/>
  <c r="B12242" i="2"/>
  <c r="B12241" i="2"/>
  <c r="B12240" i="2"/>
  <c r="B12239" i="2"/>
  <c r="B12238" i="2"/>
  <c r="B12237" i="2"/>
  <c r="B12236" i="2"/>
  <c r="B12235" i="2"/>
  <c r="B12234" i="2"/>
  <c r="B12233" i="2"/>
  <c r="B12232" i="2"/>
  <c r="B12231" i="2"/>
  <c r="B12230" i="2"/>
  <c r="B12229" i="2"/>
  <c r="B12228" i="2"/>
  <c r="B12227" i="2"/>
  <c r="B12226" i="2"/>
  <c r="B12225" i="2"/>
  <c r="B12224" i="2"/>
  <c r="B12223" i="2"/>
  <c r="B12222" i="2"/>
  <c r="B12221" i="2"/>
  <c r="B12220" i="2"/>
  <c r="B12219" i="2"/>
  <c r="B12218" i="2"/>
  <c r="B12217" i="2"/>
  <c r="B12216" i="2"/>
  <c r="B12215" i="2"/>
  <c r="B12214" i="2"/>
  <c r="B12213" i="2"/>
  <c r="B12212" i="2"/>
  <c r="B12211" i="2"/>
  <c r="B12210" i="2"/>
  <c r="B12209" i="2"/>
  <c r="B12208" i="2"/>
  <c r="B12207" i="2"/>
  <c r="B12206" i="2"/>
  <c r="B12205" i="2"/>
  <c r="B12204" i="2"/>
  <c r="B12203" i="2"/>
  <c r="B12202" i="2"/>
  <c r="B12201" i="2"/>
  <c r="B12200" i="2"/>
  <c r="B12199" i="2"/>
  <c r="B12198" i="2"/>
  <c r="B12197" i="2"/>
  <c r="B12196" i="2"/>
  <c r="B12195" i="2"/>
  <c r="B12194" i="2"/>
  <c r="B12193" i="2"/>
  <c r="B12192" i="2"/>
  <c r="B12191" i="2"/>
  <c r="B12190" i="2"/>
  <c r="B12189" i="2"/>
  <c r="B12188" i="2"/>
  <c r="B12187" i="2"/>
  <c r="B12186" i="2"/>
  <c r="B12185" i="2"/>
  <c r="B12184" i="2"/>
  <c r="B12183" i="2"/>
  <c r="B12182" i="2"/>
  <c r="B12181" i="2"/>
  <c r="B12180" i="2"/>
  <c r="B12179" i="2"/>
  <c r="B12178" i="2"/>
  <c r="B12177" i="2"/>
  <c r="B12176" i="2"/>
  <c r="B12175" i="2"/>
  <c r="B12174" i="2"/>
  <c r="B12173" i="2"/>
  <c r="B12172" i="2"/>
  <c r="B12171" i="2"/>
  <c r="B12170" i="2"/>
  <c r="B12169" i="2"/>
  <c r="B12168" i="2"/>
  <c r="B12167" i="2"/>
  <c r="B12166" i="2"/>
  <c r="B12165" i="2"/>
  <c r="B12164" i="2"/>
  <c r="B12163" i="2"/>
  <c r="B12162" i="2"/>
  <c r="B12161" i="2"/>
  <c r="B12160" i="2"/>
  <c r="B12159" i="2"/>
  <c r="B12158" i="2"/>
  <c r="B12157" i="2"/>
  <c r="B12156" i="2"/>
  <c r="B12155" i="2"/>
  <c r="B12154" i="2"/>
  <c r="B12153" i="2"/>
  <c r="B12152" i="2"/>
  <c r="B12151" i="2"/>
  <c r="B12150" i="2"/>
  <c r="B12149" i="2"/>
  <c r="B12148" i="2"/>
  <c r="B12147" i="2"/>
  <c r="B12146" i="2"/>
  <c r="B12145" i="2"/>
  <c r="B12144" i="2"/>
  <c r="B12143" i="2"/>
  <c r="B12142" i="2"/>
  <c r="B12141" i="2"/>
  <c r="B12140" i="2"/>
  <c r="B12139" i="2"/>
  <c r="B12138" i="2"/>
  <c r="B12137" i="2"/>
  <c r="B12136" i="2"/>
  <c r="B12135" i="2"/>
  <c r="B12134" i="2"/>
  <c r="B12133" i="2"/>
  <c r="B12132" i="2"/>
  <c r="B12131" i="2"/>
  <c r="B12130" i="2"/>
  <c r="B12129" i="2"/>
  <c r="B12128" i="2"/>
  <c r="B12127" i="2"/>
  <c r="B12126" i="2"/>
  <c r="B12125" i="2"/>
  <c r="B12124" i="2"/>
  <c r="B12123" i="2"/>
  <c r="B12122" i="2"/>
  <c r="B12121" i="2"/>
  <c r="B12120" i="2"/>
  <c r="B12119" i="2"/>
  <c r="B12118" i="2"/>
  <c r="B12117" i="2"/>
  <c r="B12116" i="2"/>
  <c r="B12115" i="2"/>
  <c r="B12114" i="2"/>
  <c r="B12113" i="2"/>
  <c r="B12112" i="2"/>
  <c r="B12111" i="2"/>
  <c r="B12110" i="2"/>
  <c r="B12109" i="2"/>
  <c r="B12108" i="2"/>
  <c r="B12107" i="2"/>
  <c r="B12106" i="2"/>
  <c r="B12105" i="2"/>
  <c r="B12104" i="2"/>
  <c r="B12103" i="2"/>
  <c r="B12102" i="2"/>
  <c r="B12101" i="2"/>
  <c r="B12100" i="2"/>
  <c r="B12099" i="2"/>
  <c r="B12098" i="2"/>
  <c r="B12097" i="2"/>
  <c r="B12096" i="2"/>
  <c r="B12095" i="2"/>
  <c r="B12094" i="2"/>
  <c r="B12093" i="2"/>
  <c r="B12092" i="2"/>
  <c r="B12091" i="2"/>
  <c r="B12090" i="2"/>
  <c r="B12089" i="2"/>
  <c r="B12088" i="2"/>
  <c r="B12087" i="2"/>
  <c r="B12086" i="2"/>
  <c r="B12085" i="2"/>
  <c r="B12084" i="2"/>
  <c r="B12083" i="2"/>
  <c r="B12082" i="2"/>
  <c r="B12081" i="2"/>
  <c r="B12080" i="2"/>
  <c r="B12079" i="2"/>
  <c r="B12078" i="2"/>
  <c r="B12077" i="2"/>
  <c r="B12076" i="2"/>
  <c r="B12075" i="2"/>
  <c r="B12074" i="2"/>
  <c r="B12073" i="2"/>
  <c r="B12072" i="2"/>
  <c r="B12071" i="2"/>
  <c r="B12070" i="2"/>
  <c r="B12069" i="2"/>
  <c r="B12068" i="2"/>
  <c r="B12067" i="2"/>
  <c r="B12066" i="2"/>
  <c r="B12065" i="2"/>
  <c r="B12064" i="2"/>
  <c r="B12063" i="2"/>
  <c r="B12062" i="2"/>
  <c r="B12061" i="2"/>
  <c r="B12060" i="2"/>
  <c r="B12059" i="2"/>
  <c r="B12058" i="2"/>
  <c r="B12057" i="2"/>
  <c r="B12056" i="2"/>
  <c r="B12055" i="2"/>
  <c r="B12054" i="2"/>
  <c r="B12053" i="2"/>
  <c r="B12052" i="2"/>
  <c r="B12051" i="2"/>
  <c r="B12050" i="2"/>
  <c r="B12049" i="2"/>
  <c r="B12048" i="2"/>
  <c r="B12047" i="2"/>
  <c r="B12046" i="2"/>
  <c r="B12045" i="2"/>
  <c r="B12044" i="2"/>
  <c r="B12043" i="2"/>
  <c r="B12042" i="2"/>
  <c r="B12041" i="2"/>
  <c r="B12040" i="2"/>
  <c r="B12039" i="2"/>
  <c r="B12038" i="2"/>
  <c r="B12037" i="2"/>
  <c r="B12036" i="2"/>
  <c r="B12035" i="2"/>
  <c r="B12034" i="2"/>
  <c r="B12033" i="2"/>
  <c r="B12032" i="2"/>
  <c r="B12031" i="2"/>
  <c r="B12030" i="2"/>
  <c r="B12029" i="2"/>
  <c r="B12028" i="2"/>
  <c r="B12027" i="2"/>
  <c r="B12026" i="2"/>
  <c r="B12025" i="2"/>
  <c r="B12024" i="2"/>
  <c r="B12023" i="2"/>
  <c r="B12022" i="2"/>
  <c r="B12021" i="2"/>
  <c r="B12020" i="2"/>
  <c r="B12019" i="2"/>
  <c r="B12018" i="2"/>
  <c r="B12017" i="2"/>
  <c r="B12016" i="2"/>
  <c r="B12015" i="2"/>
  <c r="B12014" i="2"/>
  <c r="B12013" i="2"/>
  <c r="B12012" i="2"/>
  <c r="B12011" i="2"/>
  <c r="B12010" i="2"/>
  <c r="B12009" i="2"/>
  <c r="B12008" i="2"/>
  <c r="B12007" i="2"/>
  <c r="B12006" i="2"/>
  <c r="B12005" i="2"/>
  <c r="B12004" i="2"/>
  <c r="B12003" i="2"/>
  <c r="B12002" i="2"/>
  <c r="B12001" i="2"/>
  <c r="B12000" i="2"/>
  <c r="B11999" i="2"/>
  <c r="B11998" i="2"/>
  <c r="B11997" i="2"/>
  <c r="B11996" i="2"/>
  <c r="B11995" i="2"/>
  <c r="B11994" i="2"/>
  <c r="B11993" i="2"/>
  <c r="B11992" i="2"/>
  <c r="B11991" i="2"/>
  <c r="B11990" i="2"/>
  <c r="B11989" i="2"/>
  <c r="B11988" i="2"/>
  <c r="B11987" i="2"/>
  <c r="B11986" i="2"/>
  <c r="B11985" i="2"/>
  <c r="B11984" i="2"/>
  <c r="B11983" i="2"/>
  <c r="B11982" i="2"/>
  <c r="B11981" i="2"/>
  <c r="B11980" i="2"/>
  <c r="B11979" i="2"/>
  <c r="B11978" i="2"/>
  <c r="B11977" i="2"/>
  <c r="B11976" i="2"/>
  <c r="B11975" i="2"/>
  <c r="B11974" i="2"/>
  <c r="B11973" i="2"/>
  <c r="B11972" i="2"/>
  <c r="B11971" i="2"/>
  <c r="B11970" i="2"/>
  <c r="B11969" i="2"/>
  <c r="B11968" i="2"/>
  <c r="B11967" i="2"/>
  <c r="B11966" i="2"/>
  <c r="B11965" i="2"/>
  <c r="B11964" i="2"/>
  <c r="B11963" i="2"/>
  <c r="B11962" i="2"/>
  <c r="B11961" i="2"/>
  <c r="B11960" i="2"/>
  <c r="B11959" i="2"/>
  <c r="B11958" i="2"/>
  <c r="B11957" i="2"/>
  <c r="B11956" i="2"/>
  <c r="B11955" i="2"/>
  <c r="B11954" i="2"/>
  <c r="B11953" i="2"/>
  <c r="B11952" i="2"/>
  <c r="B11951" i="2"/>
  <c r="B11950" i="2"/>
  <c r="B11949" i="2"/>
  <c r="B11948" i="2"/>
  <c r="B11947" i="2"/>
  <c r="B11946" i="2"/>
  <c r="B11945" i="2"/>
  <c r="B11944" i="2"/>
  <c r="B11943" i="2"/>
  <c r="B11942" i="2"/>
  <c r="B11941" i="2"/>
  <c r="B11940" i="2"/>
  <c r="B11939" i="2"/>
  <c r="B11938" i="2"/>
  <c r="B11937" i="2"/>
  <c r="B11936" i="2"/>
  <c r="B11935" i="2"/>
  <c r="B11934" i="2"/>
  <c r="B11933" i="2"/>
  <c r="B11932" i="2"/>
  <c r="B11931" i="2"/>
  <c r="B11930" i="2"/>
  <c r="B11929" i="2"/>
  <c r="B11928" i="2"/>
  <c r="B11927" i="2"/>
  <c r="B11926" i="2"/>
  <c r="B11925" i="2"/>
  <c r="B11924" i="2"/>
  <c r="B11923" i="2"/>
  <c r="B11922" i="2"/>
  <c r="B11921" i="2"/>
  <c r="B11920" i="2"/>
  <c r="B11919" i="2"/>
  <c r="B11918" i="2"/>
  <c r="B11917" i="2"/>
  <c r="B11916" i="2"/>
  <c r="B11915" i="2"/>
  <c r="B11914" i="2"/>
  <c r="B11913" i="2"/>
  <c r="B11912" i="2"/>
  <c r="B11911" i="2"/>
  <c r="B11910" i="2"/>
  <c r="B11909" i="2"/>
  <c r="B11908" i="2"/>
  <c r="B11907" i="2"/>
  <c r="B11906" i="2"/>
  <c r="B11905" i="2"/>
  <c r="B11904" i="2"/>
  <c r="B11903" i="2"/>
  <c r="B11902" i="2"/>
  <c r="B11901" i="2"/>
  <c r="B11900" i="2"/>
  <c r="B11899" i="2"/>
  <c r="B11898" i="2"/>
  <c r="B11897" i="2"/>
  <c r="B11896" i="2"/>
  <c r="B11895" i="2"/>
  <c r="B11894" i="2"/>
  <c r="B11893" i="2"/>
  <c r="B11892" i="2"/>
  <c r="B11891" i="2"/>
  <c r="B11890" i="2"/>
  <c r="B11889" i="2"/>
  <c r="B11888" i="2"/>
  <c r="B11887" i="2"/>
  <c r="B11886" i="2"/>
  <c r="B11885" i="2"/>
  <c r="B11884" i="2"/>
  <c r="B11883" i="2"/>
  <c r="B11882" i="2"/>
  <c r="B11881" i="2"/>
  <c r="B11880" i="2"/>
  <c r="B11879" i="2"/>
  <c r="B11878" i="2"/>
  <c r="B11877" i="2"/>
  <c r="B11876" i="2"/>
  <c r="B11875" i="2"/>
  <c r="B11874" i="2"/>
  <c r="B11873" i="2"/>
  <c r="B11872" i="2"/>
  <c r="B11871" i="2"/>
  <c r="B11870" i="2"/>
  <c r="B11869" i="2"/>
  <c r="B11868" i="2"/>
  <c r="B11867" i="2"/>
  <c r="B11866" i="2"/>
  <c r="B11865" i="2"/>
  <c r="B11864" i="2"/>
  <c r="B11863" i="2"/>
  <c r="B11862" i="2"/>
  <c r="B11861" i="2"/>
  <c r="B11860" i="2"/>
  <c r="B11859" i="2"/>
  <c r="B11858" i="2"/>
  <c r="B11857" i="2"/>
  <c r="B11856" i="2"/>
  <c r="B11855" i="2"/>
  <c r="B11854" i="2"/>
  <c r="B11853" i="2"/>
  <c r="B11852" i="2"/>
  <c r="B11851" i="2"/>
  <c r="B11850" i="2"/>
  <c r="B11849" i="2"/>
  <c r="B11848" i="2"/>
  <c r="B11847" i="2"/>
  <c r="B11846" i="2"/>
  <c r="B11845" i="2"/>
  <c r="B11844" i="2"/>
  <c r="B11843" i="2"/>
  <c r="B11842" i="2"/>
  <c r="B11841" i="2"/>
  <c r="B11840" i="2"/>
  <c r="B11839" i="2"/>
  <c r="B11838" i="2"/>
  <c r="B11837" i="2"/>
  <c r="B11836" i="2"/>
  <c r="B11835" i="2"/>
  <c r="B11834" i="2"/>
  <c r="B11833" i="2"/>
  <c r="B11832" i="2"/>
  <c r="B11831" i="2"/>
  <c r="B11830" i="2"/>
  <c r="B11829" i="2"/>
  <c r="B11828" i="2"/>
  <c r="B11827" i="2"/>
  <c r="B11826" i="2"/>
  <c r="B11825" i="2"/>
  <c r="B11824" i="2"/>
  <c r="B11823" i="2"/>
  <c r="B11822" i="2"/>
  <c r="B11821" i="2"/>
  <c r="B11820" i="2"/>
  <c r="B11819" i="2"/>
  <c r="B11818" i="2"/>
  <c r="B11817" i="2"/>
  <c r="B11816" i="2"/>
  <c r="B11815" i="2"/>
  <c r="B11814" i="2"/>
  <c r="B11813" i="2"/>
  <c r="B11812" i="2"/>
  <c r="B11811" i="2"/>
  <c r="B11810" i="2"/>
  <c r="B11809" i="2"/>
  <c r="B11808" i="2"/>
  <c r="B11807" i="2"/>
  <c r="B11806" i="2"/>
  <c r="B11805" i="2"/>
  <c r="B11804" i="2"/>
  <c r="B11803" i="2"/>
  <c r="B11802" i="2"/>
  <c r="B11801" i="2"/>
  <c r="B11800" i="2"/>
  <c r="B11799" i="2"/>
  <c r="B11798" i="2"/>
  <c r="B11797" i="2"/>
  <c r="B11796" i="2"/>
  <c r="B11795" i="2"/>
  <c r="B11794" i="2"/>
  <c r="B11793" i="2"/>
  <c r="B11792" i="2"/>
  <c r="B11791" i="2"/>
  <c r="B11790" i="2"/>
  <c r="B11789" i="2"/>
  <c r="B11788" i="2"/>
  <c r="B11787" i="2"/>
  <c r="B11786" i="2"/>
  <c r="B11785" i="2"/>
  <c r="B11784" i="2"/>
  <c r="B11783" i="2"/>
  <c r="B11782" i="2"/>
  <c r="B11781" i="2"/>
  <c r="B11780" i="2"/>
  <c r="B11779" i="2"/>
  <c r="B11778" i="2"/>
  <c r="B11777" i="2"/>
  <c r="B11776" i="2"/>
  <c r="B11775" i="2"/>
  <c r="B11774" i="2"/>
  <c r="B11773" i="2"/>
  <c r="B11772" i="2"/>
  <c r="B11771" i="2"/>
  <c r="B11770" i="2"/>
  <c r="B11769" i="2"/>
  <c r="B11768" i="2"/>
  <c r="B11767" i="2"/>
  <c r="B11766" i="2"/>
  <c r="B11765" i="2"/>
  <c r="B11764" i="2"/>
  <c r="B11763" i="2"/>
  <c r="B11762" i="2"/>
  <c r="B11761" i="2"/>
  <c r="B11760" i="2"/>
  <c r="B11759" i="2"/>
  <c r="B11758" i="2"/>
  <c r="B11757" i="2"/>
  <c r="B11756" i="2"/>
  <c r="B11755" i="2"/>
  <c r="B11754" i="2"/>
  <c r="B11753" i="2"/>
  <c r="B11752" i="2"/>
  <c r="B11751" i="2"/>
  <c r="B11750" i="2"/>
  <c r="B11749" i="2"/>
  <c r="B11748" i="2"/>
  <c r="B11747" i="2"/>
  <c r="B11746" i="2"/>
  <c r="B11745" i="2"/>
  <c r="B11744" i="2"/>
  <c r="B11743" i="2"/>
  <c r="B11742" i="2"/>
  <c r="B11741" i="2"/>
  <c r="B11740" i="2"/>
  <c r="B11739" i="2"/>
  <c r="B11738" i="2"/>
  <c r="B11737" i="2"/>
  <c r="B11736" i="2"/>
  <c r="B11735" i="2"/>
  <c r="B11734" i="2"/>
  <c r="B11733" i="2"/>
  <c r="B11732" i="2"/>
  <c r="B11731" i="2"/>
  <c r="B11730" i="2"/>
  <c r="B11729" i="2"/>
  <c r="B11728" i="2"/>
  <c r="B11727" i="2"/>
  <c r="B11726" i="2"/>
  <c r="B11725" i="2"/>
  <c r="B11724" i="2"/>
  <c r="B11723" i="2"/>
  <c r="B11722" i="2"/>
  <c r="B11721" i="2"/>
  <c r="B11720" i="2"/>
  <c r="B11719" i="2"/>
  <c r="B11718" i="2"/>
  <c r="B11717" i="2"/>
  <c r="B11716" i="2"/>
  <c r="B11715" i="2"/>
  <c r="B11714" i="2"/>
  <c r="B11713" i="2"/>
  <c r="B11712" i="2"/>
  <c r="B11711" i="2"/>
  <c r="B11710" i="2"/>
  <c r="B11709" i="2"/>
  <c r="B11708" i="2"/>
  <c r="B11707" i="2"/>
  <c r="B11706" i="2"/>
  <c r="B11705" i="2"/>
  <c r="B11704" i="2"/>
  <c r="B11703" i="2"/>
  <c r="B11702" i="2"/>
  <c r="B11701" i="2"/>
  <c r="B11700" i="2"/>
  <c r="B11699" i="2"/>
  <c r="B11698" i="2"/>
  <c r="B11697" i="2"/>
  <c r="B11696" i="2"/>
  <c r="B11695" i="2"/>
  <c r="B11694" i="2"/>
  <c r="B11693" i="2"/>
  <c r="B11692" i="2"/>
  <c r="B11691" i="2"/>
  <c r="B11690" i="2"/>
  <c r="B11689" i="2"/>
  <c r="B11688" i="2"/>
  <c r="B11687" i="2"/>
  <c r="B11686" i="2"/>
  <c r="B11685" i="2"/>
  <c r="B11684" i="2"/>
  <c r="B11683" i="2"/>
  <c r="B11682" i="2"/>
  <c r="B11681" i="2"/>
  <c r="B11680" i="2"/>
  <c r="B11679" i="2"/>
  <c r="B11678" i="2"/>
  <c r="B11677" i="2"/>
  <c r="B11676" i="2"/>
  <c r="B11675" i="2"/>
  <c r="B11674" i="2"/>
  <c r="B11673" i="2"/>
  <c r="B11672" i="2"/>
  <c r="B11671" i="2"/>
  <c r="B11670" i="2"/>
  <c r="B11669" i="2"/>
  <c r="B11668" i="2"/>
  <c r="B11667" i="2"/>
  <c r="B11666" i="2"/>
  <c r="B11665" i="2"/>
  <c r="B11664" i="2"/>
  <c r="B11663" i="2"/>
  <c r="B11662" i="2"/>
  <c r="B11661" i="2"/>
  <c r="B11660" i="2"/>
  <c r="B11659" i="2"/>
  <c r="B11658" i="2"/>
  <c r="B11657" i="2"/>
  <c r="B11656" i="2"/>
  <c r="B11655" i="2"/>
  <c r="B11654" i="2"/>
  <c r="B11653" i="2"/>
  <c r="B11652" i="2"/>
  <c r="B11651" i="2"/>
  <c r="B11650" i="2"/>
  <c r="B11649" i="2"/>
  <c r="B11648" i="2"/>
  <c r="B11647" i="2"/>
  <c r="B11646" i="2"/>
  <c r="B11645" i="2"/>
  <c r="B11644" i="2"/>
  <c r="B11643" i="2"/>
  <c r="B11642" i="2"/>
  <c r="B11641" i="2"/>
  <c r="B11640" i="2"/>
  <c r="B11639" i="2"/>
  <c r="B11638" i="2"/>
  <c r="B11637" i="2"/>
  <c r="B11636" i="2"/>
  <c r="B11635" i="2"/>
  <c r="B11634" i="2"/>
  <c r="B11633" i="2"/>
  <c r="B11632" i="2"/>
  <c r="B11631" i="2"/>
  <c r="B11630" i="2"/>
  <c r="B11629" i="2"/>
  <c r="B11628" i="2"/>
  <c r="B11627" i="2"/>
  <c r="B11626" i="2"/>
  <c r="B11625" i="2"/>
  <c r="B11624" i="2"/>
  <c r="B11623" i="2"/>
  <c r="B11622" i="2"/>
  <c r="B11621" i="2"/>
  <c r="B11620" i="2"/>
  <c r="B11619" i="2"/>
  <c r="B11618" i="2"/>
  <c r="B11617" i="2"/>
  <c r="B11616" i="2"/>
  <c r="B11615" i="2"/>
  <c r="B11614" i="2"/>
  <c r="B11613" i="2"/>
  <c r="B11612" i="2"/>
  <c r="B11611" i="2"/>
  <c r="B11610" i="2"/>
  <c r="B11609" i="2"/>
  <c r="B11608" i="2"/>
  <c r="B11607" i="2"/>
  <c r="B11606" i="2"/>
  <c r="B11605" i="2"/>
  <c r="B11604" i="2"/>
  <c r="B11603" i="2"/>
  <c r="B11602" i="2"/>
  <c r="B11601" i="2"/>
  <c r="B11600" i="2"/>
  <c r="B11599" i="2"/>
  <c r="B11598" i="2"/>
  <c r="B11597" i="2"/>
  <c r="B11596" i="2"/>
  <c r="B11595" i="2"/>
  <c r="B11594" i="2"/>
  <c r="B11593" i="2"/>
  <c r="B11592" i="2"/>
  <c r="B11591" i="2"/>
  <c r="B11590" i="2"/>
  <c r="B11589" i="2"/>
  <c r="B11588" i="2"/>
  <c r="B11587" i="2"/>
  <c r="B11586" i="2"/>
  <c r="B11585" i="2"/>
  <c r="B11584" i="2"/>
  <c r="B11583" i="2"/>
  <c r="B11582" i="2"/>
  <c r="B11581" i="2"/>
  <c r="B11580" i="2"/>
  <c r="B11579" i="2"/>
  <c r="B11578" i="2"/>
  <c r="B11577" i="2"/>
  <c r="B11576" i="2"/>
  <c r="B11575" i="2"/>
  <c r="B11574" i="2"/>
  <c r="B11573" i="2"/>
  <c r="B11572" i="2"/>
  <c r="B11571" i="2"/>
  <c r="B11570" i="2"/>
  <c r="B11569" i="2"/>
  <c r="B11568" i="2"/>
  <c r="B11567" i="2"/>
  <c r="B11566" i="2"/>
  <c r="B11565" i="2"/>
  <c r="B11564" i="2"/>
  <c r="B11563" i="2"/>
  <c r="B11562" i="2"/>
  <c r="B11561" i="2"/>
  <c r="B11560" i="2"/>
  <c r="B11559" i="2"/>
  <c r="B11558" i="2"/>
  <c r="B11557" i="2"/>
  <c r="B11556" i="2"/>
  <c r="B11555" i="2"/>
  <c r="B11554" i="2"/>
  <c r="B11553" i="2"/>
  <c r="B11552" i="2"/>
  <c r="B11551" i="2"/>
  <c r="B11550" i="2"/>
  <c r="B11549" i="2"/>
  <c r="B11548" i="2"/>
  <c r="B11547" i="2"/>
  <c r="B11546" i="2"/>
  <c r="B11545" i="2"/>
  <c r="B11544" i="2"/>
  <c r="B11543" i="2"/>
  <c r="B11542" i="2"/>
  <c r="B11541" i="2"/>
  <c r="B11540" i="2"/>
  <c r="B11539" i="2"/>
  <c r="B11538" i="2"/>
  <c r="B11537" i="2"/>
  <c r="B11536" i="2"/>
  <c r="B11535" i="2"/>
  <c r="B11534" i="2"/>
  <c r="B11533" i="2"/>
  <c r="B11532" i="2"/>
  <c r="B11531" i="2"/>
  <c r="B11530" i="2"/>
  <c r="B11529" i="2"/>
  <c r="B11528" i="2"/>
  <c r="B11527" i="2"/>
  <c r="B11526" i="2"/>
  <c r="B11525" i="2"/>
  <c r="B11524" i="2"/>
  <c r="B11523" i="2"/>
  <c r="B11522" i="2"/>
  <c r="B11521" i="2"/>
  <c r="B11520" i="2"/>
  <c r="B11519" i="2"/>
  <c r="B11518" i="2"/>
  <c r="B11517" i="2"/>
  <c r="B11516" i="2"/>
  <c r="B11515" i="2"/>
  <c r="B11514" i="2"/>
  <c r="B11513" i="2"/>
  <c r="B11512" i="2"/>
  <c r="B11511" i="2"/>
  <c r="B11510" i="2"/>
  <c r="B11509" i="2"/>
  <c r="B11508" i="2"/>
  <c r="B11507" i="2"/>
  <c r="B11506" i="2"/>
  <c r="B11505" i="2"/>
  <c r="B11504" i="2"/>
  <c r="B11503" i="2"/>
  <c r="B11502" i="2"/>
  <c r="B11501" i="2"/>
  <c r="B11500" i="2"/>
  <c r="B11499" i="2"/>
  <c r="B11498" i="2"/>
  <c r="B11497" i="2"/>
  <c r="B11496" i="2"/>
  <c r="B11495" i="2"/>
  <c r="B11494" i="2"/>
  <c r="B11493" i="2"/>
  <c r="B11492" i="2"/>
  <c r="B11491" i="2"/>
  <c r="B11490" i="2"/>
  <c r="B11489" i="2"/>
  <c r="B11488" i="2"/>
  <c r="B11487" i="2"/>
  <c r="B11486" i="2"/>
  <c r="B11485" i="2"/>
  <c r="B11484" i="2"/>
  <c r="B11483" i="2"/>
  <c r="B11482" i="2"/>
  <c r="B11481" i="2"/>
  <c r="B11480" i="2"/>
  <c r="B11479" i="2"/>
  <c r="B11478" i="2"/>
  <c r="B11477" i="2"/>
  <c r="B11476" i="2"/>
  <c r="B11475" i="2"/>
  <c r="B11474" i="2"/>
  <c r="B11473" i="2"/>
  <c r="B11472" i="2"/>
  <c r="B11471" i="2"/>
  <c r="B11470" i="2"/>
  <c r="B11469" i="2"/>
  <c r="B11468" i="2"/>
  <c r="B11467" i="2"/>
  <c r="B11466" i="2"/>
  <c r="B11465" i="2"/>
  <c r="B11464" i="2"/>
  <c r="B11463" i="2"/>
  <c r="B11462" i="2"/>
  <c r="B11461" i="2"/>
  <c r="B11460" i="2"/>
  <c r="B11459" i="2"/>
  <c r="B11458" i="2"/>
  <c r="B11457" i="2"/>
  <c r="B11456" i="2"/>
  <c r="B11455" i="2"/>
  <c r="B11454" i="2"/>
  <c r="B11453" i="2"/>
  <c r="B11452" i="2"/>
  <c r="B11451" i="2"/>
  <c r="B11450" i="2"/>
  <c r="B11449" i="2"/>
  <c r="B11448" i="2"/>
  <c r="B11447" i="2"/>
  <c r="B11446" i="2"/>
  <c r="B11445" i="2"/>
  <c r="B11444" i="2"/>
  <c r="B11443" i="2"/>
  <c r="B11442" i="2"/>
  <c r="B11441" i="2"/>
  <c r="B11440" i="2"/>
  <c r="B11439" i="2"/>
  <c r="B11438" i="2"/>
  <c r="B11437" i="2"/>
  <c r="B11436" i="2"/>
  <c r="B11435" i="2"/>
  <c r="B11434" i="2"/>
  <c r="B11433" i="2"/>
  <c r="B11432" i="2"/>
  <c r="B11431" i="2"/>
  <c r="B11430" i="2"/>
  <c r="B11429" i="2"/>
  <c r="B11428" i="2"/>
  <c r="B11427" i="2"/>
  <c r="B11426" i="2"/>
  <c r="B11425" i="2"/>
  <c r="B11424" i="2"/>
  <c r="B11423" i="2"/>
  <c r="B11422" i="2"/>
  <c r="B11421" i="2"/>
  <c r="B11420" i="2"/>
  <c r="B11419" i="2"/>
  <c r="B11418" i="2"/>
  <c r="B11417" i="2"/>
  <c r="B11416" i="2"/>
  <c r="B11415" i="2"/>
  <c r="B11414" i="2"/>
  <c r="B11413" i="2"/>
  <c r="B11412" i="2"/>
  <c r="B11411" i="2"/>
  <c r="B11410" i="2"/>
  <c r="B11409" i="2"/>
  <c r="B11408" i="2"/>
  <c r="B11407" i="2"/>
  <c r="B11406" i="2"/>
  <c r="B11405" i="2"/>
  <c r="B11404" i="2"/>
  <c r="B11403" i="2"/>
  <c r="B11402" i="2"/>
  <c r="B11401" i="2"/>
  <c r="B11400" i="2"/>
  <c r="B11399" i="2"/>
  <c r="B11398" i="2"/>
  <c r="B11397" i="2"/>
  <c r="B11396" i="2"/>
  <c r="B11395" i="2"/>
  <c r="B11394" i="2"/>
  <c r="B11393" i="2"/>
  <c r="B11392" i="2"/>
  <c r="B11391" i="2"/>
  <c r="B11390" i="2"/>
  <c r="B11389" i="2"/>
  <c r="B11388" i="2"/>
  <c r="B11387" i="2"/>
  <c r="B11386" i="2"/>
  <c r="B11385" i="2"/>
  <c r="B11384" i="2"/>
  <c r="B11383" i="2"/>
  <c r="B11382" i="2"/>
  <c r="B11381" i="2"/>
  <c r="B11380" i="2"/>
  <c r="B11379" i="2"/>
  <c r="B11378" i="2"/>
  <c r="B11377" i="2"/>
  <c r="B11376" i="2"/>
  <c r="B11375" i="2"/>
  <c r="B11374" i="2"/>
  <c r="B11373" i="2"/>
  <c r="B11372" i="2"/>
  <c r="B11371" i="2"/>
  <c r="B11370" i="2"/>
  <c r="B11369" i="2"/>
  <c r="B11368" i="2"/>
  <c r="B11367" i="2"/>
  <c r="B11366" i="2"/>
  <c r="B11365" i="2"/>
  <c r="B11364" i="2"/>
  <c r="B11363" i="2"/>
  <c r="B11362" i="2"/>
  <c r="B11361" i="2"/>
  <c r="B11360" i="2"/>
  <c r="B11359" i="2"/>
  <c r="B11358" i="2"/>
  <c r="B11357" i="2"/>
  <c r="B11356" i="2"/>
  <c r="B11355" i="2"/>
  <c r="B11354" i="2"/>
  <c r="B11353" i="2"/>
  <c r="B11352" i="2"/>
  <c r="B11351" i="2"/>
  <c r="B11350" i="2"/>
  <c r="B11349" i="2"/>
  <c r="B11348" i="2"/>
  <c r="B11347" i="2"/>
  <c r="B11346" i="2"/>
  <c r="B11345" i="2"/>
  <c r="B11344" i="2"/>
  <c r="B11343" i="2"/>
  <c r="B11342" i="2"/>
  <c r="B11341" i="2"/>
  <c r="B11340" i="2"/>
  <c r="B11339" i="2"/>
  <c r="B11338" i="2"/>
  <c r="B11337" i="2"/>
  <c r="B11336" i="2"/>
  <c r="B11335" i="2"/>
  <c r="B11334" i="2"/>
  <c r="B11333" i="2"/>
  <c r="B11332" i="2"/>
  <c r="B11331" i="2"/>
  <c r="B11330" i="2"/>
  <c r="B11329" i="2"/>
  <c r="B11328" i="2"/>
  <c r="B11327" i="2"/>
  <c r="B11326" i="2"/>
  <c r="B11325" i="2"/>
  <c r="B11324" i="2"/>
  <c r="B11323" i="2"/>
  <c r="B11322" i="2"/>
  <c r="B11321" i="2"/>
  <c r="B11320" i="2"/>
  <c r="B11319" i="2"/>
  <c r="B11318" i="2"/>
  <c r="B11317" i="2"/>
  <c r="B11316" i="2"/>
  <c r="B11315" i="2"/>
  <c r="B11314" i="2"/>
  <c r="B11313" i="2"/>
  <c r="B11312" i="2"/>
  <c r="B11311" i="2"/>
  <c r="B11310" i="2"/>
  <c r="B11309" i="2"/>
  <c r="B11308" i="2"/>
  <c r="B11307" i="2"/>
  <c r="B11306" i="2"/>
  <c r="B11305" i="2"/>
  <c r="B11304" i="2"/>
  <c r="B11303" i="2"/>
  <c r="B11302" i="2"/>
  <c r="B11301" i="2"/>
  <c r="B11300" i="2"/>
  <c r="B11299" i="2"/>
  <c r="B11298" i="2"/>
  <c r="B11297" i="2"/>
  <c r="B11296" i="2"/>
  <c r="B11295" i="2"/>
  <c r="B11294" i="2"/>
  <c r="B11293" i="2"/>
  <c r="B11292" i="2"/>
  <c r="B11291" i="2"/>
  <c r="B11290" i="2"/>
  <c r="B11289" i="2"/>
  <c r="B11288" i="2"/>
  <c r="B11287" i="2"/>
  <c r="B11286" i="2"/>
  <c r="B11285" i="2"/>
  <c r="B11284" i="2"/>
  <c r="B11283" i="2"/>
  <c r="B11282" i="2"/>
  <c r="B11281" i="2"/>
  <c r="B11280" i="2"/>
  <c r="B11279" i="2"/>
  <c r="B11278" i="2"/>
  <c r="B11277" i="2"/>
  <c r="B11276" i="2"/>
  <c r="B11275" i="2"/>
  <c r="B11274" i="2"/>
  <c r="B11273" i="2"/>
  <c r="B11272" i="2"/>
  <c r="B11271" i="2"/>
  <c r="B11270" i="2"/>
  <c r="B11269" i="2"/>
  <c r="B11268" i="2"/>
  <c r="B11267" i="2"/>
  <c r="B11266" i="2"/>
  <c r="B11265" i="2"/>
  <c r="B11264" i="2"/>
  <c r="B11263" i="2"/>
  <c r="B11262" i="2"/>
  <c r="B11261" i="2"/>
  <c r="B11260" i="2"/>
  <c r="B11259" i="2"/>
  <c r="B11258" i="2"/>
  <c r="B11257" i="2"/>
  <c r="B11256" i="2"/>
  <c r="B11255" i="2"/>
  <c r="B11254" i="2"/>
  <c r="B11253" i="2"/>
  <c r="B11252" i="2"/>
  <c r="B11251" i="2"/>
  <c r="B11250" i="2"/>
  <c r="B11249" i="2"/>
  <c r="B11248" i="2"/>
  <c r="B11247" i="2"/>
  <c r="B11246" i="2"/>
  <c r="B11245" i="2"/>
  <c r="B11244" i="2"/>
  <c r="B11243" i="2"/>
  <c r="B11242" i="2"/>
  <c r="B11241" i="2"/>
  <c r="B11240" i="2"/>
  <c r="B11239" i="2"/>
  <c r="B11238" i="2"/>
  <c r="B11237" i="2"/>
  <c r="B11236" i="2"/>
  <c r="B11235" i="2"/>
  <c r="B11234" i="2"/>
  <c r="B11233" i="2"/>
  <c r="B11232" i="2"/>
  <c r="B11231" i="2"/>
  <c r="B11230" i="2"/>
  <c r="B11229" i="2"/>
  <c r="B11228" i="2"/>
  <c r="B11227" i="2"/>
  <c r="B11226" i="2"/>
  <c r="B11225" i="2"/>
  <c r="B11224" i="2"/>
  <c r="B11223" i="2"/>
  <c r="B11222" i="2"/>
  <c r="B11221" i="2"/>
  <c r="B11220" i="2"/>
  <c r="B11219" i="2"/>
  <c r="B11218" i="2"/>
  <c r="B11217" i="2"/>
  <c r="B11216" i="2"/>
  <c r="B11215" i="2"/>
  <c r="B11214" i="2"/>
  <c r="B11213" i="2"/>
  <c r="B11212" i="2"/>
  <c r="B11211" i="2"/>
  <c r="B11210" i="2"/>
  <c r="B11209" i="2"/>
  <c r="B11208" i="2"/>
  <c r="B11207" i="2"/>
  <c r="B11206" i="2"/>
  <c r="B11205" i="2"/>
  <c r="B11204" i="2"/>
  <c r="B11203" i="2"/>
  <c r="B11202" i="2"/>
  <c r="B11201" i="2"/>
  <c r="B11200" i="2"/>
  <c r="B11199" i="2"/>
  <c r="B11198" i="2"/>
  <c r="B11197" i="2"/>
  <c r="B11196" i="2"/>
  <c r="B11195" i="2"/>
  <c r="B11194" i="2"/>
  <c r="B11193" i="2"/>
  <c r="B11192" i="2"/>
  <c r="B11191" i="2"/>
  <c r="B11190" i="2"/>
  <c r="B11189" i="2"/>
  <c r="B11188" i="2"/>
  <c r="B11187" i="2"/>
  <c r="B11186" i="2"/>
  <c r="B11185" i="2"/>
  <c r="B11184" i="2"/>
  <c r="B11183" i="2"/>
  <c r="B11182" i="2"/>
  <c r="B11181" i="2"/>
  <c r="B11180" i="2"/>
  <c r="B11179" i="2"/>
  <c r="B11178" i="2"/>
  <c r="B11177" i="2"/>
  <c r="B11176" i="2"/>
  <c r="B11175" i="2"/>
  <c r="B11174" i="2"/>
  <c r="B11173" i="2"/>
  <c r="B11172" i="2"/>
  <c r="B11171" i="2"/>
  <c r="B11170" i="2"/>
  <c r="B11169" i="2"/>
  <c r="B11168" i="2"/>
  <c r="B11167" i="2"/>
  <c r="B11166" i="2"/>
  <c r="B11165" i="2"/>
  <c r="B11164" i="2"/>
  <c r="B11163" i="2"/>
  <c r="B11162" i="2"/>
  <c r="B11161" i="2"/>
  <c r="B11160" i="2"/>
  <c r="B11159" i="2"/>
  <c r="B11158" i="2"/>
  <c r="B11157" i="2"/>
  <c r="B11156" i="2"/>
  <c r="B11155" i="2"/>
  <c r="B11154" i="2"/>
  <c r="B11153" i="2"/>
  <c r="B11152" i="2"/>
  <c r="B11151" i="2"/>
  <c r="B11150" i="2"/>
  <c r="B11149" i="2"/>
  <c r="B11148" i="2"/>
  <c r="B11147" i="2"/>
  <c r="B11146" i="2"/>
  <c r="B11145" i="2"/>
  <c r="B11144" i="2"/>
  <c r="B11143" i="2"/>
  <c r="B11142" i="2"/>
  <c r="B11141" i="2"/>
  <c r="B11140" i="2"/>
  <c r="B11139" i="2"/>
  <c r="B11138" i="2"/>
  <c r="B11137" i="2"/>
  <c r="B11136" i="2"/>
  <c r="B11135" i="2"/>
  <c r="B11134" i="2"/>
  <c r="B11133" i="2"/>
  <c r="B11132" i="2"/>
  <c r="B11131" i="2"/>
  <c r="B11130" i="2"/>
  <c r="B11129" i="2"/>
  <c r="B11128" i="2"/>
  <c r="B11127" i="2"/>
  <c r="B11126" i="2"/>
  <c r="B11125" i="2"/>
  <c r="B11124" i="2"/>
  <c r="B11123" i="2"/>
  <c r="B11122" i="2"/>
  <c r="B11121" i="2"/>
  <c r="B11120" i="2"/>
  <c r="B11119" i="2"/>
  <c r="B11118" i="2"/>
  <c r="B11117" i="2"/>
  <c r="B11116" i="2"/>
  <c r="B11115" i="2"/>
  <c r="B11114" i="2"/>
  <c r="B11113" i="2"/>
  <c r="B11112" i="2"/>
  <c r="B11111" i="2"/>
  <c r="B11110" i="2"/>
  <c r="B11109" i="2"/>
  <c r="B11108" i="2"/>
  <c r="B11107" i="2"/>
  <c r="B11106" i="2"/>
  <c r="B11105" i="2"/>
  <c r="B11104" i="2"/>
  <c r="B11103" i="2"/>
  <c r="B11102" i="2"/>
  <c r="B11101" i="2"/>
  <c r="B11100" i="2"/>
  <c r="B11099" i="2"/>
  <c r="B11098" i="2"/>
  <c r="B11097" i="2"/>
  <c r="B11096" i="2"/>
  <c r="B11095" i="2"/>
  <c r="B11094" i="2"/>
  <c r="B11093" i="2"/>
  <c r="B11092" i="2"/>
  <c r="B11091" i="2"/>
  <c r="B11090" i="2"/>
  <c r="B11089" i="2"/>
  <c r="B11088" i="2"/>
  <c r="B11087" i="2"/>
  <c r="B11086" i="2"/>
  <c r="B11085" i="2"/>
  <c r="B11084" i="2"/>
  <c r="B11083" i="2"/>
  <c r="B11082" i="2"/>
  <c r="B11081" i="2"/>
  <c r="B11080" i="2"/>
  <c r="B11079" i="2"/>
  <c r="B11078" i="2"/>
  <c r="B11077" i="2"/>
  <c r="B11076" i="2"/>
  <c r="B11075" i="2"/>
  <c r="B11074" i="2"/>
  <c r="B11073" i="2"/>
  <c r="B11072" i="2"/>
  <c r="B11071" i="2"/>
  <c r="B11070" i="2"/>
  <c r="B11069" i="2"/>
  <c r="B11068" i="2"/>
  <c r="B11067" i="2"/>
  <c r="B11066" i="2"/>
  <c r="B11065" i="2"/>
  <c r="B11064" i="2"/>
  <c r="B11063" i="2"/>
  <c r="B11062" i="2"/>
  <c r="B11061" i="2"/>
  <c r="B11060" i="2"/>
  <c r="B11059" i="2"/>
  <c r="B11058" i="2"/>
  <c r="B11057" i="2"/>
  <c r="B11056" i="2"/>
  <c r="B11055" i="2"/>
  <c r="B11054" i="2"/>
  <c r="B11053" i="2"/>
  <c r="B11052" i="2"/>
  <c r="B11051" i="2"/>
  <c r="B11050" i="2"/>
  <c r="B11049" i="2"/>
  <c r="B11048" i="2"/>
  <c r="B11047" i="2"/>
  <c r="B11046" i="2"/>
  <c r="B11045" i="2"/>
  <c r="B11044" i="2"/>
  <c r="B11043" i="2"/>
  <c r="B11042" i="2"/>
  <c r="B11041" i="2"/>
  <c r="B11040" i="2"/>
  <c r="B11039" i="2"/>
  <c r="B11038" i="2"/>
  <c r="B11037" i="2"/>
  <c r="B11036" i="2"/>
  <c r="B11035" i="2"/>
  <c r="B11034" i="2"/>
  <c r="B11033" i="2"/>
  <c r="B11032" i="2"/>
  <c r="B11031" i="2"/>
  <c r="B11030" i="2"/>
  <c r="B11029" i="2"/>
  <c r="B11028" i="2"/>
  <c r="B11027" i="2"/>
  <c r="B11026" i="2"/>
  <c r="B11025" i="2"/>
  <c r="B11024" i="2"/>
  <c r="B11023" i="2"/>
  <c r="B11022" i="2"/>
  <c r="B11021" i="2"/>
  <c r="B11020" i="2"/>
  <c r="B11019" i="2"/>
  <c r="B11018" i="2"/>
  <c r="B11017" i="2"/>
  <c r="B11016" i="2"/>
  <c r="B11015" i="2"/>
  <c r="B11014" i="2"/>
  <c r="B11013" i="2"/>
  <c r="B11012" i="2"/>
  <c r="B11011" i="2"/>
  <c r="B11010" i="2"/>
  <c r="B11009" i="2"/>
  <c r="B11008" i="2"/>
  <c r="B11007" i="2"/>
  <c r="B11006" i="2"/>
  <c r="B11005" i="2"/>
  <c r="B11004" i="2"/>
  <c r="B11003" i="2"/>
  <c r="B11002" i="2"/>
  <c r="B11001" i="2"/>
  <c r="B11000" i="2"/>
  <c r="B10999" i="2"/>
  <c r="B10998" i="2"/>
  <c r="B10997" i="2"/>
  <c r="B10996" i="2"/>
  <c r="B10995" i="2"/>
  <c r="B10994" i="2"/>
  <c r="B10993" i="2"/>
  <c r="B10992" i="2"/>
  <c r="B10991" i="2"/>
  <c r="B10990" i="2"/>
  <c r="B10989" i="2"/>
  <c r="B10988" i="2"/>
  <c r="B10987" i="2"/>
  <c r="B10986" i="2"/>
  <c r="B10985" i="2"/>
  <c r="B10984" i="2"/>
  <c r="B10983" i="2"/>
  <c r="B10982" i="2"/>
  <c r="B10981" i="2"/>
  <c r="B10980" i="2"/>
  <c r="B10979" i="2"/>
  <c r="B10978" i="2"/>
  <c r="B10977" i="2"/>
  <c r="B10976" i="2"/>
  <c r="B10975" i="2"/>
  <c r="B10974" i="2"/>
  <c r="B10973" i="2"/>
  <c r="B10972" i="2"/>
  <c r="B10971" i="2"/>
  <c r="B10970" i="2"/>
  <c r="B10969" i="2"/>
  <c r="B10968" i="2"/>
  <c r="B10967" i="2"/>
  <c r="B10966" i="2"/>
  <c r="B10965" i="2"/>
  <c r="B10964" i="2"/>
  <c r="B10963" i="2"/>
  <c r="B10962" i="2"/>
  <c r="B10961" i="2"/>
  <c r="B10960" i="2"/>
  <c r="B10959" i="2"/>
  <c r="B10958" i="2"/>
  <c r="B10957" i="2"/>
  <c r="B10956" i="2"/>
  <c r="B10955" i="2"/>
  <c r="B10954" i="2"/>
  <c r="B10953" i="2"/>
  <c r="B10952" i="2"/>
  <c r="B10951" i="2"/>
  <c r="B10950" i="2"/>
  <c r="B10949" i="2"/>
  <c r="B10948" i="2"/>
  <c r="B10947" i="2"/>
  <c r="B10946" i="2"/>
  <c r="B10945" i="2"/>
  <c r="B10944" i="2"/>
  <c r="B10943" i="2"/>
  <c r="B10942" i="2"/>
  <c r="B10941" i="2"/>
  <c r="B10940" i="2"/>
  <c r="B10939" i="2"/>
  <c r="B10938" i="2"/>
  <c r="B10937" i="2"/>
  <c r="B10936" i="2"/>
  <c r="B10935" i="2"/>
  <c r="B10934" i="2"/>
  <c r="B10933" i="2"/>
  <c r="B10932" i="2"/>
  <c r="B10931" i="2"/>
  <c r="B10930" i="2"/>
  <c r="B10929" i="2"/>
  <c r="B10928" i="2"/>
  <c r="B10927" i="2"/>
  <c r="B10926" i="2"/>
  <c r="B10925" i="2"/>
  <c r="B10924" i="2"/>
  <c r="B10923" i="2"/>
  <c r="B10922" i="2"/>
  <c r="B10921" i="2"/>
  <c r="B10920" i="2"/>
  <c r="B10919" i="2"/>
  <c r="B10918" i="2"/>
  <c r="B10917" i="2"/>
  <c r="B10916" i="2"/>
  <c r="B10915" i="2"/>
  <c r="B10914" i="2"/>
  <c r="B10913" i="2"/>
  <c r="B10912" i="2"/>
  <c r="B10911" i="2"/>
  <c r="B10910" i="2"/>
  <c r="B10909" i="2"/>
  <c r="B10908" i="2"/>
  <c r="B10907" i="2"/>
  <c r="B10906" i="2"/>
  <c r="B10905" i="2"/>
  <c r="B10904" i="2"/>
  <c r="B10903" i="2"/>
  <c r="B10902" i="2"/>
  <c r="B10901" i="2"/>
  <c r="B10900" i="2"/>
  <c r="B10899" i="2"/>
  <c r="B10898" i="2"/>
  <c r="B10897" i="2"/>
  <c r="B10896" i="2"/>
  <c r="B10895" i="2"/>
  <c r="B10894" i="2"/>
  <c r="B10893" i="2"/>
  <c r="B10892" i="2"/>
  <c r="B10891" i="2"/>
  <c r="B10890" i="2"/>
  <c r="B10889" i="2"/>
  <c r="B10888" i="2"/>
  <c r="B10887" i="2"/>
  <c r="B10886" i="2"/>
  <c r="B10885" i="2"/>
  <c r="B10884" i="2"/>
  <c r="B10883" i="2"/>
  <c r="B10882" i="2"/>
  <c r="B10881" i="2"/>
  <c r="B10880" i="2"/>
  <c r="B10879" i="2"/>
  <c r="B10878" i="2"/>
  <c r="B10877" i="2"/>
  <c r="B10876" i="2"/>
  <c r="B10875" i="2"/>
  <c r="B10874" i="2"/>
  <c r="B10873" i="2"/>
  <c r="B10872" i="2"/>
  <c r="B10871" i="2"/>
  <c r="B10870" i="2"/>
  <c r="B10869" i="2"/>
  <c r="B10868" i="2"/>
  <c r="B10867" i="2"/>
  <c r="B10866" i="2"/>
  <c r="B10865" i="2"/>
  <c r="B10864" i="2"/>
  <c r="B10863" i="2"/>
  <c r="B10862" i="2"/>
  <c r="B10861" i="2"/>
  <c r="B10860" i="2"/>
  <c r="B10859" i="2"/>
  <c r="B10858" i="2"/>
  <c r="B10857" i="2"/>
  <c r="B10856" i="2"/>
  <c r="B10855" i="2"/>
  <c r="B10854" i="2"/>
  <c r="B10853" i="2"/>
  <c r="B10852" i="2"/>
  <c r="B10851" i="2"/>
  <c r="B10850" i="2"/>
  <c r="B10849" i="2"/>
  <c r="B10848" i="2"/>
  <c r="B10847" i="2"/>
  <c r="B10846" i="2"/>
  <c r="B10845" i="2"/>
  <c r="B10844" i="2"/>
  <c r="B10843" i="2"/>
  <c r="B10842" i="2"/>
  <c r="B10841" i="2"/>
  <c r="B10840" i="2"/>
  <c r="B10839" i="2"/>
  <c r="B10838" i="2"/>
  <c r="B10837" i="2"/>
  <c r="B10836" i="2"/>
  <c r="B10835" i="2"/>
  <c r="B10834" i="2"/>
  <c r="B10833" i="2"/>
  <c r="B10832" i="2"/>
  <c r="B10831" i="2"/>
  <c r="B10830" i="2"/>
  <c r="B10829" i="2"/>
  <c r="B10828" i="2"/>
  <c r="B10827" i="2"/>
  <c r="B10826" i="2"/>
  <c r="B10825" i="2"/>
  <c r="B10824" i="2"/>
  <c r="B10823" i="2"/>
  <c r="B10822" i="2"/>
  <c r="B10821" i="2"/>
  <c r="B10820" i="2"/>
  <c r="B10819" i="2"/>
  <c r="B10818" i="2"/>
  <c r="B10817" i="2"/>
  <c r="B10816" i="2"/>
  <c r="B10815" i="2"/>
  <c r="B10814" i="2"/>
  <c r="B10813" i="2"/>
  <c r="B10812" i="2"/>
  <c r="B10811" i="2"/>
  <c r="B10810" i="2"/>
  <c r="B10809" i="2"/>
  <c r="B10808" i="2"/>
  <c r="B10807" i="2"/>
  <c r="B10806" i="2"/>
  <c r="B10805" i="2"/>
  <c r="B10804" i="2"/>
  <c r="B10803" i="2"/>
  <c r="B10802" i="2"/>
  <c r="B10801" i="2"/>
  <c r="B10800" i="2"/>
  <c r="B10799" i="2"/>
  <c r="B10798" i="2"/>
  <c r="B10797" i="2"/>
  <c r="B10796" i="2"/>
  <c r="B10795" i="2"/>
  <c r="B10794" i="2"/>
  <c r="B10793" i="2"/>
  <c r="B10792" i="2"/>
  <c r="B10791" i="2"/>
  <c r="B10790" i="2"/>
  <c r="B10789" i="2"/>
  <c r="B10788" i="2"/>
  <c r="B10787" i="2"/>
  <c r="B10786" i="2"/>
  <c r="B10785" i="2"/>
  <c r="B10784" i="2"/>
  <c r="B10783" i="2"/>
  <c r="B10782" i="2"/>
  <c r="B10781" i="2"/>
  <c r="B10780" i="2"/>
  <c r="B10779" i="2"/>
  <c r="B10778" i="2"/>
  <c r="B10777" i="2"/>
  <c r="B10776" i="2"/>
  <c r="B10775" i="2"/>
  <c r="B10774" i="2"/>
  <c r="B10773" i="2"/>
  <c r="B10772" i="2"/>
  <c r="B10771" i="2"/>
  <c r="B10770" i="2"/>
  <c r="B10769" i="2"/>
  <c r="B10768" i="2"/>
  <c r="B10767" i="2"/>
  <c r="B10766" i="2"/>
  <c r="B10765" i="2"/>
  <c r="B10764" i="2"/>
  <c r="B10763" i="2"/>
  <c r="B10762" i="2"/>
  <c r="B10761" i="2"/>
  <c r="B10760" i="2"/>
  <c r="B10759" i="2"/>
  <c r="B10758" i="2"/>
  <c r="B10757" i="2"/>
  <c r="B10756" i="2"/>
  <c r="B10755" i="2"/>
  <c r="B10754" i="2"/>
  <c r="B10753" i="2"/>
  <c r="B10752" i="2"/>
  <c r="B10751" i="2"/>
  <c r="B10750" i="2"/>
  <c r="B10749" i="2"/>
  <c r="B10748" i="2"/>
  <c r="B10747" i="2"/>
  <c r="B10746" i="2"/>
  <c r="B10745" i="2"/>
  <c r="B10744" i="2"/>
  <c r="B10743" i="2"/>
  <c r="B10742" i="2"/>
  <c r="B10741" i="2"/>
  <c r="B10740" i="2"/>
  <c r="B10739" i="2"/>
  <c r="B10738" i="2"/>
  <c r="B10737" i="2"/>
  <c r="B10736" i="2"/>
  <c r="B10735" i="2"/>
  <c r="B10734" i="2"/>
  <c r="B10733" i="2"/>
  <c r="B10732" i="2"/>
  <c r="B10731" i="2"/>
  <c r="B10730" i="2"/>
  <c r="B10729" i="2"/>
  <c r="B10728" i="2"/>
  <c r="B10727" i="2"/>
  <c r="B10726" i="2"/>
  <c r="B10725" i="2"/>
  <c r="B10724" i="2"/>
  <c r="B10723" i="2"/>
  <c r="B10722" i="2"/>
  <c r="B10721" i="2"/>
  <c r="B10720" i="2"/>
  <c r="B10719" i="2"/>
  <c r="B10718" i="2"/>
  <c r="B10717" i="2"/>
  <c r="B10716" i="2"/>
  <c r="B10715" i="2"/>
  <c r="B10714" i="2"/>
  <c r="B10713" i="2"/>
  <c r="B10712" i="2"/>
  <c r="B10711" i="2"/>
  <c r="B10710" i="2"/>
  <c r="B10709" i="2"/>
  <c r="B10708" i="2"/>
  <c r="B10707" i="2"/>
  <c r="B10706" i="2"/>
  <c r="B10705" i="2"/>
  <c r="B10704" i="2"/>
  <c r="B10703" i="2"/>
  <c r="B10702" i="2"/>
  <c r="B10701" i="2"/>
  <c r="B10700" i="2"/>
  <c r="B10699" i="2"/>
  <c r="B10698" i="2"/>
  <c r="B10697" i="2"/>
  <c r="B10696" i="2"/>
  <c r="B10695" i="2"/>
  <c r="B10694" i="2"/>
  <c r="B10693" i="2"/>
  <c r="B10692" i="2"/>
  <c r="B10691" i="2"/>
  <c r="B10690" i="2"/>
  <c r="B10689" i="2"/>
  <c r="B10688" i="2"/>
  <c r="B10687" i="2"/>
  <c r="B10686" i="2"/>
  <c r="B10685" i="2"/>
  <c r="B10684" i="2"/>
  <c r="B10683" i="2"/>
  <c r="B10682" i="2"/>
  <c r="B10681" i="2"/>
  <c r="B10680" i="2"/>
  <c r="B10679" i="2"/>
  <c r="B10678" i="2"/>
  <c r="B10677" i="2"/>
  <c r="B10676" i="2"/>
  <c r="B10675" i="2"/>
  <c r="B10674" i="2"/>
  <c r="B10673" i="2"/>
  <c r="B10672" i="2"/>
  <c r="B10671" i="2"/>
  <c r="B10670" i="2"/>
  <c r="B10669" i="2"/>
  <c r="B10668" i="2"/>
  <c r="B10667" i="2"/>
  <c r="B10666" i="2"/>
  <c r="B10665" i="2"/>
  <c r="B10664" i="2"/>
  <c r="B10663" i="2"/>
  <c r="B10662" i="2"/>
  <c r="B10661" i="2"/>
  <c r="B10660" i="2"/>
  <c r="B10659" i="2"/>
  <c r="B10658" i="2"/>
  <c r="B10657" i="2"/>
  <c r="B10656" i="2"/>
  <c r="B10655" i="2"/>
  <c r="B10654" i="2"/>
  <c r="B10653" i="2"/>
  <c r="B10652" i="2"/>
  <c r="B10651" i="2"/>
  <c r="B10650" i="2"/>
  <c r="B10649" i="2"/>
  <c r="B10648" i="2"/>
  <c r="B10647" i="2"/>
  <c r="B10646" i="2"/>
  <c r="B10645" i="2"/>
  <c r="B10644" i="2"/>
  <c r="B10643" i="2"/>
  <c r="B10642" i="2"/>
  <c r="B10641" i="2"/>
  <c r="B10640" i="2"/>
  <c r="B10639" i="2"/>
  <c r="B10638" i="2"/>
  <c r="B10637" i="2"/>
  <c r="B10636" i="2"/>
  <c r="B10635" i="2"/>
  <c r="B10634" i="2"/>
  <c r="B10633" i="2"/>
  <c r="B10632" i="2"/>
  <c r="B10631" i="2"/>
  <c r="B10630" i="2"/>
  <c r="B10629" i="2"/>
  <c r="B10628" i="2"/>
  <c r="B10627" i="2"/>
  <c r="B10626" i="2"/>
  <c r="B10625" i="2"/>
  <c r="B10624" i="2"/>
  <c r="B10623" i="2"/>
  <c r="B10622" i="2"/>
  <c r="B10621" i="2"/>
  <c r="B10620" i="2"/>
  <c r="B10619" i="2"/>
  <c r="B10618" i="2"/>
  <c r="B10617" i="2"/>
  <c r="B10616" i="2"/>
  <c r="B10615" i="2"/>
  <c r="B10614" i="2"/>
  <c r="B10613" i="2"/>
  <c r="B10612" i="2"/>
  <c r="B10611" i="2"/>
  <c r="B10610" i="2"/>
  <c r="B10609" i="2"/>
  <c r="B10608" i="2"/>
  <c r="B10607" i="2"/>
  <c r="B10606" i="2"/>
  <c r="B10605" i="2"/>
  <c r="B10604" i="2"/>
  <c r="B10603" i="2"/>
  <c r="B10602" i="2"/>
  <c r="B10601" i="2"/>
  <c r="B10600" i="2"/>
  <c r="B10599" i="2"/>
  <c r="B10598" i="2"/>
  <c r="B10597" i="2"/>
  <c r="B10596" i="2"/>
  <c r="B10595" i="2"/>
  <c r="B10594" i="2"/>
  <c r="B10593" i="2"/>
  <c r="B10592" i="2"/>
  <c r="B10591" i="2"/>
  <c r="B10590" i="2"/>
  <c r="B10589" i="2"/>
  <c r="B10588" i="2"/>
  <c r="B10587" i="2"/>
  <c r="B10586" i="2"/>
  <c r="B10585" i="2"/>
  <c r="B10584" i="2"/>
  <c r="B10583" i="2"/>
  <c r="B10582" i="2"/>
  <c r="B10581" i="2"/>
  <c r="B10580" i="2"/>
  <c r="B10579" i="2"/>
  <c r="B10578" i="2"/>
  <c r="B10577" i="2"/>
  <c r="B10576" i="2"/>
  <c r="B10575" i="2"/>
  <c r="B10574" i="2"/>
  <c r="B10573" i="2"/>
  <c r="B10572" i="2"/>
  <c r="B10571" i="2"/>
  <c r="B10570" i="2"/>
  <c r="B10569" i="2"/>
  <c r="B10568" i="2"/>
  <c r="B10567" i="2"/>
  <c r="B10566" i="2"/>
  <c r="B10565" i="2"/>
  <c r="B10564" i="2"/>
  <c r="B10563" i="2"/>
  <c r="B10562" i="2"/>
  <c r="B10561" i="2"/>
  <c r="B10560" i="2"/>
  <c r="B10559" i="2"/>
  <c r="B10558" i="2"/>
  <c r="B10557" i="2"/>
  <c r="B10556" i="2"/>
  <c r="B10555" i="2"/>
  <c r="B10554" i="2"/>
  <c r="B10553" i="2"/>
  <c r="B10552" i="2"/>
  <c r="B10551" i="2"/>
  <c r="B10550" i="2"/>
  <c r="B10549" i="2"/>
  <c r="B10548" i="2"/>
  <c r="B10547" i="2"/>
  <c r="B10546" i="2"/>
  <c r="B10545" i="2"/>
  <c r="B10544" i="2"/>
  <c r="B10543" i="2"/>
  <c r="B10542" i="2"/>
  <c r="B10541" i="2"/>
  <c r="B10540" i="2"/>
  <c r="B10539" i="2"/>
  <c r="B10538" i="2"/>
  <c r="B10537" i="2"/>
  <c r="B10536" i="2"/>
  <c r="B10535" i="2"/>
  <c r="B10534" i="2"/>
  <c r="B10533" i="2"/>
  <c r="B10532" i="2"/>
  <c r="B10531" i="2"/>
  <c r="B10530" i="2"/>
  <c r="B10529" i="2"/>
  <c r="B10528" i="2"/>
  <c r="B10527" i="2"/>
  <c r="B10526" i="2"/>
  <c r="B10525" i="2"/>
  <c r="B10524" i="2"/>
  <c r="B10523" i="2"/>
  <c r="B10522" i="2"/>
  <c r="B10521" i="2"/>
  <c r="B10520" i="2"/>
  <c r="B10519" i="2"/>
  <c r="B10518" i="2"/>
  <c r="B10517" i="2"/>
  <c r="B10516" i="2"/>
  <c r="B10515" i="2"/>
  <c r="B10514" i="2"/>
  <c r="B10513" i="2"/>
  <c r="B10512" i="2"/>
  <c r="B10511" i="2"/>
  <c r="B10510" i="2"/>
  <c r="B10509" i="2"/>
  <c r="B10508" i="2"/>
  <c r="B10507" i="2"/>
  <c r="B10506" i="2"/>
  <c r="B10505" i="2"/>
  <c r="B10504" i="2"/>
  <c r="B10503" i="2"/>
  <c r="B10502" i="2"/>
  <c r="B10501" i="2"/>
  <c r="B10500" i="2"/>
  <c r="B10499" i="2"/>
  <c r="B10498" i="2"/>
  <c r="B10497" i="2"/>
  <c r="B10496" i="2"/>
  <c r="B10495" i="2"/>
  <c r="B10494" i="2"/>
  <c r="B10493" i="2"/>
  <c r="B10492" i="2"/>
  <c r="B10491" i="2"/>
  <c r="B10490" i="2"/>
  <c r="B10489" i="2"/>
  <c r="B10488" i="2"/>
  <c r="B10487" i="2"/>
  <c r="B10486" i="2"/>
  <c r="B10485" i="2"/>
  <c r="B10484" i="2"/>
  <c r="B10483" i="2"/>
  <c r="B10482" i="2"/>
  <c r="B10481" i="2"/>
  <c r="B10480" i="2"/>
  <c r="B10479" i="2"/>
  <c r="B10478" i="2"/>
  <c r="B10477" i="2"/>
  <c r="B10476" i="2"/>
  <c r="B10475" i="2"/>
  <c r="B10474" i="2"/>
  <c r="B10473" i="2"/>
  <c r="B10472" i="2"/>
  <c r="B10471" i="2"/>
  <c r="B10470" i="2"/>
  <c r="B10469" i="2"/>
  <c r="B10468" i="2"/>
  <c r="B10467" i="2"/>
  <c r="B10466" i="2"/>
  <c r="B10465" i="2"/>
  <c r="B10464" i="2"/>
  <c r="B10463" i="2"/>
  <c r="B10462" i="2"/>
  <c r="B10461" i="2"/>
  <c r="B10460" i="2"/>
  <c r="B10459" i="2"/>
  <c r="B10458" i="2"/>
  <c r="B10457" i="2"/>
  <c r="B10456" i="2"/>
  <c r="B10455" i="2"/>
  <c r="B10454" i="2"/>
  <c r="B10453" i="2"/>
  <c r="B10452" i="2"/>
  <c r="B10451" i="2"/>
  <c r="B10450" i="2"/>
  <c r="B10449" i="2"/>
  <c r="B10448" i="2"/>
  <c r="B10447" i="2"/>
  <c r="B10446" i="2"/>
  <c r="B10445" i="2"/>
  <c r="B10444" i="2"/>
  <c r="B10443" i="2"/>
  <c r="B10442" i="2"/>
  <c r="B10441" i="2"/>
  <c r="B10440" i="2"/>
  <c r="B10439" i="2"/>
  <c r="B10438" i="2"/>
  <c r="B10437" i="2"/>
  <c r="B10436" i="2"/>
  <c r="B10435" i="2"/>
  <c r="B10434" i="2"/>
  <c r="B10433" i="2"/>
  <c r="B10432" i="2"/>
  <c r="B10431" i="2"/>
  <c r="B10430" i="2"/>
  <c r="B10429" i="2"/>
  <c r="B10428" i="2"/>
  <c r="B10427" i="2"/>
  <c r="B10426" i="2"/>
  <c r="B10425" i="2"/>
  <c r="B10424" i="2"/>
  <c r="B10423" i="2"/>
  <c r="B10422" i="2"/>
  <c r="B10421" i="2"/>
  <c r="B10420" i="2"/>
  <c r="B10419" i="2"/>
  <c r="B10418" i="2"/>
  <c r="B10417" i="2"/>
  <c r="B10416" i="2"/>
  <c r="B10415" i="2"/>
  <c r="B10414" i="2"/>
  <c r="B10413" i="2"/>
  <c r="B10412" i="2"/>
  <c r="B10411" i="2"/>
  <c r="B10410" i="2"/>
  <c r="B10409" i="2"/>
  <c r="B10408" i="2"/>
  <c r="B10407" i="2"/>
  <c r="B10406" i="2"/>
  <c r="B10405" i="2"/>
  <c r="B10404" i="2"/>
  <c r="B10403" i="2"/>
  <c r="B10402" i="2"/>
  <c r="B10401" i="2"/>
  <c r="B10400" i="2"/>
  <c r="B10399" i="2"/>
  <c r="B10398" i="2"/>
  <c r="B10397" i="2"/>
  <c r="B10396" i="2"/>
  <c r="B10395" i="2"/>
  <c r="B10394" i="2"/>
  <c r="B10393" i="2"/>
  <c r="B10392" i="2"/>
  <c r="B10391" i="2"/>
  <c r="B10390" i="2"/>
  <c r="B10389" i="2"/>
  <c r="B10388" i="2"/>
  <c r="B10387" i="2"/>
  <c r="B10386" i="2"/>
  <c r="B10385" i="2"/>
  <c r="B10384" i="2"/>
  <c r="B10383" i="2"/>
  <c r="B10382" i="2"/>
  <c r="B10381" i="2"/>
  <c r="B10380" i="2"/>
  <c r="B10379" i="2"/>
  <c r="B10378" i="2"/>
  <c r="B10377" i="2"/>
  <c r="B10376" i="2"/>
  <c r="B10375" i="2"/>
  <c r="B10374" i="2"/>
  <c r="B10373" i="2"/>
  <c r="B10372" i="2"/>
  <c r="B10371" i="2"/>
  <c r="B10370" i="2"/>
  <c r="B10369" i="2"/>
  <c r="B10368" i="2"/>
  <c r="B10367" i="2"/>
  <c r="B10366" i="2"/>
  <c r="B10365" i="2"/>
  <c r="B10364" i="2"/>
  <c r="B10363" i="2"/>
  <c r="B10362" i="2"/>
  <c r="B10361" i="2"/>
  <c r="B10360" i="2"/>
  <c r="B10359" i="2"/>
  <c r="B10358" i="2"/>
  <c r="B10357" i="2"/>
  <c r="B10356" i="2"/>
  <c r="B10355" i="2"/>
  <c r="B10354" i="2"/>
  <c r="B10353" i="2"/>
  <c r="B10352" i="2"/>
  <c r="B10351" i="2"/>
  <c r="B10350" i="2"/>
  <c r="B10349" i="2"/>
  <c r="B10348" i="2"/>
  <c r="B10347" i="2"/>
  <c r="B10346" i="2"/>
  <c r="B10345" i="2"/>
  <c r="B10344" i="2"/>
  <c r="B10343" i="2"/>
  <c r="B10342" i="2"/>
  <c r="B10341" i="2"/>
  <c r="B10340" i="2"/>
  <c r="B10339" i="2"/>
  <c r="B10338" i="2"/>
  <c r="B10337" i="2"/>
  <c r="B10336" i="2"/>
  <c r="B10335" i="2"/>
  <c r="B10334" i="2"/>
  <c r="B10333" i="2"/>
  <c r="B10332" i="2"/>
  <c r="B10331" i="2"/>
  <c r="B10330" i="2"/>
  <c r="B10329" i="2"/>
  <c r="B10328" i="2"/>
  <c r="B10327" i="2"/>
  <c r="B10326" i="2"/>
  <c r="B10325" i="2"/>
  <c r="B10324" i="2"/>
  <c r="B10323" i="2"/>
  <c r="B10322" i="2"/>
  <c r="B10321" i="2"/>
  <c r="B10320" i="2"/>
  <c r="B10319" i="2"/>
  <c r="B10318" i="2"/>
  <c r="B10317" i="2"/>
  <c r="B10316" i="2"/>
  <c r="B10315" i="2"/>
  <c r="B10314" i="2"/>
  <c r="B10313" i="2"/>
  <c r="B10312" i="2"/>
  <c r="B10311" i="2"/>
  <c r="B10310" i="2"/>
  <c r="B10309" i="2"/>
  <c r="B10308" i="2"/>
  <c r="B10307" i="2"/>
  <c r="B10306" i="2"/>
  <c r="B10305" i="2"/>
  <c r="B10304" i="2"/>
  <c r="B10303" i="2"/>
  <c r="B10302" i="2"/>
  <c r="B10301" i="2"/>
  <c r="B10300" i="2"/>
  <c r="B10299" i="2"/>
  <c r="B10298" i="2"/>
  <c r="B10297" i="2"/>
  <c r="B10296" i="2"/>
  <c r="B10295" i="2"/>
  <c r="B10294" i="2"/>
  <c r="B10293" i="2"/>
  <c r="B10292" i="2"/>
  <c r="B10291" i="2"/>
  <c r="B10290" i="2"/>
  <c r="B10289" i="2"/>
  <c r="B10288" i="2"/>
  <c r="B10287" i="2"/>
  <c r="B10286" i="2"/>
  <c r="B10285" i="2"/>
  <c r="B10284" i="2"/>
  <c r="B10283" i="2"/>
  <c r="B10282" i="2"/>
  <c r="B10281" i="2"/>
  <c r="B10280" i="2"/>
  <c r="B10279" i="2"/>
  <c r="B10278" i="2"/>
  <c r="B10277" i="2"/>
  <c r="B10276" i="2"/>
  <c r="B10275" i="2"/>
  <c r="B10274" i="2"/>
  <c r="B10273" i="2"/>
  <c r="B10272" i="2"/>
  <c r="B10271" i="2"/>
  <c r="B10270" i="2"/>
  <c r="B10269" i="2"/>
  <c r="B10268" i="2"/>
  <c r="B10267" i="2"/>
  <c r="B10266" i="2"/>
  <c r="B10265" i="2"/>
  <c r="B10264" i="2"/>
  <c r="B10263" i="2"/>
  <c r="B10262" i="2"/>
  <c r="B10261" i="2"/>
  <c r="B10260" i="2"/>
  <c r="B10259" i="2"/>
  <c r="B10258" i="2"/>
  <c r="B10257" i="2"/>
  <c r="B10256" i="2"/>
  <c r="B10255" i="2"/>
  <c r="B10254" i="2"/>
  <c r="B10253" i="2"/>
  <c r="B10252" i="2"/>
  <c r="B10251" i="2"/>
  <c r="B10250" i="2"/>
  <c r="B10249" i="2"/>
  <c r="B10248" i="2"/>
  <c r="B10247" i="2"/>
  <c r="B10246" i="2"/>
  <c r="B10245" i="2"/>
  <c r="B10244" i="2"/>
  <c r="B10243" i="2"/>
  <c r="B10242" i="2"/>
  <c r="B10241" i="2"/>
  <c r="B10240" i="2"/>
  <c r="B10239" i="2"/>
  <c r="B10238" i="2"/>
  <c r="B10237" i="2"/>
  <c r="B10236" i="2"/>
  <c r="B10235" i="2"/>
  <c r="B10234" i="2"/>
  <c r="B10233" i="2"/>
  <c r="B10232" i="2"/>
  <c r="B10231" i="2"/>
  <c r="B10230" i="2"/>
  <c r="B10229" i="2"/>
  <c r="B10228" i="2"/>
  <c r="B10227" i="2"/>
  <c r="B10226" i="2"/>
  <c r="B10225" i="2"/>
  <c r="B10224" i="2"/>
  <c r="B10223" i="2"/>
  <c r="B10222" i="2"/>
  <c r="B10221" i="2"/>
  <c r="B10220" i="2"/>
  <c r="B10219" i="2"/>
  <c r="B10218" i="2"/>
  <c r="B10217" i="2"/>
  <c r="B10216" i="2"/>
  <c r="B10215" i="2"/>
  <c r="B10214" i="2"/>
  <c r="B10213" i="2"/>
  <c r="B10212" i="2"/>
  <c r="B10211" i="2"/>
  <c r="B10210" i="2"/>
  <c r="B10209" i="2"/>
  <c r="B10208" i="2"/>
  <c r="B10207" i="2"/>
  <c r="B10206" i="2"/>
  <c r="B10205" i="2"/>
  <c r="B10204" i="2"/>
  <c r="B10203" i="2"/>
  <c r="B10202" i="2"/>
  <c r="B10201" i="2"/>
  <c r="B10200" i="2"/>
  <c r="B10199" i="2"/>
  <c r="B10198" i="2"/>
  <c r="B10197" i="2"/>
  <c r="B10196" i="2"/>
  <c r="B10195" i="2"/>
  <c r="B10194" i="2"/>
  <c r="B10193" i="2"/>
  <c r="B10192" i="2"/>
  <c r="B10191" i="2"/>
  <c r="B10190" i="2"/>
  <c r="B10189" i="2"/>
  <c r="B10188" i="2"/>
  <c r="B10187" i="2"/>
  <c r="B10186" i="2"/>
  <c r="B10185" i="2"/>
  <c r="B10184" i="2"/>
  <c r="B10183" i="2"/>
  <c r="B10182" i="2"/>
  <c r="B10181" i="2"/>
  <c r="B10180" i="2"/>
  <c r="B10179" i="2"/>
  <c r="B10178" i="2"/>
  <c r="B10177" i="2"/>
  <c r="B10176" i="2"/>
  <c r="B10175" i="2"/>
  <c r="B10174" i="2"/>
  <c r="B10173" i="2"/>
  <c r="B10172" i="2"/>
  <c r="B10171" i="2"/>
  <c r="B10170" i="2"/>
  <c r="B10169" i="2"/>
  <c r="B10168" i="2"/>
  <c r="B10167" i="2"/>
  <c r="B10166" i="2"/>
  <c r="B10165" i="2"/>
  <c r="B10164" i="2"/>
  <c r="B10163" i="2"/>
  <c r="B10162" i="2"/>
  <c r="B10161" i="2"/>
  <c r="B10160" i="2"/>
  <c r="B10159" i="2"/>
  <c r="B10158" i="2"/>
  <c r="B10157" i="2"/>
  <c r="B10156" i="2"/>
  <c r="B10155" i="2"/>
  <c r="B10154" i="2"/>
  <c r="B10153" i="2"/>
  <c r="B10152" i="2"/>
  <c r="B10151" i="2"/>
  <c r="B10150" i="2"/>
  <c r="B10149" i="2"/>
  <c r="B10148" i="2"/>
  <c r="B10147" i="2"/>
  <c r="B10146" i="2"/>
  <c r="B10145" i="2"/>
  <c r="B10144" i="2"/>
  <c r="B10143" i="2"/>
  <c r="B10142" i="2"/>
  <c r="B10141" i="2"/>
  <c r="B10140" i="2"/>
  <c r="B10139" i="2"/>
  <c r="B10138" i="2"/>
  <c r="B10137" i="2"/>
  <c r="B10136" i="2"/>
  <c r="B10135" i="2"/>
  <c r="B10134" i="2"/>
  <c r="B10133" i="2"/>
  <c r="B10132" i="2"/>
  <c r="B10131" i="2"/>
  <c r="B10130" i="2"/>
  <c r="B10129" i="2"/>
  <c r="B10128" i="2"/>
  <c r="B10127" i="2"/>
  <c r="B10126" i="2"/>
  <c r="B10125" i="2"/>
  <c r="B10124" i="2"/>
  <c r="B10123" i="2"/>
  <c r="B10122" i="2"/>
  <c r="B10121" i="2"/>
  <c r="B10120" i="2"/>
  <c r="B10119" i="2"/>
  <c r="B10118" i="2"/>
  <c r="B10117" i="2"/>
  <c r="B10116" i="2"/>
  <c r="B10115" i="2"/>
  <c r="B10114" i="2"/>
  <c r="B10113" i="2"/>
  <c r="B10112" i="2"/>
  <c r="B10111" i="2"/>
  <c r="B10110" i="2"/>
  <c r="B10109" i="2"/>
  <c r="B10108" i="2"/>
  <c r="B10107" i="2"/>
  <c r="B10106" i="2"/>
  <c r="B10105" i="2"/>
  <c r="B10104" i="2"/>
  <c r="B10103" i="2"/>
  <c r="B10102" i="2"/>
  <c r="B10101" i="2"/>
  <c r="B10100" i="2"/>
  <c r="B10099" i="2"/>
  <c r="B10098" i="2"/>
  <c r="B10097" i="2"/>
  <c r="B10096" i="2"/>
  <c r="B10095" i="2"/>
  <c r="B10094" i="2"/>
  <c r="B10093" i="2"/>
  <c r="B10092" i="2"/>
  <c r="B10091" i="2"/>
  <c r="B10090" i="2"/>
  <c r="B10089" i="2"/>
  <c r="B10088" i="2"/>
  <c r="B10087" i="2"/>
  <c r="B10086" i="2"/>
  <c r="B10085" i="2"/>
  <c r="B10084" i="2"/>
  <c r="B10083" i="2"/>
  <c r="B10082" i="2"/>
  <c r="B10081" i="2"/>
  <c r="B10080" i="2"/>
  <c r="B10079" i="2"/>
  <c r="B10078" i="2"/>
  <c r="B10077" i="2"/>
  <c r="B10076" i="2"/>
  <c r="B10075" i="2"/>
  <c r="B10074" i="2"/>
  <c r="B10073" i="2"/>
  <c r="B10072" i="2"/>
  <c r="B10071" i="2"/>
  <c r="B10070" i="2"/>
  <c r="B10069" i="2"/>
  <c r="B10068" i="2"/>
  <c r="B10067" i="2"/>
  <c r="B10066" i="2"/>
  <c r="B10065" i="2"/>
  <c r="B10064" i="2"/>
  <c r="B10063" i="2"/>
  <c r="B10062" i="2"/>
  <c r="B10061" i="2"/>
  <c r="B10060" i="2"/>
  <c r="B10059" i="2"/>
  <c r="B10058" i="2"/>
  <c r="B10057" i="2"/>
  <c r="B10056" i="2"/>
  <c r="B10055" i="2"/>
  <c r="B10054" i="2"/>
  <c r="B10053" i="2"/>
  <c r="B10052" i="2"/>
  <c r="B10051" i="2"/>
  <c r="B10050" i="2"/>
  <c r="B10049" i="2"/>
  <c r="B10048" i="2"/>
  <c r="B10047" i="2"/>
  <c r="B10046" i="2"/>
  <c r="B10045" i="2"/>
  <c r="B10044" i="2"/>
  <c r="B10043" i="2"/>
  <c r="B10042" i="2"/>
  <c r="B10041" i="2"/>
  <c r="B10040" i="2"/>
  <c r="B10039" i="2"/>
  <c r="B10038" i="2"/>
  <c r="B10037" i="2"/>
  <c r="B10036" i="2"/>
  <c r="B10035" i="2"/>
  <c r="B10034" i="2"/>
  <c r="B10033" i="2"/>
  <c r="B10032" i="2"/>
  <c r="B10031" i="2"/>
  <c r="B10030" i="2"/>
  <c r="B10029" i="2"/>
  <c r="B10028" i="2"/>
  <c r="B10027" i="2"/>
  <c r="B10026" i="2"/>
  <c r="B10025" i="2"/>
  <c r="B10024" i="2"/>
  <c r="B10023" i="2"/>
  <c r="B10022" i="2"/>
  <c r="B10021" i="2"/>
  <c r="B10020" i="2"/>
  <c r="B10019" i="2"/>
  <c r="B10018" i="2"/>
  <c r="B10017" i="2"/>
  <c r="B10016" i="2"/>
  <c r="B10015" i="2"/>
  <c r="B10014" i="2"/>
  <c r="B10013" i="2"/>
  <c r="B10012" i="2"/>
  <c r="B10011" i="2"/>
  <c r="B10010" i="2"/>
  <c r="B10009" i="2"/>
  <c r="B10008" i="2"/>
  <c r="B10007" i="2"/>
  <c r="B10006" i="2"/>
  <c r="B10005" i="2"/>
  <c r="B10004" i="2"/>
  <c r="B10003" i="2"/>
  <c r="B10002" i="2"/>
  <c r="B10001" i="2"/>
  <c r="B10000" i="2"/>
  <c r="B9999" i="2"/>
  <c r="B9998" i="2"/>
  <c r="B9997" i="2"/>
  <c r="B9996" i="2"/>
  <c r="B9995" i="2"/>
  <c r="B9994" i="2"/>
  <c r="B9993" i="2"/>
  <c r="B9992" i="2"/>
  <c r="B9991" i="2"/>
  <c r="B9990" i="2"/>
  <c r="B9989" i="2"/>
  <c r="B9988" i="2"/>
  <c r="B9987" i="2"/>
  <c r="B9986" i="2"/>
  <c r="B9985" i="2"/>
  <c r="B9984" i="2"/>
  <c r="B9983" i="2"/>
  <c r="B9982" i="2"/>
  <c r="B9981" i="2"/>
  <c r="B9980" i="2"/>
  <c r="B9979" i="2"/>
  <c r="B9978" i="2"/>
  <c r="B9977" i="2"/>
  <c r="B9976" i="2"/>
  <c r="B9975" i="2"/>
  <c r="B9974" i="2"/>
  <c r="B9973" i="2"/>
  <c r="B9972" i="2"/>
  <c r="B9971" i="2"/>
  <c r="B9970" i="2"/>
  <c r="B9969" i="2"/>
  <c r="B9968" i="2"/>
  <c r="B9967" i="2"/>
  <c r="B9966" i="2"/>
  <c r="B9965" i="2"/>
  <c r="B9964" i="2"/>
  <c r="B9963" i="2"/>
  <c r="B9962" i="2"/>
  <c r="B9961" i="2"/>
  <c r="B9960" i="2"/>
  <c r="B9959" i="2"/>
  <c r="B9958" i="2"/>
  <c r="B9957" i="2"/>
  <c r="B9956" i="2"/>
  <c r="B9955" i="2"/>
  <c r="B9954" i="2"/>
  <c r="B9953" i="2"/>
  <c r="B9952" i="2"/>
  <c r="B9951" i="2"/>
  <c r="B9950" i="2"/>
  <c r="B9949" i="2"/>
  <c r="B9948" i="2"/>
  <c r="B9947" i="2"/>
  <c r="B9946" i="2"/>
  <c r="B9945" i="2"/>
  <c r="B9944" i="2"/>
  <c r="B9943" i="2"/>
  <c r="B9942" i="2"/>
  <c r="B9941" i="2"/>
  <c r="B9940" i="2"/>
  <c r="B9939" i="2"/>
  <c r="B9938" i="2"/>
  <c r="B9937" i="2"/>
  <c r="B9936" i="2"/>
  <c r="B9935" i="2"/>
  <c r="B9934" i="2"/>
  <c r="B9933" i="2"/>
  <c r="B9932" i="2"/>
  <c r="B9931" i="2"/>
  <c r="B9930" i="2"/>
  <c r="B9929" i="2"/>
  <c r="B9928" i="2"/>
  <c r="B9927" i="2"/>
  <c r="B9926" i="2"/>
  <c r="B9925" i="2"/>
  <c r="B9924" i="2"/>
  <c r="B9923" i="2"/>
  <c r="B9922" i="2"/>
  <c r="B9921" i="2"/>
  <c r="B9920" i="2"/>
  <c r="B9919" i="2"/>
  <c r="B9918" i="2"/>
  <c r="B9917" i="2"/>
  <c r="B9916" i="2"/>
  <c r="B9915" i="2"/>
  <c r="B9914" i="2"/>
  <c r="B9913" i="2"/>
  <c r="B9912" i="2"/>
  <c r="B9911" i="2"/>
  <c r="B9910" i="2"/>
  <c r="B9909" i="2"/>
  <c r="B9908" i="2"/>
  <c r="B9907" i="2"/>
  <c r="B9906" i="2"/>
  <c r="B9905" i="2"/>
  <c r="B9904" i="2"/>
  <c r="B9903" i="2"/>
  <c r="B9902" i="2"/>
  <c r="B9901" i="2"/>
  <c r="B9900" i="2"/>
  <c r="B9899" i="2"/>
  <c r="B9898" i="2"/>
  <c r="B9897" i="2"/>
  <c r="B9896" i="2"/>
  <c r="B9895" i="2"/>
  <c r="B9894" i="2"/>
  <c r="B9893" i="2"/>
  <c r="B9892" i="2"/>
  <c r="B9891" i="2"/>
  <c r="B9890" i="2"/>
  <c r="B9889" i="2"/>
  <c r="B9888" i="2"/>
  <c r="B9887" i="2"/>
  <c r="B9886" i="2"/>
  <c r="B9885" i="2"/>
  <c r="B9884" i="2"/>
  <c r="B9883" i="2"/>
  <c r="B9882" i="2"/>
  <c r="B9881" i="2"/>
  <c r="B9880" i="2"/>
  <c r="B9879" i="2"/>
  <c r="B9878" i="2"/>
  <c r="B9877" i="2"/>
  <c r="B9876" i="2"/>
  <c r="B9875" i="2"/>
  <c r="B9874" i="2"/>
  <c r="B9873" i="2"/>
  <c r="B9872" i="2"/>
  <c r="B9871" i="2"/>
  <c r="B9870" i="2"/>
  <c r="B9869" i="2"/>
  <c r="B9868" i="2"/>
  <c r="B9867" i="2"/>
  <c r="B9866" i="2"/>
  <c r="B9865" i="2"/>
  <c r="B9864" i="2"/>
  <c r="B9863" i="2"/>
  <c r="B9862" i="2"/>
  <c r="B9861" i="2"/>
  <c r="B9860" i="2"/>
  <c r="B9859" i="2"/>
  <c r="B9858" i="2"/>
  <c r="B9857" i="2"/>
  <c r="B9856" i="2"/>
  <c r="B9855" i="2"/>
  <c r="B9854" i="2"/>
  <c r="B9853" i="2"/>
  <c r="B9852" i="2"/>
  <c r="B9851" i="2"/>
  <c r="B9850" i="2"/>
  <c r="B9849" i="2"/>
  <c r="B9848" i="2"/>
  <c r="B9847" i="2"/>
  <c r="B9846" i="2"/>
  <c r="B9845" i="2"/>
  <c r="B9844" i="2"/>
  <c r="B9843" i="2"/>
  <c r="B9842" i="2"/>
  <c r="B9841" i="2"/>
  <c r="B9840" i="2"/>
  <c r="B9839" i="2"/>
  <c r="B9838" i="2"/>
  <c r="B9837" i="2"/>
  <c r="B9836" i="2"/>
  <c r="B9835" i="2"/>
  <c r="B9834" i="2"/>
  <c r="B9833" i="2"/>
  <c r="B9832" i="2"/>
  <c r="B9831" i="2"/>
  <c r="B9830" i="2"/>
  <c r="B9829" i="2"/>
  <c r="B9828" i="2"/>
  <c r="B9827" i="2"/>
  <c r="B9826" i="2"/>
  <c r="B9825" i="2"/>
  <c r="B9824" i="2"/>
  <c r="B9823" i="2"/>
  <c r="B9822" i="2"/>
  <c r="B9821" i="2"/>
  <c r="B9820" i="2"/>
  <c r="B9819" i="2"/>
  <c r="B9818" i="2"/>
  <c r="B9817" i="2"/>
  <c r="B9816" i="2"/>
  <c r="B9815" i="2"/>
  <c r="B9814" i="2"/>
  <c r="B9813" i="2"/>
  <c r="B9812" i="2"/>
  <c r="B9811" i="2"/>
  <c r="B9810" i="2"/>
  <c r="B9809" i="2"/>
  <c r="B9808" i="2"/>
  <c r="B9807" i="2"/>
  <c r="B9806" i="2"/>
  <c r="B9805" i="2"/>
  <c r="B9804" i="2"/>
  <c r="B9803" i="2"/>
  <c r="B9802" i="2"/>
  <c r="B9801" i="2"/>
  <c r="B9800" i="2"/>
  <c r="B9799" i="2"/>
  <c r="B9798" i="2"/>
  <c r="B9797" i="2"/>
  <c r="B9796" i="2"/>
  <c r="B9795" i="2"/>
  <c r="B9794" i="2"/>
  <c r="B9793" i="2"/>
  <c r="B9792" i="2"/>
  <c r="B9791" i="2"/>
  <c r="B9790" i="2"/>
  <c r="B9789" i="2"/>
  <c r="B9788" i="2"/>
  <c r="B9787" i="2"/>
  <c r="B9786" i="2"/>
  <c r="B9785" i="2"/>
  <c r="B9784" i="2"/>
  <c r="B9783" i="2"/>
  <c r="B9782" i="2"/>
  <c r="B9781" i="2"/>
  <c r="B9780" i="2"/>
  <c r="B9779" i="2"/>
  <c r="B9778" i="2"/>
  <c r="B9777" i="2"/>
  <c r="B9776" i="2"/>
  <c r="B9775" i="2"/>
  <c r="B9774" i="2"/>
  <c r="B9773" i="2"/>
  <c r="B9772" i="2"/>
  <c r="B9771" i="2"/>
  <c r="B9770" i="2"/>
  <c r="B9769" i="2"/>
  <c r="B9768" i="2"/>
  <c r="B9767" i="2"/>
  <c r="B9766" i="2"/>
  <c r="B9765" i="2"/>
  <c r="B9764" i="2"/>
  <c r="B9763" i="2"/>
  <c r="B9762" i="2"/>
  <c r="B9761" i="2"/>
  <c r="B9760" i="2"/>
  <c r="B9759" i="2"/>
  <c r="B9758" i="2"/>
  <c r="B9757" i="2"/>
  <c r="B9756" i="2"/>
  <c r="B9755" i="2"/>
  <c r="B9754" i="2"/>
  <c r="B9753" i="2"/>
  <c r="B9752" i="2"/>
  <c r="B9751" i="2"/>
  <c r="B9750" i="2"/>
  <c r="B9749" i="2"/>
  <c r="B9748" i="2"/>
  <c r="B9747" i="2"/>
  <c r="B9746" i="2"/>
  <c r="B9745" i="2"/>
  <c r="B9744" i="2"/>
  <c r="B9743" i="2"/>
  <c r="B9742" i="2"/>
  <c r="B9741" i="2"/>
  <c r="B9740" i="2"/>
  <c r="B9739" i="2"/>
  <c r="B9738" i="2"/>
  <c r="B9737" i="2"/>
  <c r="B9736" i="2"/>
  <c r="B9735" i="2"/>
  <c r="B9734" i="2"/>
  <c r="B9733" i="2"/>
  <c r="B9732" i="2"/>
  <c r="B9731" i="2"/>
  <c r="B9730" i="2"/>
  <c r="B9729" i="2"/>
  <c r="B9728" i="2"/>
  <c r="B9727" i="2"/>
  <c r="B9726" i="2"/>
  <c r="B9725" i="2"/>
  <c r="B9724" i="2"/>
  <c r="B9723" i="2"/>
  <c r="B9722" i="2"/>
  <c r="B9721" i="2"/>
  <c r="B9720" i="2"/>
  <c r="B9719" i="2"/>
  <c r="B9718" i="2"/>
  <c r="B9717" i="2"/>
  <c r="B9716" i="2"/>
  <c r="B9715" i="2"/>
  <c r="B9714" i="2"/>
  <c r="B9713" i="2"/>
  <c r="B9712" i="2"/>
  <c r="B9711" i="2"/>
  <c r="B9710" i="2"/>
  <c r="B9709" i="2"/>
  <c r="B9708" i="2"/>
  <c r="B9707" i="2"/>
  <c r="B9706" i="2"/>
  <c r="B9705" i="2"/>
  <c r="B9704" i="2"/>
  <c r="B9703" i="2"/>
  <c r="B9702" i="2"/>
  <c r="B9701" i="2"/>
  <c r="B9700" i="2"/>
  <c r="B9699" i="2"/>
  <c r="B9698" i="2"/>
  <c r="B9697" i="2"/>
  <c r="B9696" i="2"/>
  <c r="B9695" i="2"/>
  <c r="B9694" i="2"/>
  <c r="B9693" i="2"/>
  <c r="B9692" i="2"/>
  <c r="B9691" i="2"/>
  <c r="B9690" i="2"/>
  <c r="B9689" i="2"/>
  <c r="B9688" i="2"/>
  <c r="B9687" i="2"/>
  <c r="B9686" i="2"/>
  <c r="B9685" i="2"/>
  <c r="B9684" i="2"/>
  <c r="B9683" i="2"/>
  <c r="B9682" i="2"/>
  <c r="B9681" i="2"/>
  <c r="B9680" i="2"/>
  <c r="B9679" i="2"/>
  <c r="B9678" i="2"/>
  <c r="B9677" i="2"/>
  <c r="B9676" i="2"/>
  <c r="B9675" i="2"/>
  <c r="B9674" i="2"/>
  <c r="B9673" i="2"/>
  <c r="B9672" i="2"/>
  <c r="B9671" i="2"/>
  <c r="B9670" i="2"/>
  <c r="B9669" i="2"/>
  <c r="B9668" i="2"/>
  <c r="B9667" i="2"/>
  <c r="B9666" i="2"/>
  <c r="B9665" i="2"/>
  <c r="B9664" i="2"/>
  <c r="B9663" i="2"/>
  <c r="B9662" i="2"/>
  <c r="B9661" i="2"/>
  <c r="B9660" i="2"/>
  <c r="B9659" i="2"/>
  <c r="B9658" i="2"/>
  <c r="B9657" i="2"/>
  <c r="B9656" i="2"/>
  <c r="B9655" i="2"/>
  <c r="B9654" i="2"/>
  <c r="B9653" i="2"/>
  <c r="B9652" i="2"/>
  <c r="B9651" i="2"/>
  <c r="B9650" i="2"/>
  <c r="B9649" i="2"/>
  <c r="B9648" i="2"/>
  <c r="B9647" i="2"/>
  <c r="B9646" i="2"/>
  <c r="B9645" i="2"/>
  <c r="B9644" i="2"/>
  <c r="B9643" i="2"/>
  <c r="B9642" i="2"/>
  <c r="B9641" i="2"/>
  <c r="B9640" i="2"/>
  <c r="B9639" i="2"/>
  <c r="B9638" i="2"/>
  <c r="B9637" i="2"/>
  <c r="B9636" i="2"/>
  <c r="B9635" i="2"/>
  <c r="B9634" i="2"/>
  <c r="B9633" i="2"/>
  <c r="B9632" i="2"/>
  <c r="B9631" i="2"/>
  <c r="B9630" i="2"/>
  <c r="B9629" i="2"/>
  <c r="B9628" i="2"/>
  <c r="B9627" i="2"/>
  <c r="B9626" i="2"/>
  <c r="B9625" i="2"/>
  <c r="B9624" i="2"/>
  <c r="B9623" i="2"/>
  <c r="B9622" i="2"/>
  <c r="B9621" i="2"/>
  <c r="B9620" i="2"/>
  <c r="B9619" i="2"/>
  <c r="B9618" i="2"/>
  <c r="B9617" i="2"/>
  <c r="B9616" i="2"/>
  <c r="B9615" i="2"/>
  <c r="B9614" i="2"/>
  <c r="B9613" i="2"/>
  <c r="B9612" i="2"/>
  <c r="B9611" i="2"/>
  <c r="B9610" i="2"/>
  <c r="B9609" i="2"/>
  <c r="B9608" i="2"/>
  <c r="B9607" i="2"/>
  <c r="B9606" i="2"/>
  <c r="B9605" i="2"/>
  <c r="B9604" i="2"/>
  <c r="B9603" i="2"/>
  <c r="B9602" i="2"/>
  <c r="B9601" i="2"/>
  <c r="B9600" i="2"/>
  <c r="B9599" i="2"/>
  <c r="B9598" i="2"/>
  <c r="B9597" i="2"/>
  <c r="B9596" i="2"/>
  <c r="B9595" i="2"/>
  <c r="B9594" i="2"/>
  <c r="B9593" i="2"/>
  <c r="B9592" i="2"/>
  <c r="B9591" i="2"/>
  <c r="B9590" i="2"/>
  <c r="B9589" i="2"/>
  <c r="B9588" i="2"/>
  <c r="B9587" i="2"/>
  <c r="B9586" i="2"/>
  <c r="B9585" i="2"/>
  <c r="B9584" i="2"/>
  <c r="B9583" i="2"/>
  <c r="B9582" i="2"/>
  <c r="B9581" i="2"/>
  <c r="B9580" i="2"/>
  <c r="B9579" i="2"/>
  <c r="B9578" i="2"/>
  <c r="B9577" i="2"/>
  <c r="B9576" i="2"/>
  <c r="B9575" i="2"/>
  <c r="B9574" i="2"/>
  <c r="B9573" i="2"/>
  <c r="B9572" i="2"/>
  <c r="B9571" i="2"/>
  <c r="B9570" i="2"/>
  <c r="B9569" i="2"/>
  <c r="B9568" i="2"/>
  <c r="B9567" i="2"/>
  <c r="B9566" i="2"/>
  <c r="B9565" i="2"/>
  <c r="B9564" i="2"/>
  <c r="B9563" i="2"/>
  <c r="B9562" i="2"/>
  <c r="B9561" i="2"/>
  <c r="B9560" i="2"/>
  <c r="B9559" i="2"/>
  <c r="B9558" i="2"/>
  <c r="B9557" i="2"/>
  <c r="B9556" i="2"/>
  <c r="B9555" i="2"/>
  <c r="B9554" i="2"/>
  <c r="B9553" i="2"/>
  <c r="B9552" i="2"/>
  <c r="B9551" i="2"/>
  <c r="B9550" i="2"/>
  <c r="B9549" i="2"/>
  <c r="B9548" i="2"/>
  <c r="B9547" i="2"/>
  <c r="B9546" i="2"/>
  <c r="B9545" i="2"/>
  <c r="B9544" i="2"/>
  <c r="B9543" i="2"/>
  <c r="B9542" i="2"/>
  <c r="B9541" i="2"/>
  <c r="B9540" i="2"/>
  <c r="B9539" i="2"/>
  <c r="B9538" i="2"/>
  <c r="B9537" i="2"/>
  <c r="B9536" i="2"/>
  <c r="B9535" i="2"/>
  <c r="B9534" i="2"/>
  <c r="B9533" i="2"/>
  <c r="B9532" i="2"/>
  <c r="B9531" i="2"/>
  <c r="B9530" i="2"/>
  <c r="B9529" i="2"/>
  <c r="B9528" i="2"/>
  <c r="B9527" i="2"/>
  <c r="B9526" i="2"/>
  <c r="B9525" i="2"/>
  <c r="B9524" i="2"/>
  <c r="B9523" i="2"/>
  <c r="B9522" i="2"/>
  <c r="B9521" i="2"/>
  <c r="B9520" i="2"/>
  <c r="B9519" i="2"/>
  <c r="B9518" i="2"/>
  <c r="B9517" i="2"/>
  <c r="B9516" i="2"/>
  <c r="B9515" i="2"/>
  <c r="B9514" i="2"/>
  <c r="B9513" i="2"/>
  <c r="B9512" i="2"/>
  <c r="B9511" i="2"/>
  <c r="B9510" i="2"/>
  <c r="B9509" i="2"/>
  <c r="B9508" i="2"/>
  <c r="B9507" i="2"/>
  <c r="B9506" i="2"/>
  <c r="B9505" i="2"/>
  <c r="B9504" i="2"/>
  <c r="B9503" i="2"/>
  <c r="B9502" i="2"/>
  <c r="B9501" i="2"/>
  <c r="B9500" i="2"/>
  <c r="B9499" i="2"/>
  <c r="B9498" i="2"/>
  <c r="B9497" i="2"/>
  <c r="B9496" i="2"/>
  <c r="B9495" i="2"/>
  <c r="B9494" i="2"/>
  <c r="B9493" i="2"/>
  <c r="B9492" i="2"/>
  <c r="B9491" i="2"/>
  <c r="B9490" i="2"/>
  <c r="B9489" i="2"/>
  <c r="B9488" i="2"/>
  <c r="B9487" i="2"/>
  <c r="B9486" i="2"/>
  <c r="B9485" i="2"/>
  <c r="B9484" i="2"/>
  <c r="B9483" i="2"/>
  <c r="B9482" i="2"/>
  <c r="B9481" i="2"/>
  <c r="B9480" i="2"/>
  <c r="B9479" i="2"/>
  <c r="B9478" i="2"/>
  <c r="B9477" i="2"/>
  <c r="B9476" i="2"/>
  <c r="B9475" i="2"/>
  <c r="B9474" i="2"/>
  <c r="B9473" i="2"/>
  <c r="B9472" i="2"/>
  <c r="B9471" i="2"/>
  <c r="B9470" i="2"/>
  <c r="B9469" i="2"/>
  <c r="B9468" i="2"/>
  <c r="B9467" i="2"/>
  <c r="B9466" i="2"/>
  <c r="B9465" i="2"/>
  <c r="B9464" i="2"/>
  <c r="B9463" i="2"/>
  <c r="B9462" i="2"/>
  <c r="B9461" i="2"/>
  <c r="B9460" i="2"/>
  <c r="B9459" i="2"/>
  <c r="B9458" i="2"/>
  <c r="B9457" i="2"/>
  <c r="B9456" i="2"/>
  <c r="B9455" i="2"/>
  <c r="B9454" i="2"/>
  <c r="B9453" i="2"/>
  <c r="B9452" i="2"/>
  <c r="B9451" i="2"/>
  <c r="B9450" i="2"/>
  <c r="B9449" i="2"/>
  <c r="B9448" i="2"/>
  <c r="B9447" i="2"/>
  <c r="B9446" i="2"/>
  <c r="B9445" i="2"/>
  <c r="B9444" i="2"/>
  <c r="B9443" i="2"/>
  <c r="B9442" i="2"/>
  <c r="B9441" i="2"/>
  <c r="B9440" i="2"/>
  <c r="B9439" i="2"/>
  <c r="B9438" i="2"/>
  <c r="B9437" i="2"/>
  <c r="B9436" i="2"/>
  <c r="B9435" i="2"/>
  <c r="B9434" i="2"/>
  <c r="B9433" i="2"/>
  <c r="B9432" i="2"/>
  <c r="B9431" i="2"/>
  <c r="B9430" i="2"/>
  <c r="B9429" i="2"/>
  <c r="B9428" i="2"/>
  <c r="B9427" i="2"/>
  <c r="B9426" i="2"/>
  <c r="B9425" i="2"/>
  <c r="B9424" i="2"/>
  <c r="B9423" i="2"/>
  <c r="B9422" i="2"/>
  <c r="B9421" i="2"/>
  <c r="B9420" i="2"/>
  <c r="B9419" i="2"/>
  <c r="B9418" i="2"/>
  <c r="B9417" i="2"/>
  <c r="B9416" i="2"/>
  <c r="B9415" i="2"/>
  <c r="B9414" i="2"/>
  <c r="B9413" i="2"/>
  <c r="B9412" i="2"/>
  <c r="B9411" i="2"/>
  <c r="B9410" i="2"/>
  <c r="B9409" i="2"/>
  <c r="B9408" i="2"/>
  <c r="B9407" i="2"/>
  <c r="B9406" i="2"/>
  <c r="B9405" i="2"/>
  <c r="B9404" i="2"/>
  <c r="B9403" i="2"/>
  <c r="B9402" i="2"/>
  <c r="B9401" i="2"/>
  <c r="B9400" i="2"/>
  <c r="B9399" i="2"/>
  <c r="B9398" i="2"/>
  <c r="B9397" i="2"/>
  <c r="B9396" i="2"/>
  <c r="B9395" i="2"/>
  <c r="B9394" i="2"/>
  <c r="B9393" i="2"/>
  <c r="B9392" i="2"/>
  <c r="B9391" i="2"/>
  <c r="B9390" i="2"/>
  <c r="B9389" i="2"/>
  <c r="B9388" i="2"/>
  <c r="B9387" i="2"/>
  <c r="B9386" i="2"/>
  <c r="B9385" i="2"/>
  <c r="B9384" i="2"/>
  <c r="B9383" i="2"/>
  <c r="B9382" i="2"/>
  <c r="B9381" i="2"/>
  <c r="B9380" i="2"/>
  <c r="B9379" i="2"/>
  <c r="B9378" i="2"/>
  <c r="B9377" i="2"/>
  <c r="B9376" i="2"/>
  <c r="B9375" i="2"/>
  <c r="B9374" i="2"/>
  <c r="B9373" i="2"/>
  <c r="B9372" i="2"/>
  <c r="B9371" i="2"/>
  <c r="B9370" i="2"/>
  <c r="B9369" i="2"/>
  <c r="B9368" i="2"/>
  <c r="B9367" i="2"/>
  <c r="B9366" i="2"/>
  <c r="B9365" i="2"/>
  <c r="B9364" i="2"/>
  <c r="B9363" i="2"/>
  <c r="B9362" i="2"/>
  <c r="B9361" i="2"/>
  <c r="B9360" i="2"/>
  <c r="B9359" i="2"/>
  <c r="B9358" i="2"/>
  <c r="B9357" i="2"/>
  <c r="B9356" i="2"/>
  <c r="B9355" i="2"/>
  <c r="B9354" i="2"/>
  <c r="B9353" i="2"/>
  <c r="B9352" i="2"/>
  <c r="B9351" i="2"/>
  <c r="B9350" i="2"/>
  <c r="B9349" i="2"/>
  <c r="B9348" i="2"/>
  <c r="B9347" i="2"/>
  <c r="B9346" i="2"/>
  <c r="B9345" i="2"/>
  <c r="B9344" i="2"/>
  <c r="B9343" i="2"/>
  <c r="B9342" i="2"/>
  <c r="B9341" i="2"/>
  <c r="B9340" i="2"/>
  <c r="B9339" i="2"/>
  <c r="B9338" i="2"/>
  <c r="B9337" i="2"/>
  <c r="B9336" i="2"/>
  <c r="B9335" i="2"/>
  <c r="B9334" i="2"/>
  <c r="B9333" i="2"/>
  <c r="B9332" i="2"/>
  <c r="B9331" i="2"/>
  <c r="B9330" i="2"/>
  <c r="B9329" i="2"/>
  <c r="B9328" i="2"/>
  <c r="B9327" i="2"/>
  <c r="B9326" i="2"/>
  <c r="B9325" i="2"/>
  <c r="B9324" i="2"/>
  <c r="B9323" i="2"/>
  <c r="B9322" i="2"/>
  <c r="B9321" i="2"/>
  <c r="B9320" i="2"/>
  <c r="B9319" i="2"/>
  <c r="B9318" i="2"/>
  <c r="B9317" i="2"/>
  <c r="B9316" i="2"/>
  <c r="B9315" i="2"/>
  <c r="B9314" i="2"/>
  <c r="B9313" i="2"/>
  <c r="B9312" i="2"/>
  <c r="B9311" i="2"/>
  <c r="B9310" i="2"/>
  <c r="B9309" i="2"/>
  <c r="B9308" i="2"/>
  <c r="B9307" i="2"/>
  <c r="B9306" i="2"/>
  <c r="B9305" i="2"/>
  <c r="B9304" i="2"/>
  <c r="B9303" i="2"/>
  <c r="B9302" i="2"/>
  <c r="B9301" i="2"/>
  <c r="B9300" i="2"/>
  <c r="B9299" i="2"/>
  <c r="B9298" i="2"/>
  <c r="B9297" i="2"/>
  <c r="B9296" i="2"/>
  <c r="B9295" i="2"/>
  <c r="B9294" i="2"/>
  <c r="B9293" i="2"/>
  <c r="B9292" i="2"/>
  <c r="B9291" i="2"/>
  <c r="B9290" i="2"/>
  <c r="B9289" i="2"/>
  <c r="B9288" i="2"/>
  <c r="B9287" i="2"/>
  <c r="B9286" i="2"/>
  <c r="B9285" i="2"/>
  <c r="B9284" i="2"/>
  <c r="B9283" i="2"/>
  <c r="B9282" i="2"/>
  <c r="B9281" i="2"/>
  <c r="B9280" i="2"/>
  <c r="B9279" i="2"/>
  <c r="B9278" i="2"/>
  <c r="B9277" i="2"/>
  <c r="B9276" i="2"/>
  <c r="B9275" i="2"/>
  <c r="B9274" i="2"/>
  <c r="B9273" i="2"/>
  <c r="B9272" i="2"/>
  <c r="B9271" i="2"/>
  <c r="B9270" i="2"/>
  <c r="B9269" i="2"/>
  <c r="B9268" i="2"/>
  <c r="B9267" i="2"/>
  <c r="B9266" i="2"/>
  <c r="B9265" i="2"/>
  <c r="B9264" i="2"/>
  <c r="B9263" i="2"/>
  <c r="B9262" i="2"/>
  <c r="B9261" i="2"/>
  <c r="B9260" i="2"/>
  <c r="B9259" i="2"/>
  <c r="B9258" i="2"/>
  <c r="B9257" i="2"/>
  <c r="B9256" i="2"/>
  <c r="B9255" i="2"/>
  <c r="B9254" i="2"/>
  <c r="B9253" i="2"/>
  <c r="B9252" i="2"/>
  <c r="B9251" i="2"/>
  <c r="B9250" i="2"/>
  <c r="B9249" i="2"/>
  <c r="B9248" i="2"/>
  <c r="B9247" i="2"/>
  <c r="B9246" i="2"/>
  <c r="B9245" i="2"/>
  <c r="B9244" i="2"/>
  <c r="B9243" i="2"/>
  <c r="B9242" i="2"/>
  <c r="B9241" i="2"/>
  <c r="B9240" i="2"/>
  <c r="B9239" i="2"/>
  <c r="B9238" i="2"/>
  <c r="B9237" i="2"/>
  <c r="B9236" i="2"/>
  <c r="B9235" i="2"/>
  <c r="B9234" i="2"/>
  <c r="B9233" i="2"/>
  <c r="B9232" i="2"/>
  <c r="B9231" i="2"/>
  <c r="B9230" i="2"/>
  <c r="B9229" i="2"/>
  <c r="B9228" i="2"/>
  <c r="B9227" i="2"/>
  <c r="B9226" i="2"/>
  <c r="B9225" i="2"/>
  <c r="B9224" i="2"/>
  <c r="B9223" i="2"/>
  <c r="B9222" i="2"/>
  <c r="B9221" i="2"/>
  <c r="B9220" i="2"/>
  <c r="B9219" i="2"/>
  <c r="B9218" i="2"/>
  <c r="B9217" i="2"/>
  <c r="B9216" i="2"/>
  <c r="B9215" i="2"/>
  <c r="B9214" i="2"/>
  <c r="B9213" i="2"/>
  <c r="B9212" i="2"/>
  <c r="B9211" i="2"/>
  <c r="B9210" i="2"/>
  <c r="B9209" i="2"/>
  <c r="B9208" i="2"/>
  <c r="B9207" i="2"/>
  <c r="B9206" i="2"/>
  <c r="B9205" i="2"/>
  <c r="B9204" i="2"/>
  <c r="B9203" i="2"/>
  <c r="B9202" i="2"/>
  <c r="B9201" i="2"/>
  <c r="B9200" i="2"/>
  <c r="B9199" i="2"/>
  <c r="B9198" i="2"/>
  <c r="B9197" i="2"/>
  <c r="B9196" i="2"/>
  <c r="B9195" i="2"/>
  <c r="B9194" i="2"/>
  <c r="B9193" i="2"/>
  <c r="B9192" i="2"/>
  <c r="B9191" i="2"/>
  <c r="B9190" i="2"/>
  <c r="B9189" i="2"/>
  <c r="B9188" i="2"/>
  <c r="B9187" i="2"/>
  <c r="B9186" i="2"/>
  <c r="B9185" i="2"/>
  <c r="B9184" i="2"/>
  <c r="B9183" i="2"/>
  <c r="B9182" i="2"/>
  <c r="B9181" i="2"/>
  <c r="B9180" i="2"/>
  <c r="B9179" i="2"/>
  <c r="B9178" i="2"/>
  <c r="B9177" i="2"/>
  <c r="B9176" i="2"/>
  <c r="B9175" i="2"/>
  <c r="B9174" i="2"/>
  <c r="B9173" i="2"/>
  <c r="B9172" i="2"/>
  <c r="B9171" i="2"/>
  <c r="B9170" i="2"/>
  <c r="B9169" i="2"/>
  <c r="B9168" i="2"/>
  <c r="B9167" i="2"/>
  <c r="B9166" i="2"/>
  <c r="B9165" i="2"/>
  <c r="B9164" i="2"/>
  <c r="B9163" i="2"/>
  <c r="B9162" i="2"/>
  <c r="B9161" i="2"/>
  <c r="B9160" i="2"/>
  <c r="B9159" i="2"/>
  <c r="B9158" i="2"/>
  <c r="B9157" i="2"/>
  <c r="B9156" i="2"/>
  <c r="B9155" i="2"/>
  <c r="B9154" i="2"/>
  <c r="B9153" i="2"/>
  <c r="B9152" i="2"/>
  <c r="B9151" i="2"/>
  <c r="B9150" i="2"/>
  <c r="B9149" i="2"/>
  <c r="B9148" i="2"/>
  <c r="B9147" i="2"/>
  <c r="B9146" i="2"/>
  <c r="B9145" i="2"/>
  <c r="B9144" i="2"/>
  <c r="B9143" i="2"/>
  <c r="B9142" i="2"/>
  <c r="B9141" i="2"/>
  <c r="B9140" i="2"/>
  <c r="B9139" i="2"/>
  <c r="B9138" i="2"/>
  <c r="B9137" i="2"/>
  <c r="B9136" i="2"/>
  <c r="B9135" i="2"/>
  <c r="B9134" i="2"/>
  <c r="B9133" i="2"/>
  <c r="B9132" i="2"/>
  <c r="B9131" i="2"/>
  <c r="B9130" i="2"/>
  <c r="B9129" i="2"/>
  <c r="B9128" i="2"/>
  <c r="B9127" i="2"/>
  <c r="B9126" i="2"/>
  <c r="B9125" i="2"/>
  <c r="B9124" i="2"/>
  <c r="B9123" i="2"/>
  <c r="B9122" i="2"/>
  <c r="B9121" i="2"/>
  <c r="B9120" i="2"/>
  <c r="B9119" i="2"/>
  <c r="B9118" i="2"/>
  <c r="B9117" i="2"/>
  <c r="B9116" i="2"/>
  <c r="B9115" i="2"/>
  <c r="B9114" i="2"/>
  <c r="B9113" i="2"/>
  <c r="B9112" i="2"/>
  <c r="B9111" i="2"/>
  <c r="B9110" i="2"/>
  <c r="B9109" i="2"/>
  <c r="B9108" i="2"/>
  <c r="B9107" i="2"/>
  <c r="B9106" i="2"/>
  <c r="B9105" i="2"/>
  <c r="B9104" i="2"/>
  <c r="B9103" i="2"/>
  <c r="B9102" i="2"/>
  <c r="B9101" i="2"/>
  <c r="B9100" i="2"/>
  <c r="B9099" i="2"/>
  <c r="B9098" i="2"/>
  <c r="B9097" i="2"/>
  <c r="B9096" i="2"/>
  <c r="B9095" i="2"/>
  <c r="B9094" i="2"/>
  <c r="B9093" i="2"/>
  <c r="B9092" i="2"/>
  <c r="B9091" i="2"/>
  <c r="B9090" i="2"/>
  <c r="B9089" i="2"/>
  <c r="B9088" i="2"/>
  <c r="B9087" i="2"/>
  <c r="B9086" i="2"/>
  <c r="B9085" i="2"/>
  <c r="B9084" i="2"/>
  <c r="B9083" i="2"/>
  <c r="B9082" i="2"/>
  <c r="B9081" i="2"/>
  <c r="B9080" i="2"/>
  <c r="B9079" i="2"/>
  <c r="B9078" i="2"/>
  <c r="B9077" i="2"/>
  <c r="B9076" i="2"/>
  <c r="B9075" i="2"/>
  <c r="B9074" i="2"/>
  <c r="B9073" i="2"/>
  <c r="B9072" i="2"/>
  <c r="B9071" i="2"/>
  <c r="B9070" i="2"/>
  <c r="B9069" i="2"/>
  <c r="B9068" i="2"/>
  <c r="B9067" i="2"/>
  <c r="B9066" i="2"/>
  <c r="B9065" i="2"/>
  <c r="B9064" i="2"/>
  <c r="B9063" i="2"/>
  <c r="B9062" i="2"/>
  <c r="B9061" i="2"/>
  <c r="B9060" i="2"/>
  <c r="B9059" i="2"/>
  <c r="B9058" i="2"/>
  <c r="B9057" i="2"/>
  <c r="B9056" i="2"/>
  <c r="B9055" i="2"/>
  <c r="B9054" i="2"/>
  <c r="B9053" i="2"/>
  <c r="B9052" i="2"/>
  <c r="B9051" i="2"/>
  <c r="B9050" i="2"/>
  <c r="B9049" i="2"/>
  <c r="B9048" i="2"/>
  <c r="B9047" i="2"/>
  <c r="B9046" i="2"/>
  <c r="B9045" i="2"/>
  <c r="B9044" i="2"/>
  <c r="B9043" i="2"/>
  <c r="B9042" i="2"/>
  <c r="B9041" i="2"/>
  <c r="B9040" i="2"/>
  <c r="B9039" i="2"/>
  <c r="B9038" i="2"/>
  <c r="B9037" i="2"/>
  <c r="B9036" i="2"/>
  <c r="B9035" i="2"/>
  <c r="B9034" i="2"/>
  <c r="B9033" i="2"/>
  <c r="B9032" i="2"/>
  <c r="B9031" i="2"/>
  <c r="B9030" i="2"/>
  <c r="B9029" i="2"/>
  <c r="B9028" i="2"/>
  <c r="B9027" i="2"/>
  <c r="B9026" i="2"/>
  <c r="B9025" i="2"/>
  <c r="B9024" i="2"/>
  <c r="B9023" i="2"/>
  <c r="B9022" i="2"/>
  <c r="B9021" i="2"/>
  <c r="B9020" i="2"/>
  <c r="B9019" i="2"/>
  <c r="B9018" i="2"/>
  <c r="B9017" i="2"/>
  <c r="B9016" i="2"/>
  <c r="B9015" i="2"/>
  <c r="B9014" i="2"/>
  <c r="B9013" i="2"/>
  <c r="B9012" i="2"/>
  <c r="B9011" i="2"/>
  <c r="B9010" i="2"/>
  <c r="B9009" i="2"/>
  <c r="B9008" i="2"/>
  <c r="B9007" i="2"/>
  <c r="B9006" i="2"/>
  <c r="B9005" i="2"/>
  <c r="B9004" i="2"/>
  <c r="B9003" i="2"/>
  <c r="B9002" i="2"/>
  <c r="B9001" i="2"/>
  <c r="B9000" i="2"/>
  <c r="B8999" i="2"/>
  <c r="B8998" i="2"/>
  <c r="B8997" i="2"/>
  <c r="B8996" i="2"/>
  <c r="B8995" i="2"/>
  <c r="B8994" i="2"/>
  <c r="B8993" i="2"/>
  <c r="B8992" i="2"/>
  <c r="B8991" i="2"/>
  <c r="B8990" i="2"/>
  <c r="B8989" i="2"/>
  <c r="B8988" i="2"/>
  <c r="B8987" i="2"/>
  <c r="B8986" i="2"/>
  <c r="B8985" i="2"/>
  <c r="B8984" i="2"/>
  <c r="B8983" i="2"/>
  <c r="B8982" i="2"/>
  <c r="B8981" i="2"/>
  <c r="B8980" i="2"/>
  <c r="B8979" i="2"/>
  <c r="B8978" i="2"/>
  <c r="B8977" i="2"/>
  <c r="B8976" i="2"/>
  <c r="B8975" i="2"/>
  <c r="B8974" i="2"/>
  <c r="B8973" i="2"/>
  <c r="B8972" i="2"/>
  <c r="B8971" i="2"/>
  <c r="B8970" i="2"/>
  <c r="B8969" i="2"/>
  <c r="B8968" i="2"/>
  <c r="B8967" i="2"/>
  <c r="B8966" i="2"/>
  <c r="B8965" i="2"/>
  <c r="B8964" i="2"/>
  <c r="B8963" i="2"/>
  <c r="B8962" i="2"/>
  <c r="B8961" i="2"/>
  <c r="B8960" i="2"/>
  <c r="B8959" i="2"/>
  <c r="B8958" i="2"/>
  <c r="B8957" i="2"/>
  <c r="B8956" i="2"/>
  <c r="B8955" i="2"/>
  <c r="B8954" i="2"/>
  <c r="B8953" i="2"/>
  <c r="B8952" i="2"/>
  <c r="B8951" i="2"/>
  <c r="B8950" i="2"/>
  <c r="B8949" i="2"/>
  <c r="B8948" i="2"/>
  <c r="B8947" i="2"/>
  <c r="B8946" i="2"/>
  <c r="B8945" i="2"/>
  <c r="B8944" i="2"/>
  <c r="B8943" i="2"/>
  <c r="B8942" i="2"/>
  <c r="B8941" i="2"/>
  <c r="B8940" i="2"/>
  <c r="B8939" i="2"/>
  <c r="B8938" i="2"/>
  <c r="B8937" i="2"/>
  <c r="B8936" i="2"/>
  <c r="B8935" i="2"/>
  <c r="B8934" i="2"/>
  <c r="B8933" i="2"/>
  <c r="B8932" i="2"/>
  <c r="B8931" i="2"/>
  <c r="B8930" i="2"/>
  <c r="B8929" i="2"/>
  <c r="B8928" i="2"/>
  <c r="B8927" i="2"/>
  <c r="B8926" i="2"/>
  <c r="B8925" i="2"/>
  <c r="B8924" i="2"/>
  <c r="B8923" i="2"/>
  <c r="B8922" i="2"/>
  <c r="B8921" i="2"/>
  <c r="B8920" i="2"/>
  <c r="B8919" i="2"/>
  <c r="B8918" i="2"/>
  <c r="B8917" i="2"/>
  <c r="B8916" i="2"/>
  <c r="B8915" i="2"/>
  <c r="B8914" i="2"/>
  <c r="B8913" i="2"/>
  <c r="B8912" i="2"/>
  <c r="B8911" i="2"/>
  <c r="B8910" i="2"/>
  <c r="B8909" i="2"/>
  <c r="B8908" i="2"/>
  <c r="B8907" i="2"/>
  <c r="B8906" i="2"/>
  <c r="B8905" i="2"/>
  <c r="B8904" i="2"/>
  <c r="B8903" i="2"/>
  <c r="B8902" i="2"/>
  <c r="B8901" i="2"/>
  <c r="B8900" i="2"/>
  <c r="B8899" i="2"/>
  <c r="B8898" i="2"/>
  <c r="B8897" i="2"/>
  <c r="B8896" i="2"/>
  <c r="B8895" i="2"/>
  <c r="B8894" i="2"/>
  <c r="B8893" i="2"/>
  <c r="B8892" i="2"/>
  <c r="B8891" i="2"/>
  <c r="B8890" i="2"/>
  <c r="B8889" i="2"/>
  <c r="B8888" i="2"/>
  <c r="B8887" i="2"/>
  <c r="B8886" i="2"/>
  <c r="B8885" i="2"/>
  <c r="B8884" i="2"/>
  <c r="B8883" i="2"/>
  <c r="B8882" i="2"/>
  <c r="B8881" i="2"/>
  <c r="B8880" i="2"/>
  <c r="B8879" i="2"/>
  <c r="B8878" i="2"/>
  <c r="B8877" i="2"/>
  <c r="B8876" i="2"/>
  <c r="B8875" i="2"/>
  <c r="B8874" i="2"/>
  <c r="B8873" i="2"/>
  <c r="B8872" i="2"/>
  <c r="B8871" i="2"/>
  <c r="B8870" i="2"/>
  <c r="B8869" i="2"/>
  <c r="B8868" i="2"/>
  <c r="B8867" i="2"/>
  <c r="B8866" i="2"/>
  <c r="B8865" i="2"/>
  <c r="B8864" i="2"/>
  <c r="B8863" i="2"/>
  <c r="B8862" i="2"/>
  <c r="B8861" i="2"/>
  <c r="B8860" i="2"/>
  <c r="B8859" i="2"/>
  <c r="B8858" i="2"/>
  <c r="B8857" i="2"/>
  <c r="B8856" i="2"/>
  <c r="B8855" i="2"/>
  <c r="B8854" i="2"/>
  <c r="B8853" i="2"/>
  <c r="B8852" i="2"/>
  <c r="B8851" i="2"/>
  <c r="B8850" i="2"/>
  <c r="B8849" i="2"/>
  <c r="B8848" i="2"/>
  <c r="B8847" i="2"/>
  <c r="B8846" i="2"/>
  <c r="B8845" i="2"/>
  <c r="B8844" i="2"/>
  <c r="B8843" i="2"/>
  <c r="B8842" i="2"/>
  <c r="B8841" i="2"/>
  <c r="B8840" i="2"/>
  <c r="B8839" i="2"/>
  <c r="B8838" i="2"/>
  <c r="B8837" i="2"/>
  <c r="B8836" i="2"/>
  <c r="B8835" i="2"/>
  <c r="B8834" i="2"/>
  <c r="B8833" i="2"/>
  <c r="B8832" i="2"/>
  <c r="B8831" i="2"/>
  <c r="B8830" i="2"/>
  <c r="B8829" i="2"/>
  <c r="B8828" i="2"/>
  <c r="B8827" i="2"/>
  <c r="B8826" i="2"/>
  <c r="B8825" i="2"/>
  <c r="B8824" i="2"/>
  <c r="B8823" i="2"/>
  <c r="B8822" i="2"/>
  <c r="B8821" i="2"/>
  <c r="B8820" i="2"/>
  <c r="B8819" i="2"/>
  <c r="B8818" i="2"/>
  <c r="B8817" i="2"/>
  <c r="B8816" i="2"/>
  <c r="B8815" i="2"/>
  <c r="B8814" i="2"/>
  <c r="B8813" i="2"/>
  <c r="B8812" i="2"/>
  <c r="B8811" i="2"/>
  <c r="B8810" i="2"/>
  <c r="B8809" i="2"/>
  <c r="B8808" i="2"/>
  <c r="B8807" i="2"/>
  <c r="B8806" i="2"/>
  <c r="B8805" i="2"/>
  <c r="B8804" i="2"/>
  <c r="B8803" i="2"/>
  <c r="B8802" i="2"/>
  <c r="B8801" i="2"/>
  <c r="B8800" i="2"/>
  <c r="B8799" i="2"/>
  <c r="B8798" i="2"/>
  <c r="B8797" i="2"/>
  <c r="B8796" i="2"/>
  <c r="B8795" i="2"/>
  <c r="B8794" i="2"/>
  <c r="B8793" i="2"/>
  <c r="B8792" i="2"/>
  <c r="B8791" i="2"/>
  <c r="B8790" i="2"/>
  <c r="B8789" i="2"/>
  <c r="B8788" i="2"/>
  <c r="B8787" i="2"/>
  <c r="B8786" i="2"/>
  <c r="B8785" i="2"/>
  <c r="B8784" i="2"/>
  <c r="B8783" i="2"/>
  <c r="B8782" i="2"/>
  <c r="B8781" i="2"/>
  <c r="B8780" i="2"/>
  <c r="B8779" i="2"/>
  <c r="B8778" i="2"/>
  <c r="B8777" i="2"/>
  <c r="B8776" i="2"/>
  <c r="B8775" i="2"/>
  <c r="B8774" i="2"/>
  <c r="B8773" i="2"/>
  <c r="B8772" i="2"/>
  <c r="B8771" i="2"/>
  <c r="B8770" i="2"/>
  <c r="B8769" i="2"/>
  <c r="B8768" i="2"/>
  <c r="B8767" i="2"/>
  <c r="B8766" i="2"/>
  <c r="B8765" i="2"/>
  <c r="B8764" i="2"/>
  <c r="B8763" i="2"/>
  <c r="B8762" i="2"/>
  <c r="B8761" i="2"/>
  <c r="B8760" i="2"/>
  <c r="B8759" i="2"/>
  <c r="B8758" i="2"/>
  <c r="B8757" i="2"/>
  <c r="B8756" i="2"/>
  <c r="B8755" i="2"/>
  <c r="B8754" i="2"/>
  <c r="B8753" i="2"/>
  <c r="B8752" i="2"/>
  <c r="B8751" i="2"/>
  <c r="B8750" i="2"/>
  <c r="B8749" i="2"/>
  <c r="B8748" i="2"/>
  <c r="B8747" i="2"/>
  <c r="B8746" i="2"/>
  <c r="B8745" i="2"/>
  <c r="B8744" i="2"/>
  <c r="B8743" i="2"/>
  <c r="B8742" i="2"/>
  <c r="B8741" i="2"/>
  <c r="B8740" i="2"/>
  <c r="B8739" i="2"/>
  <c r="B8738" i="2"/>
  <c r="B8737" i="2"/>
  <c r="B8736" i="2"/>
  <c r="B8735" i="2"/>
  <c r="B8734" i="2"/>
  <c r="B8733" i="2"/>
  <c r="B8732" i="2"/>
  <c r="B8731" i="2"/>
  <c r="B8730" i="2"/>
  <c r="B8729" i="2"/>
  <c r="B8728" i="2"/>
  <c r="B8727" i="2"/>
  <c r="B8726" i="2"/>
  <c r="B8725" i="2"/>
  <c r="B8724" i="2"/>
  <c r="B8723" i="2"/>
  <c r="B8722" i="2"/>
  <c r="B8721" i="2"/>
  <c r="B8720" i="2"/>
  <c r="B8719" i="2"/>
  <c r="B8718" i="2"/>
  <c r="B8717" i="2"/>
  <c r="B8716" i="2"/>
  <c r="B8715" i="2"/>
  <c r="B8714" i="2"/>
  <c r="B8713" i="2"/>
  <c r="B8712" i="2"/>
  <c r="B8711" i="2"/>
  <c r="B8710" i="2"/>
  <c r="B8709" i="2"/>
  <c r="B8708" i="2"/>
  <c r="B8707" i="2"/>
  <c r="B8706" i="2"/>
  <c r="B8705" i="2"/>
  <c r="B8704" i="2"/>
  <c r="B8703" i="2"/>
  <c r="B8702" i="2"/>
  <c r="B8701" i="2"/>
  <c r="B8700" i="2"/>
  <c r="B8699" i="2"/>
  <c r="B8698" i="2"/>
  <c r="B8697" i="2"/>
  <c r="B8696" i="2"/>
  <c r="B8695" i="2"/>
  <c r="B8694" i="2"/>
  <c r="B8693" i="2"/>
  <c r="B8692" i="2"/>
  <c r="B8691" i="2"/>
  <c r="B8690" i="2"/>
  <c r="B8689" i="2"/>
  <c r="B8688" i="2"/>
  <c r="B8687" i="2"/>
  <c r="B8686" i="2"/>
  <c r="B8685" i="2"/>
  <c r="B8684" i="2"/>
  <c r="B8683" i="2"/>
  <c r="B8682" i="2"/>
  <c r="B8681" i="2"/>
  <c r="B8680" i="2"/>
  <c r="B8679" i="2"/>
  <c r="B8678" i="2"/>
  <c r="B8677" i="2"/>
  <c r="B8676" i="2"/>
  <c r="B8675" i="2"/>
  <c r="B8674" i="2"/>
  <c r="B8673" i="2"/>
  <c r="B8672" i="2"/>
  <c r="B8671" i="2"/>
  <c r="B8670" i="2"/>
  <c r="B8669" i="2"/>
  <c r="B8668" i="2"/>
  <c r="B8667" i="2"/>
  <c r="B8666" i="2"/>
  <c r="B8665" i="2"/>
  <c r="B8664" i="2"/>
  <c r="B8663" i="2"/>
  <c r="B8662" i="2"/>
  <c r="B8661" i="2"/>
  <c r="B8660" i="2"/>
  <c r="B8659" i="2"/>
  <c r="B8658" i="2"/>
  <c r="B8657" i="2"/>
  <c r="B8656" i="2"/>
  <c r="B8655" i="2"/>
  <c r="B8654" i="2"/>
  <c r="B8653" i="2"/>
  <c r="B8652" i="2"/>
  <c r="B8651" i="2"/>
  <c r="B8650" i="2"/>
  <c r="B8649" i="2"/>
  <c r="B8648" i="2"/>
  <c r="B8647" i="2"/>
  <c r="B8646" i="2"/>
  <c r="B8645" i="2"/>
  <c r="B8644" i="2"/>
  <c r="B8643" i="2"/>
  <c r="B8642" i="2"/>
  <c r="B8641" i="2"/>
  <c r="B8640" i="2"/>
  <c r="B8639" i="2"/>
  <c r="B8638" i="2"/>
  <c r="B8637" i="2"/>
  <c r="B8636" i="2"/>
  <c r="B8635" i="2"/>
  <c r="B8634" i="2"/>
  <c r="B8633" i="2"/>
  <c r="B8632" i="2"/>
  <c r="B8631" i="2"/>
  <c r="B8630" i="2"/>
  <c r="B8629" i="2"/>
  <c r="B8628" i="2"/>
  <c r="B8627" i="2"/>
  <c r="B8626" i="2"/>
  <c r="B8625" i="2"/>
  <c r="B8624" i="2"/>
  <c r="B8623" i="2"/>
  <c r="B8622" i="2"/>
  <c r="B8621" i="2"/>
  <c r="B8620" i="2"/>
  <c r="B8619" i="2"/>
  <c r="B8618" i="2"/>
  <c r="B8617" i="2"/>
  <c r="B8616" i="2"/>
  <c r="B8615" i="2"/>
  <c r="B8614" i="2"/>
  <c r="B8613" i="2"/>
  <c r="B8612" i="2"/>
  <c r="B8611" i="2"/>
  <c r="B8610" i="2"/>
  <c r="B8609" i="2"/>
  <c r="B8608" i="2"/>
  <c r="B8607" i="2"/>
  <c r="B8606" i="2"/>
  <c r="B8605" i="2"/>
  <c r="B8604" i="2"/>
  <c r="B8603" i="2"/>
  <c r="B8602" i="2"/>
  <c r="B8601" i="2"/>
  <c r="B8600" i="2"/>
  <c r="B8599" i="2"/>
  <c r="B8598" i="2"/>
  <c r="B8597" i="2"/>
  <c r="B8596" i="2"/>
  <c r="B8595" i="2"/>
  <c r="B8594" i="2"/>
  <c r="B8593" i="2"/>
  <c r="B8592" i="2"/>
  <c r="B8591" i="2"/>
  <c r="B8590" i="2"/>
  <c r="B8589" i="2"/>
  <c r="B8588" i="2"/>
  <c r="B8587" i="2"/>
  <c r="B8586" i="2"/>
  <c r="B8585" i="2"/>
  <c r="B8584" i="2"/>
  <c r="B8583" i="2"/>
  <c r="B8582" i="2"/>
  <c r="B8581" i="2"/>
  <c r="B8580" i="2"/>
  <c r="B8579" i="2"/>
  <c r="B8578" i="2"/>
  <c r="B8577" i="2"/>
  <c r="B8576" i="2"/>
  <c r="B8575" i="2"/>
  <c r="B8574" i="2"/>
  <c r="B8573" i="2"/>
  <c r="B8572" i="2"/>
  <c r="B8571" i="2"/>
  <c r="B8570" i="2"/>
  <c r="B8569" i="2"/>
  <c r="B8568" i="2"/>
  <c r="B8567" i="2"/>
  <c r="B8566" i="2"/>
  <c r="B8565" i="2"/>
  <c r="B8564" i="2"/>
  <c r="B8563" i="2"/>
  <c r="B8562" i="2"/>
  <c r="B8561" i="2"/>
  <c r="B8560" i="2"/>
  <c r="B8559" i="2"/>
  <c r="B8558" i="2"/>
  <c r="B8557" i="2"/>
  <c r="B8556" i="2"/>
  <c r="B8555" i="2"/>
  <c r="B8554" i="2"/>
  <c r="B8553" i="2"/>
  <c r="B8552" i="2"/>
  <c r="B8551" i="2"/>
  <c r="B8550" i="2"/>
  <c r="B8549" i="2"/>
  <c r="B8548" i="2"/>
  <c r="B8547" i="2"/>
  <c r="B8546" i="2"/>
  <c r="B8545" i="2"/>
  <c r="B8544" i="2"/>
  <c r="B8543" i="2"/>
  <c r="B8542" i="2"/>
  <c r="B8541" i="2"/>
  <c r="B8540" i="2"/>
  <c r="B8539" i="2"/>
  <c r="B8538" i="2"/>
  <c r="B8537" i="2"/>
  <c r="B8536" i="2"/>
  <c r="B8535" i="2"/>
  <c r="B8534" i="2"/>
  <c r="B8533" i="2"/>
  <c r="B8532" i="2"/>
  <c r="B8531" i="2"/>
  <c r="B8530" i="2"/>
  <c r="B8529" i="2"/>
  <c r="B8528" i="2"/>
  <c r="B8527" i="2"/>
  <c r="B8526" i="2"/>
  <c r="B8525" i="2"/>
  <c r="B8524" i="2"/>
  <c r="B8523" i="2"/>
  <c r="B8522" i="2"/>
  <c r="B8521" i="2"/>
  <c r="B8520" i="2"/>
  <c r="B8519" i="2"/>
  <c r="B8518" i="2"/>
  <c r="B8517" i="2"/>
  <c r="B8516" i="2"/>
  <c r="B8515" i="2"/>
  <c r="B8514" i="2"/>
  <c r="B8513" i="2"/>
  <c r="B8512" i="2"/>
  <c r="B8511" i="2"/>
  <c r="B8510" i="2"/>
  <c r="B8509" i="2"/>
  <c r="B8508" i="2"/>
  <c r="B8507" i="2"/>
  <c r="B8506" i="2"/>
  <c r="B8505" i="2"/>
  <c r="B8504" i="2"/>
  <c r="B8503" i="2"/>
  <c r="B8502" i="2"/>
  <c r="B8501" i="2"/>
  <c r="B8500" i="2"/>
  <c r="B8499" i="2"/>
  <c r="B8498" i="2"/>
  <c r="B8497" i="2"/>
  <c r="B8496" i="2"/>
  <c r="B8495" i="2"/>
  <c r="B8494" i="2"/>
  <c r="B8493" i="2"/>
  <c r="B8492" i="2"/>
  <c r="B8491" i="2"/>
  <c r="B8490" i="2"/>
  <c r="B8489" i="2"/>
  <c r="B8488" i="2"/>
  <c r="B8487" i="2"/>
  <c r="B8486" i="2"/>
  <c r="B8485" i="2"/>
  <c r="B8484" i="2"/>
  <c r="B8483" i="2"/>
  <c r="B8482" i="2"/>
  <c r="B8481" i="2"/>
  <c r="B8480" i="2"/>
  <c r="B8479" i="2"/>
  <c r="B8478" i="2"/>
  <c r="B8477" i="2"/>
  <c r="B8476" i="2"/>
  <c r="B8475" i="2"/>
  <c r="B8474" i="2"/>
  <c r="B8473" i="2"/>
  <c r="B8472" i="2"/>
  <c r="B8471" i="2"/>
  <c r="B8470" i="2"/>
  <c r="B8469" i="2"/>
  <c r="B8468" i="2"/>
  <c r="B8467" i="2"/>
  <c r="B8466" i="2"/>
  <c r="B8465" i="2"/>
  <c r="B8464" i="2"/>
  <c r="B8463" i="2"/>
  <c r="B8462" i="2"/>
  <c r="B8461" i="2"/>
  <c r="B8460" i="2"/>
  <c r="B8459" i="2"/>
  <c r="B8458" i="2"/>
  <c r="B8457" i="2"/>
  <c r="B8456" i="2"/>
  <c r="B8455" i="2"/>
  <c r="B8454" i="2"/>
  <c r="B8453" i="2"/>
  <c r="B8452" i="2"/>
  <c r="B8451" i="2"/>
  <c r="B8450" i="2"/>
  <c r="B8449" i="2"/>
  <c r="B8448" i="2"/>
  <c r="B8447" i="2"/>
  <c r="B8446" i="2"/>
  <c r="B8445" i="2"/>
  <c r="B8444" i="2"/>
  <c r="B8443" i="2"/>
  <c r="B8442" i="2"/>
  <c r="B8441" i="2"/>
  <c r="B8440" i="2"/>
  <c r="B8439" i="2"/>
  <c r="B8438" i="2"/>
  <c r="B8437" i="2"/>
  <c r="B8436" i="2"/>
  <c r="B8435" i="2"/>
  <c r="B8434" i="2"/>
  <c r="B8433" i="2"/>
  <c r="B8432" i="2"/>
  <c r="B8431" i="2"/>
  <c r="B8430" i="2"/>
  <c r="B8429" i="2"/>
  <c r="B8428" i="2"/>
  <c r="B8427" i="2"/>
  <c r="B8426" i="2"/>
  <c r="B8425" i="2"/>
  <c r="B8424" i="2"/>
  <c r="B8423" i="2"/>
  <c r="B8422" i="2"/>
  <c r="B8421" i="2"/>
  <c r="B8420" i="2"/>
  <c r="B8419" i="2"/>
  <c r="B8418" i="2"/>
  <c r="B8417" i="2"/>
  <c r="B8416" i="2"/>
  <c r="B8415" i="2"/>
  <c r="B8414" i="2"/>
  <c r="B8413" i="2"/>
  <c r="B8412" i="2"/>
  <c r="B8411" i="2"/>
  <c r="B8410" i="2"/>
  <c r="B8409" i="2"/>
  <c r="B8408" i="2"/>
  <c r="B8407" i="2"/>
  <c r="B8406" i="2"/>
  <c r="B8405" i="2"/>
  <c r="B8404" i="2"/>
  <c r="B8403" i="2"/>
  <c r="B8402" i="2"/>
  <c r="B8401" i="2"/>
  <c r="B8400" i="2"/>
  <c r="B8399" i="2"/>
  <c r="B8398" i="2"/>
  <c r="B8397" i="2"/>
  <c r="B8396" i="2"/>
  <c r="B8395" i="2"/>
  <c r="B8394" i="2"/>
  <c r="B8393" i="2"/>
  <c r="B8392" i="2"/>
  <c r="B8391" i="2"/>
  <c r="B8390" i="2"/>
  <c r="B8389" i="2"/>
  <c r="B8388" i="2"/>
  <c r="B8387" i="2"/>
  <c r="B8386" i="2"/>
  <c r="B8385" i="2"/>
  <c r="B8384" i="2"/>
  <c r="B8383" i="2"/>
  <c r="B8382" i="2"/>
  <c r="B8381" i="2"/>
  <c r="B8380" i="2"/>
  <c r="B8379" i="2"/>
  <c r="B8378" i="2"/>
  <c r="B8377" i="2"/>
  <c r="B8376" i="2"/>
  <c r="B8375" i="2"/>
  <c r="B8374" i="2"/>
  <c r="B8373" i="2"/>
  <c r="B8372" i="2"/>
  <c r="B8371" i="2"/>
  <c r="B8370" i="2"/>
  <c r="B8369" i="2"/>
  <c r="B8368" i="2"/>
  <c r="B8367" i="2"/>
  <c r="B8366" i="2"/>
  <c r="B8365" i="2"/>
  <c r="B8364" i="2"/>
  <c r="B8363" i="2"/>
  <c r="B8362" i="2"/>
  <c r="B8361" i="2"/>
  <c r="B8360" i="2"/>
  <c r="B8359" i="2"/>
  <c r="B8358" i="2"/>
  <c r="B8357" i="2"/>
  <c r="B8356" i="2"/>
  <c r="B8355" i="2"/>
  <c r="B8354" i="2"/>
  <c r="B8353" i="2"/>
  <c r="B8352" i="2"/>
  <c r="B8351" i="2"/>
  <c r="B8350" i="2"/>
  <c r="B8349" i="2"/>
  <c r="B8348" i="2"/>
  <c r="B8347" i="2"/>
  <c r="B8346" i="2"/>
  <c r="B8345" i="2"/>
  <c r="B8344" i="2"/>
  <c r="B8343" i="2"/>
  <c r="B8342" i="2"/>
  <c r="B8341" i="2"/>
  <c r="B8340" i="2"/>
  <c r="B8339" i="2"/>
  <c r="B8338" i="2"/>
  <c r="B8337" i="2"/>
  <c r="B8336" i="2"/>
  <c r="B8335" i="2"/>
  <c r="B8334" i="2"/>
  <c r="B8333" i="2"/>
  <c r="B8332" i="2"/>
  <c r="B8331" i="2"/>
  <c r="B8330" i="2"/>
  <c r="B8329" i="2"/>
  <c r="B8328" i="2"/>
  <c r="B8327" i="2"/>
  <c r="B8326" i="2"/>
  <c r="B8325" i="2"/>
  <c r="B8324" i="2"/>
  <c r="B8323" i="2"/>
  <c r="B8322" i="2"/>
  <c r="B8321" i="2"/>
  <c r="B8320" i="2"/>
  <c r="B8319" i="2"/>
  <c r="B8318" i="2"/>
  <c r="B8317" i="2"/>
  <c r="B8316" i="2"/>
  <c r="B8315" i="2"/>
  <c r="B8314" i="2"/>
  <c r="B8313" i="2"/>
  <c r="B8312" i="2"/>
  <c r="B8311" i="2"/>
  <c r="B8310" i="2"/>
  <c r="B8309" i="2"/>
  <c r="B8308" i="2"/>
  <c r="B8307" i="2"/>
  <c r="B8306" i="2"/>
  <c r="B8305" i="2"/>
  <c r="B8304" i="2"/>
  <c r="B8303" i="2"/>
  <c r="B8302" i="2"/>
  <c r="B8301" i="2"/>
  <c r="B8300" i="2"/>
  <c r="B8299" i="2"/>
  <c r="B8298" i="2"/>
  <c r="B8297" i="2"/>
  <c r="B8296" i="2"/>
  <c r="B8295" i="2"/>
  <c r="B8294" i="2"/>
  <c r="B8293" i="2"/>
  <c r="B8292" i="2"/>
  <c r="B8291" i="2"/>
  <c r="B8290" i="2"/>
  <c r="B8289" i="2"/>
  <c r="B8288" i="2"/>
  <c r="B8287" i="2"/>
  <c r="B8286" i="2"/>
  <c r="B8285" i="2"/>
  <c r="B8284" i="2"/>
  <c r="B8283" i="2"/>
  <c r="B8282" i="2"/>
  <c r="B8281" i="2"/>
  <c r="B8280" i="2"/>
  <c r="B8279" i="2"/>
  <c r="B8278" i="2"/>
  <c r="B8277" i="2"/>
  <c r="B8276" i="2"/>
  <c r="B8275" i="2"/>
  <c r="B8274" i="2"/>
  <c r="B8273" i="2"/>
  <c r="B8272" i="2"/>
  <c r="B8271" i="2"/>
  <c r="B8270" i="2"/>
  <c r="B8269" i="2"/>
  <c r="B8268" i="2"/>
  <c r="B8267" i="2"/>
  <c r="B8266" i="2"/>
  <c r="B8265" i="2"/>
  <c r="B8264" i="2"/>
  <c r="B8263" i="2"/>
  <c r="B8262" i="2"/>
  <c r="B8261" i="2"/>
  <c r="B8260" i="2"/>
  <c r="B8259" i="2"/>
  <c r="B8258" i="2"/>
  <c r="B8257" i="2"/>
  <c r="B8256" i="2"/>
  <c r="B8255" i="2"/>
  <c r="B8254" i="2"/>
  <c r="B8253" i="2"/>
  <c r="B8252" i="2"/>
  <c r="B8251" i="2"/>
  <c r="B8250" i="2"/>
  <c r="B8249" i="2"/>
  <c r="B8248" i="2"/>
  <c r="B8247" i="2"/>
  <c r="B8246" i="2"/>
  <c r="B8245" i="2"/>
  <c r="B8244" i="2"/>
  <c r="B8243" i="2"/>
  <c r="B8242" i="2"/>
  <c r="B8241" i="2"/>
  <c r="B8240" i="2"/>
  <c r="B8239" i="2"/>
  <c r="B8238" i="2"/>
  <c r="B8237" i="2"/>
  <c r="B8236" i="2"/>
  <c r="B8235" i="2"/>
  <c r="B8234" i="2"/>
  <c r="B8233" i="2"/>
  <c r="B8232" i="2"/>
  <c r="B8231" i="2"/>
  <c r="B8230" i="2"/>
  <c r="B8229" i="2"/>
  <c r="B8228" i="2"/>
  <c r="B8227" i="2"/>
  <c r="B8226" i="2"/>
  <c r="B8225" i="2"/>
  <c r="B8224" i="2"/>
  <c r="B8223" i="2"/>
  <c r="B8222" i="2"/>
  <c r="B8221" i="2"/>
  <c r="B8220" i="2"/>
  <c r="B8219" i="2"/>
  <c r="B8218" i="2"/>
  <c r="B8217" i="2"/>
  <c r="B8216" i="2"/>
  <c r="B8215" i="2"/>
  <c r="B8214" i="2"/>
  <c r="B8213" i="2"/>
  <c r="B8212" i="2"/>
  <c r="B8211" i="2"/>
  <c r="B8210" i="2"/>
  <c r="B8209" i="2"/>
  <c r="B8208" i="2"/>
  <c r="B8207" i="2"/>
  <c r="B8206" i="2"/>
  <c r="B8205" i="2"/>
  <c r="B8204" i="2"/>
  <c r="B8203" i="2"/>
  <c r="B8202" i="2"/>
  <c r="B8201" i="2"/>
  <c r="B8200" i="2"/>
  <c r="B8199" i="2"/>
  <c r="B8198" i="2"/>
  <c r="B8197" i="2"/>
  <c r="B8196" i="2"/>
  <c r="B8195" i="2"/>
  <c r="B8194" i="2"/>
  <c r="B8193" i="2"/>
  <c r="B8192" i="2"/>
  <c r="B8191" i="2"/>
  <c r="B8190" i="2"/>
  <c r="B8189" i="2"/>
  <c r="B8188" i="2"/>
  <c r="B8187" i="2"/>
  <c r="B8186" i="2"/>
  <c r="B8185" i="2"/>
  <c r="B8184" i="2"/>
  <c r="B8183" i="2"/>
  <c r="B8182" i="2"/>
  <c r="B8181" i="2"/>
  <c r="B8180" i="2"/>
  <c r="B8179" i="2"/>
  <c r="B8178" i="2"/>
  <c r="B8177" i="2"/>
  <c r="B8176" i="2"/>
  <c r="B8175" i="2"/>
  <c r="B8174" i="2"/>
  <c r="B8173" i="2"/>
  <c r="B8172" i="2"/>
  <c r="B8171" i="2"/>
  <c r="B8170" i="2"/>
  <c r="B8169" i="2"/>
  <c r="B8168" i="2"/>
  <c r="B8167" i="2"/>
  <c r="B8166" i="2"/>
  <c r="B8165" i="2"/>
  <c r="B8164" i="2"/>
  <c r="B8163" i="2"/>
  <c r="B8162" i="2"/>
  <c r="B8161" i="2"/>
  <c r="B8160" i="2"/>
  <c r="B8159" i="2"/>
  <c r="B8158" i="2"/>
  <c r="B8157" i="2"/>
  <c r="B8156" i="2"/>
  <c r="B8155" i="2"/>
  <c r="B8154" i="2"/>
  <c r="B8153" i="2"/>
  <c r="B8152" i="2"/>
  <c r="B8151" i="2"/>
  <c r="B8150" i="2"/>
  <c r="B8149" i="2"/>
  <c r="B8148" i="2"/>
  <c r="B8147" i="2"/>
  <c r="B8146" i="2"/>
  <c r="B8145" i="2"/>
  <c r="B8144" i="2"/>
  <c r="B8143" i="2"/>
  <c r="B8142" i="2"/>
  <c r="B8141" i="2"/>
  <c r="B8140" i="2"/>
  <c r="B8139" i="2"/>
  <c r="B8138" i="2"/>
  <c r="B8137" i="2"/>
  <c r="B8136" i="2"/>
  <c r="B8135" i="2"/>
  <c r="B8134" i="2"/>
  <c r="B8133" i="2"/>
  <c r="B8132" i="2"/>
  <c r="B8131" i="2"/>
  <c r="B8130" i="2"/>
  <c r="B8129" i="2"/>
  <c r="B8128" i="2"/>
  <c r="B8127" i="2"/>
  <c r="B8126" i="2"/>
  <c r="B8125" i="2"/>
  <c r="B8124" i="2"/>
  <c r="B8123" i="2"/>
  <c r="B8122" i="2"/>
  <c r="B8121" i="2"/>
  <c r="B8120" i="2"/>
  <c r="B8119" i="2"/>
  <c r="B8118" i="2"/>
  <c r="B8117" i="2"/>
  <c r="B8116" i="2"/>
  <c r="B8115" i="2"/>
  <c r="B8114" i="2"/>
  <c r="B8113" i="2"/>
  <c r="B8112" i="2"/>
  <c r="B8111" i="2"/>
  <c r="B8110" i="2"/>
  <c r="B8109" i="2"/>
  <c r="B8108" i="2"/>
  <c r="B8107" i="2"/>
  <c r="B8106" i="2"/>
  <c r="B8105" i="2"/>
  <c r="B8104" i="2"/>
  <c r="B8103" i="2"/>
  <c r="B8102" i="2"/>
  <c r="B8101" i="2"/>
  <c r="B8100" i="2"/>
  <c r="B8099" i="2"/>
  <c r="B8098" i="2"/>
  <c r="B8097" i="2"/>
  <c r="B8096" i="2"/>
  <c r="B8095" i="2"/>
  <c r="B8094" i="2"/>
  <c r="B8093" i="2"/>
  <c r="B8092" i="2"/>
  <c r="B8091" i="2"/>
  <c r="B8090" i="2"/>
  <c r="B8089" i="2"/>
  <c r="B8088" i="2"/>
  <c r="B8087" i="2"/>
  <c r="B8086" i="2"/>
  <c r="B8085" i="2"/>
  <c r="B8084" i="2"/>
  <c r="B8083" i="2"/>
  <c r="B8082" i="2"/>
  <c r="B8081" i="2"/>
  <c r="B8080" i="2"/>
  <c r="B8079" i="2"/>
  <c r="B8078" i="2"/>
  <c r="B8077" i="2"/>
  <c r="B8076" i="2"/>
  <c r="B8075" i="2"/>
  <c r="B8074" i="2"/>
  <c r="B8073" i="2"/>
  <c r="B8072" i="2"/>
  <c r="B8071" i="2"/>
  <c r="B8070" i="2"/>
  <c r="B8069" i="2"/>
  <c r="B8068" i="2"/>
  <c r="B8067" i="2"/>
  <c r="B8066" i="2"/>
  <c r="B8065" i="2"/>
  <c r="B8064" i="2"/>
  <c r="B8063" i="2"/>
  <c r="B8062" i="2"/>
  <c r="B8061" i="2"/>
  <c r="B8060" i="2"/>
  <c r="B8059" i="2"/>
  <c r="B8058" i="2"/>
  <c r="B8057" i="2"/>
  <c r="B8056" i="2"/>
  <c r="B8055" i="2"/>
  <c r="B8054" i="2"/>
  <c r="B8053" i="2"/>
  <c r="B8052" i="2"/>
  <c r="B8051" i="2"/>
  <c r="B8050" i="2"/>
  <c r="B8049" i="2"/>
  <c r="B8048" i="2"/>
  <c r="B8047" i="2"/>
  <c r="B8046" i="2"/>
  <c r="B8045" i="2"/>
  <c r="B8044" i="2"/>
  <c r="B8043" i="2"/>
  <c r="B8042" i="2"/>
  <c r="B8041" i="2"/>
  <c r="B8040" i="2"/>
  <c r="B8039" i="2"/>
  <c r="B8038" i="2"/>
  <c r="B8037" i="2"/>
  <c r="B8036" i="2"/>
  <c r="B8035" i="2"/>
  <c r="B8034" i="2"/>
  <c r="B8033" i="2"/>
  <c r="B8032" i="2"/>
  <c r="B8031" i="2"/>
  <c r="B8030" i="2"/>
  <c r="B8029" i="2"/>
  <c r="B8028" i="2"/>
  <c r="B8027" i="2"/>
  <c r="B8026" i="2"/>
  <c r="B8025" i="2"/>
  <c r="B8024" i="2"/>
  <c r="B8023" i="2"/>
  <c r="B8022" i="2"/>
  <c r="B8021" i="2"/>
  <c r="B8020" i="2"/>
  <c r="B8019" i="2"/>
  <c r="B8018" i="2"/>
  <c r="B8017" i="2"/>
  <c r="B8016" i="2"/>
  <c r="B8015" i="2"/>
  <c r="B8014" i="2"/>
  <c r="B8013" i="2"/>
  <c r="B8012" i="2"/>
  <c r="B8011" i="2"/>
  <c r="B8010" i="2"/>
  <c r="B8009" i="2"/>
  <c r="B8008" i="2"/>
  <c r="B8007" i="2"/>
  <c r="B8006" i="2"/>
  <c r="B8005" i="2"/>
  <c r="B8004" i="2"/>
  <c r="B8003" i="2"/>
  <c r="B8002" i="2"/>
  <c r="B8001" i="2"/>
  <c r="B8000" i="2"/>
  <c r="B7999" i="2"/>
  <c r="B7998" i="2"/>
  <c r="B7997" i="2"/>
  <c r="B7996" i="2"/>
  <c r="B7995" i="2"/>
  <c r="B7994" i="2"/>
  <c r="B7993" i="2"/>
  <c r="B7992" i="2"/>
  <c r="B7991" i="2"/>
  <c r="B7990" i="2"/>
  <c r="B7989" i="2"/>
  <c r="B7988" i="2"/>
  <c r="B7987" i="2"/>
  <c r="B7986" i="2"/>
  <c r="B7985" i="2"/>
  <c r="B7984" i="2"/>
  <c r="B7983" i="2"/>
  <c r="B7982" i="2"/>
  <c r="B7981" i="2"/>
  <c r="B7980" i="2"/>
  <c r="B7979" i="2"/>
  <c r="B7978" i="2"/>
  <c r="B7977" i="2"/>
  <c r="B7976" i="2"/>
  <c r="B7975" i="2"/>
  <c r="B7974" i="2"/>
  <c r="B7973" i="2"/>
  <c r="B7972" i="2"/>
  <c r="B7971" i="2"/>
  <c r="B7970" i="2"/>
  <c r="B7969" i="2"/>
  <c r="B7968" i="2"/>
  <c r="B7967" i="2"/>
  <c r="B7966" i="2"/>
  <c r="B7965" i="2"/>
  <c r="B7964" i="2"/>
  <c r="B7963" i="2"/>
  <c r="B7962" i="2"/>
  <c r="B7961" i="2"/>
  <c r="B7960" i="2"/>
  <c r="B7959" i="2"/>
  <c r="B7958" i="2"/>
  <c r="B7957" i="2"/>
  <c r="B7956" i="2"/>
  <c r="B7955" i="2"/>
  <c r="B7954" i="2"/>
  <c r="B7953" i="2"/>
  <c r="B7952" i="2"/>
  <c r="B7951" i="2"/>
  <c r="B7950" i="2"/>
  <c r="B7949" i="2"/>
  <c r="B7948" i="2"/>
  <c r="B7947" i="2"/>
  <c r="B7946" i="2"/>
  <c r="B7945" i="2"/>
  <c r="B7944" i="2"/>
  <c r="B7943" i="2"/>
  <c r="B7942" i="2"/>
  <c r="B7941" i="2"/>
  <c r="B7940" i="2"/>
  <c r="B7939" i="2"/>
  <c r="B7938" i="2"/>
  <c r="B7937" i="2"/>
  <c r="B7936" i="2"/>
  <c r="B7935" i="2"/>
  <c r="B7934" i="2"/>
  <c r="B7933" i="2"/>
  <c r="B7932" i="2"/>
  <c r="B7931" i="2"/>
  <c r="B7930" i="2"/>
  <c r="B7929" i="2"/>
  <c r="B7928" i="2"/>
  <c r="B7927" i="2"/>
  <c r="B7926" i="2"/>
  <c r="B7925" i="2"/>
  <c r="B7924" i="2"/>
  <c r="B7923" i="2"/>
  <c r="B7922" i="2"/>
  <c r="B7921" i="2"/>
  <c r="B7920" i="2"/>
  <c r="B7919" i="2"/>
  <c r="B7918" i="2"/>
  <c r="B7917" i="2"/>
  <c r="B7916" i="2"/>
  <c r="B7915" i="2"/>
  <c r="B7914" i="2"/>
  <c r="B7913" i="2"/>
  <c r="B7912" i="2"/>
  <c r="B7911" i="2"/>
  <c r="B7910" i="2"/>
  <c r="B7909" i="2"/>
  <c r="B7908" i="2"/>
  <c r="B7907" i="2"/>
  <c r="B7906" i="2"/>
  <c r="B7905" i="2"/>
  <c r="B7904" i="2"/>
  <c r="B7903" i="2"/>
  <c r="B7902" i="2"/>
  <c r="B7901" i="2"/>
  <c r="B7900" i="2"/>
  <c r="B7899" i="2"/>
  <c r="B7898" i="2"/>
  <c r="B7897" i="2"/>
  <c r="B7896" i="2"/>
  <c r="B7895" i="2"/>
  <c r="B7894" i="2"/>
  <c r="B7893" i="2"/>
  <c r="B7892" i="2"/>
  <c r="B7891" i="2"/>
  <c r="B7890" i="2"/>
  <c r="B7889" i="2"/>
  <c r="B7888" i="2"/>
  <c r="B7887" i="2"/>
  <c r="B7886" i="2"/>
  <c r="B7885" i="2"/>
  <c r="B7884" i="2"/>
  <c r="B7883" i="2"/>
  <c r="B7882" i="2"/>
  <c r="B7881" i="2"/>
  <c r="B7880" i="2"/>
  <c r="B7879" i="2"/>
  <c r="B7878" i="2"/>
  <c r="B7877" i="2"/>
  <c r="B7876" i="2"/>
  <c r="B7875" i="2"/>
  <c r="B7874" i="2"/>
  <c r="B7873" i="2"/>
  <c r="B7872" i="2"/>
  <c r="B7871" i="2"/>
  <c r="B7870" i="2"/>
  <c r="B7869" i="2"/>
  <c r="B7868" i="2"/>
  <c r="B7867" i="2"/>
  <c r="B7866" i="2"/>
  <c r="B7865" i="2"/>
  <c r="B7864" i="2"/>
  <c r="B7863" i="2"/>
  <c r="B7862" i="2"/>
  <c r="B7861" i="2"/>
  <c r="B7860" i="2"/>
  <c r="B7859" i="2"/>
  <c r="B7858" i="2"/>
  <c r="B7857" i="2"/>
  <c r="B7856" i="2"/>
  <c r="B7855" i="2"/>
  <c r="B7854" i="2"/>
  <c r="B7853" i="2"/>
  <c r="B7852" i="2"/>
  <c r="B7851" i="2"/>
  <c r="B7850" i="2"/>
  <c r="B7849" i="2"/>
  <c r="B7848" i="2"/>
  <c r="B7847" i="2"/>
  <c r="B7846" i="2"/>
  <c r="B7845" i="2"/>
  <c r="B7844" i="2"/>
  <c r="B7843" i="2"/>
  <c r="B7842" i="2"/>
  <c r="B7841" i="2"/>
  <c r="B7840" i="2"/>
  <c r="B7839" i="2"/>
  <c r="B7838" i="2"/>
  <c r="B7837" i="2"/>
  <c r="B7836" i="2"/>
  <c r="B7835" i="2"/>
  <c r="B7834" i="2"/>
  <c r="B7833" i="2"/>
  <c r="B7832" i="2"/>
  <c r="B7831" i="2"/>
  <c r="B7830" i="2"/>
  <c r="B7829" i="2"/>
  <c r="B7828" i="2"/>
  <c r="B7827" i="2"/>
  <c r="B7826" i="2"/>
  <c r="B7825" i="2"/>
  <c r="B7824" i="2"/>
  <c r="B7823" i="2"/>
  <c r="B7822" i="2"/>
  <c r="B7821" i="2"/>
  <c r="B7820" i="2"/>
  <c r="B7819" i="2"/>
  <c r="B7818" i="2"/>
  <c r="B7817" i="2"/>
  <c r="B7816" i="2"/>
  <c r="B7815" i="2"/>
  <c r="B7814" i="2"/>
  <c r="B7813" i="2"/>
  <c r="B7812" i="2"/>
  <c r="B7811" i="2"/>
  <c r="B7810" i="2"/>
  <c r="B7809" i="2"/>
  <c r="B7808" i="2"/>
  <c r="B7807" i="2"/>
  <c r="B7806" i="2"/>
  <c r="B7805" i="2"/>
  <c r="B7804" i="2"/>
  <c r="B7803" i="2"/>
  <c r="B7802" i="2"/>
  <c r="B7801" i="2"/>
  <c r="B7800" i="2"/>
  <c r="B7799" i="2"/>
  <c r="B7798" i="2"/>
  <c r="B7797" i="2"/>
  <c r="B7796" i="2"/>
  <c r="B7795" i="2"/>
  <c r="B7794" i="2"/>
  <c r="B7793" i="2"/>
  <c r="B7792" i="2"/>
  <c r="B7791" i="2"/>
  <c r="B7790" i="2"/>
  <c r="B7789" i="2"/>
  <c r="B7788" i="2"/>
  <c r="B7787" i="2"/>
  <c r="B7786" i="2"/>
  <c r="B7785" i="2"/>
  <c r="B7784" i="2"/>
  <c r="B7783" i="2"/>
  <c r="B7782" i="2"/>
  <c r="B7781" i="2"/>
  <c r="B7780" i="2"/>
  <c r="B7779" i="2"/>
  <c r="B7778" i="2"/>
  <c r="B7777" i="2"/>
  <c r="B7776" i="2"/>
  <c r="B7775" i="2"/>
  <c r="B7774" i="2"/>
  <c r="B7773" i="2"/>
  <c r="B7772" i="2"/>
  <c r="B7771" i="2"/>
  <c r="B7770" i="2"/>
  <c r="B7769" i="2"/>
  <c r="B7768" i="2"/>
  <c r="B7767" i="2"/>
  <c r="B7766" i="2"/>
  <c r="B7765" i="2"/>
  <c r="B7764" i="2"/>
  <c r="B7763" i="2"/>
  <c r="B7762" i="2"/>
  <c r="B7761" i="2"/>
  <c r="B7760" i="2"/>
  <c r="B7759" i="2"/>
  <c r="B7758" i="2"/>
  <c r="B7757" i="2"/>
  <c r="B7756" i="2"/>
  <c r="B7755" i="2"/>
  <c r="B7754" i="2"/>
  <c r="B7753" i="2"/>
  <c r="B7752" i="2"/>
  <c r="B7751" i="2"/>
  <c r="B7750" i="2"/>
  <c r="B7749" i="2"/>
  <c r="B7748" i="2"/>
  <c r="B7747" i="2"/>
  <c r="B7746" i="2"/>
  <c r="B7745" i="2"/>
  <c r="B7744" i="2"/>
  <c r="B7743" i="2"/>
  <c r="B7742" i="2"/>
  <c r="B7741" i="2"/>
  <c r="B7740" i="2"/>
  <c r="B7739" i="2"/>
  <c r="B7738" i="2"/>
  <c r="B7737" i="2"/>
  <c r="B7736" i="2"/>
  <c r="B7735" i="2"/>
  <c r="B7734" i="2"/>
  <c r="B7733" i="2"/>
  <c r="B7732" i="2"/>
  <c r="B7731" i="2"/>
  <c r="B7730" i="2"/>
  <c r="B7729" i="2"/>
  <c r="B7728" i="2"/>
  <c r="B7727" i="2"/>
  <c r="B7726" i="2"/>
  <c r="B7725" i="2"/>
  <c r="B7724" i="2"/>
  <c r="B7723" i="2"/>
  <c r="B7722" i="2"/>
  <c r="B7721" i="2"/>
  <c r="B7720" i="2"/>
  <c r="B7719" i="2"/>
  <c r="B7718" i="2"/>
  <c r="B7717" i="2"/>
  <c r="B7716" i="2"/>
  <c r="B7715" i="2"/>
  <c r="B7714" i="2"/>
  <c r="B7713" i="2"/>
  <c r="B7712" i="2"/>
  <c r="B7711" i="2"/>
  <c r="B7710" i="2"/>
  <c r="B7709" i="2"/>
  <c r="B7708" i="2"/>
  <c r="B7707" i="2"/>
  <c r="B7706" i="2"/>
  <c r="B7705" i="2"/>
  <c r="B7704" i="2"/>
  <c r="B7703" i="2"/>
  <c r="B7702" i="2"/>
  <c r="B7701" i="2"/>
  <c r="B7700" i="2"/>
  <c r="B7699" i="2"/>
  <c r="B7698" i="2"/>
  <c r="B7697" i="2"/>
  <c r="B7696" i="2"/>
  <c r="B7695" i="2"/>
  <c r="B7694" i="2"/>
  <c r="B7693" i="2"/>
  <c r="B7692" i="2"/>
  <c r="B7691" i="2"/>
  <c r="B7690" i="2"/>
  <c r="B7689" i="2"/>
  <c r="B7688" i="2"/>
  <c r="B7687" i="2"/>
  <c r="B7686" i="2"/>
  <c r="B7685" i="2"/>
  <c r="B7684" i="2"/>
  <c r="B7683" i="2"/>
  <c r="B7682" i="2"/>
  <c r="B7681" i="2"/>
  <c r="B7680" i="2"/>
  <c r="B7679" i="2"/>
  <c r="B7678" i="2"/>
  <c r="B7677" i="2"/>
  <c r="B7676" i="2"/>
  <c r="B7675" i="2"/>
  <c r="B7674" i="2"/>
  <c r="B7673" i="2"/>
  <c r="B7672" i="2"/>
  <c r="B7671" i="2"/>
  <c r="B7670" i="2"/>
  <c r="B7669" i="2"/>
  <c r="B7668" i="2"/>
  <c r="B7667" i="2"/>
  <c r="B7666" i="2"/>
  <c r="B7665" i="2"/>
  <c r="B7664" i="2"/>
  <c r="B7663" i="2"/>
  <c r="B7662" i="2"/>
  <c r="B7661" i="2"/>
  <c r="B7660" i="2"/>
  <c r="B7659" i="2"/>
  <c r="B7658" i="2"/>
  <c r="B7657" i="2"/>
  <c r="B7656" i="2"/>
  <c r="B7655" i="2"/>
  <c r="B7654" i="2"/>
  <c r="B7653" i="2"/>
  <c r="B7652" i="2"/>
  <c r="B7651" i="2"/>
  <c r="B7650" i="2"/>
  <c r="B7649" i="2"/>
  <c r="B7648" i="2"/>
  <c r="B7647" i="2"/>
  <c r="B7646" i="2"/>
  <c r="B7645" i="2"/>
  <c r="B7644" i="2"/>
  <c r="B7643" i="2"/>
  <c r="B7642" i="2"/>
  <c r="B7641" i="2"/>
  <c r="B7640" i="2"/>
  <c r="B7639" i="2"/>
  <c r="B7638" i="2"/>
  <c r="B7637" i="2"/>
  <c r="B7636" i="2"/>
  <c r="B7635" i="2"/>
  <c r="B7634" i="2"/>
  <c r="B7633" i="2"/>
  <c r="B7632" i="2"/>
  <c r="B7631" i="2"/>
  <c r="B7630" i="2"/>
  <c r="B7629" i="2"/>
  <c r="B7628" i="2"/>
  <c r="B7627" i="2"/>
  <c r="B7626" i="2"/>
  <c r="B7625" i="2"/>
  <c r="B7624" i="2"/>
  <c r="B7623" i="2"/>
  <c r="B7622" i="2"/>
  <c r="B7621" i="2"/>
  <c r="B7620" i="2"/>
  <c r="B7619" i="2"/>
  <c r="B7618" i="2"/>
  <c r="B7617" i="2"/>
  <c r="B7616" i="2"/>
  <c r="B7615" i="2"/>
  <c r="B7614" i="2"/>
  <c r="B7613" i="2"/>
  <c r="B7612" i="2"/>
  <c r="B7611" i="2"/>
  <c r="B7610" i="2"/>
  <c r="B7609" i="2"/>
  <c r="B7608" i="2"/>
  <c r="B7607" i="2"/>
  <c r="B7606" i="2"/>
  <c r="B7605" i="2"/>
  <c r="B7604" i="2"/>
  <c r="B7603" i="2"/>
  <c r="B7602" i="2"/>
  <c r="B7601" i="2"/>
  <c r="B7600" i="2"/>
  <c r="B7599" i="2"/>
  <c r="B7598" i="2"/>
  <c r="B7597" i="2"/>
  <c r="B7596" i="2"/>
  <c r="B7595" i="2"/>
  <c r="B7594" i="2"/>
  <c r="B7593" i="2"/>
  <c r="B7592" i="2"/>
  <c r="B7591" i="2"/>
  <c r="B7590" i="2"/>
  <c r="B7589" i="2"/>
  <c r="B7588" i="2"/>
  <c r="B7587" i="2"/>
  <c r="B7586" i="2"/>
  <c r="B7585" i="2"/>
  <c r="B7584" i="2"/>
  <c r="B7583" i="2"/>
  <c r="B7582" i="2"/>
  <c r="B7581" i="2"/>
  <c r="B7580" i="2"/>
  <c r="B7579" i="2"/>
  <c r="B7578" i="2"/>
  <c r="B7577" i="2"/>
  <c r="B7576" i="2"/>
  <c r="B7575" i="2"/>
  <c r="B7574" i="2"/>
  <c r="B7573" i="2"/>
  <c r="B7572" i="2"/>
  <c r="B7571" i="2"/>
  <c r="B7570" i="2"/>
  <c r="B7569" i="2"/>
  <c r="B7568" i="2"/>
  <c r="B7567" i="2"/>
  <c r="B7566" i="2"/>
  <c r="B7565" i="2"/>
  <c r="B7564" i="2"/>
  <c r="B7563" i="2"/>
  <c r="B7562" i="2"/>
  <c r="B7561" i="2"/>
  <c r="B7560" i="2"/>
  <c r="B7559" i="2"/>
  <c r="B7558" i="2"/>
  <c r="B7557" i="2"/>
  <c r="B7556" i="2"/>
  <c r="B7555" i="2"/>
  <c r="B7554" i="2"/>
  <c r="B7553" i="2"/>
  <c r="B7552" i="2"/>
  <c r="B7551" i="2"/>
  <c r="B7550" i="2"/>
  <c r="B7549" i="2"/>
  <c r="B7548" i="2"/>
  <c r="B7547" i="2"/>
  <c r="B7546" i="2"/>
  <c r="B7545" i="2"/>
  <c r="B7544" i="2"/>
  <c r="B7543" i="2"/>
  <c r="B7542" i="2"/>
  <c r="B7541" i="2"/>
  <c r="B7540" i="2"/>
  <c r="B7539" i="2"/>
  <c r="B7538" i="2"/>
  <c r="B7537" i="2"/>
  <c r="B7536" i="2"/>
  <c r="B7535" i="2"/>
  <c r="B7534" i="2"/>
  <c r="B7533" i="2"/>
  <c r="B7532" i="2"/>
  <c r="B7531" i="2"/>
  <c r="B7530" i="2"/>
  <c r="B7529" i="2"/>
  <c r="B7528" i="2"/>
  <c r="B7527" i="2"/>
  <c r="B7526" i="2"/>
  <c r="B7525" i="2"/>
  <c r="B7524" i="2"/>
  <c r="B7523" i="2"/>
  <c r="B7522" i="2"/>
  <c r="B7521" i="2"/>
  <c r="B7520" i="2"/>
  <c r="B7519" i="2"/>
  <c r="B7518" i="2"/>
  <c r="B7517" i="2"/>
  <c r="B7516" i="2"/>
  <c r="B7515" i="2"/>
  <c r="B7514" i="2"/>
  <c r="B7513" i="2"/>
  <c r="B7512" i="2"/>
  <c r="B7511" i="2"/>
  <c r="B7510" i="2"/>
  <c r="B7509" i="2"/>
  <c r="B7508" i="2"/>
  <c r="B7507" i="2"/>
  <c r="B7506" i="2"/>
  <c r="B7505" i="2"/>
  <c r="B7504" i="2"/>
  <c r="B7503" i="2"/>
  <c r="B7502" i="2"/>
  <c r="B7501" i="2"/>
  <c r="B7500" i="2"/>
  <c r="B7499" i="2"/>
  <c r="B7498" i="2"/>
  <c r="B7497" i="2"/>
  <c r="B7496" i="2"/>
  <c r="B7495" i="2"/>
  <c r="B7494" i="2"/>
  <c r="B7493" i="2"/>
  <c r="B7492" i="2"/>
  <c r="B7491" i="2"/>
  <c r="B7490" i="2"/>
  <c r="B7489" i="2"/>
  <c r="B7488" i="2"/>
  <c r="B7487" i="2"/>
  <c r="B7486" i="2"/>
  <c r="B7485" i="2"/>
  <c r="B7484" i="2"/>
  <c r="B7483" i="2"/>
  <c r="B7482" i="2"/>
  <c r="B7481" i="2"/>
  <c r="B7480" i="2"/>
  <c r="B7479" i="2"/>
  <c r="B7478" i="2"/>
  <c r="B7477" i="2"/>
  <c r="B7476" i="2"/>
  <c r="B7475" i="2"/>
  <c r="B7474" i="2"/>
  <c r="B7473" i="2"/>
  <c r="B7472" i="2"/>
  <c r="B7471" i="2"/>
  <c r="B7470" i="2"/>
  <c r="B7469" i="2"/>
  <c r="B7468" i="2"/>
  <c r="B7467" i="2"/>
  <c r="B7466" i="2"/>
  <c r="B7465" i="2"/>
  <c r="B7464" i="2"/>
  <c r="B7463" i="2"/>
  <c r="B7462" i="2"/>
  <c r="B7461" i="2"/>
  <c r="B7460" i="2"/>
  <c r="B7459" i="2"/>
  <c r="B7458" i="2"/>
  <c r="B7457" i="2"/>
  <c r="B7456" i="2"/>
  <c r="B7455" i="2"/>
  <c r="B7454" i="2"/>
  <c r="B7453" i="2"/>
  <c r="B7452" i="2"/>
  <c r="B7451" i="2"/>
  <c r="B7450" i="2"/>
  <c r="B7449" i="2"/>
  <c r="B7448" i="2"/>
  <c r="B7447" i="2"/>
  <c r="B7446" i="2"/>
  <c r="B7445" i="2"/>
  <c r="B7444" i="2"/>
  <c r="B7443" i="2"/>
  <c r="B7442" i="2"/>
  <c r="B7441" i="2"/>
  <c r="B7440" i="2"/>
  <c r="B7439" i="2"/>
  <c r="B7438" i="2"/>
  <c r="B7437" i="2"/>
  <c r="B7436" i="2"/>
  <c r="B7435" i="2"/>
  <c r="B7434" i="2"/>
  <c r="B7433" i="2"/>
  <c r="B7432" i="2"/>
  <c r="B7431" i="2"/>
  <c r="B7430" i="2"/>
  <c r="B7429" i="2"/>
  <c r="B7428" i="2"/>
  <c r="B7427" i="2"/>
  <c r="B7426" i="2"/>
  <c r="B7425" i="2"/>
  <c r="B7424" i="2"/>
  <c r="B7423" i="2"/>
  <c r="B7422" i="2"/>
  <c r="B7421" i="2"/>
  <c r="B7420" i="2"/>
  <c r="B7419" i="2"/>
  <c r="B7418" i="2"/>
  <c r="B7417" i="2"/>
  <c r="B7416" i="2"/>
  <c r="B7415" i="2"/>
  <c r="B7414" i="2"/>
  <c r="B7413" i="2"/>
  <c r="B7412" i="2"/>
  <c r="B7411" i="2"/>
  <c r="B7410" i="2"/>
  <c r="B7409" i="2"/>
  <c r="B7408" i="2"/>
  <c r="B7407" i="2"/>
  <c r="B7406" i="2"/>
  <c r="B7405" i="2"/>
  <c r="B7404" i="2"/>
  <c r="B7403" i="2"/>
  <c r="B7402" i="2"/>
  <c r="B7401" i="2"/>
  <c r="B7400" i="2"/>
  <c r="B7399" i="2"/>
  <c r="B7398" i="2"/>
  <c r="B7397" i="2"/>
  <c r="B7396" i="2"/>
  <c r="B7395" i="2"/>
  <c r="B7394" i="2"/>
  <c r="B7393" i="2"/>
  <c r="B7392" i="2"/>
  <c r="B7391" i="2"/>
  <c r="B7390" i="2"/>
  <c r="B7389" i="2"/>
  <c r="B7388" i="2"/>
  <c r="B7387" i="2"/>
  <c r="B7386" i="2"/>
  <c r="B7385" i="2"/>
  <c r="B7384" i="2"/>
  <c r="B7383" i="2"/>
  <c r="B7382" i="2"/>
  <c r="B7381" i="2"/>
  <c r="B7380" i="2"/>
  <c r="B7379" i="2"/>
  <c r="B7378" i="2"/>
  <c r="B7377" i="2"/>
  <c r="B7376" i="2"/>
  <c r="B7375" i="2"/>
  <c r="B7374" i="2"/>
  <c r="B7373" i="2"/>
  <c r="B7372" i="2"/>
  <c r="B7371" i="2"/>
  <c r="B7370" i="2"/>
  <c r="B7369" i="2"/>
  <c r="B7368" i="2"/>
  <c r="B7367" i="2"/>
  <c r="B7366" i="2"/>
  <c r="B7365" i="2"/>
  <c r="B7364" i="2"/>
  <c r="B7363" i="2"/>
  <c r="B7362" i="2"/>
  <c r="B7361" i="2"/>
  <c r="B7360" i="2"/>
  <c r="B7359" i="2"/>
  <c r="B7358" i="2"/>
  <c r="B7357" i="2"/>
  <c r="B7356" i="2"/>
  <c r="B7355" i="2"/>
  <c r="B7354" i="2"/>
  <c r="B7353" i="2"/>
  <c r="B7352" i="2"/>
  <c r="B7351" i="2"/>
  <c r="B7350" i="2"/>
  <c r="B7349" i="2"/>
  <c r="B7348" i="2"/>
  <c r="B7347" i="2"/>
  <c r="B7346" i="2"/>
  <c r="B7345" i="2"/>
  <c r="B7344" i="2"/>
  <c r="B7343" i="2"/>
  <c r="B7342" i="2"/>
  <c r="B7341" i="2"/>
  <c r="B7340" i="2"/>
  <c r="B7339" i="2"/>
  <c r="B7338" i="2"/>
  <c r="B7337" i="2"/>
  <c r="B7336" i="2"/>
  <c r="B7335" i="2"/>
  <c r="B7334" i="2"/>
  <c r="B7333" i="2"/>
  <c r="B7332" i="2"/>
  <c r="B7331" i="2"/>
  <c r="B7330" i="2"/>
  <c r="B7329" i="2"/>
  <c r="B7328" i="2"/>
  <c r="B7327" i="2"/>
  <c r="B7326" i="2"/>
  <c r="B7325" i="2"/>
  <c r="B7324" i="2"/>
  <c r="B7323" i="2"/>
  <c r="B7322" i="2"/>
  <c r="B7321" i="2"/>
  <c r="B7320" i="2"/>
  <c r="B7319" i="2"/>
  <c r="B7318" i="2"/>
  <c r="B7317" i="2"/>
  <c r="B7316" i="2"/>
  <c r="B7315" i="2"/>
  <c r="B7314" i="2"/>
  <c r="B7313" i="2"/>
  <c r="B7312" i="2"/>
  <c r="B7311" i="2"/>
  <c r="B7310" i="2"/>
  <c r="B7309" i="2"/>
  <c r="B7308" i="2"/>
  <c r="B7307" i="2"/>
  <c r="B7306" i="2"/>
  <c r="B7305" i="2"/>
  <c r="B7304" i="2"/>
  <c r="B7303" i="2"/>
  <c r="B7302" i="2"/>
  <c r="B7301" i="2"/>
  <c r="B7300" i="2"/>
  <c r="B7299" i="2"/>
  <c r="B7298" i="2"/>
  <c r="B7297" i="2"/>
  <c r="B7296" i="2"/>
  <c r="B7295" i="2"/>
  <c r="B7294" i="2"/>
  <c r="B7293" i="2"/>
  <c r="B7292" i="2"/>
  <c r="B7291" i="2"/>
  <c r="B7290" i="2"/>
  <c r="B7289" i="2"/>
  <c r="B7288" i="2"/>
  <c r="B7287" i="2"/>
  <c r="B7286" i="2"/>
  <c r="B7285" i="2"/>
  <c r="B7284" i="2"/>
  <c r="B7283" i="2"/>
  <c r="B7282" i="2"/>
  <c r="B7281" i="2"/>
  <c r="B7280" i="2"/>
  <c r="B7279" i="2"/>
  <c r="B7278" i="2"/>
  <c r="B7277" i="2"/>
  <c r="B7276" i="2"/>
  <c r="B7275" i="2"/>
  <c r="B7274" i="2"/>
  <c r="B7273" i="2"/>
  <c r="B7272" i="2"/>
  <c r="B7271" i="2"/>
  <c r="B7270" i="2"/>
  <c r="B7269" i="2"/>
  <c r="B7268" i="2"/>
  <c r="B7267" i="2"/>
  <c r="B7266" i="2"/>
  <c r="B7265" i="2"/>
  <c r="B7264" i="2"/>
  <c r="B7263" i="2"/>
  <c r="B7262" i="2"/>
  <c r="B7261" i="2"/>
  <c r="B7260" i="2"/>
  <c r="B7259" i="2"/>
  <c r="B7258" i="2"/>
  <c r="B7257" i="2"/>
  <c r="B7256" i="2"/>
  <c r="B7255" i="2"/>
  <c r="B7254" i="2"/>
  <c r="B7253" i="2"/>
  <c r="B7252" i="2"/>
  <c r="B7251" i="2"/>
  <c r="B7250" i="2"/>
  <c r="B7249" i="2"/>
  <c r="B7248" i="2"/>
  <c r="B7247" i="2"/>
  <c r="B7246" i="2"/>
  <c r="B7245" i="2"/>
  <c r="B7244" i="2"/>
  <c r="B7243" i="2"/>
  <c r="B7242" i="2"/>
  <c r="B7241" i="2"/>
  <c r="B7240" i="2"/>
  <c r="B7239" i="2"/>
  <c r="B7238" i="2"/>
  <c r="B7237" i="2"/>
  <c r="B7236" i="2"/>
  <c r="B7235" i="2"/>
  <c r="B7234" i="2"/>
  <c r="B7233" i="2"/>
  <c r="B7232" i="2"/>
  <c r="B7231" i="2"/>
  <c r="B7230" i="2"/>
  <c r="B7229" i="2"/>
  <c r="B7228" i="2"/>
  <c r="B7227" i="2"/>
  <c r="B7226" i="2"/>
  <c r="B7225" i="2"/>
  <c r="B7224" i="2"/>
  <c r="B7223" i="2"/>
  <c r="B7222" i="2"/>
  <c r="B7221" i="2"/>
  <c r="B7220" i="2"/>
  <c r="B7219" i="2"/>
  <c r="B7218" i="2"/>
  <c r="B7217" i="2"/>
  <c r="B7216" i="2"/>
  <c r="B7215" i="2"/>
  <c r="B7214" i="2"/>
  <c r="B7213" i="2"/>
  <c r="B7212" i="2"/>
  <c r="B7211" i="2"/>
  <c r="B7210" i="2"/>
  <c r="B7209" i="2"/>
  <c r="B7208" i="2"/>
  <c r="B7207" i="2"/>
  <c r="B7206" i="2"/>
  <c r="B7205" i="2"/>
  <c r="B7204" i="2"/>
  <c r="B7203" i="2"/>
  <c r="B7202" i="2"/>
  <c r="B7201" i="2"/>
  <c r="B7200" i="2"/>
  <c r="B7199" i="2"/>
  <c r="B7198" i="2"/>
  <c r="B7197" i="2"/>
  <c r="B7196" i="2"/>
  <c r="B7195" i="2"/>
  <c r="B7194" i="2"/>
  <c r="B7193" i="2"/>
  <c r="B7192" i="2"/>
  <c r="B7191" i="2"/>
  <c r="B7190" i="2"/>
  <c r="B7189" i="2"/>
  <c r="B7188" i="2"/>
  <c r="B7187" i="2"/>
  <c r="B7186" i="2"/>
  <c r="B7185" i="2"/>
  <c r="B7184" i="2"/>
  <c r="B7183" i="2"/>
  <c r="B7182" i="2"/>
  <c r="B7181" i="2"/>
  <c r="B7180" i="2"/>
  <c r="B7179" i="2"/>
  <c r="B7178" i="2"/>
  <c r="B7177" i="2"/>
  <c r="B7176" i="2"/>
  <c r="B7175" i="2"/>
  <c r="B7174" i="2"/>
  <c r="B7173" i="2"/>
  <c r="B7172" i="2"/>
  <c r="B7171" i="2"/>
  <c r="B7170" i="2"/>
  <c r="B7169" i="2"/>
  <c r="B7168" i="2"/>
  <c r="B7167" i="2"/>
  <c r="B7166" i="2"/>
  <c r="B7165" i="2"/>
  <c r="B7164" i="2"/>
  <c r="B7163" i="2"/>
  <c r="B7162" i="2"/>
  <c r="B7161" i="2"/>
  <c r="B7160" i="2"/>
  <c r="B7159" i="2"/>
  <c r="B7158" i="2"/>
  <c r="B7157" i="2"/>
  <c r="B7156" i="2"/>
  <c r="B7155" i="2"/>
  <c r="B7154" i="2"/>
  <c r="B7153" i="2"/>
  <c r="B7152" i="2"/>
  <c r="B7151" i="2"/>
  <c r="B7150" i="2"/>
  <c r="B7149" i="2"/>
  <c r="B7148" i="2"/>
  <c r="B7147" i="2"/>
  <c r="B7146" i="2"/>
  <c r="B7145" i="2"/>
  <c r="B7144" i="2"/>
  <c r="B7143" i="2"/>
  <c r="B7142" i="2"/>
  <c r="B7141" i="2"/>
  <c r="B7140" i="2"/>
  <c r="B7139" i="2"/>
  <c r="B7138" i="2"/>
  <c r="B7137" i="2"/>
  <c r="B7136" i="2"/>
  <c r="B7135" i="2"/>
  <c r="B7134" i="2"/>
  <c r="B7133" i="2"/>
  <c r="B7132" i="2"/>
  <c r="B7131" i="2"/>
  <c r="B7130" i="2"/>
  <c r="B7129" i="2"/>
  <c r="B7128" i="2"/>
  <c r="B7127" i="2"/>
  <c r="B7126" i="2"/>
  <c r="B7125" i="2"/>
  <c r="B7124" i="2"/>
  <c r="B7123" i="2"/>
  <c r="B7122" i="2"/>
  <c r="B7121" i="2"/>
  <c r="B7120" i="2"/>
  <c r="B7119" i="2"/>
  <c r="B7118" i="2"/>
  <c r="B7117" i="2"/>
  <c r="B7116" i="2"/>
  <c r="B7115" i="2"/>
  <c r="B7114" i="2"/>
  <c r="B7113" i="2"/>
  <c r="B7112" i="2"/>
  <c r="B7111" i="2"/>
  <c r="B7110" i="2"/>
  <c r="B7109" i="2"/>
  <c r="B7108" i="2"/>
  <c r="B7107" i="2"/>
  <c r="B7106" i="2"/>
  <c r="B7105" i="2"/>
  <c r="B7104" i="2"/>
  <c r="B7103" i="2"/>
  <c r="B7102" i="2"/>
  <c r="B7101" i="2"/>
  <c r="B7100" i="2"/>
  <c r="B7099" i="2"/>
  <c r="B7098" i="2"/>
  <c r="B7097" i="2"/>
  <c r="B7096" i="2"/>
  <c r="B7095" i="2"/>
  <c r="B7094" i="2"/>
  <c r="B7093" i="2"/>
  <c r="B7092" i="2"/>
  <c r="B7091" i="2"/>
  <c r="B7090" i="2"/>
  <c r="B7089" i="2"/>
  <c r="B7088" i="2"/>
  <c r="B7087" i="2"/>
  <c r="B7086" i="2"/>
  <c r="B7085" i="2"/>
  <c r="B7084" i="2"/>
  <c r="B7083" i="2"/>
  <c r="B7082" i="2"/>
  <c r="B7081" i="2"/>
  <c r="B7080" i="2"/>
  <c r="B7079" i="2"/>
  <c r="B7078" i="2"/>
  <c r="B7077" i="2"/>
  <c r="B7076" i="2"/>
  <c r="B7075" i="2"/>
  <c r="B7074" i="2"/>
  <c r="B7073" i="2"/>
  <c r="B7072" i="2"/>
  <c r="B7071" i="2"/>
  <c r="B7070" i="2"/>
  <c r="B7069" i="2"/>
  <c r="B7068" i="2"/>
  <c r="B7067" i="2"/>
  <c r="B7066" i="2"/>
  <c r="B7065" i="2"/>
  <c r="B7064" i="2"/>
  <c r="B7063" i="2"/>
  <c r="B7062" i="2"/>
  <c r="B7061" i="2"/>
  <c r="B7060" i="2"/>
  <c r="B7059" i="2"/>
  <c r="B7058" i="2"/>
  <c r="B7057" i="2"/>
  <c r="B7056" i="2"/>
  <c r="B7055" i="2"/>
  <c r="B7054" i="2"/>
  <c r="B7053" i="2"/>
  <c r="B7052" i="2"/>
  <c r="B7051" i="2"/>
  <c r="B7050" i="2"/>
  <c r="B7049" i="2"/>
  <c r="B7048" i="2"/>
  <c r="B7047" i="2"/>
  <c r="B7046" i="2"/>
  <c r="B7045" i="2"/>
  <c r="B7044" i="2"/>
  <c r="B7043" i="2"/>
  <c r="B7042" i="2"/>
  <c r="B7041" i="2"/>
  <c r="B7040" i="2"/>
  <c r="B7039" i="2"/>
  <c r="B7038" i="2"/>
  <c r="B7037" i="2"/>
  <c r="B7036" i="2"/>
  <c r="B7035" i="2"/>
  <c r="B7034" i="2"/>
  <c r="B7033" i="2"/>
  <c r="B7032" i="2"/>
  <c r="B7031" i="2"/>
  <c r="B7030" i="2"/>
  <c r="B7029" i="2"/>
  <c r="B7028" i="2"/>
  <c r="B7027" i="2"/>
  <c r="B7026" i="2"/>
  <c r="B7025" i="2"/>
  <c r="B7024" i="2"/>
  <c r="B7023" i="2"/>
  <c r="B7022" i="2"/>
  <c r="B7021" i="2"/>
  <c r="B7020" i="2"/>
  <c r="B7019" i="2"/>
  <c r="B7018" i="2"/>
  <c r="B7017" i="2"/>
  <c r="B7016" i="2"/>
  <c r="B7015" i="2"/>
  <c r="B7014" i="2"/>
  <c r="B7013" i="2"/>
  <c r="B7012" i="2"/>
  <c r="B7011" i="2"/>
  <c r="B7010" i="2"/>
  <c r="B7009" i="2"/>
  <c r="B7008" i="2"/>
  <c r="B7007" i="2"/>
  <c r="B7006" i="2"/>
  <c r="B7005" i="2"/>
  <c r="B7004" i="2"/>
  <c r="B7003" i="2"/>
  <c r="B7002" i="2"/>
  <c r="B7001" i="2"/>
  <c r="B7000" i="2"/>
  <c r="B6999" i="2"/>
  <c r="B6998" i="2"/>
  <c r="B6997" i="2"/>
  <c r="B6996" i="2"/>
  <c r="B6995" i="2"/>
  <c r="B6994" i="2"/>
  <c r="B6993" i="2"/>
  <c r="B6992" i="2"/>
  <c r="B6991" i="2"/>
  <c r="B6990" i="2"/>
  <c r="B6989" i="2"/>
  <c r="B6988" i="2"/>
  <c r="B6987" i="2"/>
  <c r="B6986" i="2"/>
  <c r="B6985" i="2"/>
  <c r="B6984" i="2"/>
  <c r="B6983" i="2"/>
  <c r="B6982" i="2"/>
  <c r="B6981" i="2"/>
  <c r="B6980" i="2"/>
  <c r="B6979" i="2"/>
  <c r="B6978" i="2"/>
  <c r="B6977" i="2"/>
  <c r="B6976" i="2"/>
  <c r="B6975" i="2"/>
  <c r="B6974" i="2"/>
  <c r="B6973" i="2"/>
  <c r="B6972" i="2"/>
  <c r="B6971" i="2"/>
  <c r="B6970" i="2"/>
  <c r="B6969" i="2"/>
  <c r="B6968" i="2"/>
  <c r="B6967" i="2"/>
  <c r="B6966" i="2"/>
  <c r="B6965" i="2"/>
  <c r="B6964" i="2"/>
  <c r="B6963" i="2"/>
  <c r="B6962" i="2"/>
  <c r="B6961" i="2"/>
  <c r="B6960" i="2"/>
  <c r="B6959" i="2"/>
  <c r="B6958" i="2"/>
  <c r="B6957" i="2"/>
  <c r="B6956" i="2"/>
  <c r="B6955" i="2"/>
  <c r="B6954" i="2"/>
  <c r="B6953" i="2"/>
  <c r="B6952" i="2"/>
  <c r="B6951" i="2"/>
  <c r="B6950" i="2"/>
  <c r="B6949" i="2"/>
  <c r="B6948" i="2"/>
  <c r="B6947" i="2"/>
  <c r="B6946" i="2"/>
  <c r="B6945" i="2"/>
  <c r="B6944" i="2"/>
  <c r="B6943" i="2"/>
  <c r="B6942" i="2"/>
  <c r="B6941" i="2"/>
  <c r="B6940" i="2"/>
  <c r="B6939" i="2"/>
  <c r="B6938" i="2"/>
  <c r="B6937" i="2"/>
  <c r="B6936" i="2"/>
  <c r="B6935" i="2"/>
  <c r="B6934" i="2"/>
  <c r="B6933" i="2"/>
  <c r="B6932" i="2"/>
  <c r="B6931" i="2"/>
  <c r="B6930" i="2"/>
  <c r="B6929" i="2"/>
  <c r="B6928" i="2"/>
  <c r="B6927" i="2"/>
  <c r="B6926" i="2"/>
  <c r="B6925" i="2"/>
  <c r="B6924" i="2"/>
  <c r="B6923" i="2"/>
  <c r="B6922" i="2"/>
  <c r="B6921" i="2"/>
  <c r="B6920" i="2"/>
  <c r="B6919" i="2"/>
  <c r="B6918" i="2"/>
  <c r="B6917" i="2"/>
  <c r="B6916" i="2"/>
  <c r="B6915" i="2"/>
  <c r="B6914" i="2"/>
  <c r="B6913" i="2"/>
  <c r="B6912" i="2"/>
  <c r="B6911" i="2"/>
  <c r="B6910" i="2"/>
  <c r="B6909" i="2"/>
  <c r="B6908" i="2"/>
  <c r="B6907" i="2"/>
  <c r="B6906" i="2"/>
  <c r="B6905" i="2"/>
  <c r="B6904" i="2"/>
  <c r="B6903" i="2"/>
  <c r="B6902" i="2"/>
  <c r="B6901" i="2"/>
  <c r="B6900" i="2"/>
  <c r="B6899" i="2"/>
  <c r="B6898" i="2"/>
  <c r="B6897" i="2"/>
  <c r="B6896" i="2"/>
  <c r="B6895" i="2"/>
  <c r="B6894" i="2"/>
  <c r="B6893" i="2"/>
  <c r="B6892" i="2"/>
  <c r="B6891" i="2"/>
  <c r="B6890" i="2"/>
  <c r="B6889" i="2"/>
  <c r="B6888" i="2"/>
  <c r="B6887" i="2"/>
  <c r="B6886" i="2"/>
  <c r="B6885" i="2"/>
  <c r="B6884" i="2"/>
  <c r="B6883" i="2"/>
  <c r="B6882" i="2"/>
  <c r="B6881" i="2"/>
  <c r="B6880" i="2"/>
  <c r="B6879" i="2"/>
  <c r="B6878" i="2"/>
  <c r="B6877" i="2"/>
  <c r="B6876" i="2"/>
  <c r="B6875" i="2"/>
  <c r="B6874" i="2"/>
  <c r="B6873" i="2"/>
  <c r="B6872" i="2"/>
  <c r="B6871" i="2"/>
  <c r="B6870" i="2"/>
  <c r="B6869" i="2"/>
  <c r="B6868" i="2"/>
  <c r="B6867" i="2"/>
  <c r="B6866" i="2"/>
  <c r="B6865" i="2"/>
  <c r="B6864" i="2"/>
  <c r="B6863" i="2"/>
  <c r="B6862" i="2"/>
  <c r="B6861" i="2"/>
  <c r="B6860" i="2"/>
  <c r="B6859" i="2"/>
  <c r="B6858" i="2"/>
  <c r="B6857" i="2"/>
  <c r="B6856" i="2"/>
  <c r="B6855" i="2"/>
  <c r="B6854" i="2"/>
  <c r="B6853" i="2"/>
  <c r="B6852" i="2"/>
  <c r="B6851" i="2"/>
  <c r="B6850" i="2"/>
  <c r="B6849" i="2"/>
  <c r="B6848" i="2"/>
  <c r="B6847" i="2"/>
  <c r="B6846" i="2"/>
  <c r="B6845" i="2"/>
  <c r="B6844" i="2"/>
  <c r="B6843" i="2"/>
  <c r="B6842" i="2"/>
  <c r="B6841" i="2"/>
  <c r="B6840" i="2"/>
  <c r="B6839" i="2"/>
  <c r="B6838" i="2"/>
  <c r="B6837" i="2"/>
  <c r="B6836" i="2"/>
  <c r="B6835" i="2"/>
  <c r="B6834" i="2"/>
  <c r="B6833" i="2"/>
  <c r="B6832" i="2"/>
  <c r="B6831" i="2"/>
  <c r="B6830" i="2"/>
  <c r="B6829" i="2"/>
  <c r="B6828" i="2"/>
  <c r="B6827" i="2"/>
  <c r="B6826" i="2"/>
  <c r="B6825" i="2"/>
  <c r="B6824" i="2"/>
  <c r="B6823" i="2"/>
  <c r="B6822" i="2"/>
  <c r="B6821" i="2"/>
  <c r="B6820" i="2"/>
  <c r="B6819" i="2"/>
  <c r="B6818" i="2"/>
  <c r="B6817" i="2"/>
  <c r="B6816" i="2"/>
  <c r="B6815" i="2"/>
  <c r="B6814" i="2"/>
  <c r="B6813" i="2"/>
  <c r="B6812" i="2"/>
  <c r="B6811" i="2"/>
  <c r="B6810" i="2"/>
  <c r="B6809" i="2"/>
  <c r="B6808" i="2"/>
  <c r="B6807" i="2"/>
  <c r="B6806" i="2"/>
  <c r="B6805" i="2"/>
  <c r="B6804" i="2"/>
  <c r="B6803" i="2"/>
  <c r="B6802" i="2"/>
  <c r="B6801" i="2"/>
  <c r="B6800" i="2"/>
  <c r="B6799" i="2"/>
  <c r="B6798" i="2"/>
  <c r="B6797" i="2"/>
  <c r="B6796" i="2"/>
  <c r="B6795" i="2"/>
  <c r="B6794" i="2"/>
  <c r="B6793" i="2"/>
  <c r="B6792" i="2"/>
  <c r="B6791" i="2"/>
  <c r="B6790" i="2"/>
  <c r="B6789" i="2"/>
  <c r="B6788" i="2"/>
  <c r="B6787" i="2"/>
  <c r="B6786" i="2"/>
  <c r="B6785" i="2"/>
  <c r="B6784" i="2"/>
  <c r="B6783" i="2"/>
  <c r="B6782" i="2"/>
  <c r="B6781" i="2"/>
  <c r="B6780" i="2"/>
  <c r="B6779" i="2"/>
  <c r="B6778" i="2"/>
  <c r="B6777" i="2"/>
  <c r="B6776" i="2"/>
  <c r="B6775" i="2"/>
  <c r="B6774" i="2"/>
  <c r="B6773" i="2"/>
  <c r="B6772" i="2"/>
  <c r="B6771" i="2"/>
  <c r="B6770" i="2"/>
  <c r="B6769" i="2"/>
  <c r="B6768" i="2"/>
  <c r="B6767" i="2"/>
  <c r="B6766" i="2"/>
  <c r="B6765" i="2"/>
  <c r="B6764" i="2"/>
  <c r="B6763" i="2"/>
  <c r="B6762" i="2"/>
  <c r="B6761" i="2"/>
  <c r="B6760" i="2"/>
  <c r="B6759" i="2"/>
  <c r="B6758" i="2"/>
  <c r="B6757" i="2"/>
  <c r="B6756" i="2"/>
  <c r="B6755" i="2"/>
  <c r="B6754" i="2"/>
  <c r="B6753" i="2"/>
  <c r="B6752" i="2"/>
  <c r="B6751" i="2"/>
  <c r="B6750" i="2"/>
  <c r="B6749" i="2"/>
  <c r="B6748" i="2"/>
  <c r="B6747" i="2"/>
  <c r="B6746" i="2"/>
  <c r="B6745" i="2"/>
  <c r="B6744" i="2"/>
  <c r="B6743" i="2"/>
  <c r="B6742" i="2"/>
  <c r="B6741" i="2"/>
  <c r="B6740" i="2"/>
  <c r="B6739" i="2"/>
  <c r="B6738" i="2"/>
  <c r="B6737" i="2"/>
  <c r="B6736" i="2"/>
  <c r="B6735" i="2"/>
  <c r="B6734" i="2"/>
  <c r="B6733" i="2"/>
  <c r="B6732" i="2"/>
  <c r="B6731" i="2"/>
  <c r="B6730" i="2"/>
  <c r="B6729" i="2"/>
  <c r="B6728" i="2"/>
  <c r="B6727" i="2"/>
  <c r="B6726" i="2"/>
  <c r="B6725" i="2"/>
  <c r="B6724" i="2"/>
  <c r="B6723" i="2"/>
  <c r="B6722" i="2"/>
  <c r="B6721" i="2"/>
  <c r="B6720" i="2"/>
  <c r="B6719" i="2"/>
  <c r="B6718" i="2"/>
  <c r="B6717" i="2"/>
  <c r="B6716" i="2"/>
  <c r="B6715" i="2"/>
  <c r="B6714" i="2"/>
  <c r="B6713" i="2"/>
  <c r="B6712" i="2"/>
  <c r="B6711" i="2"/>
  <c r="B6710" i="2"/>
  <c r="B6709" i="2"/>
  <c r="B6708" i="2"/>
  <c r="B6707" i="2"/>
  <c r="B6706" i="2"/>
  <c r="B6705" i="2"/>
  <c r="B6704" i="2"/>
  <c r="B6703" i="2"/>
  <c r="B6702" i="2"/>
  <c r="B6701" i="2"/>
  <c r="B6700" i="2"/>
  <c r="B6699" i="2"/>
  <c r="B6698" i="2"/>
  <c r="B6697" i="2"/>
  <c r="B6696" i="2"/>
  <c r="B6695" i="2"/>
  <c r="B6694" i="2"/>
  <c r="B6693" i="2"/>
  <c r="B6692" i="2"/>
  <c r="B6691" i="2"/>
  <c r="B6690" i="2"/>
  <c r="B6689" i="2"/>
  <c r="B6688" i="2"/>
  <c r="B6687" i="2"/>
  <c r="B6686" i="2"/>
  <c r="B6685" i="2"/>
  <c r="B6684" i="2"/>
  <c r="B6683" i="2"/>
  <c r="B6682" i="2"/>
  <c r="B6681" i="2"/>
  <c r="B6680" i="2"/>
  <c r="B6679" i="2"/>
  <c r="B6678" i="2"/>
  <c r="B6677" i="2"/>
  <c r="B6676" i="2"/>
  <c r="B6675" i="2"/>
  <c r="B6674" i="2"/>
  <c r="B6673" i="2"/>
  <c r="B6672" i="2"/>
  <c r="B6671" i="2"/>
  <c r="B6670" i="2"/>
  <c r="B6669" i="2"/>
  <c r="B6668" i="2"/>
  <c r="B6667" i="2"/>
  <c r="B6666" i="2"/>
  <c r="B6665" i="2"/>
  <c r="B6664" i="2"/>
  <c r="B6663" i="2"/>
  <c r="B6662" i="2"/>
  <c r="B6661" i="2"/>
  <c r="B6660" i="2"/>
  <c r="B6659" i="2"/>
  <c r="B6658" i="2"/>
  <c r="B6657" i="2"/>
  <c r="B6656" i="2"/>
  <c r="B6655" i="2"/>
  <c r="B6654" i="2"/>
  <c r="B6653" i="2"/>
  <c r="B6652" i="2"/>
  <c r="B6651" i="2"/>
  <c r="B6650" i="2"/>
  <c r="B6649" i="2"/>
  <c r="B6648" i="2"/>
  <c r="B6647" i="2"/>
  <c r="B6646" i="2"/>
  <c r="B6645" i="2"/>
  <c r="B6644" i="2"/>
  <c r="B6643" i="2"/>
  <c r="B6642" i="2"/>
  <c r="B6641" i="2"/>
  <c r="B6640" i="2"/>
  <c r="B6639" i="2"/>
  <c r="B6638" i="2"/>
  <c r="B6637" i="2"/>
  <c r="B6636" i="2"/>
  <c r="B6635" i="2"/>
  <c r="B6634" i="2"/>
  <c r="B6633" i="2"/>
  <c r="B6632" i="2"/>
  <c r="B6631" i="2"/>
  <c r="B6630" i="2"/>
  <c r="B6629" i="2"/>
  <c r="B6628" i="2"/>
  <c r="B6627" i="2"/>
  <c r="B6626" i="2"/>
  <c r="B6625" i="2"/>
  <c r="B6624" i="2"/>
  <c r="B6623" i="2"/>
  <c r="B6622" i="2"/>
  <c r="B6621" i="2"/>
  <c r="B6620" i="2"/>
  <c r="B6619" i="2"/>
  <c r="B6618" i="2"/>
  <c r="B6617" i="2"/>
  <c r="B6616" i="2"/>
  <c r="B6615" i="2"/>
  <c r="B6614" i="2"/>
  <c r="B6613" i="2"/>
  <c r="B6612" i="2"/>
  <c r="B6611" i="2"/>
  <c r="B6610" i="2"/>
  <c r="B6609" i="2"/>
  <c r="B6608" i="2"/>
  <c r="B6607" i="2"/>
  <c r="B6606" i="2"/>
  <c r="B6605" i="2"/>
  <c r="B6604" i="2"/>
  <c r="B6603" i="2"/>
  <c r="B6602" i="2"/>
  <c r="B6601" i="2"/>
  <c r="B6600" i="2"/>
  <c r="B6599" i="2"/>
  <c r="B6598" i="2"/>
  <c r="B6597" i="2"/>
  <c r="B6596" i="2"/>
  <c r="B6595" i="2"/>
  <c r="B6594" i="2"/>
  <c r="B6593" i="2"/>
  <c r="B6592" i="2"/>
  <c r="B6591" i="2"/>
  <c r="B6590" i="2"/>
  <c r="B6589" i="2"/>
  <c r="B6588" i="2"/>
  <c r="B6587" i="2"/>
  <c r="B6586" i="2"/>
  <c r="B6585" i="2"/>
  <c r="B6584" i="2"/>
  <c r="B6583" i="2"/>
  <c r="B6582" i="2"/>
  <c r="B6581" i="2"/>
  <c r="B6580" i="2"/>
  <c r="B6579" i="2"/>
  <c r="B6578" i="2"/>
  <c r="B6577" i="2"/>
  <c r="B6576" i="2"/>
  <c r="B6575" i="2"/>
  <c r="B6574" i="2"/>
  <c r="B6573" i="2"/>
  <c r="B6572" i="2"/>
  <c r="B6571" i="2"/>
  <c r="B6570" i="2"/>
  <c r="B6569" i="2"/>
  <c r="B6568" i="2"/>
  <c r="B6567" i="2"/>
  <c r="B6566" i="2"/>
  <c r="B6565" i="2"/>
  <c r="B6564" i="2"/>
  <c r="B6563" i="2"/>
  <c r="B6562" i="2"/>
  <c r="B6561" i="2"/>
  <c r="B6560" i="2"/>
  <c r="B6559" i="2"/>
  <c r="B6558" i="2"/>
  <c r="B6557" i="2"/>
  <c r="B6556" i="2"/>
  <c r="B6555" i="2"/>
  <c r="B6554" i="2"/>
  <c r="B6553" i="2"/>
  <c r="B6552" i="2"/>
  <c r="B6551" i="2"/>
  <c r="B6550" i="2"/>
  <c r="B6549" i="2"/>
  <c r="B6548" i="2"/>
  <c r="B6547" i="2"/>
  <c r="B6546" i="2"/>
  <c r="B6545" i="2"/>
  <c r="B6544" i="2"/>
  <c r="B6543" i="2"/>
  <c r="B6542" i="2"/>
  <c r="B6541" i="2"/>
  <c r="B6540" i="2"/>
  <c r="B6539" i="2"/>
  <c r="B6538" i="2"/>
  <c r="B6537" i="2"/>
  <c r="B6536" i="2"/>
  <c r="B6535" i="2"/>
  <c r="B6534" i="2"/>
  <c r="B6533" i="2"/>
  <c r="B6532" i="2"/>
  <c r="B6531" i="2"/>
  <c r="B6530" i="2"/>
  <c r="B6529" i="2"/>
  <c r="B6528" i="2"/>
  <c r="B6527" i="2"/>
  <c r="B6526" i="2"/>
  <c r="B6525" i="2"/>
  <c r="B6524" i="2"/>
  <c r="B6523" i="2"/>
  <c r="B6522" i="2"/>
  <c r="B6521" i="2"/>
  <c r="B6520" i="2"/>
  <c r="B6519" i="2"/>
  <c r="B6518" i="2"/>
  <c r="B6517" i="2"/>
  <c r="B6516" i="2"/>
  <c r="B6515" i="2"/>
  <c r="B6514" i="2"/>
  <c r="B6513" i="2"/>
  <c r="B6512" i="2"/>
  <c r="B6511" i="2"/>
  <c r="B6510" i="2"/>
  <c r="B6509" i="2"/>
  <c r="B6508" i="2"/>
  <c r="B6507" i="2"/>
  <c r="B6506" i="2"/>
  <c r="B6505" i="2"/>
  <c r="B6504" i="2"/>
  <c r="B6503" i="2"/>
  <c r="B6502" i="2"/>
  <c r="B6501" i="2"/>
  <c r="B6500" i="2"/>
  <c r="B6499" i="2"/>
  <c r="B6498" i="2"/>
  <c r="B6497" i="2"/>
  <c r="B6496" i="2"/>
  <c r="B6495" i="2"/>
  <c r="B6494" i="2"/>
  <c r="B6493" i="2"/>
  <c r="B6492" i="2"/>
  <c r="B6491" i="2"/>
  <c r="B6490" i="2"/>
  <c r="B6489" i="2"/>
  <c r="B6488" i="2"/>
  <c r="B6487" i="2"/>
  <c r="B6486" i="2"/>
  <c r="B6485" i="2"/>
  <c r="B6484" i="2"/>
  <c r="B6483" i="2"/>
  <c r="B6482" i="2"/>
  <c r="B6481" i="2"/>
  <c r="B6480" i="2"/>
  <c r="B6479" i="2"/>
  <c r="B6478" i="2"/>
  <c r="B6477" i="2"/>
  <c r="B6476" i="2"/>
  <c r="B6475" i="2"/>
  <c r="B6474" i="2"/>
  <c r="B6473" i="2"/>
  <c r="B6472" i="2"/>
  <c r="B6471" i="2"/>
  <c r="B6470" i="2"/>
  <c r="B6469" i="2"/>
  <c r="B6468" i="2"/>
  <c r="B6467" i="2"/>
  <c r="B6466" i="2"/>
  <c r="B6465" i="2"/>
  <c r="B6464" i="2"/>
  <c r="B6463" i="2"/>
  <c r="B6462" i="2"/>
  <c r="B6461" i="2"/>
  <c r="B6460" i="2"/>
  <c r="B6459" i="2"/>
  <c r="B6458" i="2"/>
  <c r="B6457" i="2"/>
  <c r="B6456" i="2"/>
  <c r="B6455" i="2"/>
  <c r="B6454" i="2"/>
  <c r="B6453" i="2"/>
  <c r="B6452" i="2"/>
  <c r="B6451" i="2"/>
  <c r="B6450" i="2"/>
  <c r="B6449" i="2"/>
  <c r="B6448" i="2"/>
  <c r="B6447" i="2"/>
  <c r="B6446" i="2"/>
  <c r="B6445" i="2"/>
  <c r="B6444" i="2"/>
  <c r="B6443" i="2"/>
  <c r="B6442" i="2"/>
  <c r="B6441" i="2"/>
  <c r="B6440" i="2"/>
  <c r="B6439" i="2"/>
  <c r="B6438" i="2"/>
  <c r="B6437" i="2"/>
  <c r="B6436" i="2"/>
  <c r="B6435" i="2"/>
  <c r="B6434" i="2"/>
  <c r="B6433" i="2"/>
  <c r="B6432" i="2"/>
  <c r="B6431" i="2"/>
  <c r="B6430" i="2"/>
  <c r="B6429" i="2"/>
  <c r="B6428" i="2"/>
  <c r="B6427" i="2"/>
  <c r="B6426" i="2"/>
  <c r="B6425" i="2"/>
  <c r="B6424" i="2"/>
  <c r="B6423" i="2"/>
  <c r="B6422" i="2"/>
  <c r="B6421" i="2"/>
  <c r="B6420" i="2"/>
  <c r="B6419" i="2"/>
  <c r="B6418" i="2"/>
  <c r="B6417" i="2"/>
  <c r="B6416" i="2"/>
  <c r="B6415" i="2"/>
  <c r="B6414" i="2"/>
  <c r="B6413" i="2"/>
  <c r="B6412" i="2"/>
  <c r="B6411" i="2"/>
  <c r="B6410" i="2"/>
  <c r="B6409" i="2"/>
  <c r="B6408" i="2"/>
  <c r="B6407" i="2"/>
  <c r="B6406" i="2"/>
  <c r="B6405" i="2"/>
  <c r="B6404" i="2"/>
  <c r="B6403" i="2"/>
  <c r="B6402" i="2"/>
  <c r="B6401" i="2"/>
  <c r="B6400" i="2"/>
  <c r="B6399" i="2"/>
  <c r="B6398" i="2"/>
  <c r="B6397" i="2"/>
  <c r="B6396" i="2"/>
  <c r="B6395" i="2"/>
  <c r="B6394" i="2"/>
  <c r="B6393" i="2"/>
  <c r="B6392" i="2"/>
  <c r="B6391" i="2"/>
  <c r="B6390" i="2"/>
  <c r="B6389" i="2"/>
  <c r="B6388" i="2"/>
  <c r="B6387" i="2"/>
  <c r="B6386" i="2"/>
  <c r="B6385" i="2"/>
  <c r="B6384" i="2"/>
  <c r="B6383" i="2"/>
  <c r="B6382" i="2"/>
  <c r="B6381" i="2"/>
  <c r="B6380" i="2"/>
  <c r="B6379" i="2"/>
  <c r="B6378" i="2"/>
  <c r="B6377" i="2"/>
  <c r="B6376" i="2"/>
  <c r="B6375" i="2"/>
  <c r="B6374" i="2"/>
  <c r="B6373" i="2"/>
  <c r="B6372" i="2"/>
  <c r="B6371" i="2"/>
  <c r="B6370" i="2"/>
  <c r="B6369" i="2"/>
  <c r="B6368" i="2"/>
  <c r="B6367" i="2"/>
  <c r="B6366" i="2"/>
  <c r="B6365" i="2"/>
  <c r="B6364" i="2"/>
  <c r="B6363" i="2"/>
  <c r="B6362" i="2"/>
  <c r="B6361" i="2"/>
  <c r="B6360" i="2"/>
  <c r="B6359" i="2"/>
  <c r="B6358" i="2"/>
  <c r="B6357" i="2"/>
  <c r="B6356" i="2"/>
  <c r="B6355" i="2"/>
  <c r="B6354" i="2"/>
  <c r="B6353" i="2"/>
  <c r="B6352" i="2"/>
  <c r="B6351" i="2"/>
  <c r="B6350" i="2"/>
  <c r="B6349" i="2"/>
  <c r="B6348" i="2"/>
  <c r="B6347" i="2"/>
  <c r="B6346" i="2"/>
  <c r="B6345" i="2"/>
  <c r="B6344" i="2"/>
  <c r="B6343" i="2"/>
  <c r="B6342" i="2"/>
  <c r="B6341" i="2"/>
  <c r="B6340" i="2"/>
  <c r="B6339" i="2"/>
  <c r="B6338" i="2"/>
  <c r="B6337" i="2"/>
  <c r="B6336" i="2"/>
  <c r="B6335" i="2"/>
  <c r="B6334" i="2"/>
  <c r="B6333" i="2"/>
  <c r="B6332" i="2"/>
  <c r="B6331" i="2"/>
  <c r="B6330" i="2"/>
  <c r="B6329" i="2"/>
  <c r="B6328" i="2"/>
  <c r="B6327" i="2"/>
  <c r="B6326" i="2"/>
  <c r="B6325" i="2"/>
  <c r="B6324" i="2"/>
  <c r="B6323" i="2"/>
  <c r="B6322" i="2"/>
  <c r="B6321" i="2"/>
  <c r="B6320" i="2"/>
  <c r="B6319" i="2"/>
  <c r="B6318" i="2"/>
  <c r="B6317" i="2"/>
  <c r="B6316" i="2"/>
  <c r="B6315" i="2"/>
  <c r="B6314" i="2"/>
  <c r="B6313" i="2"/>
  <c r="B6312" i="2"/>
  <c r="B6311" i="2"/>
  <c r="B6310" i="2"/>
  <c r="B6309" i="2"/>
  <c r="B6308" i="2"/>
  <c r="B6307" i="2"/>
  <c r="B6306" i="2"/>
  <c r="B6305" i="2"/>
  <c r="B6304" i="2"/>
  <c r="B6303" i="2"/>
  <c r="B6302" i="2"/>
  <c r="B6301" i="2"/>
  <c r="B6300" i="2"/>
  <c r="B6299" i="2"/>
  <c r="B6298" i="2"/>
  <c r="B6297" i="2"/>
  <c r="B6296" i="2"/>
  <c r="B6295" i="2"/>
  <c r="B6294" i="2"/>
  <c r="B6293" i="2"/>
  <c r="B6292" i="2"/>
  <c r="B6291" i="2"/>
  <c r="B6290" i="2"/>
  <c r="B6289" i="2"/>
  <c r="B6288" i="2"/>
  <c r="B6287" i="2"/>
  <c r="B6286" i="2"/>
  <c r="B6285" i="2"/>
  <c r="B6284" i="2"/>
  <c r="B6283" i="2"/>
  <c r="B6282" i="2"/>
  <c r="B6281" i="2"/>
  <c r="B6280" i="2"/>
  <c r="B6279" i="2"/>
  <c r="B6278" i="2"/>
  <c r="B6277" i="2"/>
  <c r="B6276" i="2"/>
  <c r="B6275" i="2"/>
  <c r="B6274" i="2"/>
  <c r="B6273" i="2"/>
  <c r="B6272" i="2"/>
  <c r="B6271" i="2"/>
  <c r="B6270" i="2"/>
  <c r="B6269" i="2"/>
  <c r="B6268" i="2"/>
  <c r="B6267" i="2"/>
  <c r="B6266" i="2"/>
  <c r="B6265" i="2"/>
  <c r="B6264" i="2"/>
  <c r="B6263" i="2"/>
  <c r="B6262" i="2"/>
  <c r="B6261" i="2"/>
  <c r="B6260" i="2"/>
  <c r="B6259" i="2"/>
  <c r="B6258" i="2"/>
  <c r="B6257" i="2"/>
  <c r="B6256" i="2"/>
  <c r="B6255" i="2"/>
  <c r="B6254" i="2"/>
  <c r="B6253" i="2"/>
  <c r="B6252" i="2"/>
  <c r="B6251" i="2"/>
  <c r="B6250" i="2"/>
  <c r="B6249" i="2"/>
  <c r="B6248" i="2"/>
  <c r="B6247" i="2"/>
  <c r="B6246" i="2"/>
  <c r="B6245" i="2"/>
  <c r="B6244" i="2"/>
  <c r="B6243" i="2"/>
  <c r="B6242" i="2"/>
  <c r="B6241" i="2"/>
  <c r="B6240" i="2"/>
  <c r="B6239" i="2"/>
  <c r="B6238" i="2"/>
  <c r="B6237" i="2"/>
  <c r="B6236" i="2"/>
  <c r="B6235" i="2"/>
  <c r="B6234" i="2"/>
  <c r="B6233" i="2"/>
  <c r="B6232" i="2"/>
  <c r="B6231" i="2"/>
  <c r="B6230" i="2"/>
  <c r="B6229" i="2"/>
  <c r="B6228" i="2"/>
  <c r="B6227" i="2"/>
  <c r="B6226" i="2"/>
  <c r="B6225" i="2"/>
  <c r="B6224" i="2"/>
  <c r="B6223" i="2"/>
  <c r="B6222" i="2"/>
  <c r="B6221" i="2"/>
  <c r="B6220" i="2"/>
  <c r="B6219" i="2"/>
  <c r="B6218" i="2"/>
  <c r="B6217" i="2"/>
  <c r="B6216" i="2"/>
  <c r="B6215" i="2"/>
  <c r="B6214" i="2"/>
  <c r="B6213" i="2"/>
  <c r="B6212" i="2"/>
  <c r="B6211" i="2"/>
  <c r="B6210" i="2"/>
  <c r="B6209" i="2"/>
  <c r="B6208" i="2"/>
  <c r="B6207" i="2"/>
  <c r="B6206" i="2"/>
  <c r="B6205" i="2"/>
  <c r="B6204" i="2"/>
  <c r="B6203" i="2"/>
  <c r="B6202" i="2"/>
  <c r="B6201" i="2"/>
  <c r="B6200" i="2"/>
  <c r="B6199" i="2"/>
  <c r="B6198" i="2"/>
  <c r="B6197" i="2"/>
  <c r="B6196" i="2"/>
  <c r="B6195" i="2"/>
  <c r="B6194" i="2"/>
  <c r="B6193" i="2"/>
  <c r="B6192" i="2"/>
  <c r="B6191" i="2"/>
  <c r="B6190" i="2"/>
  <c r="B6189" i="2"/>
  <c r="B6188" i="2"/>
  <c r="B6187" i="2"/>
  <c r="B6186" i="2"/>
  <c r="B6185" i="2"/>
  <c r="B6184" i="2"/>
  <c r="B6183" i="2"/>
  <c r="B6182" i="2"/>
  <c r="B6181" i="2"/>
  <c r="B6180" i="2"/>
  <c r="B6179" i="2"/>
  <c r="B6178" i="2"/>
  <c r="B6177" i="2"/>
  <c r="B6176" i="2"/>
  <c r="B6175" i="2"/>
  <c r="B6174" i="2"/>
  <c r="B6173" i="2"/>
  <c r="B6172" i="2"/>
  <c r="B6171" i="2"/>
  <c r="B6170" i="2"/>
  <c r="B6169" i="2"/>
  <c r="B6168" i="2"/>
  <c r="B6167" i="2"/>
  <c r="B6166" i="2"/>
  <c r="B6165" i="2"/>
  <c r="B6164" i="2"/>
  <c r="B6163" i="2"/>
  <c r="B6162" i="2"/>
  <c r="B6161" i="2"/>
  <c r="B6160" i="2"/>
  <c r="B6159" i="2"/>
  <c r="B6158" i="2"/>
  <c r="B6157" i="2"/>
  <c r="B6156" i="2"/>
  <c r="B6155" i="2"/>
  <c r="B6154" i="2"/>
  <c r="B6153" i="2"/>
  <c r="B6152" i="2"/>
  <c r="B6151" i="2"/>
  <c r="B6150" i="2"/>
  <c r="B6149" i="2"/>
  <c r="B6148" i="2"/>
  <c r="B6147" i="2"/>
  <c r="B6146" i="2"/>
  <c r="B6145" i="2"/>
  <c r="B6144" i="2"/>
  <c r="B6143" i="2"/>
  <c r="B6142" i="2"/>
  <c r="B6141" i="2"/>
  <c r="B6140" i="2"/>
  <c r="B6139" i="2"/>
  <c r="B6138" i="2"/>
  <c r="B6137" i="2"/>
  <c r="B6136" i="2"/>
  <c r="B6135" i="2"/>
  <c r="B6134" i="2"/>
  <c r="B6133" i="2"/>
  <c r="B6132" i="2"/>
  <c r="B6131" i="2"/>
  <c r="B6130" i="2"/>
  <c r="B6129" i="2"/>
  <c r="B6128" i="2"/>
  <c r="B6127" i="2"/>
  <c r="B6126" i="2"/>
  <c r="B6125" i="2"/>
  <c r="B6124" i="2"/>
  <c r="B6123" i="2"/>
  <c r="B6122" i="2"/>
  <c r="B6121" i="2"/>
  <c r="B6120" i="2"/>
  <c r="B6119" i="2"/>
  <c r="B6118" i="2"/>
  <c r="B6117" i="2"/>
  <c r="B6116" i="2"/>
  <c r="B6115" i="2"/>
  <c r="B6114" i="2"/>
  <c r="B6113" i="2"/>
  <c r="B6112" i="2"/>
  <c r="B6111" i="2"/>
  <c r="B6110" i="2"/>
  <c r="B6109" i="2"/>
  <c r="B6108" i="2"/>
  <c r="B6107" i="2"/>
  <c r="B6106" i="2"/>
  <c r="B6105" i="2"/>
  <c r="B6104" i="2"/>
  <c r="B6103" i="2"/>
  <c r="B6102" i="2"/>
  <c r="B6101" i="2"/>
  <c r="B6100" i="2"/>
  <c r="B6099" i="2"/>
  <c r="B6098" i="2"/>
  <c r="B6097" i="2"/>
  <c r="B6096" i="2"/>
  <c r="B6095" i="2"/>
  <c r="B6094" i="2"/>
  <c r="B6093" i="2"/>
  <c r="B6092" i="2"/>
  <c r="B6091" i="2"/>
  <c r="B6090" i="2"/>
  <c r="B6089" i="2"/>
  <c r="B6088" i="2"/>
  <c r="B6087" i="2"/>
  <c r="B6086" i="2"/>
  <c r="B6085" i="2"/>
  <c r="B6084" i="2"/>
  <c r="B6083" i="2"/>
  <c r="B6082" i="2"/>
  <c r="B6081" i="2"/>
  <c r="B6080" i="2"/>
  <c r="B6079" i="2"/>
  <c r="B6078" i="2"/>
  <c r="B6077" i="2"/>
  <c r="B6076" i="2"/>
  <c r="B6075" i="2"/>
  <c r="B6074" i="2"/>
  <c r="B6073" i="2"/>
  <c r="B6072" i="2"/>
  <c r="B6071" i="2"/>
  <c r="B6070" i="2"/>
  <c r="B6069" i="2"/>
  <c r="B6068" i="2"/>
  <c r="B6067" i="2"/>
  <c r="B6066" i="2"/>
  <c r="B6065" i="2"/>
  <c r="B6064" i="2"/>
  <c r="B6063" i="2"/>
  <c r="B6062" i="2"/>
  <c r="B6061" i="2"/>
  <c r="B6060" i="2"/>
  <c r="B6059" i="2"/>
  <c r="B6058" i="2"/>
  <c r="B6057" i="2"/>
  <c r="B6056" i="2"/>
  <c r="B6055" i="2"/>
  <c r="B6054" i="2"/>
  <c r="B6053" i="2"/>
  <c r="B6052" i="2"/>
  <c r="B6051" i="2"/>
  <c r="B6050" i="2"/>
  <c r="B6049" i="2"/>
  <c r="B6048" i="2"/>
  <c r="B6047" i="2"/>
  <c r="B6046" i="2"/>
  <c r="B6045" i="2"/>
  <c r="B6044" i="2"/>
  <c r="B6043" i="2"/>
  <c r="B6042" i="2"/>
  <c r="B6041" i="2"/>
  <c r="B6040" i="2"/>
  <c r="B6039" i="2"/>
  <c r="B6038" i="2"/>
  <c r="B6037" i="2"/>
  <c r="B6036" i="2"/>
  <c r="B6035" i="2"/>
  <c r="B6034" i="2"/>
  <c r="B6033" i="2"/>
  <c r="B6032" i="2"/>
  <c r="B6031" i="2"/>
  <c r="B6030" i="2"/>
  <c r="B6029" i="2"/>
  <c r="B6028" i="2"/>
  <c r="B6027" i="2"/>
  <c r="B6026" i="2"/>
  <c r="B6025" i="2"/>
  <c r="B6024" i="2"/>
  <c r="B6023" i="2"/>
  <c r="B6022" i="2"/>
  <c r="B6021" i="2"/>
  <c r="B6020" i="2"/>
  <c r="B6019" i="2"/>
  <c r="B6018" i="2"/>
  <c r="B6017" i="2"/>
  <c r="B6016" i="2"/>
  <c r="B6015" i="2"/>
  <c r="B6014" i="2"/>
  <c r="B6013" i="2"/>
  <c r="B6012" i="2"/>
  <c r="B6011" i="2"/>
  <c r="B6010" i="2"/>
  <c r="B6009" i="2"/>
  <c r="B6008" i="2"/>
  <c r="B6007" i="2"/>
  <c r="B6006" i="2"/>
  <c r="B6005" i="2"/>
  <c r="B6004" i="2"/>
  <c r="B6003" i="2"/>
  <c r="B6002" i="2"/>
  <c r="B6001" i="2"/>
  <c r="B6000" i="2"/>
  <c r="B5999" i="2"/>
  <c r="B5998" i="2"/>
  <c r="B5997" i="2"/>
  <c r="B5996" i="2"/>
  <c r="B5995" i="2"/>
  <c r="B5994" i="2"/>
  <c r="B5993" i="2"/>
  <c r="B5992" i="2"/>
  <c r="B5991" i="2"/>
  <c r="B5990" i="2"/>
  <c r="B5989" i="2"/>
  <c r="B5988" i="2"/>
  <c r="B5987" i="2"/>
  <c r="B5986" i="2"/>
  <c r="B5985" i="2"/>
  <c r="B5984" i="2"/>
  <c r="B5983" i="2"/>
  <c r="B5982" i="2"/>
  <c r="B5981" i="2"/>
  <c r="B5980" i="2"/>
  <c r="B5979" i="2"/>
  <c r="B5978" i="2"/>
  <c r="B5977" i="2"/>
  <c r="B5976" i="2"/>
  <c r="B5975" i="2"/>
  <c r="B5974" i="2"/>
  <c r="B5973" i="2"/>
  <c r="B5972" i="2"/>
  <c r="B5971" i="2"/>
  <c r="B5970" i="2"/>
  <c r="B5969" i="2"/>
  <c r="B5968" i="2"/>
  <c r="B5967" i="2"/>
  <c r="B5966" i="2"/>
  <c r="B5965" i="2"/>
  <c r="B5964" i="2"/>
  <c r="B5963" i="2"/>
  <c r="B5962" i="2"/>
  <c r="B5961" i="2"/>
  <c r="B5960" i="2"/>
  <c r="B5959" i="2"/>
  <c r="B5958" i="2"/>
  <c r="B5957" i="2"/>
  <c r="B5956" i="2"/>
  <c r="B5955" i="2"/>
  <c r="B5954" i="2"/>
  <c r="B5953" i="2"/>
  <c r="B5952" i="2"/>
  <c r="B5951" i="2"/>
  <c r="B5950" i="2"/>
  <c r="B5949" i="2"/>
  <c r="B5948" i="2"/>
  <c r="B5947" i="2"/>
  <c r="B5946" i="2"/>
  <c r="B5945" i="2"/>
  <c r="B5944" i="2"/>
  <c r="B5943" i="2"/>
  <c r="B5942" i="2"/>
  <c r="B5941" i="2"/>
  <c r="B5940" i="2"/>
  <c r="B5939" i="2"/>
  <c r="B5938" i="2"/>
  <c r="B5937" i="2"/>
  <c r="B5936" i="2"/>
  <c r="B5935" i="2"/>
  <c r="B5934" i="2"/>
  <c r="B5933" i="2"/>
  <c r="B5932" i="2"/>
  <c r="B5931" i="2"/>
  <c r="B5930" i="2"/>
  <c r="B5929" i="2"/>
  <c r="B5928" i="2"/>
  <c r="B5927" i="2"/>
  <c r="B5926" i="2"/>
  <c r="B5925" i="2"/>
  <c r="B5924" i="2"/>
  <c r="B5923" i="2"/>
  <c r="B5922" i="2"/>
  <c r="B5921" i="2"/>
  <c r="B5920" i="2"/>
  <c r="B5919" i="2"/>
  <c r="B5918" i="2"/>
  <c r="B5917" i="2"/>
  <c r="B5916" i="2"/>
  <c r="B5915" i="2"/>
  <c r="B5914" i="2"/>
  <c r="B5913" i="2"/>
  <c r="B5912" i="2"/>
  <c r="B5911" i="2"/>
  <c r="B5910" i="2"/>
  <c r="B5909" i="2"/>
  <c r="B5908" i="2"/>
  <c r="B5907" i="2"/>
  <c r="B5906" i="2"/>
  <c r="B5905" i="2"/>
  <c r="B5904" i="2"/>
  <c r="B5903" i="2"/>
  <c r="B5902" i="2"/>
  <c r="B5901" i="2"/>
  <c r="B5900" i="2"/>
  <c r="B5899" i="2"/>
  <c r="B5898" i="2"/>
  <c r="B5897" i="2"/>
  <c r="B5896" i="2"/>
  <c r="B5895" i="2"/>
  <c r="B5894" i="2"/>
  <c r="B5893" i="2"/>
  <c r="B5892" i="2"/>
  <c r="B5891" i="2"/>
  <c r="B5890" i="2"/>
  <c r="B5889" i="2"/>
  <c r="B5888" i="2"/>
  <c r="B5887" i="2"/>
  <c r="B5886" i="2"/>
  <c r="B5885" i="2"/>
  <c r="B5884" i="2"/>
  <c r="B5883" i="2"/>
  <c r="B5882" i="2"/>
  <c r="B5881" i="2"/>
  <c r="B5880" i="2"/>
  <c r="B5879" i="2"/>
  <c r="B5878" i="2"/>
  <c r="B5877" i="2"/>
  <c r="B5876" i="2"/>
  <c r="B5875" i="2"/>
  <c r="B5874" i="2"/>
  <c r="B5873" i="2"/>
  <c r="B5872" i="2"/>
  <c r="B5871" i="2"/>
  <c r="B5870" i="2"/>
  <c r="B5869" i="2"/>
  <c r="B5868" i="2"/>
  <c r="B5867" i="2"/>
  <c r="B5866" i="2"/>
  <c r="B5865" i="2"/>
  <c r="B5864" i="2"/>
  <c r="B5863" i="2"/>
  <c r="B5862" i="2"/>
  <c r="B5861" i="2"/>
  <c r="B5860" i="2"/>
  <c r="B5859" i="2"/>
  <c r="B5858" i="2"/>
  <c r="B5857" i="2"/>
  <c r="B5856" i="2"/>
  <c r="B5855" i="2"/>
  <c r="B5854" i="2"/>
  <c r="B5853" i="2"/>
  <c r="B5852" i="2"/>
  <c r="B5851" i="2"/>
  <c r="B5850" i="2"/>
  <c r="B5849" i="2"/>
  <c r="B5848" i="2"/>
  <c r="B5847" i="2"/>
  <c r="B5846" i="2"/>
  <c r="B5845" i="2"/>
  <c r="B5844" i="2"/>
  <c r="B5843" i="2"/>
  <c r="B5842" i="2"/>
  <c r="B5841" i="2"/>
  <c r="B5840" i="2"/>
  <c r="B5839" i="2"/>
  <c r="B5838" i="2"/>
  <c r="B5837" i="2"/>
  <c r="B5836" i="2"/>
  <c r="B5835" i="2"/>
  <c r="B5834" i="2"/>
  <c r="B5833" i="2"/>
  <c r="B5832" i="2"/>
  <c r="B5831" i="2"/>
  <c r="B5830" i="2"/>
  <c r="B5829" i="2"/>
  <c r="B5828" i="2"/>
  <c r="B5827" i="2"/>
  <c r="B5826" i="2"/>
  <c r="B5825" i="2"/>
  <c r="B5824" i="2"/>
  <c r="B5823" i="2"/>
  <c r="B5822" i="2"/>
  <c r="B5821" i="2"/>
  <c r="B5820" i="2"/>
  <c r="B5819" i="2"/>
  <c r="B5818" i="2"/>
  <c r="B5817" i="2"/>
  <c r="B5816" i="2"/>
  <c r="B5815" i="2"/>
  <c r="B5814" i="2"/>
  <c r="B5813" i="2"/>
  <c r="B5812" i="2"/>
  <c r="B5811" i="2"/>
  <c r="B5810" i="2"/>
  <c r="B5809" i="2"/>
  <c r="B5808" i="2"/>
  <c r="B5807" i="2"/>
  <c r="B5806" i="2"/>
  <c r="B5805" i="2"/>
  <c r="B5804" i="2"/>
  <c r="B5803" i="2"/>
  <c r="B5802" i="2"/>
  <c r="B5801" i="2"/>
  <c r="B5800" i="2"/>
  <c r="B5799" i="2"/>
  <c r="B5798" i="2"/>
  <c r="B5797" i="2"/>
  <c r="B5796" i="2"/>
  <c r="B5795" i="2"/>
  <c r="B5794" i="2"/>
  <c r="B5793" i="2"/>
  <c r="B5792" i="2"/>
  <c r="B5791" i="2"/>
  <c r="B5790" i="2"/>
  <c r="B5789" i="2"/>
  <c r="B5788" i="2"/>
  <c r="B5787" i="2"/>
  <c r="B5786" i="2"/>
  <c r="B5785" i="2"/>
  <c r="B5784" i="2"/>
  <c r="B5783" i="2"/>
  <c r="B5782" i="2"/>
  <c r="B5781" i="2"/>
  <c r="B5780" i="2"/>
  <c r="B5779" i="2"/>
  <c r="B5778" i="2"/>
  <c r="B5777" i="2"/>
  <c r="B5776" i="2"/>
  <c r="B5775" i="2"/>
  <c r="B5774" i="2"/>
  <c r="B5773" i="2"/>
  <c r="B5772" i="2"/>
  <c r="B5771" i="2"/>
  <c r="B5770" i="2"/>
  <c r="B5769" i="2"/>
  <c r="B5768" i="2"/>
  <c r="B5767" i="2"/>
  <c r="B5766" i="2"/>
  <c r="B5765" i="2"/>
  <c r="B5764" i="2"/>
  <c r="B5763" i="2"/>
  <c r="B5762" i="2"/>
  <c r="B5761" i="2"/>
  <c r="B5760" i="2"/>
  <c r="B5759" i="2"/>
  <c r="B5758" i="2"/>
  <c r="B5757" i="2"/>
  <c r="B5756" i="2"/>
  <c r="B5755" i="2"/>
  <c r="B5754" i="2"/>
  <c r="B5753" i="2"/>
  <c r="B5752" i="2"/>
  <c r="B5751" i="2"/>
  <c r="B5750" i="2"/>
  <c r="B5749" i="2"/>
  <c r="B5748" i="2"/>
  <c r="B5747" i="2"/>
  <c r="B5746" i="2"/>
  <c r="B5745" i="2"/>
  <c r="B5744" i="2"/>
  <c r="B5743" i="2"/>
  <c r="B5742" i="2"/>
  <c r="B5741" i="2"/>
  <c r="B5740" i="2"/>
  <c r="B5739" i="2"/>
  <c r="B5738" i="2"/>
  <c r="B5737" i="2"/>
  <c r="B5736" i="2"/>
  <c r="B5735" i="2"/>
  <c r="B5734" i="2"/>
  <c r="B5733" i="2"/>
  <c r="B5732" i="2"/>
  <c r="B5731" i="2"/>
  <c r="B5730" i="2"/>
  <c r="B5729" i="2"/>
  <c r="B5728" i="2"/>
  <c r="B5727" i="2"/>
  <c r="B5726" i="2"/>
  <c r="B5725" i="2"/>
  <c r="B5724" i="2"/>
  <c r="B5723" i="2"/>
  <c r="B5722" i="2"/>
  <c r="B5721" i="2"/>
  <c r="B5720" i="2"/>
  <c r="B5719" i="2"/>
  <c r="B5718" i="2"/>
  <c r="B5717" i="2"/>
  <c r="B5716" i="2"/>
  <c r="B5715" i="2"/>
  <c r="B5714" i="2"/>
  <c r="B5713" i="2"/>
  <c r="B5712" i="2"/>
  <c r="B5711" i="2"/>
  <c r="B5710" i="2"/>
  <c r="B5709" i="2"/>
  <c r="B5708" i="2"/>
  <c r="B5707" i="2"/>
  <c r="B5706" i="2"/>
  <c r="B5705" i="2"/>
  <c r="B5704" i="2"/>
  <c r="B5703" i="2"/>
  <c r="B5702" i="2"/>
  <c r="B5701" i="2"/>
  <c r="B5700" i="2"/>
  <c r="B5699" i="2"/>
  <c r="B5698" i="2"/>
  <c r="B5697" i="2"/>
  <c r="B5696" i="2"/>
  <c r="B5695" i="2"/>
  <c r="B5694" i="2"/>
  <c r="B5693" i="2"/>
  <c r="B5692" i="2"/>
  <c r="B5691" i="2"/>
  <c r="B5690" i="2"/>
  <c r="B5689" i="2"/>
  <c r="B5688" i="2"/>
  <c r="B5687" i="2"/>
  <c r="B5686" i="2"/>
  <c r="B5685" i="2"/>
  <c r="B5684" i="2"/>
  <c r="B5683" i="2"/>
  <c r="B5682" i="2"/>
  <c r="B5681" i="2"/>
  <c r="B5680" i="2"/>
  <c r="B5679" i="2"/>
  <c r="B5678" i="2"/>
  <c r="B5677" i="2"/>
  <c r="B5676" i="2"/>
  <c r="B5675" i="2"/>
  <c r="B5674" i="2"/>
  <c r="B5673" i="2"/>
  <c r="B5672" i="2"/>
  <c r="B5671" i="2"/>
  <c r="B5670" i="2"/>
  <c r="B5669" i="2"/>
  <c r="B5668" i="2"/>
  <c r="B5667" i="2"/>
  <c r="B5666" i="2"/>
  <c r="B5665" i="2"/>
  <c r="B5664" i="2"/>
  <c r="B5663" i="2"/>
  <c r="B5662" i="2"/>
  <c r="B5661" i="2"/>
  <c r="B5660" i="2"/>
  <c r="B5659" i="2"/>
  <c r="B5658" i="2"/>
  <c r="B5657" i="2"/>
  <c r="B5656" i="2"/>
  <c r="B5655" i="2"/>
  <c r="B5654" i="2"/>
  <c r="B5653" i="2"/>
  <c r="B5652" i="2"/>
  <c r="B5651" i="2"/>
  <c r="B5650" i="2"/>
  <c r="B5649" i="2"/>
  <c r="B5648" i="2"/>
  <c r="B5647" i="2"/>
  <c r="B5646" i="2"/>
  <c r="B5645" i="2"/>
  <c r="B5644" i="2"/>
  <c r="B5643" i="2"/>
  <c r="B5642" i="2"/>
  <c r="B5641" i="2"/>
  <c r="B5640" i="2"/>
  <c r="B5639" i="2"/>
  <c r="B5638" i="2"/>
  <c r="B5637" i="2"/>
  <c r="B5636" i="2"/>
  <c r="B5635" i="2"/>
  <c r="B5634" i="2"/>
  <c r="B5633" i="2"/>
  <c r="B5632" i="2"/>
  <c r="B5631" i="2"/>
  <c r="B5630" i="2"/>
  <c r="B5629" i="2"/>
  <c r="B5628" i="2"/>
  <c r="B5627" i="2"/>
  <c r="B5626" i="2"/>
  <c r="B5625" i="2"/>
  <c r="B5624" i="2"/>
  <c r="B5623" i="2"/>
  <c r="B5622" i="2"/>
  <c r="B5621" i="2"/>
  <c r="B5620" i="2"/>
  <c r="B5619" i="2"/>
  <c r="B5618" i="2"/>
  <c r="B5617" i="2"/>
  <c r="B5616" i="2"/>
  <c r="B5615" i="2"/>
  <c r="B5614" i="2"/>
  <c r="B5613" i="2"/>
  <c r="B5612" i="2"/>
  <c r="B5611" i="2"/>
  <c r="B5610" i="2"/>
  <c r="B5609" i="2"/>
  <c r="B5608" i="2"/>
  <c r="B5607" i="2"/>
  <c r="B5606" i="2"/>
  <c r="B5605" i="2"/>
  <c r="B5604" i="2"/>
  <c r="B5603" i="2"/>
  <c r="B5602" i="2"/>
  <c r="B5601" i="2"/>
  <c r="B5600" i="2"/>
  <c r="B5599" i="2"/>
  <c r="B5598" i="2"/>
  <c r="B5597" i="2"/>
  <c r="B5596" i="2"/>
  <c r="B5595" i="2"/>
  <c r="B5594" i="2"/>
  <c r="B5593" i="2"/>
  <c r="B5592" i="2"/>
  <c r="B5591" i="2"/>
  <c r="B5590" i="2"/>
  <c r="B5589" i="2"/>
  <c r="B5588" i="2"/>
  <c r="B5587" i="2"/>
  <c r="B5586" i="2"/>
  <c r="B5585" i="2"/>
  <c r="B5584" i="2"/>
  <c r="B5583" i="2"/>
  <c r="B5582" i="2"/>
  <c r="B5581" i="2"/>
  <c r="B5580" i="2"/>
  <c r="B5579" i="2"/>
  <c r="B5578" i="2"/>
  <c r="B5577" i="2"/>
  <c r="B5576" i="2"/>
  <c r="B5575" i="2"/>
  <c r="B5574" i="2"/>
  <c r="B5573" i="2"/>
  <c r="B5572" i="2"/>
  <c r="B5571" i="2"/>
  <c r="B5570" i="2"/>
  <c r="B5569" i="2"/>
  <c r="B5568" i="2"/>
  <c r="B5567" i="2"/>
  <c r="B5566" i="2"/>
  <c r="B5565" i="2"/>
  <c r="B5564" i="2"/>
  <c r="B5563" i="2"/>
  <c r="B5562" i="2"/>
  <c r="B5561" i="2"/>
  <c r="B5560" i="2"/>
  <c r="B5559" i="2"/>
  <c r="B5558" i="2"/>
  <c r="B5557" i="2"/>
  <c r="B5556" i="2"/>
  <c r="B5555" i="2"/>
  <c r="B5554" i="2"/>
  <c r="B5553" i="2"/>
  <c r="B5552" i="2"/>
  <c r="B5551" i="2"/>
  <c r="B5550" i="2"/>
  <c r="B5549" i="2"/>
  <c r="B5548" i="2"/>
  <c r="B5547" i="2"/>
  <c r="B5546" i="2"/>
  <c r="B5545" i="2"/>
  <c r="B5544" i="2"/>
  <c r="B5543" i="2"/>
  <c r="B5542" i="2"/>
  <c r="B5541" i="2"/>
  <c r="B5540" i="2"/>
  <c r="B5539" i="2"/>
  <c r="B5538" i="2"/>
  <c r="B5537" i="2"/>
  <c r="B5536" i="2"/>
  <c r="B5535" i="2"/>
  <c r="B5534" i="2"/>
  <c r="B5533" i="2"/>
  <c r="B5532" i="2"/>
  <c r="B5531" i="2"/>
  <c r="B5530" i="2"/>
  <c r="B5529" i="2"/>
  <c r="B5528" i="2"/>
  <c r="B5527" i="2"/>
  <c r="B5526" i="2"/>
  <c r="B5525" i="2"/>
  <c r="B5524" i="2"/>
  <c r="B5523" i="2"/>
  <c r="B5522" i="2"/>
  <c r="B5521" i="2"/>
  <c r="B5520" i="2"/>
  <c r="B5519" i="2"/>
  <c r="B5518" i="2"/>
  <c r="B5517" i="2"/>
  <c r="B5516" i="2"/>
  <c r="B5515" i="2"/>
  <c r="B5514" i="2"/>
  <c r="B5513" i="2"/>
  <c r="B5512" i="2"/>
  <c r="B5511" i="2"/>
  <c r="B5510" i="2"/>
  <c r="B5509" i="2"/>
  <c r="B5508" i="2"/>
  <c r="B5507" i="2"/>
  <c r="B5506" i="2"/>
  <c r="B5505" i="2"/>
  <c r="B5504" i="2"/>
  <c r="B5503" i="2"/>
  <c r="B5502" i="2"/>
  <c r="B5501" i="2"/>
  <c r="B5500" i="2"/>
  <c r="B5499" i="2"/>
  <c r="B5498" i="2"/>
  <c r="B5497" i="2"/>
  <c r="B5496" i="2"/>
  <c r="B5495" i="2"/>
  <c r="B5494" i="2"/>
  <c r="B5493" i="2"/>
  <c r="B5492" i="2"/>
  <c r="B5491" i="2"/>
  <c r="B5490" i="2"/>
  <c r="B5489" i="2"/>
  <c r="B5488" i="2"/>
  <c r="B5487" i="2"/>
  <c r="B5486" i="2"/>
  <c r="B5485" i="2"/>
  <c r="B5484" i="2"/>
  <c r="B5483" i="2"/>
  <c r="B5482" i="2"/>
  <c r="B5481" i="2"/>
  <c r="B5480" i="2"/>
  <c r="B5479" i="2"/>
  <c r="B5478" i="2"/>
  <c r="B5477" i="2"/>
  <c r="B5476" i="2"/>
  <c r="B5475" i="2"/>
  <c r="B5474" i="2"/>
  <c r="B5473" i="2"/>
  <c r="B5472" i="2"/>
  <c r="B5471" i="2"/>
  <c r="B5470" i="2"/>
  <c r="B5469" i="2"/>
  <c r="B5468" i="2"/>
  <c r="B5467" i="2"/>
  <c r="B5466" i="2"/>
  <c r="B5465" i="2"/>
  <c r="B5464" i="2"/>
  <c r="B5463" i="2"/>
  <c r="B5462" i="2"/>
  <c r="B5461" i="2"/>
  <c r="B5460" i="2"/>
  <c r="B5459" i="2"/>
  <c r="B5458" i="2"/>
  <c r="B5457" i="2"/>
  <c r="B5456" i="2"/>
  <c r="B5455" i="2"/>
  <c r="B5454" i="2"/>
  <c r="B5453" i="2"/>
  <c r="B5452" i="2"/>
  <c r="B5451" i="2"/>
  <c r="B5450" i="2"/>
  <c r="B5449" i="2"/>
  <c r="B5448" i="2"/>
  <c r="B5447" i="2"/>
  <c r="B5446" i="2"/>
  <c r="B5445" i="2"/>
  <c r="B5444" i="2"/>
  <c r="B5443" i="2"/>
  <c r="B5442" i="2"/>
  <c r="B5441" i="2"/>
  <c r="B5440" i="2"/>
  <c r="B5439" i="2"/>
  <c r="B5438" i="2"/>
  <c r="B5437" i="2"/>
  <c r="B5436" i="2"/>
  <c r="B5435" i="2"/>
  <c r="B5434" i="2"/>
  <c r="B5433" i="2"/>
  <c r="B5432" i="2"/>
  <c r="B5431" i="2"/>
  <c r="B5430" i="2"/>
  <c r="B5429" i="2"/>
  <c r="B5428" i="2"/>
  <c r="B5427" i="2"/>
  <c r="B5426" i="2"/>
  <c r="B5425" i="2"/>
  <c r="B5424" i="2"/>
  <c r="B5423" i="2"/>
  <c r="B5422" i="2"/>
  <c r="B5421" i="2"/>
  <c r="B5420" i="2"/>
  <c r="B5419" i="2"/>
  <c r="B5418" i="2"/>
  <c r="B5417" i="2"/>
  <c r="B5416" i="2"/>
  <c r="B5415" i="2"/>
  <c r="B5414" i="2"/>
  <c r="B5413" i="2"/>
  <c r="B5412" i="2"/>
  <c r="B5411" i="2"/>
  <c r="B5410" i="2"/>
  <c r="B5409" i="2"/>
  <c r="B5408" i="2"/>
  <c r="B5407" i="2"/>
  <c r="B5406" i="2"/>
  <c r="B5405" i="2"/>
  <c r="B5404" i="2"/>
  <c r="B5403" i="2"/>
  <c r="B5402" i="2"/>
  <c r="B5401" i="2"/>
  <c r="B5400" i="2"/>
  <c r="B5399" i="2"/>
  <c r="B5398" i="2"/>
  <c r="B5397" i="2"/>
  <c r="B5396" i="2"/>
  <c r="B5395" i="2"/>
  <c r="B5394" i="2"/>
  <c r="B5393" i="2"/>
  <c r="B5392" i="2"/>
  <c r="B5391" i="2"/>
  <c r="B5390" i="2"/>
  <c r="B5389" i="2"/>
  <c r="B5388" i="2"/>
  <c r="B5387" i="2"/>
  <c r="B5386" i="2"/>
  <c r="B5385" i="2"/>
  <c r="B5384" i="2"/>
  <c r="B5383" i="2"/>
  <c r="B5382" i="2"/>
  <c r="B5381" i="2"/>
  <c r="B5380" i="2"/>
  <c r="B5379" i="2"/>
  <c r="B5378" i="2"/>
  <c r="B5377" i="2"/>
  <c r="B5376" i="2"/>
  <c r="B5375" i="2"/>
  <c r="B5374" i="2"/>
  <c r="B5373" i="2"/>
  <c r="B5372" i="2"/>
  <c r="B5371" i="2"/>
  <c r="B5370" i="2"/>
  <c r="B5369" i="2"/>
  <c r="B5368" i="2"/>
  <c r="B5367" i="2"/>
  <c r="B5366" i="2"/>
  <c r="B5365" i="2"/>
  <c r="B5364" i="2"/>
  <c r="B5363" i="2"/>
  <c r="B5362" i="2"/>
  <c r="B5361" i="2"/>
  <c r="B5360" i="2"/>
  <c r="B5359" i="2"/>
  <c r="B5358" i="2"/>
  <c r="B5357" i="2"/>
  <c r="B5356" i="2"/>
  <c r="B5355" i="2"/>
  <c r="B5354" i="2"/>
  <c r="B5353" i="2"/>
  <c r="B5352" i="2"/>
  <c r="B5351" i="2"/>
  <c r="B5350" i="2"/>
  <c r="B5349" i="2"/>
  <c r="B5348" i="2"/>
  <c r="B5347" i="2"/>
  <c r="B5346" i="2"/>
  <c r="B5345" i="2"/>
  <c r="B5344" i="2"/>
  <c r="B5343" i="2"/>
  <c r="B5342" i="2"/>
  <c r="B5341" i="2"/>
  <c r="B5340" i="2"/>
  <c r="B5339" i="2"/>
  <c r="B5338" i="2"/>
  <c r="B5337" i="2"/>
  <c r="B5336" i="2"/>
  <c r="B5335" i="2"/>
  <c r="B5334" i="2"/>
  <c r="B5333" i="2"/>
  <c r="B5332" i="2"/>
  <c r="B5331" i="2"/>
  <c r="B5330" i="2"/>
  <c r="B5329" i="2"/>
  <c r="B5328" i="2"/>
  <c r="B5327" i="2"/>
  <c r="B5326" i="2"/>
  <c r="B5325" i="2"/>
  <c r="B5324" i="2"/>
  <c r="B5323" i="2"/>
  <c r="B5322" i="2"/>
  <c r="B5321" i="2"/>
  <c r="B5320" i="2"/>
  <c r="B5319" i="2"/>
  <c r="B5318" i="2"/>
  <c r="B5317" i="2"/>
  <c r="B5316" i="2"/>
  <c r="B5315" i="2"/>
  <c r="B5314" i="2"/>
  <c r="B5313" i="2"/>
  <c r="B5312" i="2"/>
  <c r="B5311" i="2"/>
  <c r="B5310" i="2"/>
  <c r="B5309" i="2"/>
  <c r="B5308" i="2"/>
  <c r="B5307" i="2"/>
  <c r="B5306" i="2"/>
  <c r="B5305" i="2"/>
  <c r="B5304" i="2"/>
  <c r="B5303" i="2"/>
  <c r="B5302" i="2"/>
  <c r="B5301" i="2"/>
  <c r="B5300" i="2"/>
  <c r="B5299" i="2"/>
  <c r="B5298" i="2"/>
  <c r="B5297" i="2"/>
  <c r="B5296" i="2"/>
  <c r="B5295" i="2"/>
  <c r="B5294" i="2"/>
  <c r="B5293" i="2"/>
  <c r="B5292" i="2"/>
  <c r="B5291" i="2"/>
  <c r="B5290" i="2"/>
  <c r="B5289" i="2"/>
  <c r="B5288" i="2"/>
  <c r="B5287" i="2"/>
  <c r="B5286" i="2"/>
  <c r="B5285" i="2"/>
  <c r="B5284" i="2"/>
  <c r="B5283" i="2"/>
  <c r="B5282" i="2"/>
  <c r="B5281" i="2"/>
  <c r="B5280" i="2"/>
  <c r="B5279" i="2"/>
  <c r="B5278" i="2"/>
  <c r="B5277" i="2"/>
  <c r="B5276" i="2"/>
  <c r="B5275" i="2"/>
  <c r="B5274" i="2"/>
  <c r="B5273" i="2"/>
  <c r="B5272" i="2"/>
  <c r="B5271" i="2"/>
  <c r="B5270" i="2"/>
  <c r="B5269" i="2"/>
  <c r="B5268" i="2"/>
  <c r="B5267" i="2"/>
  <c r="B5266" i="2"/>
  <c r="B5265" i="2"/>
  <c r="B5264" i="2"/>
  <c r="B5263" i="2"/>
  <c r="B5262" i="2"/>
  <c r="B5261" i="2"/>
  <c r="B5260" i="2"/>
  <c r="B5259" i="2"/>
  <c r="B5258" i="2"/>
  <c r="B5257" i="2"/>
  <c r="B5256" i="2"/>
  <c r="B5255" i="2"/>
  <c r="B5254" i="2"/>
  <c r="B5253" i="2"/>
  <c r="B5252" i="2"/>
  <c r="B5251" i="2"/>
  <c r="B5250" i="2"/>
  <c r="B5249" i="2"/>
  <c r="B5248" i="2"/>
  <c r="B5247" i="2"/>
  <c r="B5246" i="2"/>
  <c r="B5245" i="2"/>
  <c r="B5244" i="2"/>
  <c r="B5243" i="2"/>
  <c r="B5242" i="2"/>
  <c r="B5241" i="2"/>
  <c r="B5240" i="2"/>
  <c r="B5239" i="2"/>
  <c r="B5238" i="2"/>
  <c r="B5237" i="2"/>
  <c r="B5236" i="2"/>
  <c r="B5235" i="2"/>
  <c r="B5234" i="2"/>
  <c r="B5233" i="2"/>
  <c r="B5232" i="2"/>
  <c r="B5231" i="2"/>
  <c r="B5230" i="2"/>
  <c r="B5229" i="2"/>
  <c r="B5228" i="2"/>
  <c r="B5227" i="2"/>
  <c r="B5226" i="2"/>
  <c r="B5225" i="2"/>
  <c r="B5224" i="2"/>
  <c r="B5223" i="2"/>
  <c r="B5222" i="2"/>
  <c r="B5221" i="2"/>
  <c r="B5220" i="2"/>
  <c r="B5219" i="2"/>
  <c r="B5218" i="2"/>
  <c r="B5217" i="2"/>
  <c r="B5216" i="2"/>
  <c r="B5215" i="2"/>
  <c r="B5214" i="2"/>
  <c r="B5213" i="2"/>
  <c r="B5212" i="2"/>
  <c r="B5211" i="2"/>
  <c r="B5210" i="2"/>
  <c r="B5209" i="2"/>
  <c r="B5208" i="2"/>
  <c r="B5207" i="2"/>
  <c r="B5206" i="2"/>
  <c r="B5205" i="2"/>
  <c r="B5204" i="2"/>
  <c r="B5203" i="2"/>
  <c r="B5202" i="2"/>
  <c r="B5201" i="2"/>
  <c r="B5200" i="2"/>
  <c r="B5199" i="2"/>
  <c r="B5198" i="2"/>
  <c r="B5197" i="2"/>
  <c r="B5196" i="2"/>
  <c r="B5195" i="2"/>
  <c r="B5194" i="2"/>
  <c r="B5193" i="2"/>
  <c r="B5192" i="2"/>
  <c r="B5191" i="2"/>
  <c r="B5190" i="2"/>
  <c r="B5189" i="2"/>
  <c r="B5188" i="2"/>
  <c r="B5187" i="2"/>
  <c r="B5186" i="2"/>
  <c r="B5185" i="2"/>
  <c r="B5184" i="2"/>
  <c r="B5183" i="2"/>
  <c r="B5182" i="2"/>
  <c r="B5181" i="2"/>
  <c r="B5180" i="2"/>
  <c r="B5179" i="2"/>
  <c r="B5178" i="2"/>
  <c r="B5177" i="2"/>
  <c r="B5176" i="2"/>
  <c r="B5175" i="2"/>
  <c r="B5174" i="2"/>
  <c r="B5173" i="2"/>
  <c r="B5172" i="2"/>
  <c r="B5171" i="2"/>
  <c r="B5170" i="2"/>
  <c r="B5169" i="2"/>
  <c r="B5168" i="2"/>
  <c r="B5167" i="2"/>
  <c r="B5166" i="2"/>
  <c r="B5165" i="2"/>
  <c r="B5164" i="2"/>
  <c r="B5163" i="2"/>
  <c r="B5162" i="2"/>
  <c r="B5161" i="2"/>
  <c r="B5160" i="2"/>
  <c r="B5159" i="2"/>
  <c r="B5158" i="2"/>
  <c r="B5157" i="2"/>
  <c r="B5156" i="2"/>
  <c r="B5155" i="2"/>
  <c r="B5154" i="2"/>
  <c r="B5153" i="2"/>
  <c r="B5152" i="2"/>
  <c r="B5151" i="2"/>
  <c r="B5150" i="2"/>
  <c r="B5149" i="2"/>
  <c r="B5148" i="2"/>
  <c r="B5147" i="2"/>
  <c r="B5146" i="2"/>
  <c r="B5145" i="2"/>
  <c r="B5144" i="2"/>
  <c r="B5143" i="2"/>
  <c r="B5142" i="2"/>
  <c r="B5141" i="2"/>
  <c r="B5140" i="2"/>
  <c r="B5139" i="2"/>
  <c r="B5138" i="2"/>
  <c r="B5137" i="2"/>
  <c r="B5136" i="2"/>
  <c r="B5135" i="2"/>
  <c r="B5134" i="2"/>
  <c r="B5133" i="2"/>
  <c r="B5132" i="2"/>
  <c r="B5131" i="2"/>
  <c r="B5130" i="2"/>
  <c r="B5129" i="2"/>
  <c r="B5128" i="2"/>
  <c r="B5127" i="2"/>
  <c r="B5126" i="2"/>
  <c r="B5125" i="2"/>
  <c r="B5124" i="2"/>
  <c r="B5123" i="2"/>
  <c r="B5122" i="2"/>
  <c r="B5121" i="2"/>
  <c r="B5120" i="2"/>
  <c r="B5119" i="2"/>
  <c r="B5118" i="2"/>
  <c r="B5117" i="2"/>
  <c r="B5116" i="2"/>
  <c r="B5115" i="2"/>
  <c r="B5114" i="2"/>
  <c r="B5113" i="2"/>
  <c r="B5112" i="2"/>
  <c r="B5111" i="2"/>
  <c r="B5110" i="2"/>
  <c r="B5109" i="2"/>
  <c r="B5108" i="2"/>
  <c r="B5107" i="2"/>
  <c r="B5106" i="2"/>
  <c r="B5105" i="2"/>
  <c r="B5104" i="2"/>
  <c r="B5103" i="2"/>
  <c r="B5102" i="2"/>
  <c r="B5101" i="2"/>
  <c r="B5100" i="2"/>
  <c r="B5099" i="2"/>
  <c r="B5098" i="2"/>
  <c r="B5097" i="2"/>
  <c r="B5096" i="2"/>
  <c r="B5095" i="2"/>
  <c r="B5094" i="2"/>
  <c r="B5093" i="2"/>
  <c r="B5092" i="2"/>
  <c r="B5091" i="2"/>
  <c r="B5090" i="2"/>
  <c r="B5089" i="2"/>
  <c r="B5088" i="2"/>
  <c r="B5087" i="2"/>
  <c r="B5086" i="2"/>
  <c r="B5085" i="2"/>
  <c r="B5084" i="2"/>
  <c r="B5083" i="2"/>
  <c r="B5082" i="2"/>
  <c r="B5081" i="2"/>
  <c r="B5080" i="2"/>
  <c r="B5079" i="2"/>
  <c r="B5078" i="2"/>
  <c r="B5077" i="2"/>
  <c r="B5076" i="2"/>
  <c r="B5075" i="2"/>
  <c r="B5074" i="2"/>
  <c r="B5073" i="2"/>
  <c r="B5072" i="2"/>
  <c r="B5071" i="2"/>
  <c r="B5070" i="2"/>
  <c r="B5069" i="2"/>
  <c r="B5068" i="2"/>
  <c r="B5067" i="2"/>
  <c r="B5066" i="2"/>
  <c r="B5065" i="2"/>
  <c r="B5064" i="2"/>
  <c r="B5063" i="2"/>
  <c r="B5062" i="2"/>
  <c r="B5061" i="2"/>
  <c r="B5060" i="2"/>
  <c r="B5059" i="2"/>
  <c r="B5058" i="2"/>
  <c r="B5057" i="2"/>
  <c r="B5056" i="2"/>
  <c r="B5055" i="2"/>
  <c r="B5054" i="2"/>
  <c r="B5053" i="2"/>
  <c r="B5052" i="2"/>
  <c r="B5051" i="2"/>
  <c r="B5050" i="2"/>
  <c r="B5049" i="2"/>
  <c r="B5048" i="2"/>
  <c r="B5047" i="2"/>
  <c r="B5046" i="2"/>
  <c r="B5045" i="2"/>
  <c r="B5044" i="2"/>
  <c r="B5043" i="2"/>
  <c r="B5042" i="2"/>
  <c r="B5041" i="2"/>
  <c r="B5040" i="2"/>
  <c r="B5039" i="2"/>
  <c r="B5038" i="2"/>
  <c r="B5037" i="2"/>
  <c r="B5036" i="2"/>
  <c r="B5035" i="2"/>
  <c r="B5034" i="2"/>
  <c r="B5033" i="2"/>
  <c r="B5032" i="2"/>
  <c r="B5031" i="2"/>
  <c r="B5030" i="2"/>
  <c r="B5029" i="2"/>
  <c r="B5028" i="2"/>
  <c r="B5027" i="2"/>
  <c r="B5026" i="2"/>
  <c r="B5025" i="2"/>
  <c r="B5024" i="2"/>
  <c r="B5023" i="2"/>
  <c r="B5022" i="2"/>
  <c r="B5021" i="2"/>
  <c r="B5020" i="2"/>
  <c r="B5019" i="2"/>
  <c r="B5018" i="2"/>
  <c r="B5017" i="2"/>
  <c r="B5016" i="2"/>
  <c r="B5015" i="2"/>
  <c r="B5014" i="2"/>
  <c r="B5013" i="2"/>
  <c r="B5012" i="2"/>
  <c r="B5011" i="2"/>
  <c r="B5010" i="2"/>
  <c r="B5009" i="2"/>
  <c r="B5008" i="2"/>
  <c r="B5007" i="2"/>
  <c r="B5006" i="2"/>
  <c r="B5005" i="2"/>
  <c r="B5004" i="2"/>
  <c r="B5003" i="2"/>
  <c r="B5002" i="2"/>
  <c r="B5001" i="2"/>
  <c r="B5000" i="2"/>
  <c r="B4999" i="2"/>
  <c r="B4998" i="2"/>
  <c r="B4997" i="2"/>
  <c r="B4996" i="2"/>
  <c r="B4995" i="2"/>
  <c r="B4994" i="2"/>
  <c r="B4993" i="2"/>
  <c r="B4992" i="2"/>
  <c r="B4991" i="2"/>
  <c r="B4990" i="2"/>
  <c r="B4989" i="2"/>
  <c r="B4988" i="2"/>
  <c r="B4987" i="2"/>
  <c r="B4986" i="2"/>
  <c r="B4985" i="2"/>
  <c r="B4984" i="2"/>
  <c r="B4983" i="2"/>
  <c r="B4982" i="2"/>
  <c r="B4981" i="2"/>
  <c r="B4980" i="2"/>
  <c r="B4979" i="2"/>
  <c r="B4978" i="2"/>
  <c r="B4977" i="2"/>
  <c r="B4976" i="2"/>
  <c r="B4975" i="2"/>
  <c r="B4974" i="2"/>
  <c r="B4973" i="2"/>
  <c r="B4972" i="2"/>
  <c r="B4971" i="2"/>
  <c r="B4970" i="2"/>
  <c r="B4969" i="2"/>
  <c r="B4968" i="2"/>
  <c r="B4967" i="2"/>
  <c r="B4966" i="2"/>
  <c r="B4965" i="2"/>
  <c r="B4964" i="2"/>
  <c r="B4963" i="2"/>
  <c r="B4962" i="2"/>
  <c r="B4961" i="2"/>
  <c r="B4960" i="2"/>
  <c r="B4959" i="2"/>
  <c r="B4958" i="2"/>
  <c r="B4957" i="2"/>
  <c r="B4956" i="2"/>
  <c r="B4955" i="2"/>
  <c r="B4954" i="2"/>
  <c r="B4953" i="2"/>
  <c r="B4952" i="2"/>
  <c r="B4951" i="2"/>
  <c r="B4950" i="2"/>
  <c r="B4949" i="2"/>
  <c r="B4948" i="2"/>
  <c r="B4947" i="2"/>
  <c r="B4946" i="2"/>
  <c r="B4945" i="2"/>
  <c r="B4944" i="2"/>
  <c r="B4943" i="2"/>
  <c r="B4942" i="2"/>
  <c r="B4941" i="2"/>
  <c r="B4940" i="2"/>
  <c r="B4939" i="2"/>
  <c r="B4938" i="2"/>
  <c r="B4937" i="2"/>
  <c r="B4936" i="2"/>
  <c r="B4935" i="2"/>
  <c r="B4934" i="2"/>
  <c r="B4933" i="2"/>
  <c r="B4932" i="2"/>
  <c r="B4931" i="2"/>
  <c r="B4930" i="2"/>
  <c r="B4929" i="2"/>
  <c r="B4928" i="2"/>
  <c r="B4927" i="2"/>
  <c r="B4926" i="2"/>
  <c r="B4925" i="2"/>
  <c r="B4924" i="2"/>
  <c r="B4923" i="2"/>
  <c r="B4922" i="2"/>
  <c r="B4921" i="2"/>
  <c r="B4920" i="2"/>
  <c r="B4919" i="2"/>
  <c r="B4918" i="2"/>
  <c r="B4917" i="2"/>
  <c r="B4916" i="2"/>
  <c r="B4915" i="2"/>
  <c r="B4914" i="2"/>
  <c r="B4913" i="2"/>
  <c r="B4912" i="2"/>
  <c r="B4911" i="2"/>
  <c r="B4910" i="2"/>
  <c r="B4909" i="2"/>
  <c r="B4908" i="2"/>
  <c r="B4907" i="2"/>
  <c r="B4906" i="2"/>
  <c r="B4905" i="2"/>
  <c r="B4904" i="2"/>
  <c r="B4903" i="2"/>
  <c r="B4902" i="2"/>
  <c r="B4901" i="2"/>
  <c r="B4900" i="2"/>
  <c r="B4899" i="2"/>
  <c r="B4898" i="2"/>
  <c r="B4897" i="2"/>
  <c r="B4896" i="2"/>
  <c r="B4895" i="2"/>
  <c r="B4894" i="2"/>
  <c r="B4893" i="2"/>
  <c r="B4892" i="2"/>
  <c r="B4891" i="2"/>
  <c r="B4890" i="2"/>
  <c r="B4889" i="2"/>
  <c r="B4888" i="2"/>
  <c r="B4887" i="2"/>
  <c r="B4886" i="2"/>
  <c r="B4885" i="2"/>
  <c r="B4884" i="2"/>
  <c r="B4883" i="2"/>
  <c r="B4882" i="2"/>
  <c r="B4881" i="2"/>
  <c r="B4880" i="2"/>
  <c r="B4879" i="2"/>
  <c r="B4878" i="2"/>
  <c r="B4877" i="2"/>
  <c r="B4876" i="2"/>
  <c r="B4875" i="2"/>
  <c r="B4874" i="2"/>
  <c r="B4873" i="2"/>
  <c r="B4872" i="2"/>
  <c r="B4871" i="2"/>
  <c r="B4870" i="2"/>
  <c r="B4869" i="2"/>
  <c r="B4868" i="2"/>
  <c r="B4867" i="2"/>
  <c r="B4866" i="2"/>
  <c r="B4865" i="2"/>
  <c r="B4864" i="2"/>
  <c r="B4863" i="2"/>
  <c r="B4862" i="2"/>
  <c r="B4861" i="2"/>
  <c r="B4860" i="2"/>
  <c r="B4859" i="2"/>
  <c r="B4858" i="2"/>
  <c r="B4857" i="2"/>
  <c r="B4856" i="2"/>
  <c r="B4855" i="2"/>
  <c r="B4854" i="2"/>
  <c r="B4853" i="2"/>
  <c r="B4852" i="2"/>
  <c r="B4851" i="2"/>
  <c r="B4850" i="2"/>
  <c r="B4849" i="2"/>
  <c r="B4848" i="2"/>
  <c r="B4847" i="2"/>
  <c r="B4846" i="2"/>
  <c r="B4845" i="2"/>
  <c r="B4844" i="2"/>
  <c r="B4843" i="2"/>
  <c r="B4842" i="2"/>
  <c r="B4841" i="2"/>
  <c r="B4840" i="2"/>
  <c r="B4839" i="2"/>
  <c r="B4838" i="2"/>
  <c r="B4837" i="2"/>
  <c r="B4836" i="2"/>
  <c r="B4835" i="2"/>
  <c r="B4834" i="2"/>
  <c r="B4833" i="2"/>
  <c r="B4832" i="2"/>
  <c r="B4831" i="2"/>
  <c r="B4830" i="2"/>
  <c r="B4829" i="2"/>
  <c r="B4828" i="2"/>
  <c r="B4827" i="2"/>
  <c r="B4826" i="2"/>
  <c r="B4825" i="2"/>
  <c r="B4824" i="2"/>
  <c r="B4823" i="2"/>
  <c r="B4822" i="2"/>
  <c r="B4821" i="2"/>
  <c r="B4820" i="2"/>
  <c r="B4819" i="2"/>
  <c r="B4818" i="2"/>
  <c r="B4817" i="2"/>
  <c r="B4816" i="2"/>
  <c r="B4815" i="2"/>
  <c r="B4814" i="2"/>
  <c r="B4813" i="2"/>
  <c r="B4812" i="2"/>
  <c r="B4811" i="2"/>
  <c r="B4810" i="2"/>
  <c r="B4809" i="2"/>
  <c r="B4808" i="2"/>
  <c r="B4807" i="2"/>
  <c r="B4806" i="2"/>
  <c r="B4805" i="2"/>
  <c r="B4804" i="2"/>
  <c r="B4803" i="2"/>
  <c r="B4802" i="2"/>
  <c r="B4801" i="2"/>
  <c r="B4800" i="2"/>
  <c r="B4799" i="2"/>
  <c r="B4798" i="2"/>
  <c r="B4797" i="2"/>
  <c r="B4796" i="2"/>
  <c r="B4795" i="2"/>
  <c r="B4794" i="2"/>
  <c r="B4793" i="2"/>
  <c r="B4792" i="2"/>
  <c r="B4791" i="2"/>
  <c r="B4790" i="2"/>
  <c r="B4789" i="2"/>
  <c r="B4788" i="2"/>
  <c r="B4787" i="2"/>
  <c r="B4786" i="2"/>
  <c r="B4785" i="2"/>
  <c r="B4784" i="2"/>
  <c r="B4783" i="2"/>
  <c r="B4782" i="2"/>
  <c r="B4781" i="2"/>
  <c r="B4780" i="2"/>
  <c r="B4779" i="2"/>
  <c r="B4778" i="2"/>
  <c r="B4777" i="2"/>
  <c r="B4776" i="2"/>
  <c r="B4775" i="2"/>
  <c r="B4774" i="2"/>
  <c r="B4773" i="2"/>
  <c r="B4772" i="2"/>
  <c r="B4771" i="2"/>
  <c r="B4770" i="2"/>
  <c r="B4769" i="2"/>
  <c r="B4768" i="2"/>
  <c r="B4767" i="2"/>
  <c r="B4766" i="2"/>
  <c r="B4765" i="2"/>
  <c r="B4764" i="2"/>
  <c r="B4763" i="2"/>
  <c r="B4762" i="2"/>
  <c r="B4761" i="2"/>
  <c r="B4760" i="2"/>
  <c r="B4759" i="2"/>
  <c r="B4758" i="2"/>
  <c r="B4757" i="2"/>
  <c r="B4756" i="2"/>
  <c r="B4755" i="2"/>
  <c r="B4754" i="2"/>
  <c r="B4753" i="2"/>
  <c r="B4752" i="2"/>
  <c r="B4751" i="2"/>
  <c r="B4750" i="2"/>
  <c r="B4749" i="2"/>
  <c r="B4748" i="2"/>
  <c r="B4747" i="2"/>
  <c r="B4746" i="2"/>
  <c r="B4745" i="2"/>
  <c r="B4744" i="2"/>
  <c r="B4743" i="2"/>
  <c r="B4742" i="2"/>
  <c r="B4741" i="2"/>
  <c r="B4740" i="2"/>
  <c r="B4739" i="2"/>
  <c r="B4738" i="2"/>
  <c r="B4737" i="2"/>
  <c r="B4736" i="2"/>
  <c r="B4735" i="2"/>
  <c r="B4734" i="2"/>
  <c r="B4733" i="2"/>
  <c r="B4732" i="2"/>
  <c r="B4731" i="2"/>
  <c r="B4730" i="2"/>
  <c r="B4729" i="2"/>
  <c r="B4728" i="2"/>
  <c r="B4727" i="2"/>
  <c r="B4726" i="2"/>
  <c r="B4725" i="2"/>
  <c r="B4724" i="2"/>
  <c r="B4723" i="2"/>
  <c r="B4722" i="2"/>
  <c r="B4721" i="2"/>
  <c r="B4720" i="2"/>
  <c r="B4719" i="2"/>
  <c r="B4718" i="2"/>
  <c r="B4717" i="2"/>
  <c r="B4716" i="2"/>
  <c r="B4715" i="2"/>
  <c r="B4714" i="2"/>
  <c r="B4713" i="2"/>
  <c r="B4712" i="2"/>
  <c r="B4711" i="2"/>
  <c r="B4710" i="2"/>
  <c r="B4709" i="2"/>
  <c r="B4708" i="2"/>
  <c r="B4707" i="2"/>
  <c r="B4706" i="2"/>
  <c r="B4705" i="2"/>
  <c r="B4704" i="2"/>
  <c r="B4703" i="2"/>
  <c r="B4702" i="2"/>
  <c r="B4701" i="2"/>
  <c r="B4700" i="2"/>
  <c r="B4699" i="2"/>
  <c r="B4698" i="2"/>
  <c r="B4697" i="2"/>
  <c r="B4696" i="2"/>
  <c r="B4695" i="2"/>
  <c r="B4694" i="2"/>
  <c r="B4693" i="2"/>
  <c r="B4692" i="2"/>
  <c r="B4691" i="2"/>
  <c r="B4690" i="2"/>
  <c r="B4689" i="2"/>
  <c r="B4688" i="2"/>
  <c r="B4687" i="2"/>
  <c r="B4686" i="2"/>
  <c r="B4685" i="2"/>
  <c r="B4684" i="2"/>
  <c r="B4683" i="2"/>
  <c r="B4682" i="2"/>
  <c r="B4681" i="2"/>
  <c r="B4680" i="2"/>
  <c r="B4679" i="2"/>
  <c r="B4678" i="2"/>
  <c r="B4677" i="2"/>
  <c r="B4676" i="2"/>
  <c r="B4675" i="2"/>
  <c r="B4674" i="2"/>
  <c r="B4673" i="2"/>
  <c r="B4672" i="2"/>
  <c r="B4671" i="2"/>
  <c r="B4670" i="2"/>
  <c r="B4669" i="2"/>
  <c r="B4668" i="2"/>
  <c r="B4667" i="2"/>
  <c r="B4666" i="2"/>
  <c r="B4665" i="2"/>
  <c r="B4664" i="2"/>
  <c r="B4663" i="2"/>
  <c r="B4662" i="2"/>
  <c r="B4661" i="2"/>
  <c r="B4660" i="2"/>
  <c r="B4659" i="2"/>
  <c r="B4658" i="2"/>
  <c r="B4657" i="2"/>
  <c r="B4656" i="2"/>
  <c r="B4655" i="2"/>
  <c r="B4654" i="2"/>
  <c r="B4653" i="2"/>
  <c r="B4652" i="2"/>
  <c r="B4651" i="2"/>
  <c r="B4650" i="2"/>
  <c r="B4649" i="2"/>
  <c r="B4648" i="2"/>
  <c r="B4647" i="2"/>
  <c r="B4646" i="2"/>
  <c r="B4645" i="2"/>
  <c r="B4644" i="2"/>
  <c r="B4643" i="2"/>
  <c r="B4642" i="2"/>
  <c r="B4641" i="2"/>
  <c r="B4640" i="2"/>
  <c r="B4639" i="2"/>
  <c r="B4638" i="2"/>
  <c r="B4637" i="2"/>
  <c r="B4636" i="2"/>
  <c r="B4635" i="2"/>
  <c r="B4634" i="2"/>
  <c r="B4633" i="2"/>
  <c r="B4632" i="2"/>
  <c r="B4631" i="2"/>
  <c r="B4630" i="2"/>
  <c r="B4629" i="2"/>
  <c r="B4628" i="2"/>
  <c r="B4627" i="2"/>
  <c r="B4626" i="2"/>
  <c r="B4625" i="2"/>
  <c r="B4624" i="2"/>
  <c r="B4623" i="2"/>
  <c r="B4622" i="2"/>
  <c r="B4621" i="2"/>
  <c r="B4620" i="2"/>
  <c r="B4619" i="2"/>
  <c r="B4618" i="2"/>
  <c r="B4617" i="2"/>
  <c r="B4616" i="2"/>
  <c r="B4615" i="2"/>
  <c r="B4614" i="2"/>
  <c r="B4613" i="2"/>
  <c r="B4612" i="2"/>
  <c r="B4611" i="2"/>
  <c r="B4610" i="2"/>
  <c r="B4609" i="2"/>
  <c r="B4608" i="2"/>
  <c r="B4607" i="2"/>
  <c r="B4606" i="2"/>
  <c r="B4605" i="2"/>
  <c r="B4604" i="2"/>
  <c r="B4603" i="2"/>
  <c r="B4602" i="2"/>
  <c r="B4601" i="2"/>
  <c r="B4600" i="2"/>
  <c r="B4599" i="2"/>
  <c r="B4598" i="2"/>
  <c r="B4597" i="2"/>
  <c r="B4596" i="2"/>
  <c r="B4595" i="2"/>
  <c r="B4594" i="2"/>
  <c r="B4593" i="2"/>
  <c r="B4592" i="2"/>
  <c r="B4591" i="2"/>
  <c r="B4590" i="2"/>
  <c r="B4589" i="2"/>
  <c r="B4588" i="2"/>
  <c r="B4587" i="2"/>
  <c r="B4586" i="2"/>
  <c r="B4585" i="2"/>
  <c r="B4584" i="2"/>
  <c r="B4583" i="2"/>
  <c r="B4582" i="2"/>
  <c r="B4581" i="2"/>
  <c r="B4580" i="2"/>
  <c r="B4579" i="2"/>
  <c r="B4578" i="2"/>
  <c r="B4577" i="2"/>
  <c r="B4576" i="2"/>
  <c r="B4575" i="2"/>
  <c r="B4574" i="2"/>
  <c r="B4573" i="2"/>
  <c r="B4572" i="2"/>
  <c r="B4571" i="2"/>
  <c r="B4570" i="2"/>
  <c r="B4569" i="2"/>
  <c r="B4568" i="2"/>
  <c r="B4567" i="2"/>
  <c r="B4566" i="2"/>
  <c r="B4565" i="2"/>
  <c r="B4564" i="2"/>
  <c r="B4563" i="2"/>
  <c r="B4562" i="2"/>
  <c r="B4561" i="2"/>
  <c r="B4560" i="2"/>
  <c r="B4559" i="2"/>
  <c r="B4558" i="2"/>
  <c r="B4557" i="2"/>
  <c r="B4556" i="2"/>
  <c r="B4555" i="2"/>
  <c r="B4554" i="2"/>
  <c r="B4553" i="2"/>
  <c r="B4552" i="2"/>
  <c r="B4551" i="2"/>
  <c r="B4550" i="2"/>
  <c r="B4549" i="2"/>
  <c r="B4548" i="2"/>
  <c r="B4547" i="2"/>
  <c r="B4546" i="2"/>
  <c r="B4545" i="2"/>
  <c r="B4544" i="2"/>
  <c r="B4543" i="2"/>
  <c r="B4542" i="2"/>
  <c r="B4541" i="2"/>
  <c r="B4540" i="2"/>
  <c r="B4539" i="2"/>
  <c r="B4538" i="2"/>
  <c r="B4537" i="2"/>
  <c r="B4536" i="2"/>
  <c r="B4535" i="2"/>
  <c r="B4534" i="2"/>
  <c r="B4533" i="2"/>
  <c r="B4532" i="2"/>
  <c r="B4531" i="2"/>
  <c r="B4530" i="2"/>
  <c r="B4529" i="2"/>
  <c r="B4528" i="2"/>
  <c r="B4527" i="2"/>
  <c r="B4526" i="2"/>
  <c r="B4525" i="2"/>
  <c r="B4524" i="2"/>
  <c r="B4523" i="2"/>
  <c r="B4522" i="2"/>
  <c r="B4521" i="2"/>
  <c r="B4520" i="2"/>
  <c r="B4519" i="2"/>
  <c r="B4518" i="2"/>
  <c r="B4517" i="2"/>
  <c r="B4516" i="2"/>
  <c r="B4515" i="2"/>
  <c r="B4514" i="2"/>
  <c r="B4513" i="2"/>
  <c r="B4512" i="2"/>
  <c r="B4511" i="2"/>
  <c r="B4510" i="2"/>
  <c r="B4509" i="2"/>
  <c r="B4508" i="2"/>
  <c r="B4507" i="2"/>
  <c r="B4506" i="2"/>
  <c r="B4505" i="2"/>
  <c r="B4504" i="2"/>
  <c r="B4503" i="2"/>
  <c r="B4502" i="2"/>
  <c r="B4501" i="2"/>
  <c r="B4500" i="2"/>
  <c r="B4499" i="2"/>
  <c r="B4498" i="2"/>
  <c r="B4497" i="2"/>
  <c r="B4496" i="2"/>
  <c r="B4495" i="2"/>
  <c r="B4494" i="2"/>
  <c r="B4493" i="2"/>
  <c r="B4492" i="2"/>
  <c r="B4491" i="2"/>
  <c r="B4490" i="2"/>
  <c r="B4489" i="2"/>
  <c r="B4488" i="2"/>
  <c r="B4487" i="2"/>
  <c r="B4486" i="2"/>
  <c r="B4485" i="2"/>
  <c r="B4484" i="2"/>
  <c r="B4483" i="2"/>
  <c r="B4482" i="2"/>
  <c r="B4481" i="2"/>
  <c r="B4480" i="2"/>
  <c r="B4479" i="2"/>
  <c r="B4478" i="2"/>
  <c r="B4477" i="2"/>
  <c r="B4476" i="2"/>
  <c r="B4475" i="2"/>
  <c r="B4474" i="2"/>
  <c r="B4473" i="2"/>
  <c r="B4472" i="2"/>
  <c r="B4471" i="2"/>
  <c r="B4470" i="2"/>
  <c r="B4469" i="2"/>
  <c r="B4468" i="2"/>
  <c r="B4467" i="2"/>
  <c r="B4466" i="2"/>
  <c r="B4465" i="2"/>
  <c r="B4464" i="2"/>
  <c r="B4463" i="2"/>
  <c r="B4462" i="2"/>
  <c r="B4461" i="2"/>
  <c r="B4460" i="2"/>
  <c r="B4459" i="2"/>
  <c r="B4458" i="2"/>
  <c r="B4457" i="2"/>
  <c r="B4456" i="2"/>
  <c r="B4455" i="2"/>
  <c r="B4454" i="2"/>
  <c r="B4453" i="2"/>
  <c r="B4452" i="2"/>
  <c r="B4451" i="2"/>
  <c r="B4450" i="2"/>
  <c r="B4449" i="2"/>
  <c r="B4448" i="2"/>
  <c r="B4447" i="2"/>
  <c r="B4446" i="2"/>
  <c r="B4445" i="2"/>
  <c r="B4444" i="2"/>
  <c r="B4443" i="2"/>
  <c r="B4442" i="2"/>
  <c r="B4441" i="2"/>
  <c r="B4440" i="2"/>
  <c r="B4439" i="2"/>
  <c r="B4438" i="2"/>
  <c r="B4437" i="2"/>
  <c r="B4436" i="2"/>
  <c r="B4435" i="2"/>
  <c r="B4434" i="2"/>
  <c r="B4433" i="2"/>
  <c r="B4432" i="2"/>
  <c r="B4431" i="2"/>
  <c r="B4430" i="2"/>
  <c r="B4429" i="2"/>
  <c r="B4428" i="2"/>
  <c r="B4427" i="2"/>
  <c r="B4426" i="2"/>
  <c r="B4425" i="2"/>
  <c r="B4424" i="2"/>
  <c r="B4423" i="2"/>
  <c r="B4422" i="2"/>
  <c r="B4421" i="2"/>
  <c r="B4420" i="2"/>
  <c r="B4419" i="2"/>
  <c r="B4418" i="2"/>
  <c r="B4417" i="2"/>
  <c r="B4416" i="2"/>
  <c r="B4415" i="2"/>
  <c r="B4414" i="2"/>
  <c r="B4413" i="2"/>
  <c r="B4412" i="2"/>
  <c r="B4411" i="2"/>
  <c r="B4410" i="2"/>
  <c r="B4409" i="2"/>
  <c r="B4408" i="2"/>
  <c r="B4407" i="2"/>
  <c r="B4406" i="2"/>
  <c r="B4405" i="2"/>
  <c r="B4404" i="2"/>
  <c r="B4403" i="2"/>
  <c r="B4402" i="2"/>
  <c r="B4401" i="2"/>
  <c r="B4400" i="2"/>
  <c r="B4399" i="2"/>
  <c r="B4398" i="2"/>
  <c r="B4397" i="2"/>
  <c r="B4396" i="2"/>
  <c r="B4395" i="2"/>
  <c r="B4394" i="2"/>
  <c r="B4393" i="2"/>
  <c r="B4392" i="2"/>
  <c r="B4391" i="2"/>
  <c r="B4390" i="2"/>
  <c r="B4389" i="2"/>
  <c r="B4388" i="2"/>
  <c r="B4387" i="2"/>
  <c r="B4386" i="2"/>
  <c r="B4385" i="2"/>
  <c r="B4384" i="2"/>
  <c r="B4383" i="2"/>
  <c r="B4382" i="2"/>
  <c r="B4381" i="2"/>
  <c r="B4380" i="2"/>
  <c r="B4379" i="2"/>
  <c r="B4378" i="2"/>
  <c r="B4377" i="2"/>
  <c r="B4376" i="2"/>
  <c r="B4375" i="2"/>
  <c r="B4374" i="2"/>
  <c r="B4373" i="2"/>
  <c r="B4372" i="2"/>
  <c r="B4371" i="2"/>
  <c r="B4370" i="2"/>
  <c r="B4369" i="2"/>
  <c r="B4368" i="2"/>
  <c r="B4367" i="2"/>
  <c r="B4366" i="2"/>
  <c r="B4365" i="2"/>
  <c r="B4364" i="2"/>
  <c r="B4363" i="2"/>
  <c r="B4362" i="2"/>
  <c r="B4361" i="2"/>
  <c r="B4360" i="2"/>
  <c r="B4359" i="2"/>
  <c r="B4358" i="2"/>
  <c r="B4357" i="2"/>
  <c r="B4356" i="2"/>
  <c r="B4355" i="2"/>
  <c r="B4354" i="2"/>
  <c r="B4353" i="2"/>
  <c r="B4352" i="2"/>
  <c r="B4351" i="2"/>
  <c r="B4350" i="2"/>
  <c r="B4349" i="2"/>
  <c r="B4348" i="2"/>
  <c r="B4347" i="2"/>
  <c r="B4346" i="2"/>
  <c r="B4345" i="2"/>
  <c r="B4344" i="2"/>
  <c r="B4343" i="2"/>
  <c r="B4342" i="2"/>
  <c r="B4341" i="2"/>
  <c r="B4340" i="2"/>
  <c r="B4339" i="2"/>
  <c r="B4338" i="2"/>
  <c r="B4337" i="2"/>
  <c r="B4336" i="2"/>
  <c r="B4335" i="2"/>
  <c r="B4334" i="2"/>
  <c r="B4333" i="2"/>
  <c r="B4332" i="2"/>
  <c r="B4331" i="2"/>
  <c r="B4330" i="2"/>
  <c r="B4329" i="2"/>
  <c r="B4328" i="2"/>
  <c r="B4327" i="2"/>
  <c r="B4326" i="2"/>
  <c r="B4325" i="2"/>
  <c r="B4324" i="2"/>
  <c r="B4323" i="2"/>
  <c r="B4322" i="2"/>
  <c r="B4321" i="2"/>
  <c r="B4320" i="2"/>
  <c r="B4319" i="2"/>
  <c r="B4318" i="2"/>
  <c r="B4317" i="2"/>
  <c r="B4316" i="2"/>
  <c r="B4315" i="2"/>
  <c r="B4314" i="2"/>
  <c r="B4313" i="2"/>
  <c r="B4312" i="2"/>
  <c r="B4311" i="2"/>
  <c r="B4310" i="2"/>
  <c r="B4309" i="2"/>
  <c r="B4308" i="2"/>
  <c r="B4307" i="2"/>
  <c r="B4306" i="2"/>
  <c r="B4305" i="2"/>
  <c r="B4304" i="2"/>
  <c r="B4303" i="2"/>
  <c r="B4302" i="2"/>
  <c r="B4301" i="2"/>
  <c r="B4300" i="2"/>
  <c r="B4299" i="2"/>
  <c r="B4298" i="2"/>
  <c r="B4297" i="2"/>
  <c r="B4296" i="2"/>
  <c r="B4295" i="2"/>
  <c r="B4294" i="2"/>
  <c r="B4293" i="2"/>
  <c r="B4292" i="2"/>
  <c r="B4291" i="2"/>
  <c r="B4290" i="2"/>
  <c r="B4289" i="2"/>
  <c r="B4288" i="2"/>
  <c r="B4287" i="2"/>
  <c r="B4286" i="2"/>
  <c r="B4285" i="2"/>
  <c r="B4284" i="2"/>
  <c r="B4283" i="2"/>
  <c r="B4282" i="2"/>
  <c r="B4281" i="2"/>
  <c r="B4280" i="2"/>
  <c r="B4279" i="2"/>
  <c r="B4278" i="2"/>
  <c r="B4277" i="2"/>
  <c r="B4276" i="2"/>
  <c r="B4275" i="2"/>
  <c r="B4274" i="2"/>
  <c r="B4273" i="2"/>
  <c r="B4272" i="2"/>
  <c r="B4271" i="2"/>
  <c r="B4270" i="2"/>
  <c r="B4269" i="2"/>
  <c r="B4268" i="2"/>
  <c r="B4267" i="2"/>
  <c r="B4266" i="2"/>
  <c r="B4265" i="2"/>
  <c r="B4264" i="2"/>
  <c r="B4263" i="2"/>
  <c r="B4262" i="2"/>
  <c r="B4261" i="2"/>
  <c r="B4260" i="2"/>
  <c r="B4259" i="2"/>
  <c r="B4258" i="2"/>
  <c r="B4257" i="2"/>
  <c r="B4256" i="2"/>
  <c r="B4255" i="2"/>
  <c r="B4254" i="2"/>
  <c r="B4253" i="2"/>
  <c r="B4252" i="2"/>
  <c r="B4251" i="2"/>
  <c r="B4250" i="2"/>
  <c r="B4249" i="2"/>
  <c r="B4248" i="2"/>
  <c r="B4247" i="2"/>
  <c r="B4246" i="2"/>
  <c r="B4245" i="2"/>
  <c r="B4244" i="2"/>
  <c r="B4243" i="2"/>
  <c r="B4242" i="2"/>
  <c r="B4241" i="2"/>
  <c r="B4240" i="2"/>
  <c r="B4239" i="2"/>
  <c r="B4238" i="2"/>
  <c r="B4237" i="2"/>
  <c r="B4236" i="2"/>
  <c r="B4235" i="2"/>
  <c r="B4234" i="2"/>
  <c r="B4233" i="2"/>
  <c r="B4232" i="2"/>
  <c r="B4231" i="2"/>
  <c r="B4230" i="2"/>
  <c r="B4229" i="2"/>
  <c r="B4228" i="2"/>
  <c r="B4227" i="2"/>
  <c r="B4226" i="2"/>
  <c r="B4225" i="2"/>
  <c r="B4224" i="2"/>
  <c r="B4223" i="2"/>
  <c r="B4222" i="2"/>
  <c r="B4221" i="2"/>
  <c r="B4220" i="2"/>
  <c r="B4219" i="2"/>
  <c r="B4218" i="2"/>
  <c r="B4217" i="2"/>
  <c r="B4216" i="2"/>
  <c r="B4215" i="2"/>
  <c r="B4214" i="2"/>
  <c r="B4213" i="2"/>
  <c r="B4212" i="2"/>
  <c r="B4211" i="2"/>
  <c r="B4210" i="2"/>
  <c r="B4209" i="2"/>
  <c r="B4208" i="2"/>
  <c r="B4207" i="2"/>
  <c r="B4206" i="2"/>
  <c r="B4205" i="2"/>
  <c r="B4204" i="2"/>
  <c r="B4203" i="2"/>
  <c r="B4202" i="2"/>
  <c r="B4201" i="2"/>
  <c r="B4200" i="2"/>
  <c r="B4199" i="2"/>
  <c r="B4198" i="2"/>
  <c r="B4197" i="2"/>
  <c r="B4196" i="2"/>
  <c r="B4195" i="2"/>
  <c r="B4194" i="2"/>
  <c r="B4193" i="2"/>
  <c r="B4192" i="2"/>
  <c r="B4191" i="2"/>
  <c r="B4190" i="2"/>
  <c r="B4189" i="2"/>
  <c r="B4188" i="2"/>
  <c r="B4187" i="2"/>
  <c r="B4186" i="2"/>
  <c r="B4185" i="2"/>
  <c r="B4184" i="2"/>
  <c r="B4183" i="2"/>
  <c r="B4182" i="2"/>
  <c r="B4181" i="2"/>
  <c r="B4180" i="2"/>
  <c r="B4179" i="2"/>
  <c r="B4178" i="2"/>
  <c r="B4177" i="2"/>
  <c r="B4176" i="2"/>
  <c r="B4175" i="2"/>
  <c r="B4174" i="2"/>
  <c r="B4173" i="2"/>
  <c r="B4172" i="2"/>
  <c r="B4171" i="2"/>
  <c r="B4170" i="2"/>
  <c r="B4169" i="2"/>
  <c r="B4168" i="2"/>
  <c r="B4167" i="2"/>
  <c r="B4166" i="2"/>
  <c r="B4165" i="2"/>
  <c r="B4164" i="2"/>
  <c r="B4163" i="2"/>
  <c r="B4162" i="2"/>
  <c r="B4161" i="2"/>
  <c r="B4160" i="2"/>
  <c r="B4159" i="2"/>
  <c r="B4158" i="2"/>
  <c r="B4157" i="2"/>
  <c r="B4156" i="2"/>
  <c r="B4155" i="2"/>
  <c r="B4154" i="2"/>
  <c r="B4153" i="2"/>
  <c r="B4152" i="2"/>
  <c r="B4151" i="2"/>
  <c r="B4150" i="2"/>
  <c r="B4149" i="2"/>
  <c r="B4148" i="2"/>
  <c r="B4147" i="2"/>
  <c r="B4146" i="2"/>
  <c r="B4145" i="2"/>
  <c r="B4144" i="2"/>
  <c r="B4143" i="2"/>
  <c r="B4142" i="2"/>
  <c r="B4141" i="2"/>
  <c r="B4140" i="2"/>
  <c r="B4139" i="2"/>
  <c r="B4138" i="2"/>
  <c r="B4137" i="2"/>
  <c r="B4136" i="2"/>
  <c r="B4135" i="2"/>
  <c r="B4134" i="2"/>
  <c r="B4133" i="2"/>
  <c r="B4132" i="2"/>
  <c r="B4131" i="2"/>
  <c r="B4130" i="2"/>
  <c r="B4129" i="2"/>
  <c r="B4128" i="2"/>
  <c r="B4127" i="2"/>
  <c r="B4126" i="2"/>
  <c r="B4125" i="2"/>
  <c r="B4124" i="2"/>
  <c r="B4123" i="2"/>
  <c r="B4122" i="2"/>
  <c r="B4121" i="2"/>
  <c r="B4120" i="2"/>
  <c r="B4119" i="2"/>
  <c r="B4118" i="2"/>
  <c r="B4117" i="2"/>
  <c r="B4116" i="2"/>
  <c r="B4115" i="2"/>
  <c r="B4114" i="2"/>
  <c r="B4113" i="2"/>
  <c r="B4112" i="2"/>
  <c r="B4111" i="2"/>
  <c r="B4110" i="2"/>
  <c r="B4109" i="2"/>
  <c r="B4108" i="2"/>
  <c r="B4107" i="2"/>
  <c r="B4106" i="2"/>
  <c r="B4105" i="2"/>
  <c r="B4104" i="2"/>
  <c r="B4103" i="2"/>
  <c r="B4102" i="2"/>
  <c r="B4101" i="2"/>
  <c r="B4100" i="2"/>
  <c r="B4099" i="2"/>
  <c r="B4098" i="2"/>
  <c r="B4097" i="2"/>
  <c r="B4096" i="2"/>
  <c r="B4095" i="2"/>
  <c r="B4094" i="2"/>
  <c r="B4093" i="2"/>
  <c r="B4092" i="2"/>
  <c r="B4091" i="2"/>
  <c r="B4090" i="2"/>
  <c r="B4089" i="2"/>
  <c r="B4088" i="2"/>
  <c r="B4087" i="2"/>
  <c r="B4086" i="2"/>
  <c r="B4085" i="2"/>
  <c r="B4084" i="2"/>
  <c r="B4083" i="2"/>
  <c r="B4082" i="2"/>
  <c r="B4081" i="2"/>
  <c r="B4080" i="2"/>
  <c r="B4079" i="2"/>
  <c r="B4078" i="2"/>
  <c r="B4077" i="2"/>
  <c r="B4076" i="2"/>
  <c r="B4075" i="2"/>
  <c r="B4074" i="2"/>
  <c r="B4073" i="2"/>
  <c r="B4072" i="2"/>
  <c r="B4071" i="2"/>
  <c r="B4070" i="2"/>
  <c r="B4069" i="2"/>
  <c r="B4068" i="2"/>
  <c r="B4067" i="2"/>
  <c r="B4066" i="2"/>
  <c r="B4065" i="2"/>
  <c r="B4064" i="2"/>
  <c r="B4063" i="2"/>
  <c r="B4062" i="2"/>
  <c r="B4061" i="2"/>
  <c r="B4060" i="2"/>
  <c r="B4059" i="2"/>
  <c r="B4058" i="2"/>
  <c r="B4057" i="2"/>
  <c r="B4056" i="2"/>
  <c r="B4055" i="2"/>
  <c r="B4054" i="2"/>
  <c r="B4053" i="2"/>
  <c r="B4052" i="2"/>
  <c r="B4051" i="2"/>
  <c r="B4050" i="2"/>
  <c r="B4049" i="2"/>
  <c r="B4048" i="2"/>
  <c r="B4047" i="2"/>
  <c r="B4046" i="2"/>
  <c r="B4045" i="2"/>
  <c r="B4044" i="2"/>
  <c r="B4043" i="2"/>
  <c r="B4042" i="2"/>
  <c r="B4041" i="2"/>
  <c r="B4040" i="2"/>
  <c r="B4039" i="2"/>
  <c r="B4038" i="2"/>
  <c r="B4037" i="2"/>
  <c r="B4036" i="2"/>
  <c r="B4035" i="2"/>
  <c r="B4034" i="2"/>
  <c r="B4033" i="2"/>
  <c r="B4032" i="2"/>
  <c r="B4031" i="2"/>
  <c r="B4030" i="2"/>
  <c r="B4029" i="2"/>
  <c r="B4028" i="2"/>
  <c r="B4027" i="2"/>
  <c r="B4026" i="2"/>
  <c r="B4025" i="2"/>
  <c r="B4024" i="2"/>
  <c r="B4023" i="2"/>
  <c r="B4022" i="2"/>
  <c r="B4021" i="2"/>
  <c r="B4020" i="2"/>
  <c r="B4019" i="2"/>
  <c r="B4018" i="2"/>
  <c r="B4017" i="2"/>
  <c r="B4016" i="2"/>
  <c r="B4015" i="2"/>
  <c r="B4014" i="2"/>
  <c r="B4013" i="2"/>
  <c r="B4012" i="2"/>
  <c r="B4011" i="2"/>
  <c r="B4010" i="2"/>
  <c r="B4009" i="2"/>
  <c r="B4008" i="2"/>
  <c r="B4007" i="2"/>
  <c r="B4006" i="2"/>
  <c r="B4005" i="2"/>
  <c r="B4004" i="2"/>
  <c r="B4003" i="2"/>
  <c r="B4002" i="2"/>
  <c r="B4001" i="2"/>
  <c r="B4000" i="2"/>
  <c r="B3999" i="2"/>
  <c r="B3998" i="2"/>
  <c r="B3997" i="2"/>
  <c r="B3996" i="2"/>
  <c r="B3995" i="2"/>
  <c r="B3994" i="2"/>
  <c r="B3993" i="2"/>
  <c r="B3992" i="2"/>
  <c r="B3991" i="2"/>
  <c r="B3990" i="2"/>
  <c r="B3989" i="2"/>
  <c r="B3988" i="2"/>
  <c r="B3987" i="2"/>
  <c r="B3986" i="2"/>
  <c r="B3985" i="2"/>
  <c r="B3984" i="2"/>
  <c r="B3983" i="2"/>
  <c r="B3982" i="2"/>
  <c r="B3981" i="2"/>
  <c r="B3980" i="2"/>
  <c r="B3979" i="2"/>
  <c r="B3978" i="2"/>
  <c r="B3977" i="2"/>
  <c r="B3976" i="2"/>
  <c r="B3975" i="2"/>
  <c r="B3974" i="2"/>
  <c r="B3973" i="2"/>
  <c r="B3972" i="2"/>
  <c r="B3971" i="2"/>
  <c r="B3970" i="2"/>
  <c r="B3969" i="2"/>
  <c r="B3968" i="2"/>
  <c r="B3967" i="2"/>
  <c r="B3966" i="2"/>
  <c r="B3965" i="2"/>
  <c r="B3964" i="2"/>
  <c r="B3963" i="2"/>
  <c r="B3962" i="2"/>
  <c r="B3961" i="2"/>
  <c r="B3960" i="2"/>
  <c r="B3959" i="2"/>
  <c r="B3958" i="2"/>
  <c r="B3957" i="2"/>
  <c r="B3956" i="2"/>
  <c r="B3955" i="2"/>
  <c r="B3954" i="2"/>
  <c r="B3953" i="2"/>
  <c r="B3952" i="2"/>
  <c r="B3951" i="2"/>
  <c r="B3950" i="2"/>
  <c r="B3949" i="2"/>
  <c r="B3948" i="2"/>
  <c r="B3947" i="2"/>
  <c r="B3946" i="2"/>
  <c r="B3945" i="2"/>
  <c r="B3944" i="2"/>
  <c r="B3943" i="2"/>
  <c r="B3942" i="2"/>
  <c r="B3941" i="2"/>
  <c r="B3940" i="2"/>
  <c r="B3939" i="2"/>
  <c r="B3938" i="2"/>
  <c r="B3937" i="2"/>
  <c r="B3936" i="2"/>
  <c r="B3935" i="2"/>
  <c r="B3934" i="2"/>
  <c r="B3933" i="2"/>
  <c r="B3932" i="2"/>
  <c r="B3931" i="2"/>
  <c r="B3930" i="2"/>
  <c r="B3929" i="2"/>
  <c r="B3928" i="2"/>
  <c r="B3927" i="2"/>
  <c r="B3926" i="2"/>
  <c r="B3925" i="2"/>
  <c r="B3924" i="2"/>
  <c r="B3923" i="2"/>
  <c r="B3922" i="2"/>
  <c r="B3921" i="2"/>
  <c r="B3920" i="2"/>
  <c r="B3919" i="2"/>
  <c r="B3918" i="2"/>
  <c r="B3917" i="2"/>
  <c r="B3916" i="2"/>
  <c r="B3915" i="2"/>
  <c r="B3914" i="2"/>
  <c r="B3913" i="2"/>
  <c r="B3912" i="2"/>
  <c r="B3911" i="2"/>
  <c r="B3910" i="2"/>
  <c r="B3909" i="2"/>
  <c r="B3908" i="2"/>
  <c r="B3907" i="2"/>
  <c r="B3906" i="2"/>
  <c r="B3905" i="2"/>
  <c r="B3904" i="2"/>
  <c r="B3903" i="2"/>
  <c r="B3902" i="2"/>
  <c r="B3901" i="2"/>
  <c r="B3900" i="2"/>
  <c r="B3899" i="2"/>
  <c r="B3898" i="2"/>
  <c r="B3897" i="2"/>
  <c r="B3896" i="2"/>
  <c r="B3895" i="2"/>
  <c r="B3894" i="2"/>
  <c r="B3893" i="2"/>
  <c r="B3892" i="2"/>
  <c r="B3891" i="2"/>
  <c r="B3890" i="2"/>
  <c r="B3889" i="2"/>
  <c r="B3888" i="2"/>
  <c r="B3887" i="2"/>
  <c r="B3886" i="2"/>
  <c r="B3885" i="2"/>
  <c r="B3884" i="2"/>
  <c r="B3883" i="2"/>
  <c r="B3882" i="2"/>
  <c r="B3881" i="2"/>
  <c r="B3880" i="2"/>
  <c r="B3879" i="2"/>
  <c r="B3878" i="2"/>
  <c r="B3877" i="2"/>
  <c r="B3876" i="2"/>
  <c r="B3875" i="2"/>
  <c r="B3874" i="2"/>
  <c r="B3873" i="2"/>
  <c r="B3872" i="2"/>
  <c r="B3871" i="2"/>
  <c r="B3870" i="2"/>
  <c r="B3869" i="2"/>
  <c r="B3868" i="2"/>
  <c r="B3867" i="2"/>
  <c r="B3866" i="2"/>
  <c r="B3865" i="2"/>
  <c r="B3864" i="2"/>
  <c r="B3863" i="2"/>
  <c r="B3862" i="2"/>
  <c r="B3861" i="2"/>
  <c r="B3860" i="2"/>
  <c r="B3859" i="2"/>
  <c r="B3858" i="2"/>
  <c r="B3857" i="2"/>
  <c r="B3856" i="2"/>
  <c r="B3855" i="2"/>
  <c r="B3854" i="2"/>
  <c r="B3853" i="2"/>
  <c r="B3852" i="2"/>
  <c r="B3851" i="2"/>
  <c r="B3850" i="2"/>
  <c r="B3849" i="2"/>
  <c r="B3848" i="2"/>
  <c r="B3847" i="2"/>
  <c r="B3846" i="2"/>
  <c r="B3845" i="2"/>
  <c r="B3844" i="2"/>
  <c r="B3843" i="2"/>
  <c r="B3842" i="2"/>
  <c r="B3841" i="2"/>
  <c r="B3840" i="2"/>
  <c r="B3839" i="2"/>
  <c r="B3838" i="2"/>
  <c r="B3837" i="2"/>
  <c r="B3836" i="2"/>
  <c r="B3835" i="2"/>
  <c r="B3834" i="2"/>
  <c r="B3833" i="2"/>
  <c r="B3832" i="2"/>
  <c r="B3831" i="2"/>
  <c r="B3830" i="2"/>
  <c r="B3829" i="2"/>
  <c r="B3828" i="2"/>
  <c r="B3827" i="2"/>
  <c r="B3826" i="2"/>
  <c r="B3825" i="2"/>
  <c r="B3824" i="2"/>
  <c r="B3823" i="2"/>
  <c r="B3822" i="2"/>
  <c r="B3821" i="2"/>
  <c r="B3820" i="2"/>
  <c r="B3819" i="2"/>
  <c r="B3818" i="2"/>
  <c r="B3817" i="2"/>
  <c r="B3816" i="2"/>
  <c r="B3815" i="2"/>
  <c r="B3814" i="2"/>
  <c r="B3813" i="2"/>
  <c r="B3812" i="2"/>
  <c r="B3811" i="2"/>
  <c r="B3810" i="2"/>
  <c r="B3809" i="2"/>
  <c r="B3808" i="2"/>
  <c r="B3807" i="2"/>
  <c r="B3806" i="2"/>
  <c r="B3805" i="2"/>
  <c r="B3804" i="2"/>
  <c r="B3803" i="2"/>
  <c r="B3802" i="2"/>
  <c r="B3801" i="2"/>
  <c r="B3800" i="2"/>
  <c r="B3799" i="2"/>
  <c r="B3798" i="2"/>
  <c r="B3797" i="2"/>
  <c r="B3796" i="2"/>
  <c r="B3795" i="2"/>
  <c r="B3794" i="2"/>
  <c r="B3793" i="2"/>
  <c r="B3792" i="2"/>
  <c r="B3791" i="2"/>
  <c r="B3790" i="2"/>
  <c r="B3789" i="2"/>
  <c r="B3788" i="2"/>
  <c r="B3787" i="2"/>
  <c r="B3786" i="2"/>
  <c r="B3785" i="2"/>
  <c r="B3784" i="2"/>
  <c r="B3783" i="2"/>
  <c r="B3782" i="2"/>
  <c r="B3781" i="2"/>
  <c r="B3780" i="2"/>
  <c r="B3779" i="2"/>
  <c r="B3778" i="2"/>
  <c r="B3777" i="2"/>
  <c r="B3776" i="2"/>
  <c r="B3775" i="2"/>
  <c r="B3774" i="2"/>
  <c r="B3773" i="2"/>
  <c r="B3772" i="2"/>
  <c r="B3771" i="2"/>
  <c r="B3770" i="2"/>
  <c r="B3769" i="2"/>
  <c r="B3768" i="2"/>
  <c r="B3767" i="2"/>
  <c r="B3766" i="2"/>
  <c r="B3765" i="2"/>
  <c r="B3764" i="2"/>
  <c r="B3763" i="2"/>
  <c r="B3762" i="2"/>
  <c r="B3761" i="2"/>
  <c r="B3760" i="2"/>
  <c r="B3759" i="2"/>
  <c r="B3758" i="2"/>
  <c r="B3757" i="2"/>
  <c r="B3756" i="2"/>
  <c r="B3755" i="2"/>
  <c r="B3754" i="2"/>
  <c r="B3753" i="2"/>
  <c r="B3752" i="2"/>
  <c r="B3751" i="2"/>
  <c r="B3750" i="2"/>
  <c r="B3749" i="2"/>
  <c r="B3748" i="2"/>
  <c r="B3747" i="2"/>
  <c r="B3746" i="2"/>
  <c r="B3745" i="2"/>
  <c r="B3744" i="2"/>
  <c r="B3743" i="2"/>
  <c r="B3742" i="2"/>
  <c r="B3741" i="2"/>
  <c r="B3740" i="2"/>
  <c r="B3739" i="2"/>
  <c r="B3738" i="2"/>
  <c r="B3737" i="2"/>
  <c r="B3736" i="2"/>
  <c r="B3735" i="2"/>
  <c r="B3734" i="2"/>
  <c r="B3733" i="2"/>
  <c r="B3732" i="2"/>
  <c r="B3731" i="2"/>
  <c r="B3730" i="2"/>
  <c r="B3729" i="2"/>
  <c r="B3728" i="2"/>
  <c r="B3727" i="2"/>
  <c r="B3726" i="2"/>
  <c r="B3725" i="2"/>
  <c r="B3724" i="2"/>
  <c r="B3723" i="2"/>
  <c r="B3722" i="2"/>
  <c r="B3721" i="2"/>
  <c r="B3720" i="2"/>
  <c r="B3719" i="2"/>
  <c r="B3718" i="2"/>
  <c r="B3717" i="2"/>
  <c r="B3716" i="2"/>
  <c r="B3715" i="2"/>
  <c r="B3714" i="2"/>
  <c r="B3713" i="2"/>
  <c r="B3712" i="2"/>
  <c r="B3711" i="2"/>
  <c r="B3710" i="2"/>
  <c r="B3709" i="2"/>
  <c r="B3708" i="2"/>
  <c r="B3707" i="2"/>
  <c r="B3706" i="2"/>
  <c r="B3705" i="2"/>
  <c r="B3704" i="2"/>
  <c r="B3703" i="2"/>
  <c r="B3702" i="2"/>
  <c r="B3701" i="2"/>
  <c r="B3700" i="2"/>
  <c r="B3699" i="2"/>
  <c r="B3698" i="2"/>
  <c r="B3697" i="2"/>
  <c r="B3696" i="2"/>
  <c r="B3695" i="2"/>
  <c r="B3694" i="2"/>
  <c r="B3693" i="2"/>
  <c r="B3692" i="2"/>
  <c r="B3691" i="2"/>
  <c r="B3690" i="2"/>
  <c r="B3689" i="2"/>
  <c r="B3688" i="2"/>
  <c r="B3687" i="2"/>
  <c r="B3686" i="2"/>
  <c r="B3685" i="2"/>
  <c r="B3684" i="2"/>
  <c r="B3683" i="2"/>
  <c r="B3682" i="2"/>
  <c r="B3681" i="2"/>
  <c r="B3680" i="2"/>
  <c r="B3679" i="2"/>
  <c r="B3678" i="2"/>
  <c r="B3677" i="2"/>
  <c r="B3676" i="2"/>
  <c r="B3675" i="2"/>
  <c r="B3674" i="2"/>
  <c r="B3673" i="2"/>
  <c r="B3672" i="2"/>
  <c r="B3671" i="2"/>
  <c r="B3670" i="2"/>
  <c r="B3669" i="2"/>
  <c r="B3668" i="2"/>
  <c r="B3667" i="2"/>
  <c r="B3666" i="2"/>
  <c r="B3665" i="2"/>
  <c r="B3664" i="2"/>
  <c r="B3663" i="2"/>
  <c r="B3662" i="2"/>
  <c r="B3661" i="2"/>
  <c r="B3660" i="2"/>
  <c r="B3659" i="2"/>
  <c r="B3658" i="2"/>
  <c r="B3657" i="2"/>
  <c r="B3656" i="2"/>
  <c r="B3655" i="2"/>
  <c r="B3654" i="2"/>
  <c r="B3653" i="2"/>
  <c r="B3652" i="2"/>
  <c r="B3651" i="2"/>
  <c r="B3650" i="2"/>
  <c r="B3649" i="2"/>
  <c r="B3648" i="2"/>
  <c r="B3647" i="2"/>
  <c r="B3646" i="2"/>
  <c r="B3645" i="2"/>
  <c r="B3644" i="2"/>
  <c r="B3643" i="2"/>
  <c r="B3642" i="2"/>
  <c r="B3641" i="2"/>
  <c r="B3640" i="2"/>
  <c r="B3639" i="2"/>
  <c r="B3638" i="2"/>
  <c r="B3637" i="2"/>
  <c r="B3636" i="2"/>
  <c r="B3635" i="2"/>
  <c r="B3634" i="2"/>
  <c r="B3633" i="2"/>
  <c r="B3632" i="2"/>
  <c r="B3631" i="2"/>
  <c r="B3630" i="2"/>
  <c r="B3629" i="2"/>
  <c r="B3628" i="2"/>
  <c r="B3627" i="2"/>
  <c r="B3626" i="2"/>
  <c r="B3625" i="2"/>
  <c r="B3624" i="2"/>
  <c r="B3623" i="2"/>
  <c r="B3622" i="2"/>
  <c r="B3621" i="2"/>
  <c r="B3620" i="2"/>
  <c r="B3619" i="2"/>
  <c r="B3618" i="2"/>
  <c r="B3617" i="2"/>
  <c r="B3616" i="2"/>
  <c r="B3615" i="2"/>
  <c r="B3614" i="2"/>
  <c r="B3613" i="2"/>
  <c r="B3612" i="2"/>
  <c r="B3611" i="2"/>
  <c r="B3610" i="2"/>
  <c r="B3609" i="2"/>
  <c r="B3608" i="2"/>
  <c r="B3607" i="2"/>
  <c r="B3606" i="2"/>
  <c r="B3605" i="2"/>
  <c r="B3604" i="2"/>
  <c r="B3603" i="2"/>
  <c r="B3602" i="2"/>
  <c r="B3601" i="2"/>
  <c r="B3600" i="2"/>
  <c r="B3599" i="2"/>
  <c r="B3598" i="2"/>
  <c r="B3597" i="2"/>
  <c r="B3596" i="2"/>
  <c r="B3595" i="2"/>
  <c r="B3594" i="2"/>
  <c r="B3593" i="2"/>
  <c r="B3592" i="2"/>
  <c r="B3591" i="2"/>
  <c r="B3590" i="2"/>
  <c r="B3589" i="2"/>
  <c r="B3588" i="2"/>
  <c r="B3587" i="2"/>
  <c r="B3586" i="2"/>
  <c r="B3585" i="2"/>
  <c r="B3584" i="2"/>
  <c r="B3583" i="2"/>
  <c r="B3582" i="2"/>
  <c r="B3581" i="2"/>
  <c r="B3580" i="2"/>
  <c r="B3579" i="2"/>
  <c r="B3578" i="2"/>
  <c r="B3577" i="2"/>
  <c r="B3576" i="2"/>
  <c r="B3575" i="2"/>
  <c r="B3574" i="2"/>
  <c r="B3573" i="2"/>
  <c r="B3572" i="2"/>
  <c r="B3571" i="2"/>
  <c r="B3570" i="2"/>
  <c r="B3569" i="2"/>
  <c r="B3568" i="2"/>
  <c r="B3567" i="2"/>
  <c r="B3566" i="2"/>
  <c r="B3565" i="2"/>
  <c r="B3564" i="2"/>
  <c r="B3563" i="2"/>
  <c r="B3562" i="2"/>
  <c r="B3561" i="2"/>
  <c r="B3560" i="2"/>
  <c r="B3559" i="2"/>
  <c r="B3558" i="2"/>
  <c r="B3557" i="2"/>
  <c r="B3556" i="2"/>
  <c r="B3555" i="2"/>
  <c r="B3554" i="2"/>
  <c r="B3553" i="2"/>
  <c r="B3552" i="2"/>
  <c r="B3551" i="2"/>
  <c r="B3550" i="2"/>
  <c r="B3549" i="2"/>
  <c r="B3548" i="2"/>
  <c r="B3547" i="2"/>
  <c r="B3546" i="2"/>
  <c r="B3545" i="2"/>
  <c r="B3544" i="2"/>
  <c r="B3543" i="2"/>
  <c r="B3542" i="2"/>
  <c r="B3541" i="2"/>
  <c r="B3540" i="2"/>
  <c r="B3539" i="2"/>
  <c r="B3538" i="2"/>
  <c r="B3537" i="2"/>
  <c r="B3536" i="2"/>
  <c r="B3535" i="2"/>
  <c r="B3534" i="2"/>
  <c r="B3533" i="2"/>
  <c r="B3532" i="2"/>
  <c r="B3531" i="2"/>
  <c r="B3530" i="2"/>
  <c r="B3529" i="2"/>
  <c r="B3528" i="2"/>
  <c r="B3527" i="2"/>
  <c r="B3526" i="2"/>
  <c r="B3525" i="2"/>
  <c r="B3524" i="2"/>
  <c r="B3523" i="2"/>
  <c r="B3522" i="2"/>
  <c r="B3521" i="2"/>
  <c r="B3520" i="2"/>
  <c r="B3519" i="2"/>
  <c r="B3518" i="2"/>
  <c r="B3517" i="2"/>
  <c r="B3516" i="2"/>
  <c r="B3515" i="2"/>
  <c r="B3514" i="2"/>
  <c r="B3513" i="2"/>
  <c r="B3512" i="2"/>
  <c r="B3511" i="2"/>
  <c r="B3510" i="2"/>
  <c r="B3509" i="2"/>
  <c r="B3508" i="2"/>
  <c r="B3507" i="2"/>
  <c r="B3506" i="2"/>
  <c r="B3505" i="2"/>
  <c r="B3504" i="2"/>
  <c r="B3503" i="2"/>
  <c r="B3502" i="2"/>
  <c r="B3501" i="2"/>
  <c r="B3500" i="2"/>
  <c r="B3499" i="2"/>
  <c r="B3498" i="2"/>
  <c r="B3497" i="2"/>
  <c r="B3496" i="2"/>
  <c r="B3495" i="2"/>
  <c r="B3494" i="2"/>
  <c r="B3493" i="2"/>
  <c r="B3492" i="2"/>
  <c r="B3491" i="2"/>
  <c r="B3490" i="2"/>
  <c r="B3489" i="2"/>
  <c r="B3488" i="2"/>
  <c r="B3487" i="2"/>
  <c r="B3486" i="2"/>
  <c r="B3485" i="2"/>
  <c r="B3484" i="2"/>
  <c r="B3483" i="2"/>
  <c r="B3482" i="2"/>
  <c r="B3481" i="2"/>
  <c r="B3480" i="2"/>
  <c r="B3479" i="2"/>
  <c r="B3478" i="2"/>
  <c r="B3477" i="2"/>
  <c r="B3476" i="2"/>
  <c r="B3475" i="2"/>
  <c r="B3474" i="2"/>
  <c r="B3473" i="2"/>
  <c r="B3472" i="2"/>
  <c r="B3471" i="2"/>
  <c r="B3470" i="2"/>
  <c r="B3469" i="2"/>
  <c r="B3468" i="2"/>
  <c r="B3467" i="2"/>
  <c r="B3466" i="2"/>
  <c r="B3465" i="2"/>
  <c r="B3464" i="2"/>
  <c r="B3463" i="2"/>
  <c r="B3462" i="2"/>
  <c r="B3461" i="2"/>
  <c r="B3460" i="2"/>
  <c r="B3459" i="2"/>
  <c r="B3458" i="2"/>
  <c r="B3457" i="2"/>
  <c r="B3456" i="2"/>
  <c r="B3455" i="2"/>
  <c r="B3454" i="2"/>
  <c r="B3453" i="2"/>
  <c r="B3452" i="2"/>
  <c r="B3451" i="2"/>
  <c r="B3450" i="2"/>
  <c r="B3449" i="2"/>
  <c r="B3448" i="2"/>
  <c r="B3447" i="2"/>
  <c r="B3446" i="2"/>
  <c r="B3445" i="2"/>
  <c r="B3444" i="2"/>
  <c r="B3443" i="2"/>
  <c r="B3442" i="2"/>
  <c r="B3441" i="2"/>
  <c r="B3440" i="2"/>
  <c r="B3439" i="2"/>
  <c r="B3438" i="2"/>
  <c r="B3437" i="2"/>
  <c r="B3436" i="2"/>
  <c r="B3435" i="2"/>
  <c r="B3434" i="2"/>
  <c r="B3433" i="2"/>
  <c r="B3432" i="2"/>
  <c r="B3431" i="2"/>
  <c r="B3430" i="2"/>
  <c r="B3429" i="2"/>
  <c r="B3428" i="2"/>
  <c r="B3427" i="2"/>
  <c r="B3426" i="2"/>
  <c r="B3425" i="2"/>
  <c r="B3424" i="2"/>
  <c r="B3423" i="2"/>
  <c r="B3422" i="2"/>
  <c r="B3421" i="2"/>
  <c r="B3420" i="2"/>
  <c r="B3419" i="2"/>
  <c r="B3418" i="2"/>
  <c r="B3417" i="2"/>
  <c r="B3416" i="2"/>
  <c r="B3415" i="2"/>
  <c r="B3414" i="2"/>
  <c r="B3413" i="2"/>
  <c r="B3412" i="2"/>
  <c r="B3411" i="2"/>
  <c r="B3410" i="2"/>
  <c r="B3409" i="2"/>
  <c r="B3408" i="2"/>
  <c r="B3407" i="2"/>
  <c r="B3406" i="2"/>
  <c r="B3405" i="2"/>
  <c r="B3404" i="2"/>
  <c r="B3403" i="2"/>
  <c r="B3402" i="2"/>
  <c r="B3401" i="2"/>
  <c r="B3400" i="2"/>
  <c r="B3399" i="2"/>
  <c r="B3398" i="2"/>
  <c r="B3397" i="2"/>
  <c r="B3396" i="2"/>
  <c r="B3395" i="2"/>
  <c r="B3394" i="2"/>
  <c r="B3393" i="2"/>
  <c r="B3392" i="2"/>
  <c r="B3391" i="2"/>
  <c r="B3390" i="2"/>
  <c r="B3389" i="2"/>
  <c r="B3388" i="2"/>
  <c r="B3387" i="2"/>
  <c r="B3386" i="2"/>
  <c r="B3385" i="2"/>
  <c r="B3384" i="2"/>
  <c r="B3383" i="2"/>
  <c r="B3382" i="2"/>
  <c r="B3381" i="2"/>
  <c r="B3380" i="2"/>
  <c r="B3379" i="2"/>
  <c r="B3378" i="2"/>
  <c r="B3377" i="2"/>
  <c r="B3376" i="2"/>
  <c r="B3375" i="2"/>
  <c r="B3374" i="2"/>
  <c r="B3373" i="2"/>
  <c r="B3372" i="2"/>
  <c r="B3371" i="2"/>
  <c r="B3370" i="2"/>
  <c r="B3369" i="2"/>
  <c r="B3368" i="2"/>
  <c r="B3367" i="2"/>
  <c r="B3366" i="2"/>
  <c r="B3365" i="2"/>
  <c r="B3364" i="2"/>
  <c r="B3363" i="2"/>
  <c r="B3362" i="2"/>
  <c r="B3361" i="2"/>
  <c r="B3360" i="2"/>
  <c r="B3359" i="2"/>
  <c r="B3358" i="2"/>
  <c r="B3357" i="2"/>
  <c r="B3356" i="2"/>
  <c r="B3355" i="2"/>
  <c r="B3354" i="2"/>
  <c r="B3353" i="2"/>
  <c r="B3352" i="2"/>
  <c r="B3351" i="2"/>
  <c r="B3350" i="2"/>
  <c r="B3349" i="2"/>
  <c r="B3348" i="2"/>
  <c r="B3347" i="2"/>
  <c r="B3346" i="2"/>
  <c r="B3345" i="2"/>
  <c r="B3344" i="2"/>
  <c r="B3343" i="2"/>
  <c r="B3342" i="2"/>
  <c r="B3341" i="2"/>
  <c r="B3340" i="2"/>
  <c r="B3339" i="2"/>
  <c r="B3338" i="2"/>
  <c r="B3337" i="2"/>
  <c r="B3336" i="2"/>
  <c r="B3335" i="2"/>
  <c r="B3334" i="2"/>
  <c r="B3333" i="2"/>
  <c r="B3332" i="2"/>
  <c r="B3331" i="2"/>
  <c r="B3330" i="2"/>
  <c r="B3329" i="2"/>
  <c r="B3328" i="2"/>
  <c r="B3327" i="2"/>
  <c r="B3326" i="2"/>
  <c r="B3325" i="2"/>
  <c r="B3324" i="2"/>
  <c r="B3323" i="2"/>
  <c r="B3322" i="2"/>
  <c r="B3321" i="2"/>
  <c r="B3320" i="2"/>
  <c r="B3319" i="2"/>
  <c r="B3318" i="2"/>
  <c r="B3317" i="2"/>
  <c r="B3316" i="2"/>
  <c r="B3315" i="2"/>
  <c r="B3314" i="2"/>
  <c r="B3313" i="2"/>
  <c r="B3312" i="2"/>
  <c r="B3311" i="2"/>
  <c r="B3310" i="2"/>
  <c r="B3309" i="2"/>
  <c r="B3308" i="2"/>
  <c r="B3307" i="2"/>
  <c r="B3306" i="2"/>
  <c r="B3305" i="2"/>
  <c r="B3304" i="2"/>
  <c r="B3303" i="2"/>
  <c r="B3302" i="2"/>
  <c r="B3301" i="2"/>
  <c r="B3300" i="2"/>
  <c r="B3299" i="2"/>
  <c r="B3298" i="2"/>
  <c r="B3297" i="2"/>
  <c r="B3296" i="2"/>
  <c r="B3295" i="2"/>
  <c r="B3294" i="2"/>
  <c r="B3293" i="2"/>
  <c r="B3292" i="2"/>
  <c r="B3291" i="2"/>
  <c r="B3290" i="2"/>
  <c r="B3289" i="2"/>
  <c r="B3288" i="2"/>
  <c r="B3287" i="2"/>
  <c r="B3286" i="2"/>
  <c r="B3285" i="2"/>
  <c r="B3284" i="2"/>
  <c r="B3283" i="2"/>
  <c r="B3282" i="2"/>
  <c r="B3281" i="2"/>
  <c r="B3280" i="2"/>
  <c r="B3279" i="2"/>
  <c r="B3278" i="2"/>
  <c r="B3277" i="2"/>
  <c r="B3276" i="2"/>
  <c r="B3275" i="2"/>
  <c r="B3274" i="2"/>
  <c r="B3273" i="2"/>
  <c r="B3272" i="2"/>
  <c r="B3271" i="2"/>
  <c r="B3270" i="2"/>
  <c r="B3269" i="2"/>
  <c r="B3268" i="2"/>
  <c r="B3267" i="2"/>
  <c r="B3266" i="2"/>
  <c r="B3265" i="2"/>
  <c r="B3264" i="2"/>
  <c r="B3263" i="2"/>
  <c r="B3262" i="2"/>
  <c r="B3261" i="2"/>
  <c r="B3260" i="2"/>
  <c r="B3259" i="2"/>
  <c r="B3258" i="2"/>
  <c r="B3257" i="2"/>
  <c r="B3256" i="2"/>
  <c r="B3255" i="2"/>
  <c r="B3254" i="2"/>
  <c r="B3253" i="2"/>
  <c r="B3252" i="2"/>
  <c r="B3251" i="2"/>
  <c r="B3250" i="2"/>
  <c r="B3249" i="2"/>
  <c r="B3248" i="2"/>
  <c r="B3247" i="2"/>
  <c r="B3246" i="2"/>
  <c r="B3245" i="2"/>
  <c r="B3244" i="2"/>
  <c r="B3243" i="2"/>
  <c r="B3242" i="2"/>
  <c r="B3241" i="2"/>
  <c r="B3240" i="2"/>
  <c r="B3239" i="2"/>
  <c r="B3238" i="2"/>
  <c r="B3237" i="2"/>
  <c r="B3236" i="2"/>
  <c r="B3235" i="2"/>
  <c r="B3234" i="2"/>
  <c r="B3233" i="2"/>
  <c r="B3232" i="2"/>
  <c r="B3231" i="2"/>
  <c r="B3230" i="2"/>
  <c r="B3229" i="2"/>
  <c r="B3228" i="2"/>
  <c r="B3227" i="2"/>
  <c r="B3226" i="2"/>
  <c r="B3225" i="2"/>
  <c r="B3224" i="2"/>
  <c r="B3223" i="2"/>
  <c r="B3222" i="2"/>
  <c r="B3221" i="2"/>
  <c r="B3220" i="2"/>
  <c r="B3219" i="2"/>
  <c r="B3218" i="2"/>
  <c r="B3217" i="2"/>
  <c r="B3216" i="2"/>
  <c r="B3215" i="2"/>
  <c r="B3214" i="2"/>
  <c r="B3213" i="2"/>
  <c r="B3212" i="2"/>
  <c r="B3211" i="2"/>
  <c r="B3210" i="2"/>
  <c r="B3209" i="2"/>
  <c r="B3208" i="2"/>
  <c r="B3207" i="2"/>
  <c r="B3206" i="2"/>
  <c r="B3205" i="2"/>
  <c r="B3204" i="2"/>
  <c r="B3203" i="2"/>
  <c r="B3202" i="2"/>
  <c r="B3201" i="2"/>
  <c r="B3200" i="2"/>
  <c r="B3199" i="2"/>
  <c r="B3198" i="2"/>
  <c r="B3197" i="2"/>
  <c r="B3196" i="2"/>
  <c r="B3195" i="2"/>
  <c r="B3194" i="2"/>
  <c r="B3193" i="2"/>
  <c r="B3192" i="2"/>
  <c r="B3191" i="2"/>
  <c r="B3190" i="2"/>
  <c r="B3189" i="2"/>
  <c r="B3188" i="2"/>
  <c r="B3187" i="2"/>
  <c r="B3186" i="2"/>
  <c r="B3185" i="2"/>
  <c r="B3184" i="2"/>
  <c r="B3183" i="2"/>
  <c r="B3182" i="2"/>
  <c r="B3181" i="2"/>
  <c r="B3180" i="2"/>
  <c r="B3179" i="2"/>
  <c r="B3178" i="2"/>
  <c r="B3177" i="2"/>
  <c r="B3176" i="2"/>
  <c r="B3175" i="2"/>
  <c r="B3174" i="2"/>
  <c r="B3173" i="2"/>
  <c r="B3172" i="2"/>
  <c r="B3171" i="2"/>
  <c r="B3170" i="2"/>
  <c r="B3169" i="2"/>
  <c r="B3168" i="2"/>
  <c r="B3167" i="2"/>
  <c r="B3166" i="2"/>
  <c r="B3165" i="2"/>
  <c r="B3164" i="2"/>
  <c r="B3163" i="2"/>
  <c r="B3162" i="2"/>
  <c r="B3161" i="2"/>
  <c r="B3160" i="2"/>
  <c r="B3159" i="2"/>
  <c r="B3158" i="2"/>
  <c r="B3157" i="2"/>
  <c r="B3156" i="2"/>
  <c r="B3155" i="2"/>
  <c r="B3154" i="2"/>
  <c r="B3153" i="2"/>
  <c r="B3152" i="2"/>
  <c r="B3151" i="2"/>
  <c r="B3150" i="2"/>
  <c r="B3149" i="2"/>
  <c r="B3148" i="2"/>
  <c r="B3147" i="2"/>
  <c r="B3146" i="2"/>
  <c r="B3145" i="2"/>
  <c r="B3144" i="2"/>
  <c r="B3143" i="2"/>
  <c r="B3142" i="2"/>
  <c r="B3141" i="2"/>
  <c r="B3140" i="2"/>
  <c r="B3139" i="2"/>
  <c r="B3138" i="2"/>
  <c r="B3137" i="2"/>
  <c r="B3136" i="2"/>
  <c r="B3135" i="2"/>
  <c r="B3134" i="2"/>
  <c r="B3133" i="2"/>
  <c r="B3132" i="2"/>
  <c r="B3131" i="2"/>
  <c r="B3130" i="2"/>
  <c r="B3129" i="2"/>
  <c r="B3128" i="2"/>
  <c r="B3127" i="2"/>
  <c r="B3126" i="2"/>
  <c r="B3125" i="2"/>
  <c r="B3124" i="2"/>
  <c r="B3123" i="2"/>
  <c r="B3122" i="2"/>
  <c r="B3121" i="2"/>
  <c r="B3120" i="2"/>
  <c r="B3119" i="2"/>
  <c r="B3118" i="2"/>
  <c r="B3117" i="2"/>
  <c r="B3116" i="2"/>
  <c r="B3115" i="2"/>
  <c r="B3114" i="2"/>
  <c r="B3113" i="2"/>
  <c r="B3112" i="2"/>
  <c r="B3111" i="2"/>
  <c r="B3110" i="2"/>
  <c r="B3109" i="2"/>
  <c r="B3108" i="2"/>
  <c r="B3107" i="2"/>
  <c r="B3106" i="2"/>
  <c r="B3105" i="2"/>
  <c r="B3104" i="2"/>
  <c r="B3103" i="2"/>
  <c r="B3102" i="2"/>
  <c r="B3101" i="2"/>
  <c r="B3100" i="2"/>
  <c r="B3099" i="2"/>
  <c r="B3098" i="2"/>
  <c r="B3097" i="2"/>
  <c r="B3096" i="2"/>
  <c r="B3095" i="2"/>
  <c r="B3094" i="2"/>
  <c r="B3093" i="2"/>
  <c r="B3092" i="2"/>
  <c r="B3091" i="2"/>
  <c r="B3090" i="2"/>
  <c r="B3089" i="2"/>
  <c r="B3088" i="2"/>
  <c r="B3087" i="2"/>
  <c r="B3086" i="2"/>
  <c r="B3085" i="2"/>
  <c r="B3084" i="2"/>
  <c r="B3083" i="2"/>
  <c r="B3082" i="2"/>
  <c r="B3081" i="2"/>
  <c r="B3080" i="2"/>
  <c r="B3079" i="2"/>
  <c r="B3078" i="2"/>
  <c r="B3077" i="2"/>
  <c r="B3076" i="2"/>
  <c r="B3075" i="2"/>
  <c r="B3074" i="2"/>
  <c r="B3073" i="2"/>
  <c r="B3072" i="2"/>
  <c r="B3071" i="2"/>
  <c r="B3070" i="2"/>
  <c r="B3069" i="2"/>
  <c r="B3068" i="2"/>
  <c r="B3067" i="2"/>
  <c r="B3066" i="2"/>
  <c r="B3065" i="2"/>
  <c r="B3064" i="2"/>
  <c r="B3063" i="2"/>
  <c r="B3062" i="2"/>
  <c r="B3061" i="2"/>
  <c r="B3060" i="2"/>
  <c r="B3059" i="2"/>
  <c r="B3058" i="2"/>
  <c r="B3057" i="2"/>
  <c r="B3056" i="2"/>
  <c r="B3055" i="2"/>
  <c r="B3054" i="2"/>
  <c r="B3053" i="2"/>
  <c r="B3052" i="2"/>
  <c r="B3051" i="2"/>
  <c r="B3050" i="2"/>
  <c r="B3049" i="2"/>
  <c r="B3048" i="2"/>
  <c r="B3047" i="2"/>
  <c r="B3046" i="2"/>
  <c r="B3045" i="2"/>
  <c r="B3044" i="2"/>
  <c r="B3043" i="2"/>
  <c r="B3042" i="2"/>
  <c r="B3041" i="2"/>
  <c r="B3040" i="2"/>
  <c r="B3039" i="2"/>
  <c r="B3038" i="2"/>
  <c r="B3037" i="2"/>
  <c r="B3036" i="2"/>
  <c r="B3035" i="2"/>
  <c r="B3034" i="2"/>
  <c r="B3033" i="2"/>
  <c r="B3032" i="2"/>
  <c r="B3031" i="2"/>
  <c r="B3030" i="2"/>
  <c r="B3029" i="2"/>
  <c r="B3028" i="2"/>
  <c r="B3027" i="2"/>
  <c r="B3026" i="2"/>
  <c r="B3025" i="2"/>
  <c r="B3024" i="2"/>
  <c r="B3023" i="2"/>
  <c r="B3022" i="2"/>
  <c r="B3021" i="2"/>
  <c r="B3020" i="2"/>
  <c r="B3019" i="2"/>
  <c r="B3018" i="2"/>
  <c r="B3017" i="2"/>
  <c r="B3016" i="2"/>
  <c r="B3015" i="2"/>
  <c r="B3014" i="2"/>
  <c r="B3013" i="2"/>
  <c r="B3012" i="2"/>
  <c r="B3011" i="2"/>
  <c r="B3010" i="2"/>
  <c r="B3009" i="2"/>
  <c r="B3008" i="2"/>
  <c r="B3007" i="2"/>
  <c r="B3006" i="2"/>
  <c r="B3005" i="2"/>
  <c r="B3004" i="2"/>
  <c r="B3003" i="2"/>
  <c r="B3002" i="2"/>
  <c r="B3001" i="2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B2970" i="2"/>
  <c r="B2969" i="2"/>
  <c r="B2968" i="2"/>
  <c r="B2967" i="2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B2906" i="2"/>
  <c r="B2905" i="2"/>
  <c r="B2904" i="2"/>
  <c r="B2903" i="2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B2888" i="2"/>
  <c r="B2887" i="2"/>
  <c r="B2886" i="2"/>
  <c r="B2885" i="2"/>
  <c r="B2884" i="2"/>
  <c r="B2883" i="2"/>
  <c r="B2882" i="2"/>
  <c r="B2881" i="2"/>
  <c r="B2880" i="2"/>
  <c r="B2879" i="2"/>
  <c r="B2878" i="2"/>
  <c r="B2877" i="2"/>
  <c r="B2876" i="2"/>
  <c r="B2875" i="2"/>
  <c r="B2874" i="2"/>
  <c r="B2873" i="2"/>
  <c r="B2872" i="2"/>
  <c r="B2871" i="2"/>
  <c r="B2870" i="2"/>
  <c r="B2869" i="2"/>
  <c r="B2868" i="2"/>
  <c r="B2867" i="2"/>
  <c r="B2866" i="2"/>
  <c r="B2865" i="2"/>
  <c r="B2864" i="2"/>
  <c r="B2863" i="2"/>
  <c r="B2862" i="2"/>
  <c r="B2861" i="2"/>
  <c r="B2860" i="2"/>
  <c r="B2859" i="2"/>
  <c r="B2858" i="2"/>
  <c r="B2857" i="2"/>
  <c r="B2856" i="2"/>
  <c r="B2855" i="2"/>
  <c r="B2854" i="2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B2819" i="2"/>
  <c r="B2818" i="2"/>
  <c r="B2817" i="2"/>
  <c r="B2816" i="2"/>
  <c r="B2815" i="2"/>
  <c r="B2814" i="2"/>
  <c r="B2813" i="2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B2583" i="2"/>
  <c r="B2582" i="2"/>
  <c r="B2581" i="2"/>
  <c r="B2580" i="2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B2563" i="2"/>
  <c r="B2562" i="2"/>
  <c r="B2561" i="2"/>
  <c r="B2560" i="2"/>
  <c r="B2559" i="2"/>
  <c r="B2558" i="2"/>
  <c r="B2557" i="2"/>
  <c r="B2556" i="2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B2499" i="2"/>
  <c r="B2498" i="2"/>
  <c r="B2497" i="2"/>
  <c r="B2496" i="2"/>
  <c r="B2495" i="2"/>
  <c r="B2494" i="2"/>
  <c r="B2493" i="2"/>
  <c r="B2492" i="2"/>
  <c r="B2491" i="2"/>
  <c r="B2490" i="2"/>
  <c r="B2489" i="2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B2438" i="2"/>
  <c r="B2437" i="2"/>
  <c r="B2436" i="2"/>
  <c r="B2435" i="2"/>
  <c r="B2434" i="2"/>
  <c r="B2433" i="2"/>
  <c r="B2432" i="2"/>
  <c r="B2431" i="2"/>
  <c r="B2430" i="2"/>
  <c r="B2429" i="2"/>
  <c r="B2428" i="2"/>
  <c r="B2427" i="2"/>
  <c r="B2426" i="2"/>
  <c r="B2425" i="2"/>
  <c r="B2424" i="2"/>
  <c r="B2423" i="2"/>
  <c r="B2422" i="2"/>
  <c r="B2421" i="2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B2401" i="2"/>
  <c r="B2400" i="2"/>
  <c r="B2399" i="2"/>
  <c r="B2398" i="2"/>
  <c r="B2397" i="2"/>
  <c r="B2396" i="2"/>
  <c r="B2395" i="2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B2370" i="2"/>
  <c r="B2369" i="2"/>
  <c r="B2368" i="2"/>
  <c r="B2367" i="2"/>
  <c r="B2366" i="2"/>
  <c r="B2365" i="2"/>
  <c r="B2364" i="2"/>
  <c r="B2363" i="2"/>
  <c r="B2362" i="2"/>
  <c r="B2361" i="2"/>
  <c r="B2360" i="2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B2266" i="2"/>
  <c r="B2265" i="2"/>
  <c r="B2264" i="2"/>
  <c r="B2263" i="2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B2170" i="2"/>
  <c r="B2169" i="2"/>
  <c r="B2168" i="2"/>
  <c r="B2167" i="2"/>
  <c r="B2166" i="2"/>
  <c r="B2165" i="2"/>
  <c r="B2164" i="2"/>
  <c r="B2163" i="2"/>
  <c r="B2162" i="2"/>
  <c r="B2161" i="2"/>
  <c r="B2160" i="2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B2143" i="2"/>
  <c r="B2142" i="2"/>
  <c r="B2141" i="2"/>
  <c r="B2140" i="2"/>
  <c r="B2139" i="2"/>
  <c r="B2138" i="2"/>
  <c r="B2137" i="2"/>
  <c r="B2136" i="2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B2087" i="2"/>
  <c r="B2086" i="2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B1890" i="2"/>
  <c r="B1889" i="2"/>
  <c r="B1888" i="2"/>
  <c r="B1887" i="2"/>
  <c r="B1886" i="2"/>
  <c r="B1885" i="2"/>
  <c r="B1884" i="2"/>
  <c r="B1883" i="2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B1708" i="2"/>
  <c r="B1707" i="2"/>
  <c r="B1706" i="2"/>
  <c r="B1705" i="2"/>
  <c r="B1704" i="2"/>
  <c r="B1703" i="2"/>
  <c r="B1702" i="2"/>
  <c r="B1701" i="2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B1657" i="2"/>
  <c r="B1656" i="2"/>
  <c r="B1655" i="2"/>
  <c r="B1654" i="2"/>
  <c r="B1653" i="2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B1363" i="2"/>
  <c r="B1362" i="2"/>
  <c r="B1361" i="2"/>
  <c r="B1360" i="2"/>
  <c r="B1359" i="2"/>
  <c r="B1358" i="2"/>
  <c r="B1357" i="2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B1340" i="2"/>
  <c r="B1339" i="2"/>
  <c r="B1338" i="2"/>
  <c r="B1337" i="2"/>
  <c r="B1336" i="2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6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<sst xmlns="http://schemas.openxmlformats.org/spreadsheetml/2006/main" count="4" uniqueCount="4">
  <si>
    <t>Α/Α</t>
  </si>
  <si>
    <t>ΜΟΝΑΔΙΚΟΣ ΚΩΔΙΚΟΣ</t>
  </si>
  <si>
    <t>ΑΣΕΠ
Β΄ΔΙΕΥΘΥΝΣΗ ΕΠΙΛΟΓΗΣ ΠΡΟΣΩΠΙΚΟΥ</t>
  </si>
  <si>
    <t>ΠΡΟΚΗΡΥΞΗ
8Κ/2024 (ΦΕΚ 62/τ. Α.Σ.Ε.Π./31.12.2024 &amp; 
ΦΕΚ 1/τ. Α.Σ.Ε.Π./14.1.2025)
ΚΑΤΗΓΟΡΙΑ ΔΕΥΤΕΡΟΒΑΘΜΙΑΣ ΕΚΠΑΙΔΕΥΣΗΣ 
ΕΚ ΝΕΟΥ ΠΡΟΣΚΛΗΣΗ ΥΠΟΨΗΦΙΩΝ
ΓΙΑ ΗΛΕΚΤΡΟΝΙΚΗ ΥΠΟΒΟΛΗ ΔΙΚΑΙΟΛΟΓΗΤΙΚΩΝ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</si>
</sst>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946"/>
  <sheetViews>
    <sheetView tabSelected="1" workbookViewId="0">
      <selection sqref="A1:B1"/>
    </sheetView>
  </sheetViews>
  <sheetFormatPr defaultRowHeight="15" x14ac:dyDescent="0.25"/>
  <cols>
    <col min="2" max="2" width="43" customWidth="1"/>
  </cols>
  <sheetData>
    <row r="1" spans="1:2" ht="42.75" customHeight="1" x14ac:dyDescent="0.25">
      <c r="A1" s="3" t="s">
        <v>2</v>
      </c>
      <c r="B1" s="4"/>
    </row>
    <row r="2" spans="1:2" x14ac:dyDescent="0.25">
      <c r="A2" s="5"/>
      <c r="B2" s="6"/>
    </row>
    <row r="3" spans="1:2" ht="106.5" customHeight="1" x14ac:dyDescent="0.25">
      <c r="A3" s="7" t="s">
        <v>3</v>
      </c>
      <c r="B3" s="8"/>
    </row>
    <row r="4" spans="1:2" ht="15" customHeight="1" thickBot="1" x14ac:dyDescent="0.3">
      <c r="A4" s="9"/>
      <c r="B4" s="10"/>
    </row>
    <row r="5" spans="1:2" ht="15" customHeight="1" x14ac:dyDescent="0.25">
      <c r="A5" s="1" t="s">
        <v>0</v>
      </c>
      <c r="B5" s="1" t="s">
        <v>1</v>
      </c>
    </row>
    <row r="6" spans="1:2" ht="15" customHeight="1" x14ac:dyDescent="0.25">
      <c r="A6" s="2">
        <v>1</v>
      </c>
      <c r="B6" s="11" t="str">
        <f>"00001154"</f>
        <v>00001154</v>
      </c>
    </row>
    <row r="7" spans="1:2" ht="15" customHeight="1" x14ac:dyDescent="0.25">
      <c r="A7" s="2">
        <v>2</v>
      </c>
      <c r="B7" s="11" t="str">
        <f>"00001280"</f>
        <v>00001280</v>
      </c>
    </row>
    <row r="8" spans="1:2" ht="15" customHeight="1" x14ac:dyDescent="0.25">
      <c r="A8" s="2">
        <v>3</v>
      </c>
      <c r="B8" s="11" t="str">
        <f>"00001658"</f>
        <v>00001658</v>
      </c>
    </row>
    <row r="9" spans="1:2" ht="15" customHeight="1" x14ac:dyDescent="0.25">
      <c r="A9" s="2">
        <v>4</v>
      </c>
      <c r="B9" s="11" t="str">
        <f>"00001699"</f>
        <v>00001699</v>
      </c>
    </row>
    <row r="10" spans="1:2" ht="15" customHeight="1" x14ac:dyDescent="0.25">
      <c r="A10" s="2">
        <v>5</v>
      </c>
      <c r="B10" s="11" t="str">
        <f>"00001722"</f>
        <v>00001722</v>
      </c>
    </row>
    <row r="11" spans="1:2" ht="15" customHeight="1" x14ac:dyDescent="0.25">
      <c r="A11" s="2">
        <v>6</v>
      </c>
      <c r="B11" s="11" t="str">
        <f>"00001752"</f>
        <v>00001752</v>
      </c>
    </row>
    <row r="12" spans="1:2" x14ac:dyDescent="0.25">
      <c r="A12" s="2">
        <v>7</v>
      </c>
      <c r="B12" s="11" t="str">
        <f>"00001789"</f>
        <v>00001789</v>
      </c>
    </row>
    <row r="13" spans="1:2" x14ac:dyDescent="0.25">
      <c r="A13" s="2">
        <v>8</v>
      </c>
      <c r="B13" s="11" t="str">
        <f>"00001809"</f>
        <v>00001809</v>
      </c>
    </row>
    <row r="14" spans="1:2" x14ac:dyDescent="0.25">
      <c r="A14" s="2">
        <v>9</v>
      </c>
      <c r="B14" s="11" t="str">
        <f>"00001828"</f>
        <v>00001828</v>
      </c>
    </row>
    <row r="15" spans="1:2" x14ac:dyDescent="0.25">
      <c r="A15" s="2">
        <v>10</v>
      </c>
      <c r="B15" s="11" t="str">
        <f>"00001833"</f>
        <v>00001833</v>
      </c>
    </row>
    <row r="16" spans="1:2" x14ac:dyDescent="0.25">
      <c r="A16" s="2">
        <v>11</v>
      </c>
      <c r="B16" s="11" t="str">
        <f>"00001875"</f>
        <v>00001875</v>
      </c>
    </row>
    <row r="17" spans="1:2" x14ac:dyDescent="0.25">
      <c r="A17" s="2">
        <v>12</v>
      </c>
      <c r="B17" s="11" t="str">
        <f>"00001933"</f>
        <v>00001933</v>
      </c>
    </row>
    <row r="18" spans="1:2" x14ac:dyDescent="0.25">
      <c r="A18" s="2">
        <v>13</v>
      </c>
      <c r="B18" s="11" t="str">
        <f>"00001987"</f>
        <v>00001987</v>
      </c>
    </row>
    <row r="19" spans="1:2" x14ac:dyDescent="0.25">
      <c r="A19" s="2">
        <v>14</v>
      </c>
      <c r="B19" s="11" t="str">
        <f>"00002012"</f>
        <v>00002012</v>
      </c>
    </row>
    <row r="20" spans="1:2" x14ac:dyDescent="0.25">
      <c r="A20" s="2">
        <v>15</v>
      </c>
      <c r="B20" s="11" t="str">
        <f>"00002036"</f>
        <v>00002036</v>
      </c>
    </row>
    <row r="21" spans="1:2" x14ac:dyDescent="0.25">
      <c r="A21" s="2">
        <v>16</v>
      </c>
      <c r="B21" s="11" t="str">
        <f>"00002043"</f>
        <v>00002043</v>
      </c>
    </row>
    <row r="22" spans="1:2" x14ac:dyDescent="0.25">
      <c r="A22" s="2">
        <v>17</v>
      </c>
      <c r="B22" s="11" t="str">
        <f>"00002102"</f>
        <v>00002102</v>
      </c>
    </row>
    <row r="23" spans="1:2" x14ac:dyDescent="0.25">
      <c r="A23" s="2">
        <v>18</v>
      </c>
      <c r="B23" s="11" t="str">
        <f>"00002208"</f>
        <v>00002208</v>
      </c>
    </row>
    <row r="24" spans="1:2" x14ac:dyDescent="0.25">
      <c r="A24" s="2">
        <v>19</v>
      </c>
      <c r="B24" s="11" t="str">
        <f>"00002245"</f>
        <v>00002245</v>
      </c>
    </row>
    <row r="25" spans="1:2" x14ac:dyDescent="0.25">
      <c r="A25" s="2">
        <v>20</v>
      </c>
      <c r="B25" s="11" t="str">
        <f>"00002316"</f>
        <v>00002316</v>
      </c>
    </row>
    <row r="26" spans="1:2" x14ac:dyDescent="0.25">
      <c r="A26" s="2">
        <v>21</v>
      </c>
      <c r="B26" s="11" t="str">
        <f>"00002325"</f>
        <v>00002325</v>
      </c>
    </row>
    <row r="27" spans="1:2" x14ac:dyDescent="0.25">
      <c r="A27" s="2">
        <v>22</v>
      </c>
      <c r="B27" s="11" t="str">
        <f>"00002460"</f>
        <v>00002460</v>
      </c>
    </row>
    <row r="28" spans="1:2" x14ac:dyDescent="0.25">
      <c r="A28" s="2">
        <v>23</v>
      </c>
      <c r="B28" s="11" t="str">
        <f>"00002461"</f>
        <v>00002461</v>
      </c>
    </row>
    <row r="29" spans="1:2" x14ac:dyDescent="0.25">
      <c r="A29" s="2">
        <v>24</v>
      </c>
      <c r="B29" s="11" t="str">
        <f>"00002535"</f>
        <v>00002535</v>
      </c>
    </row>
    <row r="30" spans="1:2" x14ac:dyDescent="0.25">
      <c r="A30" s="2">
        <v>25</v>
      </c>
      <c r="B30" s="11" t="str">
        <f>"00002623"</f>
        <v>00002623</v>
      </c>
    </row>
    <row r="31" spans="1:2" x14ac:dyDescent="0.25">
      <c r="A31" s="2">
        <v>26</v>
      </c>
      <c r="B31" s="11" t="str">
        <f>"00002625"</f>
        <v>00002625</v>
      </c>
    </row>
    <row r="32" spans="1:2" x14ac:dyDescent="0.25">
      <c r="A32" s="2">
        <v>27</v>
      </c>
      <c r="B32" s="11" t="str">
        <f>"00002712"</f>
        <v>00002712</v>
      </c>
    </row>
    <row r="33" spans="1:2" x14ac:dyDescent="0.25">
      <c r="A33" s="2">
        <v>28</v>
      </c>
      <c r="B33" s="11" t="str">
        <f>"00002731"</f>
        <v>00002731</v>
      </c>
    </row>
    <row r="34" spans="1:2" x14ac:dyDescent="0.25">
      <c r="A34" s="2">
        <v>29</v>
      </c>
      <c r="B34" s="11" t="str">
        <f>"00002737"</f>
        <v>00002737</v>
      </c>
    </row>
    <row r="35" spans="1:2" x14ac:dyDescent="0.25">
      <c r="A35" s="2">
        <v>30</v>
      </c>
      <c r="B35" s="11" t="str">
        <f>"00003046"</f>
        <v>00003046</v>
      </c>
    </row>
    <row r="36" spans="1:2" x14ac:dyDescent="0.25">
      <c r="A36" s="2">
        <v>31</v>
      </c>
      <c r="B36" s="11" t="str">
        <f>"00003143"</f>
        <v>00003143</v>
      </c>
    </row>
    <row r="37" spans="1:2" x14ac:dyDescent="0.25">
      <c r="A37" s="2">
        <v>32</v>
      </c>
      <c r="B37" s="11" t="str">
        <f>"00003168"</f>
        <v>00003168</v>
      </c>
    </row>
    <row r="38" spans="1:2" x14ac:dyDescent="0.25">
      <c r="A38" s="2">
        <v>33</v>
      </c>
      <c r="B38" s="11" t="str">
        <f>"00003212"</f>
        <v>00003212</v>
      </c>
    </row>
    <row r="39" spans="1:2" x14ac:dyDescent="0.25">
      <c r="A39" s="2">
        <v>34</v>
      </c>
      <c r="B39" s="11" t="str">
        <f>"00003238"</f>
        <v>00003238</v>
      </c>
    </row>
    <row r="40" spans="1:2" x14ac:dyDescent="0.25">
      <c r="A40" s="2">
        <v>35</v>
      </c>
      <c r="B40" s="11" t="str">
        <f>"00003264"</f>
        <v>00003264</v>
      </c>
    </row>
    <row r="41" spans="1:2" x14ac:dyDescent="0.25">
      <c r="A41" s="2">
        <v>36</v>
      </c>
      <c r="B41" s="11" t="str">
        <f>"00003306"</f>
        <v>00003306</v>
      </c>
    </row>
    <row r="42" spans="1:2" x14ac:dyDescent="0.25">
      <c r="A42" s="2">
        <v>37</v>
      </c>
      <c r="B42" s="11" t="str">
        <f>"00003307"</f>
        <v>00003307</v>
      </c>
    </row>
    <row r="43" spans="1:2" x14ac:dyDescent="0.25">
      <c r="A43" s="2">
        <v>38</v>
      </c>
      <c r="B43" s="11" t="str">
        <f>"00003436"</f>
        <v>00003436</v>
      </c>
    </row>
    <row r="44" spans="1:2" x14ac:dyDescent="0.25">
      <c r="A44" s="2">
        <v>39</v>
      </c>
      <c r="B44" s="11" t="str">
        <f>"00003438"</f>
        <v>00003438</v>
      </c>
    </row>
    <row r="45" spans="1:2" x14ac:dyDescent="0.25">
      <c r="A45" s="2">
        <v>40</v>
      </c>
      <c r="B45" s="11" t="str">
        <f>"00003662"</f>
        <v>00003662</v>
      </c>
    </row>
    <row r="46" spans="1:2" x14ac:dyDescent="0.25">
      <c r="A46" s="2">
        <v>41</v>
      </c>
      <c r="B46" s="11" t="str">
        <f>"00003727"</f>
        <v>00003727</v>
      </c>
    </row>
    <row r="47" spans="1:2" x14ac:dyDescent="0.25">
      <c r="A47" s="2">
        <v>42</v>
      </c>
      <c r="B47" s="11" t="str">
        <f>"00003831"</f>
        <v>00003831</v>
      </c>
    </row>
    <row r="48" spans="1:2" x14ac:dyDescent="0.25">
      <c r="A48" s="2">
        <v>43</v>
      </c>
      <c r="B48" s="11" t="str">
        <f>"00003839"</f>
        <v>00003839</v>
      </c>
    </row>
    <row r="49" spans="1:2" x14ac:dyDescent="0.25">
      <c r="A49" s="2">
        <v>44</v>
      </c>
      <c r="B49" s="11" t="str">
        <f>"00003867"</f>
        <v>00003867</v>
      </c>
    </row>
    <row r="50" spans="1:2" x14ac:dyDescent="0.25">
      <c r="A50" s="2">
        <v>45</v>
      </c>
      <c r="B50" s="11" t="str">
        <f>"00003873"</f>
        <v>00003873</v>
      </c>
    </row>
    <row r="51" spans="1:2" x14ac:dyDescent="0.25">
      <c r="A51" s="2">
        <v>46</v>
      </c>
      <c r="B51" s="11" t="str">
        <f>"00003883"</f>
        <v>00003883</v>
      </c>
    </row>
    <row r="52" spans="1:2" x14ac:dyDescent="0.25">
      <c r="A52" s="2">
        <v>47</v>
      </c>
      <c r="B52" s="11" t="str">
        <f>"00003886"</f>
        <v>00003886</v>
      </c>
    </row>
    <row r="53" spans="1:2" x14ac:dyDescent="0.25">
      <c r="A53" s="2">
        <v>48</v>
      </c>
      <c r="B53" s="11" t="str">
        <f>"00003910"</f>
        <v>00003910</v>
      </c>
    </row>
    <row r="54" spans="1:2" x14ac:dyDescent="0.25">
      <c r="A54" s="2">
        <v>49</v>
      </c>
      <c r="B54" s="11" t="str">
        <f>"00003979"</f>
        <v>00003979</v>
      </c>
    </row>
    <row r="55" spans="1:2" x14ac:dyDescent="0.25">
      <c r="A55" s="2">
        <v>50</v>
      </c>
      <c r="B55" s="11" t="str">
        <f>"00004002"</f>
        <v>00004002</v>
      </c>
    </row>
    <row r="56" spans="1:2" x14ac:dyDescent="0.25">
      <c r="A56" s="2">
        <v>51</v>
      </c>
      <c r="B56" s="11" t="str">
        <f>"00004005"</f>
        <v>00004005</v>
      </c>
    </row>
    <row r="57" spans="1:2" x14ac:dyDescent="0.25">
      <c r="A57" s="2">
        <v>52</v>
      </c>
      <c r="B57" s="11" t="str">
        <f>"00004084"</f>
        <v>00004084</v>
      </c>
    </row>
    <row r="58" spans="1:2" x14ac:dyDescent="0.25">
      <c r="A58" s="2">
        <v>53</v>
      </c>
      <c r="B58" s="11" t="str">
        <f>"00004109"</f>
        <v>00004109</v>
      </c>
    </row>
    <row r="59" spans="1:2" x14ac:dyDescent="0.25">
      <c r="A59" s="2">
        <v>54</v>
      </c>
      <c r="B59" s="11" t="str">
        <f>"00004113"</f>
        <v>00004113</v>
      </c>
    </row>
    <row r="60" spans="1:2" x14ac:dyDescent="0.25">
      <c r="A60" s="2">
        <v>55</v>
      </c>
      <c r="B60" s="11" t="str">
        <f>"00004132"</f>
        <v>00004132</v>
      </c>
    </row>
    <row r="61" spans="1:2" x14ac:dyDescent="0.25">
      <c r="A61" s="2">
        <v>56</v>
      </c>
      <c r="B61" s="11" t="str">
        <f>"00004153"</f>
        <v>00004153</v>
      </c>
    </row>
    <row r="62" spans="1:2" x14ac:dyDescent="0.25">
      <c r="A62" s="2">
        <v>57</v>
      </c>
      <c r="B62" s="11" t="str">
        <f>"00004220"</f>
        <v>00004220</v>
      </c>
    </row>
    <row r="63" spans="1:2" x14ac:dyDescent="0.25">
      <c r="A63" s="2">
        <v>58</v>
      </c>
      <c r="B63" s="11" t="str">
        <f>"00004311"</f>
        <v>00004311</v>
      </c>
    </row>
    <row r="64" spans="1:2" x14ac:dyDescent="0.25">
      <c r="A64" s="2">
        <v>59</v>
      </c>
      <c r="B64" s="11" t="str">
        <f>"00004370"</f>
        <v>00004370</v>
      </c>
    </row>
    <row r="65" spans="1:2" x14ac:dyDescent="0.25">
      <c r="A65" s="2">
        <v>60</v>
      </c>
      <c r="B65" s="11" t="str">
        <f>"00004379"</f>
        <v>00004379</v>
      </c>
    </row>
    <row r="66" spans="1:2" x14ac:dyDescent="0.25">
      <c r="A66" s="2">
        <v>61</v>
      </c>
      <c r="B66" s="11" t="str">
        <f>"00004492"</f>
        <v>00004492</v>
      </c>
    </row>
    <row r="67" spans="1:2" x14ac:dyDescent="0.25">
      <c r="A67" s="2">
        <v>62</v>
      </c>
      <c r="B67" s="11" t="str">
        <f>"00004498"</f>
        <v>00004498</v>
      </c>
    </row>
    <row r="68" spans="1:2" x14ac:dyDescent="0.25">
      <c r="A68" s="2">
        <v>63</v>
      </c>
      <c r="B68" s="11" t="str">
        <f>"00004511"</f>
        <v>00004511</v>
      </c>
    </row>
    <row r="69" spans="1:2" x14ac:dyDescent="0.25">
      <c r="A69" s="2">
        <v>64</v>
      </c>
      <c r="B69" s="11" t="str">
        <f>"00004547"</f>
        <v>00004547</v>
      </c>
    </row>
    <row r="70" spans="1:2" x14ac:dyDescent="0.25">
      <c r="A70" s="2">
        <v>65</v>
      </c>
      <c r="B70" s="11" t="str">
        <f>"00004578"</f>
        <v>00004578</v>
      </c>
    </row>
    <row r="71" spans="1:2" x14ac:dyDescent="0.25">
      <c r="A71" s="2">
        <v>66</v>
      </c>
      <c r="B71" s="11" t="str">
        <f>"00004599"</f>
        <v>00004599</v>
      </c>
    </row>
    <row r="72" spans="1:2" x14ac:dyDescent="0.25">
      <c r="A72" s="2">
        <v>67</v>
      </c>
      <c r="B72" s="11" t="str">
        <f>"00004606"</f>
        <v>00004606</v>
      </c>
    </row>
    <row r="73" spans="1:2" x14ac:dyDescent="0.25">
      <c r="A73" s="2">
        <v>68</v>
      </c>
      <c r="B73" s="11" t="str">
        <f>"00004705"</f>
        <v>00004705</v>
      </c>
    </row>
    <row r="74" spans="1:2" x14ac:dyDescent="0.25">
      <c r="A74" s="2">
        <v>69</v>
      </c>
      <c r="B74" s="11" t="str">
        <f>"00004708"</f>
        <v>00004708</v>
      </c>
    </row>
    <row r="75" spans="1:2" x14ac:dyDescent="0.25">
      <c r="A75" s="2">
        <v>70</v>
      </c>
      <c r="B75" s="11" t="str">
        <f>"00004730"</f>
        <v>00004730</v>
      </c>
    </row>
    <row r="76" spans="1:2" x14ac:dyDescent="0.25">
      <c r="A76" s="2">
        <v>71</v>
      </c>
      <c r="B76" s="11" t="str">
        <f>"00004771"</f>
        <v>00004771</v>
      </c>
    </row>
    <row r="77" spans="1:2" x14ac:dyDescent="0.25">
      <c r="A77" s="2">
        <v>72</v>
      </c>
      <c r="B77" s="11" t="str">
        <f>"00004809"</f>
        <v>00004809</v>
      </c>
    </row>
    <row r="78" spans="1:2" x14ac:dyDescent="0.25">
      <c r="A78" s="2">
        <v>73</v>
      </c>
      <c r="B78" s="11" t="str">
        <f>"00004819"</f>
        <v>00004819</v>
      </c>
    </row>
    <row r="79" spans="1:2" x14ac:dyDescent="0.25">
      <c r="A79" s="2">
        <v>74</v>
      </c>
      <c r="B79" s="11" t="str">
        <f>"00004853"</f>
        <v>00004853</v>
      </c>
    </row>
    <row r="80" spans="1:2" x14ac:dyDescent="0.25">
      <c r="A80" s="2">
        <v>75</v>
      </c>
      <c r="B80" s="11" t="str">
        <f>"00004947"</f>
        <v>00004947</v>
      </c>
    </row>
    <row r="81" spans="1:2" x14ac:dyDescent="0.25">
      <c r="A81" s="2">
        <v>76</v>
      </c>
      <c r="B81" s="11" t="str">
        <f>"00004985"</f>
        <v>00004985</v>
      </c>
    </row>
    <row r="82" spans="1:2" x14ac:dyDescent="0.25">
      <c r="A82" s="2">
        <v>77</v>
      </c>
      <c r="B82" s="11" t="str">
        <f>"00005069"</f>
        <v>00005069</v>
      </c>
    </row>
    <row r="83" spans="1:2" x14ac:dyDescent="0.25">
      <c r="A83" s="2">
        <v>78</v>
      </c>
      <c r="B83" s="11" t="str">
        <f>"00005126"</f>
        <v>00005126</v>
      </c>
    </row>
    <row r="84" spans="1:2" x14ac:dyDescent="0.25">
      <c r="A84" s="2">
        <v>79</v>
      </c>
      <c r="B84" s="11" t="str">
        <f>"00005135"</f>
        <v>00005135</v>
      </c>
    </row>
    <row r="85" spans="1:2" x14ac:dyDescent="0.25">
      <c r="A85" s="2">
        <v>80</v>
      </c>
      <c r="B85" s="11" t="str">
        <f>"00005202"</f>
        <v>00005202</v>
      </c>
    </row>
    <row r="86" spans="1:2" x14ac:dyDescent="0.25">
      <c r="A86" s="2">
        <v>81</v>
      </c>
      <c r="B86" s="11" t="str">
        <f>"00005235"</f>
        <v>00005235</v>
      </c>
    </row>
    <row r="87" spans="1:2" x14ac:dyDescent="0.25">
      <c r="A87" s="2">
        <v>82</v>
      </c>
      <c r="B87" s="11" t="str">
        <f>"00005274"</f>
        <v>00005274</v>
      </c>
    </row>
    <row r="88" spans="1:2" x14ac:dyDescent="0.25">
      <c r="A88" s="2">
        <v>83</v>
      </c>
      <c r="B88" s="11" t="str">
        <f>"00005337"</f>
        <v>00005337</v>
      </c>
    </row>
    <row r="89" spans="1:2" x14ac:dyDescent="0.25">
      <c r="A89" s="2">
        <v>84</v>
      </c>
      <c r="B89" s="11" t="str">
        <f>"00005427"</f>
        <v>00005427</v>
      </c>
    </row>
    <row r="90" spans="1:2" x14ac:dyDescent="0.25">
      <c r="A90" s="2">
        <v>85</v>
      </c>
      <c r="B90" s="11" t="str">
        <f>"00005429"</f>
        <v>00005429</v>
      </c>
    </row>
    <row r="91" spans="1:2" x14ac:dyDescent="0.25">
      <c r="A91" s="2">
        <v>86</v>
      </c>
      <c r="B91" s="11" t="str">
        <f>"00005457"</f>
        <v>00005457</v>
      </c>
    </row>
    <row r="92" spans="1:2" x14ac:dyDescent="0.25">
      <c r="A92" s="2">
        <v>87</v>
      </c>
      <c r="B92" s="11" t="str">
        <f>"00005461"</f>
        <v>00005461</v>
      </c>
    </row>
    <row r="93" spans="1:2" x14ac:dyDescent="0.25">
      <c r="A93" s="2">
        <v>88</v>
      </c>
      <c r="B93" s="11" t="str">
        <f>"00005463"</f>
        <v>00005463</v>
      </c>
    </row>
    <row r="94" spans="1:2" x14ac:dyDescent="0.25">
      <c r="A94" s="2">
        <v>89</v>
      </c>
      <c r="B94" s="11" t="str">
        <f>"00005492"</f>
        <v>00005492</v>
      </c>
    </row>
    <row r="95" spans="1:2" x14ac:dyDescent="0.25">
      <c r="A95" s="2">
        <v>90</v>
      </c>
      <c r="B95" s="11" t="str">
        <f>"00005497"</f>
        <v>00005497</v>
      </c>
    </row>
    <row r="96" spans="1:2" x14ac:dyDescent="0.25">
      <c r="A96" s="2">
        <v>91</v>
      </c>
      <c r="B96" s="11" t="str">
        <f>"00005540"</f>
        <v>00005540</v>
      </c>
    </row>
    <row r="97" spans="1:2" x14ac:dyDescent="0.25">
      <c r="A97" s="2">
        <v>92</v>
      </c>
      <c r="B97" s="11" t="str">
        <f>"00005557"</f>
        <v>00005557</v>
      </c>
    </row>
    <row r="98" spans="1:2" x14ac:dyDescent="0.25">
      <c r="A98" s="2">
        <v>93</v>
      </c>
      <c r="B98" s="11" t="str">
        <f>"00005565"</f>
        <v>00005565</v>
      </c>
    </row>
    <row r="99" spans="1:2" x14ac:dyDescent="0.25">
      <c r="A99" s="2">
        <v>94</v>
      </c>
      <c r="B99" s="11" t="str">
        <f>"00005580"</f>
        <v>00005580</v>
      </c>
    </row>
    <row r="100" spans="1:2" x14ac:dyDescent="0.25">
      <c r="A100" s="2">
        <v>95</v>
      </c>
      <c r="B100" s="11" t="str">
        <f>"00005628"</f>
        <v>00005628</v>
      </c>
    </row>
    <row r="101" spans="1:2" x14ac:dyDescent="0.25">
      <c r="A101" s="2">
        <v>96</v>
      </c>
      <c r="B101" s="11" t="str">
        <f>"00005755"</f>
        <v>00005755</v>
      </c>
    </row>
    <row r="102" spans="1:2" x14ac:dyDescent="0.25">
      <c r="A102" s="2">
        <v>97</v>
      </c>
      <c r="B102" s="11" t="str">
        <f>"00005797"</f>
        <v>00005797</v>
      </c>
    </row>
    <row r="103" spans="1:2" x14ac:dyDescent="0.25">
      <c r="A103" s="2">
        <v>98</v>
      </c>
      <c r="B103" s="11" t="str">
        <f>"00005820"</f>
        <v>00005820</v>
      </c>
    </row>
    <row r="104" spans="1:2" x14ac:dyDescent="0.25">
      <c r="A104" s="2">
        <v>99</v>
      </c>
      <c r="B104" s="11" t="str">
        <f>"00005844"</f>
        <v>00005844</v>
      </c>
    </row>
    <row r="105" spans="1:2" x14ac:dyDescent="0.25">
      <c r="A105" s="2">
        <v>100</v>
      </c>
      <c r="B105" s="11" t="str">
        <f>"00005878"</f>
        <v>00005878</v>
      </c>
    </row>
    <row r="106" spans="1:2" x14ac:dyDescent="0.25">
      <c r="A106" s="2">
        <v>101</v>
      </c>
      <c r="B106" s="11" t="str">
        <f>"00005917"</f>
        <v>00005917</v>
      </c>
    </row>
    <row r="107" spans="1:2" x14ac:dyDescent="0.25">
      <c r="A107" s="2">
        <v>102</v>
      </c>
      <c r="B107" s="11" t="str">
        <f>"00006019"</f>
        <v>00006019</v>
      </c>
    </row>
    <row r="108" spans="1:2" x14ac:dyDescent="0.25">
      <c r="A108" s="2">
        <v>103</v>
      </c>
      <c r="B108" s="11" t="str">
        <f>"00006105"</f>
        <v>00006105</v>
      </c>
    </row>
    <row r="109" spans="1:2" x14ac:dyDescent="0.25">
      <c r="A109" s="2">
        <v>104</v>
      </c>
      <c r="B109" s="11" t="str">
        <f>"00006121"</f>
        <v>00006121</v>
      </c>
    </row>
    <row r="110" spans="1:2" x14ac:dyDescent="0.25">
      <c r="A110" s="2">
        <v>105</v>
      </c>
      <c r="B110" s="11" t="str">
        <f>"00006249"</f>
        <v>00006249</v>
      </c>
    </row>
    <row r="111" spans="1:2" x14ac:dyDescent="0.25">
      <c r="A111" s="2">
        <v>106</v>
      </c>
      <c r="B111" s="11" t="str">
        <f>"00006293"</f>
        <v>00006293</v>
      </c>
    </row>
    <row r="112" spans="1:2" x14ac:dyDescent="0.25">
      <c r="A112" s="2">
        <v>107</v>
      </c>
      <c r="B112" s="11" t="str">
        <f>"00006302"</f>
        <v>00006302</v>
      </c>
    </row>
    <row r="113" spans="1:2" x14ac:dyDescent="0.25">
      <c r="A113" s="2">
        <v>108</v>
      </c>
      <c r="B113" s="11" t="str">
        <f>"00006366"</f>
        <v>00006366</v>
      </c>
    </row>
    <row r="114" spans="1:2" x14ac:dyDescent="0.25">
      <c r="A114" s="2">
        <v>109</v>
      </c>
      <c r="B114" s="11" t="str">
        <f>"00006489"</f>
        <v>00006489</v>
      </c>
    </row>
    <row r="115" spans="1:2" x14ac:dyDescent="0.25">
      <c r="A115" s="2">
        <v>110</v>
      </c>
      <c r="B115" s="11" t="str">
        <f>"00006500"</f>
        <v>00006500</v>
      </c>
    </row>
    <row r="116" spans="1:2" x14ac:dyDescent="0.25">
      <c r="A116" s="2">
        <v>111</v>
      </c>
      <c r="B116" s="11" t="str">
        <f>"00006527"</f>
        <v>00006527</v>
      </c>
    </row>
    <row r="117" spans="1:2" x14ac:dyDescent="0.25">
      <c r="A117" s="2">
        <v>112</v>
      </c>
      <c r="B117" s="11" t="str">
        <f>"00006559"</f>
        <v>00006559</v>
      </c>
    </row>
    <row r="118" spans="1:2" x14ac:dyDescent="0.25">
      <c r="A118" s="2">
        <v>113</v>
      </c>
      <c r="B118" s="11" t="str">
        <f>"00006611"</f>
        <v>00006611</v>
      </c>
    </row>
    <row r="119" spans="1:2" x14ac:dyDescent="0.25">
      <c r="A119" s="2">
        <v>114</v>
      </c>
      <c r="B119" s="11" t="str">
        <f>"00006650"</f>
        <v>00006650</v>
      </c>
    </row>
    <row r="120" spans="1:2" x14ac:dyDescent="0.25">
      <c r="A120" s="2">
        <v>115</v>
      </c>
      <c r="B120" s="11" t="str">
        <f>"00007134"</f>
        <v>00007134</v>
      </c>
    </row>
    <row r="121" spans="1:2" x14ac:dyDescent="0.25">
      <c r="A121" s="2">
        <v>116</v>
      </c>
      <c r="B121" s="11" t="str">
        <f>"00007142"</f>
        <v>00007142</v>
      </c>
    </row>
    <row r="122" spans="1:2" x14ac:dyDescent="0.25">
      <c r="A122" s="2">
        <v>117</v>
      </c>
      <c r="B122" s="11" t="str">
        <f>"00007150"</f>
        <v>00007150</v>
      </c>
    </row>
    <row r="123" spans="1:2" x14ac:dyDescent="0.25">
      <c r="A123" s="2">
        <v>118</v>
      </c>
      <c r="B123" s="11" t="str">
        <f>"00007174"</f>
        <v>00007174</v>
      </c>
    </row>
    <row r="124" spans="1:2" x14ac:dyDescent="0.25">
      <c r="A124" s="2">
        <v>119</v>
      </c>
      <c r="B124" s="11" t="str">
        <f>"00007192"</f>
        <v>00007192</v>
      </c>
    </row>
    <row r="125" spans="1:2" x14ac:dyDescent="0.25">
      <c r="A125" s="2">
        <v>120</v>
      </c>
      <c r="B125" s="11" t="str">
        <f>"00007197"</f>
        <v>00007197</v>
      </c>
    </row>
    <row r="126" spans="1:2" x14ac:dyDescent="0.25">
      <c r="A126" s="2">
        <v>121</v>
      </c>
      <c r="B126" s="11" t="str">
        <f>"00007199"</f>
        <v>00007199</v>
      </c>
    </row>
    <row r="127" spans="1:2" x14ac:dyDescent="0.25">
      <c r="A127" s="2">
        <v>122</v>
      </c>
      <c r="B127" s="11" t="str">
        <f>"00007268"</f>
        <v>00007268</v>
      </c>
    </row>
    <row r="128" spans="1:2" x14ac:dyDescent="0.25">
      <c r="A128" s="2">
        <v>123</v>
      </c>
      <c r="B128" s="11" t="str">
        <f>"00007315"</f>
        <v>00007315</v>
      </c>
    </row>
    <row r="129" spans="1:2" x14ac:dyDescent="0.25">
      <c r="A129" s="2">
        <v>124</v>
      </c>
      <c r="B129" s="11" t="str">
        <f>"00007463"</f>
        <v>00007463</v>
      </c>
    </row>
    <row r="130" spans="1:2" x14ac:dyDescent="0.25">
      <c r="A130" s="2">
        <v>125</v>
      </c>
      <c r="B130" s="11" t="str">
        <f>"00007464"</f>
        <v>00007464</v>
      </c>
    </row>
    <row r="131" spans="1:2" x14ac:dyDescent="0.25">
      <c r="A131" s="2">
        <v>126</v>
      </c>
      <c r="B131" s="11" t="str">
        <f>"00007478"</f>
        <v>00007478</v>
      </c>
    </row>
    <row r="132" spans="1:2" x14ac:dyDescent="0.25">
      <c r="A132" s="2">
        <v>127</v>
      </c>
      <c r="B132" s="11" t="str">
        <f>"00007494"</f>
        <v>00007494</v>
      </c>
    </row>
    <row r="133" spans="1:2" x14ac:dyDescent="0.25">
      <c r="A133" s="2">
        <v>128</v>
      </c>
      <c r="B133" s="11" t="str">
        <f>"00007514"</f>
        <v>00007514</v>
      </c>
    </row>
    <row r="134" spans="1:2" x14ac:dyDescent="0.25">
      <c r="A134" s="2">
        <v>129</v>
      </c>
      <c r="B134" s="11" t="str">
        <f>"00007571"</f>
        <v>00007571</v>
      </c>
    </row>
    <row r="135" spans="1:2" x14ac:dyDescent="0.25">
      <c r="A135" s="2">
        <v>130</v>
      </c>
      <c r="B135" s="11" t="str">
        <f>"00007579"</f>
        <v>00007579</v>
      </c>
    </row>
    <row r="136" spans="1:2" x14ac:dyDescent="0.25">
      <c r="A136" s="2">
        <v>131</v>
      </c>
      <c r="B136" s="11" t="str">
        <f>"00007732"</f>
        <v>00007732</v>
      </c>
    </row>
    <row r="137" spans="1:2" x14ac:dyDescent="0.25">
      <c r="A137" s="2">
        <v>132</v>
      </c>
      <c r="B137" s="11" t="str">
        <f>"00007821"</f>
        <v>00007821</v>
      </c>
    </row>
    <row r="138" spans="1:2" x14ac:dyDescent="0.25">
      <c r="A138" s="2">
        <v>133</v>
      </c>
      <c r="B138" s="11" t="str">
        <f>"00007852"</f>
        <v>00007852</v>
      </c>
    </row>
    <row r="139" spans="1:2" x14ac:dyDescent="0.25">
      <c r="A139" s="2">
        <v>134</v>
      </c>
      <c r="B139" s="11" t="str">
        <f>"00008013"</f>
        <v>00008013</v>
      </c>
    </row>
    <row r="140" spans="1:2" x14ac:dyDescent="0.25">
      <c r="A140" s="2">
        <v>135</v>
      </c>
      <c r="B140" s="11" t="str">
        <f>"00008099"</f>
        <v>00008099</v>
      </c>
    </row>
    <row r="141" spans="1:2" x14ac:dyDescent="0.25">
      <c r="A141" s="2">
        <v>136</v>
      </c>
      <c r="B141" s="11" t="str">
        <f>"00008134"</f>
        <v>00008134</v>
      </c>
    </row>
    <row r="142" spans="1:2" x14ac:dyDescent="0.25">
      <c r="A142" s="2">
        <v>137</v>
      </c>
      <c r="B142" s="11" t="str">
        <f>"00008159"</f>
        <v>00008159</v>
      </c>
    </row>
    <row r="143" spans="1:2" x14ac:dyDescent="0.25">
      <c r="A143" s="2">
        <v>138</v>
      </c>
      <c r="B143" s="11" t="str">
        <f>"00008186"</f>
        <v>00008186</v>
      </c>
    </row>
    <row r="144" spans="1:2" x14ac:dyDescent="0.25">
      <c r="A144" s="2">
        <v>139</v>
      </c>
      <c r="B144" s="11" t="str">
        <f>"00008189"</f>
        <v>00008189</v>
      </c>
    </row>
    <row r="145" spans="1:2" x14ac:dyDescent="0.25">
      <c r="A145" s="2">
        <v>140</v>
      </c>
      <c r="B145" s="11" t="str">
        <f>"00008238"</f>
        <v>00008238</v>
      </c>
    </row>
    <row r="146" spans="1:2" x14ac:dyDescent="0.25">
      <c r="A146" s="2">
        <v>141</v>
      </c>
      <c r="B146" s="11" t="str">
        <f>"00008280"</f>
        <v>00008280</v>
      </c>
    </row>
    <row r="147" spans="1:2" x14ac:dyDescent="0.25">
      <c r="A147" s="2">
        <v>142</v>
      </c>
      <c r="B147" s="11" t="str">
        <f>"00008391"</f>
        <v>00008391</v>
      </c>
    </row>
    <row r="148" spans="1:2" x14ac:dyDescent="0.25">
      <c r="A148" s="2">
        <v>143</v>
      </c>
      <c r="B148" s="11" t="str">
        <f>"00008435"</f>
        <v>00008435</v>
      </c>
    </row>
    <row r="149" spans="1:2" x14ac:dyDescent="0.25">
      <c r="A149" s="2">
        <v>144</v>
      </c>
      <c r="B149" s="11" t="str">
        <f>"00008485"</f>
        <v>00008485</v>
      </c>
    </row>
    <row r="150" spans="1:2" x14ac:dyDescent="0.25">
      <c r="A150" s="2">
        <v>145</v>
      </c>
      <c r="B150" s="11" t="str">
        <f>"00008533"</f>
        <v>00008533</v>
      </c>
    </row>
    <row r="151" spans="1:2" x14ac:dyDescent="0.25">
      <c r="A151" s="2">
        <v>146</v>
      </c>
      <c r="B151" s="11" t="str">
        <f>"00008712"</f>
        <v>00008712</v>
      </c>
    </row>
    <row r="152" spans="1:2" x14ac:dyDescent="0.25">
      <c r="A152" s="2">
        <v>147</v>
      </c>
      <c r="B152" s="11" t="str">
        <f>"00008732"</f>
        <v>00008732</v>
      </c>
    </row>
    <row r="153" spans="1:2" x14ac:dyDescent="0.25">
      <c r="A153" s="2">
        <v>148</v>
      </c>
      <c r="B153" s="11" t="str">
        <f>"00008742"</f>
        <v>00008742</v>
      </c>
    </row>
    <row r="154" spans="1:2" x14ac:dyDescent="0.25">
      <c r="A154" s="2">
        <v>149</v>
      </c>
      <c r="B154" s="11" t="str">
        <f>"00008910"</f>
        <v>00008910</v>
      </c>
    </row>
    <row r="155" spans="1:2" x14ac:dyDescent="0.25">
      <c r="A155" s="2">
        <v>150</v>
      </c>
      <c r="B155" s="11" t="str">
        <f>"00008997"</f>
        <v>00008997</v>
      </c>
    </row>
    <row r="156" spans="1:2" x14ac:dyDescent="0.25">
      <c r="A156" s="2">
        <v>151</v>
      </c>
      <c r="B156" s="11" t="str">
        <f>"00009026"</f>
        <v>00009026</v>
      </c>
    </row>
    <row r="157" spans="1:2" x14ac:dyDescent="0.25">
      <c r="A157" s="2">
        <v>152</v>
      </c>
      <c r="B157" s="11" t="str">
        <f>"00009123"</f>
        <v>00009123</v>
      </c>
    </row>
    <row r="158" spans="1:2" x14ac:dyDescent="0.25">
      <c r="A158" s="2">
        <v>153</v>
      </c>
      <c r="B158" s="11" t="str">
        <f>"00009154"</f>
        <v>00009154</v>
      </c>
    </row>
    <row r="159" spans="1:2" x14ac:dyDescent="0.25">
      <c r="A159" s="2">
        <v>154</v>
      </c>
      <c r="B159" s="11" t="str">
        <f>"00009202"</f>
        <v>00009202</v>
      </c>
    </row>
    <row r="160" spans="1:2" x14ac:dyDescent="0.25">
      <c r="A160" s="2">
        <v>155</v>
      </c>
      <c r="B160" s="11" t="str">
        <f>"00009214"</f>
        <v>00009214</v>
      </c>
    </row>
    <row r="161" spans="1:2" x14ac:dyDescent="0.25">
      <c r="A161" s="2">
        <v>156</v>
      </c>
      <c r="B161" s="11" t="str">
        <f>"00009240"</f>
        <v>00009240</v>
      </c>
    </row>
    <row r="162" spans="1:2" x14ac:dyDescent="0.25">
      <c r="A162" s="2">
        <v>157</v>
      </c>
      <c r="B162" s="11" t="str">
        <f>"00009394"</f>
        <v>00009394</v>
      </c>
    </row>
    <row r="163" spans="1:2" x14ac:dyDescent="0.25">
      <c r="A163" s="2">
        <v>158</v>
      </c>
      <c r="B163" s="11" t="str">
        <f>"00009486"</f>
        <v>00009486</v>
      </c>
    </row>
    <row r="164" spans="1:2" x14ac:dyDescent="0.25">
      <c r="A164" s="2">
        <v>159</v>
      </c>
      <c r="B164" s="11" t="str">
        <f>"00009567"</f>
        <v>00009567</v>
      </c>
    </row>
    <row r="165" spans="1:2" x14ac:dyDescent="0.25">
      <c r="A165" s="2">
        <v>160</v>
      </c>
      <c r="B165" s="11" t="str">
        <f>"00009604"</f>
        <v>00009604</v>
      </c>
    </row>
    <row r="166" spans="1:2" x14ac:dyDescent="0.25">
      <c r="A166" s="2">
        <v>161</v>
      </c>
      <c r="B166" s="11" t="str">
        <f>"00009643"</f>
        <v>00009643</v>
      </c>
    </row>
    <row r="167" spans="1:2" x14ac:dyDescent="0.25">
      <c r="A167" s="2">
        <v>162</v>
      </c>
      <c r="B167" s="11" t="str">
        <f>"00009719"</f>
        <v>00009719</v>
      </c>
    </row>
    <row r="168" spans="1:2" x14ac:dyDescent="0.25">
      <c r="A168" s="2">
        <v>163</v>
      </c>
      <c r="B168" s="11" t="str">
        <f>"00009755"</f>
        <v>00009755</v>
      </c>
    </row>
    <row r="169" spans="1:2" x14ac:dyDescent="0.25">
      <c r="A169" s="2">
        <v>164</v>
      </c>
      <c r="B169" s="11" t="str">
        <f>"00009786"</f>
        <v>00009786</v>
      </c>
    </row>
    <row r="170" spans="1:2" x14ac:dyDescent="0.25">
      <c r="A170" s="2">
        <v>165</v>
      </c>
      <c r="B170" s="11" t="str">
        <f>"00009832"</f>
        <v>00009832</v>
      </c>
    </row>
    <row r="171" spans="1:2" x14ac:dyDescent="0.25">
      <c r="A171" s="2">
        <v>166</v>
      </c>
      <c r="B171" s="11" t="str">
        <f>"00009846"</f>
        <v>00009846</v>
      </c>
    </row>
    <row r="172" spans="1:2" x14ac:dyDescent="0.25">
      <c r="A172" s="2">
        <v>167</v>
      </c>
      <c r="B172" s="11" t="str">
        <f>"00010223"</f>
        <v>00010223</v>
      </c>
    </row>
    <row r="173" spans="1:2" x14ac:dyDescent="0.25">
      <c r="A173" s="2">
        <v>168</v>
      </c>
      <c r="B173" s="11" t="str">
        <f>"00010280"</f>
        <v>00010280</v>
      </c>
    </row>
    <row r="174" spans="1:2" x14ac:dyDescent="0.25">
      <c r="A174" s="2">
        <v>169</v>
      </c>
      <c r="B174" s="11" t="str">
        <f>"00010415"</f>
        <v>00010415</v>
      </c>
    </row>
    <row r="175" spans="1:2" x14ac:dyDescent="0.25">
      <c r="A175" s="2">
        <v>170</v>
      </c>
      <c r="B175" s="11" t="str">
        <f>"00010420"</f>
        <v>00010420</v>
      </c>
    </row>
    <row r="176" spans="1:2" x14ac:dyDescent="0.25">
      <c r="A176" s="2">
        <v>171</v>
      </c>
      <c r="B176" s="11" t="str">
        <f>"00010492"</f>
        <v>00010492</v>
      </c>
    </row>
    <row r="177" spans="1:2" x14ac:dyDescent="0.25">
      <c r="A177" s="2">
        <v>172</v>
      </c>
      <c r="B177" s="11" t="str">
        <f>"00010497"</f>
        <v>00010497</v>
      </c>
    </row>
    <row r="178" spans="1:2" x14ac:dyDescent="0.25">
      <c r="A178" s="2">
        <v>173</v>
      </c>
      <c r="B178" s="11" t="str">
        <f>"00010503"</f>
        <v>00010503</v>
      </c>
    </row>
    <row r="179" spans="1:2" x14ac:dyDescent="0.25">
      <c r="A179" s="2">
        <v>174</v>
      </c>
      <c r="B179" s="11" t="str">
        <f>"00010580"</f>
        <v>00010580</v>
      </c>
    </row>
    <row r="180" spans="1:2" x14ac:dyDescent="0.25">
      <c r="A180" s="2">
        <v>175</v>
      </c>
      <c r="B180" s="11" t="str">
        <f>"00010581"</f>
        <v>00010581</v>
      </c>
    </row>
    <row r="181" spans="1:2" x14ac:dyDescent="0.25">
      <c r="A181" s="2">
        <v>176</v>
      </c>
      <c r="B181" s="11" t="str">
        <f>"00010662"</f>
        <v>00010662</v>
      </c>
    </row>
    <row r="182" spans="1:2" x14ac:dyDescent="0.25">
      <c r="A182" s="2">
        <v>177</v>
      </c>
      <c r="B182" s="11" t="str">
        <f>"00010707"</f>
        <v>00010707</v>
      </c>
    </row>
    <row r="183" spans="1:2" x14ac:dyDescent="0.25">
      <c r="A183" s="2">
        <v>178</v>
      </c>
      <c r="B183" s="11" t="str">
        <f>"00010862"</f>
        <v>00010862</v>
      </c>
    </row>
    <row r="184" spans="1:2" x14ac:dyDescent="0.25">
      <c r="A184" s="2">
        <v>179</v>
      </c>
      <c r="B184" s="11" t="str">
        <f>"00010913"</f>
        <v>00010913</v>
      </c>
    </row>
    <row r="185" spans="1:2" x14ac:dyDescent="0.25">
      <c r="A185" s="2">
        <v>180</v>
      </c>
      <c r="B185" s="11" t="str">
        <f>"00010943"</f>
        <v>00010943</v>
      </c>
    </row>
    <row r="186" spans="1:2" x14ac:dyDescent="0.25">
      <c r="A186" s="2">
        <v>181</v>
      </c>
      <c r="B186" s="11" t="str">
        <f>"00010950"</f>
        <v>00010950</v>
      </c>
    </row>
    <row r="187" spans="1:2" x14ac:dyDescent="0.25">
      <c r="A187" s="2">
        <v>182</v>
      </c>
      <c r="B187" s="11" t="str">
        <f>"00011052"</f>
        <v>00011052</v>
      </c>
    </row>
    <row r="188" spans="1:2" x14ac:dyDescent="0.25">
      <c r="A188" s="2">
        <v>183</v>
      </c>
      <c r="B188" s="11" t="str">
        <f>"00011058"</f>
        <v>00011058</v>
      </c>
    </row>
    <row r="189" spans="1:2" x14ac:dyDescent="0.25">
      <c r="A189" s="2">
        <v>184</v>
      </c>
      <c r="B189" s="11" t="str">
        <f>"00011073"</f>
        <v>00011073</v>
      </c>
    </row>
    <row r="190" spans="1:2" x14ac:dyDescent="0.25">
      <c r="A190" s="2">
        <v>185</v>
      </c>
      <c r="B190" s="11" t="str">
        <f>"00011117"</f>
        <v>00011117</v>
      </c>
    </row>
    <row r="191" spans="1:2" x14ac:dyDescent="0.25">
      <c r="A191" s="2">
        <v>186</v>
      </c>
      <c r="B191" s="11" t="str">
        <f>"00011128"</f>
        <v>00011128</v>
      </c>
    </row>
    <row r="192" spans="1:2" x14ac:dyDescent="0.25">
      <c r="A192" s="2">
        <v>187</v>
      </c>
      <c r="B192" s="11" t="str">
        <f>"00011141"</f>
        <v>00011141</v>
      </c>
    </row>
    <row r="193" spans="1:2" x14ac:dyDescent="0.25">
      <c r="A193" s="2">
        <v>188</v>
      </c>
      <c r="B193" s="11" t="str">
        <f>"00011208"</f>
        <v>00011208</v>
      </c>
    </row>
    <row r="194" spans="1:2" x14ac:dyDescent="0.25">
      <c r="A194" s="2">
        <v>189</v>
      </c>
      <c r="B194" s="11" t="str">
        <f>"00011310"</f>
        <v>00011310</v>
      </c>
    </row>
    <row r="195" spans="1:2" x14ac:dyDescent="0.25">
      <c r="A195" s="2">
        <v>190</v>
      </c>
      <c r="B195" s="11" t="str">
        <f>"00011353"</f>
        <v>00011353</v>
      </c>
    </row>
    <row r="196" spans="1:2" x14ac:dyDescent="0.25">
      <c r="A196" s="2">
        <v>191</v>
      </c>
      <c r="B196" s="11" t="str">
        <f>"00011354"</f>
        <v>00011354</v>
      </c>
    </row>
    <row r="197" spans="1:2" x14ac:dyDescent="0.25">
      <c r="A197" s="2">
        <v>192</v>
      </c>
      <c r="B197" s="11" t="str">
        <f>"00011373"</f>
        <v>00011373</v>
      </c>
    </row>
    <row r="198" spans="1:2" x14ac:dyDescent="0.25">
      <c r="A198" s="2">
        <v>193</v>
      </c>
      <c r="B198" s="11" t="str">
        <f>"00011375"</f>
        <v>00011375</v>
      </c>
    </row>
    <row r="199" spans="1:2" x14ac:dyDescent="0.25">
      <c r="A199" s="2">
        <v>194</v>
      </c>
      <c r="B199" s="11" t="str">
        <f>"00011450"</f>
        <v>00011450</v>
      </c>
    </row>
    <row r="200" spans="1:2" x14ac:dyDescent="0.25">
      <c r="A200" s="2">
        <v>195</v>
      </c>
      <c r="B200" s="11" t="str">
        <f>"00011495"</f>
        <v>00011495</v>
      </c>
    </row>
    <row r="201" spans="1:2" x14ac:dyDescent="0.25">
      <c r="A201" s="2">
        <v>196</v>
      </c>
      <c r="B201" s="11" t="str">
        <f>"00011553"</f>
        <v>00011553</v>
      </c>
    </row>
    <row r="202" spans="1:2" x14ac:dyDescent="0.25">
      <c r="A202" s="2">
        <v>197</v>
      </c>
      <c r="B202" s="11" t="str">
        <f>"00011581"</f>
        <v>00011581</v>
      </c>
    </row>
    <row r="203" spans="1:2" x14ac:dyDescent="0.25">
      <c r="A203" s="2">
        <v>198</v>
      </c>
      <c r="B203" s="11" t="str">
        <f>"00011655"</f>
        <v>00011655</v>
      </c>
    </row>
    <row r="204" spans="1:2" x14ac:dyDescent="0.25">
      <c r="A204" s="2">
        <v>199</v>
      </c>
      <c r="B204" s="11" t="str">
        <f>"00011686"</f>
        <v>00011686</v>
      </c>
    </row>
    <row r="205" spans="1:2" x14ac:dyDescent="0.25">
      <c r="A205" s="2">
        <v>200</v>
      </c>
      <c r="B205" s="11" t="str">
        <f>"00011801"</f>
        <v>00011801</v>
      </c>
    </row>
    <row r="206" spans="1:2" x14ac:dyDescent="0.25">
      <c r="A206" s="2">
        <v>201</v>
      </c>
      <c r="B206" s="11" t="str">
        <f>"00011805"</f>
        <v>00011805</v>
      </c>
    </row>
    <row r="207" spans="1:2" x14ac:dyDescent="0.25">
      <c r="A207" s="2">
        <v>202</v>
      </c>
      <c r="B207" s="11" t="str">
        <f>"00011830"</f>
        <v>00011830</v>
      </c>
    </row>
    <row r="208" spans="1:2" x14ac:dyDescent="0.25">
      <c r="A208" s="2">
        <v>203</v>
      </c>
      <c r="B208" s="11" t="str">
        <f>"00011916"</f>
        <v>00011916</v>
      </c>
    </row>
    <row r="209" spans="1:2" x14ac:dyDescent="0.25">
      <c r="A209" s="2">
        <v>204</v>
      </c>
      <c r="B209" s="11" t="str">
        <f>"00011986"</f>
        <v>00011986</v>
      </c>
    </row>
    <row r="210" spans="1:2" x14ac:dyDescent="0.25">
      <c r="A210" s="2">
        <v>205</v>
      </c>
      <c r="B210" s="11" t="str">
        <f>"00012156"</f>
        <v>00012156</v>
      </c>
    </row>
    <row r="211" spans="1:2" x14ac:dyDescent="0.25">
      <c r="A211" s="2">
        <v>206</v>
      </c>
      <c r="B211" s="11" t="str">
        <f>"00012289"</f>
        <v>00012289</v>
      </c>
    </row>
    <row r="212" spans="1:2" x14ac:dyDescent="0.25">
      <c r="A212" s="2">
        <v>207</v>
      </c>
      <c r="B212" s="11" t="str">
        <f>"00012301"</f>
        <v>00012301</v>
      </c>
    </row>
    <row r="213" spans="1:2" x14ac:dyDescent="0.25">
      <c r="A213" s="2">
        <v>208</v>
      </c>
      <c r="B213" s="11" t="str">
        <f>"00012451"</f>
        <v>00012451</v>
      </c>
    </row>
    <row r="214" spans="1:2" x14ac:dyDescent="0.25">
      <c r="A214" s="2">
        <v>209</v>
      </c>
      <c r="B214" s="11" t="str">
        <f>"00012590"</f>
        <v>00012590</v>
      </c>
    </row>
    <row r="215" spans="1:2" x14ac:dyDescent="0.25">
      <c r="A215" s="2">
        <v>210</v>
      </c>
      <c r="B215" s="11" t="str">
        <f>"00012624"</f>
        <v>00012624</v>
      </c>
    </row>
    <row r="216" spans="1:2" x14ac:dyDescent="0.25">
      <c r="A216" s="2">
        <v>211</v>
      </c>
      <c r="B216" s="11" t="str">
        <f>"00012649"</f>
        <v>00012649</v>
      </c>
    </row>
    <row r="217" spans="1:2" x14ac:dyDescent="0.25">
      <c r="A217" s="2">
        <v>212</v>
      </c>
      <c r="B217" s="11" t="str">
        <f>"00012656"</f>
        <v>00012656</v>
      </c>
    </row>
    <row r="218" spans="1:2" x14ac:dyDescent="0.25">
      <c r="A218" s="2">
        <v>213</v>
      </c>
      <c r="B218" s="11" t="str">
        <f>"00012668"</f>
        <v>00012668</v>
      </c>
    </row>
    <row r="219" spans="1:2" x14ac:dyDescent="0.25">
      <c r="A219" s="2">
        <v>214</v>
      </c>
      <c r="B219" s="11" t="str">
        <f>"00012689"</f>
        <v>00012689</v>
      </c>
    </row>
    <row r="220" spans="1:2" x14ac:dyDescent="0.25">
      <c r="A220" s="2">
        <v>215</v>
      </c>
      <c r="B220" s="11" t="str">
        <f>"00012763"</f>
        <v>00012763</v>
      </c>
    </row>
    <row r="221" spans="1:2" x14ac:dyDescent="0.25">
      <c r="A221" s="2">
        <v>216</v>
      </c>
      <c r="B221" s="11" t="str">
        <f>"00012840"</f>
        <v>00012840</v>
      </c>
    </row>
    <row r="222" spans="1:2" x14ac:dyDescent="0.25">
      <c r="A222" s="2">
        <v>217</v>
      </c>
      <c r="B222" s="11" t="str">
        <f>"00012848"</f>
        <v>00012848</v>
      </c>
    </row>
    <row r="223" spans="1:2" x14ac:dyDescent="0.25">
      <c r="A223" s="2">
        <v>218</v>
      </c>
      <c r="B223" s="11" t="str">
        <f>"00012887"</f>
        <v>00012887</v>
      </c>
    </row>
    <row r="224" spans="1:2" x14ac:dyDescent="0.25">
      <c r="A224" s="2">
        <v>219</v>
      </c>
      <c r="B224" s="11" t="str">
        <f>"00012896"</f>
        <v>00012896</v>
      </c>
    </row>
    <row r="225" spans="1:2" x14ac:dyDescent="0.25">
      <c r="A225" s="2">
        <v>220</v>
      </c>
      <c r="B225" s="11" t="str">
        <f>"00012905"</f>
        <v>00012905</v>
      </c>
    </row>
    <row r="226" spans="1:2" x14ac:dyDescent="0.25">
      <c r="A226" s="2">
        <v>221</v>
      </c>
      <c r="B226" s="11" t="str">
        <f>"00012951"</f>
        <v>00012951</v>
      </c>
    </row>
    <row r="227" spans="1:2" x14ac:dyDescent="0.25">
      <c r="A227" s="2">
        <v>222</v>
      </c>
      <c r="B227" s="11" t="str">
        <f>"00013059"</f>
        <v>00013059</v>
      </c>
    </row>
    <row r="228" spans="1:2" x14ac:dyDescent="0.25">
      <c r="A228" s="2">
        <v>223</v>
      </c>
      <c r="B228" s="11" t="str">
        <f>"00013071"</f>
        <v>00013071</v>
      </c>
    </row>
    <row r="229" spans="1:2" x14ac:dyDescent="0.25">
      <c r="A229" s="2">
        <v>224</v>
      </c>
      <c r="B229" s="11" t="str">
        <f>"00013150"</f>
        <v>00013150</v>
      </c>
    </row>
    <row r="230" spans="1:2" x14ac:dyDescent="0.25">
      <c r="A230" s="2">
        <v>225</v>
      </c>
      <c r="B230" s="11" t="str">
        <f>"00013171"</f>
        <v>00013171</v>
      </c>
    </row>
    <row r="231" spans="1:2" x14ac:dyDescent="0.25">
      <c r="A231" s="2">
        <v>226</v>
      </c>
      <c r="B231" s="11" t="str">
        <f>"00013194"</f>
        <v>00013194</v>
      </c>
    </row>
    <row r="232" spans="1:2" x14ac:dyDescent="0.25">
      <c r="A232" s="2">
        <v>227</v>
      </c>
      <c r="B232" s="11" t="str">
        <f>"00013226"</f>
        <v>00013226</v>
      </c>
    </row>
    <row r="233" spans="1:2" x14ac:dyDescent="0.25">
      <c r="A233" s="2">
        <v>228</v>
      </c>
      <c r="B233" s="11" t="str">
        <f>"00013301"</f>
        <v>00013301</v>
      </c>
    </row>
    <row r="234" spans="1:2" x14ac:dyDescent="0.25">
      <c r="A234" s="2">
        <v>229</v>
      </c>
      <c r="B234" s="11" t="str">
        <f>"00013303"</f>
        <v>00013303</v>
      </c>
    </row>
    <row r="235" spans="1:2" x14ac:dyDescent="0.25">
      <c r="A235" s="2">
        <v>230</v>
      </c>
      <c r="B235" s="11" t="str">
        <f>"00013349"</f>
        <v>00013349</v>
      </c>
    </row>
    <row r="236" spans="1:2" x14ac:dyDescent="0.25">
      <c r="A236" s="2">
        <v>231</v>
      </c>
      <c r="B236" s="11" t="str">
        <f>"00013379"</f>
        <v>00013379</v>
      </c>
    </row>
    <row r="237" spans="1:2" x14ac:dyDescent="0.25">
      <c r="A237" s="2">
        <v>232</v>
      </c>
      <c r="B237" s="11" t="str">
        <f>"00013574"</f>
        <v>00013574</v>
      </c>
    </row>
    <row r="238" spans="1:2" x14ac:dyDescent="0.25">
      <c r="A238" s="2">
        <v>233</v>
      </c>
      <c r="B238" s="11" t="str">
        <f>"00013659"</f>
        <v>00013659</v>
      </c>
    </row>
    <row r="239" spans="1:2" x14ac:dyDescent="0.25">
      <c r="A239" s="2">
        <v>234</v>
      </c>
      <c r="B239" s="11" t="str">
        <f>"00013736"</f>
        <v>00013736</v>
      </c>
    </row>
    <row r="240" spans="1:2" x14ac:dyDescent="0.25">
      <c r="A240" s="2">
        <v>235</v>
      </c>
      <c r="B240" s="11" t="str">
        <f>"00013794"</f>
        <v>00013794</v>
      </c>
    </row>
    <row r="241" spans="1:2" x14ac:dyDescent="0.25">
      <c r="A241" s="2">
        <v>236</v>
      </c>
      <c r="B241" s="11" t="str">
        <f>"00013841"</f>
        <v>00013841</v>
      </c>
    </row>
    <row r="242" spans="1:2" x14ac:dyDescent="0.25">
      <c r="A242" s="2">
        <v>237</v>
      </c>
      <c r="B242" s="11" t="str">
        <f>"00013859"</f>
        <v>00013859</v>
      </c>
    </row>
    <row r="243" spans="1:2" x14ac:dyDescent="0.25">
      <c r="A243" s="2">
        <v>238</v>
      </c>
      <c r="B243" s="11" t="str">
        <f>"00013949"</f>
        <v>00013949</v>
      </c>
    </row>
    <row r="244" spans="1:2" x14ac:dyDescent="0.25">
      <c r="A244" s="2">
        <v>239</v>
      </c>
      <c r="B244" s="11" t="str">
        <f>"00014157"</f>
        <v>00014157</v>
      </c>
    </row>
    <row r="245" spans="1:2" x14ac:dyDescent="0.25">
      <c r="A245" s="2">
        <v>240</v>
      </c>
      <c r="B245" s="11" t="str">
        <f>"00014331"</f>
        <v>00014331</v>
      </c>
    </row>
    <row r="246" spans="1:2" x14ac:dyDescent="0.25">
      <c r="A246" s="2">
        <v>241</v>
      </c>
      <c r="B246" s="11" t="str">
        <f>"00014350"</f>
        <v>00014350</v>
      </c>
    </row>
    <row r="247" spans="1:2" x14ac:dyDescent="0.25">
      <c r="A247" s="2">
        <v>242</v>
      </c>
      <c r="B247" s="11" t="str">
        <f>"00014466"</f>
        <v>00014466</v>
      </c>
    </row>
    <row r="248" spans="1:2" x14ac:dyDescent="0.25">
      <c r="A248" s="2">
        <v>243</v>
      </c>
      <c r="B248" s="11" t="str">
        <f>"00014533"</f>
        <v>00014533</v>
      </c>
    </row>
    <row r="249" spans="1:2" x14ac:dyDescent="0.25">
      <c r="A249" s="2">
        <v>244</v>
      </c>
      <c r="B249" s="11" t="str">
        <f>"00014537"</f>
        <v>00014537</v>
      </c>
    </row>
    <row r="250" spans="1:2" x14ac:dyDescent="0.25">
      <c r="A250" s="2">
        <v>245</v>
      </c>
      <c r="B250" s="11" t="str">
        <f>"00014629"</f>
        <v>00014629</v>
      </c>
    </row>
    <row r="251" spans="1:2" x14ac:dyDescent="0.25">
      <c r="A251" s="2">
        <v>246</v>
      </c>
      <c r="B251" s="11" t="str">
        <f>"00014671"</f>
        <v>00014671</v>
      </c>
    </row>
    <row r="252" spans="1:2" x14ac:dyDescent="0.25">
      <c r="A252" s="2">
        <v>247</v>
      </c>
      <c r="B252" s="11" t="str">
        <f>"00014679"</f>
        <v>00014679</v>
      </c>
    </row>
    <row r="253" spans="1:2" x14ac:dyDescent="0.25">
      <c r="A253" s="2">
        <v>248</v>
      </c>
      <c r="B253" s="11" t="str">
        <f>"00014722"</f>
        <v>00014722</v>
      </c>
    </row>
    <row r="254" spans="1:2" x14ac:dyDescent="0.25">
      <c r="A254" s="2">
        <v>249</v>
      </c>
      <c r="B254" s="11" t="str">
        <f>"00014742"</f>
        <v>00014742</v>
      </c>
    </row>
    <row r="255" spans="1:2" x14ac:dyDescent="0.25">
      <c r="A255" s="2">
        <v>250</v>
      </c>
      <c r="B255" s="11" t="str">
        <f>"00014990"</f>
        <v>00014990</v>
      </c>
    </row>
    <row r="256" spans="1:2" x14ac:dyDescent="0.25">
      <c r="A256" s="2">
        <v>251</v>
      </c>
      <c r="B256" s="11" t="str">
        <f>"00015004"</f>
        <v>00015004</v>
      </c>
    </row>
    <row r="257" spans="1:2" x14ac:dyDescent="0.25">
      <c r="A257" s="2">
        <v>252</v>
      </c>
      <c r="B257" s="11" t="str">
        <f>"00015024"</f>
        <v>00015024</v>
      </c>
    </row>
    <row r="258" spans="1:2" x14ac:dyDescent="0.25">
      <c r="A258" s="2">
        <v>253</v>
      </c>
      <c r="B258" s="11" t="str">
        <f>"00015088"</f>
        <v>00015088</v>
      </c>
    </row>
    <row r="259" spans="1:2" x14ac:dyDescent="0.25">
      <c r="A259" s="2">
        <v>254</v>
      </c>
      <c r="B259" s="11" t="str">
        <f>"00015109"</f>
        <v>00015109</v>
      </c>
    </row>
    <row r="260" spans="1:2" x14ac:dyDescent="0.25">
      <c r="A260" s="2">
        <v>255</v>
      </c>
      <c r="B260" s="11" t="str">
        <f>"00015122"</f>
        <v>00015122</v>
      </c>
    </row>
    <row r="261" spans="1:2" x14ac:dyDescent="0.25">
      <c r="A261" s="2">
        <v>256</v>
      </c>
      <c r="B261" s="11" t="str">
        <f>"00015387"</f>
        <v>00015387</v>
      </c>
    </row>
    <row r="262" spans="1:2" x14ac:dyDescent="0.25">
      <c r="A262" s="2">
        <v>257</v>
      </c>
      <c r="B262" s="11" t="str">
        <f>"00015407"</f>
        <v>00015407</v>
      </c>
    </row>
    <row r="263" spans="1:2" x14ac:dyDescent="0.25">
      <c r="A263" s="2">
        <v>258</v>
      </c>
      <c r="B263" s="11" t="str">
        <f>"00015413"</f>
        <v>00015413</v>
      </c>
    </row>
    <row r="264" spans="1:2" x14ac:dyDescent="0.25">
      <c r="A264" s="2">
        <v>259</v>
      </c>
      <c r="B264" s="11" t="str">
        <f>"00015467"</f>
        <v>00015467</v>
      </c>
    </row>
    <row r="265" spans="1:2" x14ac:dyDescent="0.25">
      <c r="A265" s="2">
        <v>260</v>
      </c>
      <c r="B265" s="11" t="str">
        <f>"00015553"</f>
        <v>00015553</v>
      </c>
    </row>
    <row r="266" spans="1:2" x14ac:dyDescent="0.25">
      <c r="A266" s="2">
        <v>261</v>
      </c>
      <c r="B266" s="11" t="str">
        <f>"00015554"</f>
        <v>00015554</v>
      </c>
    </row>
    <row r="267" spans="1:2" x14ac:dyDescent="0.25">
      <c r="A267" s="2">
        <v>262</v>
      </c>
      <c r="B267" s="11" t="str">
        <f>"00015614"</f>
        <v>00015614</v>
      </c>
    </row>
    <row r="268" spans="1:2" x14ac:dyDescent="0.25">
      <c r="A268" s="2">
        <v>263</v>
      </c>
      <c r="B268" s="11" t="str">
        <f>"00015632"</f>
        <v>00015632</v>
      </c>
    </row>
    <row r="269" spans="1:2" x14ac:dyDescent="0.25">
      <c r="A269" s="2">
        <v>264</v>
      </c>
      <c r="B269" s="11" t="str">
        <f>"00015670"</f>
        <v>00015670</v>
      </c>
    </row>
    <row r="270" spans="1:2" x14ac:dyDescent="0.25">
      <c r="A270" s="2">
        <v>265</v>
      </c>
      <c r="B270" s="11" t="str">
        <f>"00015762"</f>
        <v>00015762</v>
      </c>
    </row>
    <row r="271" spans="1:2" x14ac:dyDescent="0.25">
      <c r="A271" s="2">
        <v>266</v>
      </c>
      <c r="B271" s="11" t="str">
        <f>"00015859"</f>
        <v>00015859</v>
      </c>
    </row>
    <row r="272" spans="1:2" x14ac:dyDescent="0.25">
      <c r="A272" s="2">
        <v>267</v>
      </c>
      <c r="B272" s="11" t="str">
        <f>"00015936"</f>
        <v>00015936</v>
      </c>
    </row>
    <row r="273" spans="1:2" x14ac:dyDescent="0.25">
      <c r="A273" s="2">
        <v>268</v>
      </c>
      <c r="B273" s="11" t="str">
        <f>"00016042"</f>
        <v>00016042</v>
      </c>
    </row>
    <row r="274" spans="1:2" x14ac:dyDescent="0.25">
      <c r="A274" s="2">
        <v>269</v>
      </c>
      <c r="B274" s="11" t="str">
        <f>"00016139"</f>
        <v>00016139</v>
      </c>
    </row>
    <row r="275" spans="1:2" x14ac:dyDescent="0.25">
      <c r="A275" s="2">
        <v>270</v>
      </c>
      <c r="B275" s="11" t="str">
        <f>"00016222"</f>
        <v>00016222</v>
      </c>
    </row>
    <row r="276" spans="1:2" x14ac:dyDescent="0.25">
      <c r="A276" s="2">
        <v>271</v>
      </c>
      <c r="B276" s="11" t="str">
        <f>"00016233"</f>
        <v>00016233</v>
      </c>
    </row>
    <row r="277" spans="1:2" x14ac:dyDescent="0.25">
      <c r="A277" s="2">
        <v>272</v>
      </c>
      <c r="B277" s="11" t="str">
        <f>"00016252"</f>
        <v>00016252</v>
      </c>
    </row>
    <row r="278" spans="1:2" x14ac:dyDescent="0.25">
      <c r="A278" s="2">
        <v>273</v>
      </c>
      <c r="B278" s="11" t="str">
        <f>"00016313"</f>
        <v>00016313</v>
      </c>
    </row>
    <row r="279" spans="1:2" x14ac:dyDescent="0.25">
      <c r="A279" s="2">
        <v>274</v>
      </c>
      <c r="B279" s="11" t="str">
        <f>"00016501"</f>
        <v>00016501</v>
      </c>
    </row>
    <row r="280" spans="1:2" x14ac:dyDescent="0.25">
      <c r="A280" s="2">
        <v>275</v>
      </c>
      <c r="B280" s="11" t="str">
        <f>"00016519"</f>
        <v>00016519</v>
      </c>
    </row>
    <row r="281" spans="1:2" x14ac:dyDescent="0.25">
      <c r="A281" s="2">
        <v>276</v>
      </c>
      <c r="B281" s="11" t="str">
        <f>"00016527"</f>
        <v>00016527</v>
      </c>
    </row>
    <row r="282" spans="1:2" x14ac:dyDescent="0.25">
      <c r="A282" s="2">
        <v>277</v>
      </c>
      <c r="B282" s="11" t="str">
        <f>"00016574"</f>
        <v>00016574</v>
      </c>
    </row>
    <row r="283" spans="1:2" x14ac:dyDescent="0.25">
      <c r="A283" s="2">
        <v>278</v>
      </c>
      <c r="B283" s="11" t="str">
        <f>"00016724"</f>
        <v>00016724</v>
      </c>
    </row>
    <row r="284" spans="1:2" x14ac:dyDescent="0.25">
      <c r="A284" s="2">
        <v>279</v>
      </c>
      <c r="B284" s="11" t="str">
        <f>"00016767"</f>
        <v>00016767</v>
      </c>
    </row>
    <row r="285" spans="1:2" x14ac:dyDescent="0.25">
      <c r="A285" s="2">
        <v>280</v>
      </c>
      <c r="B285" s="11" t="str">
        <f>"00016775"</f>
        <v>00016775</v>
      </c>
    </row>
    <row r="286" spans="1:2" x14ac:dyDescent="0.25">
      <c r="A286" s="2">
        <v>281</v>
      </c>
      <c r="B286" s="11" t="str">
        <f>"00016799"</f>
        <v>00016799</v>
      </c>
    </row>
    <row r="287" spans="1:2" x14ac:dyDescent="0.25">
      <c r="A287" s="2">
        <v>282</v>
      </c>
      <c r="B287" s="11" t="str">
        <f>"00016844"</f>
        <v>00016844</v>
      </c>
    </row>
    <row r="288" spans="1:2" x14ac:dyDescent="0.25">
      <c r="A288" s="2">
        <v>283</v>
      </c>
      <c r="B288" s="11" t="str">
        <f>"00016858"</f>
        <v>00016858</v>
      </c>
    </row>
    <row r="289" spans="1:2" x14ac:dyDescent="0.25">
      <c r="A289" s="2">
        <v>284</v>
      </c>
      <c r="B289" s="11" t="str">
        <f>"00017119"</f>
        <v>00017119</v>
      </c>
    </row>
    <row r="290" spans="1:2" x14ac:dyDescent="0.25">
      <c r="A290" s="2">
        <v>285</v>
      </c>
      <c r="B290" s="11" t="str">
        <f>"00017158"</f>
        <v>00017158</v>
      </c>
    </row>
    <row r="291" spans="1:2" x14ac:dyDescent="0.25">
      <c r="A291" s="2">
        <v>286</v>
      </c>
      <c r="B291" s="11" t="str">
        <f>"00017232"</f>
        <v>00017232</v>
      </c>
    </row>
    <row r="292" spans="1:2" x14ac:dyDescent="0.25">
      <c r="A292" s="2">
        <v>287</v>
      </c>
      <c r="B292" s="11" t="str">
        <f>"00017254"</f>
        <v>00017254</v>
      </c>
    </row>
    <row r="293" spans="1:2" x14ac:dyDescent="0.25">
      <c r="A293" s="2">
        <v>288</v>
      </c>
      <c r="B293" s="11" t="str">
        <f>"00017325"</f>
        <v>00017325</v>
      </c>
    </row>
    <row r="294" spans="1:2" x14ac:dyDescent="0.25">
      <c r="A294" s="2">
        <v>289</v>
      </c>
      <c r="B294" s="11" t="str">
        <f>"00017380"</f>
        <v>00017380</v>
      </c>
    </row>
    <row r="295" spans="1:2" x14ac:dyDescent="0.25">
      <c r="A295" s="2">
        <v>290</v>
      </c>
      <c r="B295" s="11" t="str">
        <f>"00017410"</f>
        <v>00017410</v>
      </c>
    </row>
    <row r="296" spans="1:2" x14ac:dyDescent="0.25">
      <c r="A296" s="2">
        <v>291</v>
      </c>
      <c r="B296" s="11" t="str">
        <f>"00017445"</f>
        <v>00017445</v>
      </c>
    </row>
    <row r="297" spans="1:2" x14ac:dyDescent="0.25">
      <c r="A297" s="2">
        <v>292</v>
      </c>
      <c r="B297" s="11" t="str">
        <f>"00017499"</f>
        <v>00017499</v>
      </c>
    </row>
    <row r="298" spans="1:2" x14ac:dyDescent="0.25">
      <c r="A298" s="2">
        <v>293</v>
      </c>
      <c r="B298" s="11" t="str">
        <f>"00017510"</f>
        <v>00017510</v>
      </c>
    </row>
    <row r="299" spans="1:2" x14ac:dyDescent="0.25">
      <c r="A299" s="2">
        <v>294</v>
      </c>
      <c r="B299" s="11" t="str">
        <f>"00017594"</f>
        <v>00017594</v>
      </c>
    </row>
    <row r="300" spans="1:2" x14ac:dyDescent="0.25">
      <c r="A300" s="2">
        <v>295</v>
      </c>
      <c r="B300" s="11" t="str">
        <f>"00017607"</f>
        <v>00017607</v>
      </c>
    </row>
    <row r="301" spans="1:2" x14ac:dyDescent="0.25">
      <c r="A301" s="2">
        <v>296</v>
      </c>
      <c r="B301" s="11" t="str">
        <f>"00017721"</f>
        <v>00017721</v>
      </c>
    </row>
    <row r="302" spans="1:2" x14ac:dyDescent="0.25">
      <c r="A302" s="2">
        <v>297</v>
      </c>
      <c r="B302" s="11" t="str">
        <f>"00017727"</f>
        <v>00017727</v>
      </c>
    </row>
    <row r="303" spans="1:2" x14ac:dyDescent="0.25">
      <c r="A303" s="2">
        <v>298</v>
      </c>
      <c r="B303" s="11" t="str">
        <f>"00017779"</f>
        <v>00017779</v>
      </c>
    </row>
    <row r="304" spans="1:2" x14ac:dyDescent="0.25">
      <c r="A304" s="2">
        <v>299</v>
      </c>
      <c r="B304" s="11" t="str">
        <f>"00017787"</f>
        <v>00017787</v>
      </c>
    </row>
    <row r="305" spans="1:2" x14ac:dyDescent="0.25">
      <c r="A305" s="2">
        <v>300</v>
      </c>
      <c r="B305" s="11" t="str">
        <f>"00017819"</f>
        <v>00017819</v>
      </c>
    </row>
    <row r="306" spans="1:2" x14ac:dyDescent="0.25">
      <c r="A306" s="2">
        <v>301</v>
      </c>
      <c r="B306" s="11" t="str">
        <f>"00017883"</f>
        <v>00017883</v>
      </c>
    </row>
    <row r="307" spans="1:2" x14ac:dyDescent="0.25">
      <c r="A307" s="2">
        <v>302</v>
      </c>
      <c r="B307" s="11" t="str">
        <f>"00017900"</f>
        <v>00017900</v>
      </c>
    </row>
    <row r="308" spans="1:2" x14ac:dyDescent="0.25">
      <c r="A308" s="2">
        <v>303</v>
      </c>
      <c r="B308" s="11" t="str">
        <f>"00017931"</f>
        <v>00017931</v>
      </c>
    </row>
    <row r="309" spans="1:2" x14ac:dyDescent="0.25">
      <c r="A309" s="2">
        <v>304</v>
      </c>
      <c r="B309" s="11" t="str">
        <f>"00017986"</f>
        <v>00017986</v>
      </c>
    </row>
    <row r="310" spans="1:2" x14ac:dyDescent="0.25">
      <c r="A310" s="2">
        <v>305</v>
      </c>
      <c r="B310" s="11" t="str">
        <f>"00017996"</f>
        <v>00017996</v>
      </c>
    </row>
    <row r="311" spans="1:2" x14ac:dyDescent="0.25">
      <c r="A311" s="2">
        <v>306</v>
      </c>
      <c r="B311" s="11" t="str">
        <f>"00018028"</f>
        <v>00018028</v>
      </c>
    </row>
    <row r="312" spans="1:2" x14ac:dyDescent="0.25">
      <c r="A312" s="2">
        <v>307</v>
      </c>
      <c r="B312" s="11" t="str">
        <f>"00018107"</f>
        <v>00018107</v>
      </c>
    </row>
    <row r="313" spans="1:2" x14ac:dyDescent="0.25">
      <c r="A313" s="2">
        <v>308</v>
      </c>
      <c r="B313" s="11" t="str">
        <f>"00018132"</f>
        <v>00018132</v>
      </c>
    </row>
    <row r="314" spans="1:2" x14ac:dyDescent="0.25">
      <c r="A314" s="2">
        <v>309</v>
      </c>
      <c r="B314" s="11" t="str">
        <f>"00018192"</f>
        <v>00018192</v>
      </c>
    </row>
    <row r="315" spans="1:2" x14ac:dyDescent="0.25">
      <c r="A315" s="2">
        <v>310</v>
      </c>
      <c r="B315" s="11" t="str">
        <f>"00018265"</f>
        <v>00018265</v>
      </c>
    </row>
    <row r="316" spans="1:2" x14ac:dyDescent="0.25">
      <c r="A316" s="2">
        <v>311</v>
      </c>
      <c r="B316" s="11" t="str">
        <f>"00018357"</f>
        <v>00018357</v>
      </c>
    </row>
    <row r="317" spans="1:2" x14ac:dyDescent="0.25">
      <c r="A317" s="2">
        <v>312</v>
      </c>
      <c r="B317" s="11" t="str">
        <f>"00018361"</f>
        <v>00018361</v>
      </c>
    </row>
    <row r="318" spans="1:2" x14ac:dyDescent="0.25">
      <c r="A318" s="2">
        <v>313</v>
      </c>
      <c r="B318" s="11" t="str">
        <f>"00018461"</f>
        <v>00018461</v>
      </c>
    </row>
    <row r="319" spans="1:2" x14ac:dyDescent="0.25">
      <c r="A319" s="2">
        <v>314</v>
      </c>
      <c r="B319" s="11" t="str">
        <f>"00018489"</f>
        <v>00018489</v>
      </c>
    </row>
    <row r="320" spans="1:2" x14ac:dyDescent="0.25">
      <c r="A320" s="2">
        <v>315</v>
      </c>
      <c r="B320" s="11" t="str">
        <f>"00018551"</f>
        <v>00018551</v>
      </c>
    </row>
    <row r="321" spans="1:2" x14ac:dyDescent="0.25">
      <c r="A321" s="2">
        <v>316</v>
      </c>
      <c r="B321" s="11" t="str">
        <f>"00018827"</f>
        <v>00018827</v>
      </c>
    </row>
    <row r="322" spans="1:2" x14ac:dyDescent="0.25">
      <c r="A322" s="2">
        <v>317</v>
      </c>
      <c r="B322" s="11" t="str">
        <f>"00018835"</f>
        <v>00018835</v>
      </c>
    </row>
    <row r="323" spans="1:2" x14ac:dyDescent="0.25">
      <c r="A323" s="2">
        <v>318</v>
      </c>
      <c r="B323" s="11" t="str">
        <f>"00018864"</f>
        <v>00018864</v>
      </c>
    </row>
    <row r="324" spans="1:2" x14ac:dyDescent="0.25">
      <c r="A324" s="2">
        <v>319</v>
      </c>
      <c r="B324" s="11" t="str">
        <f>"00018914"</f>
        <v>00018914</v>
      </c>
    </row>
    <row r="325" spans="1:2" x14ac:dyDescent="0.25">
      <c r="A325" s="2">
        <v>320</v>
      </c>
      <c r="B325" s="11" t="str">
        <f>"00018960"</f>
        <v>00018960</v>
      </c>
    </row>
    <row r="326" spans="1:2" x14ac:dyDescent="0.25">
      <c r="A326" s="2">
        <v>321</v>
      </c>
      <c r="B326" s="11" t="str">
        <f>"00019010"</f>
        <v>00019010</v>
      </c>
    </row>
    <row r="327" spans="1:2" x14ac:dyDescent="0.25">
      <c r="A327" s="2">
        <v>322</v>
      </c>
      <c r="B327" s="11" t="str">
        <f>"00019076"</f>
        <v>00019076</v>
      </c>
    </row>
    <row r="328" spans="1:2" x14ac:dyDescent="0.25">
      <c r="A328" s="2">
        <v>323</v>
      </c>
      <c r="B328" s="11" t="str">
        <f>"00019092"</f>
        <v>00019092</v>
      </c>
    </row>
    <row r="329" spans="1:2" x14ac:dyDescent="0.25">
      <c r="A329" s="2">
        <v>324</v>
      </c>
      <c r="B329" s="11" t="str">
        <f>"00019170"</f>
        <v>00019170</v>
      </c>
    </row>
    <row r="330" spans="1:2" x14ac:dyDescent="0.25">
      <c r="A330" s="2">
        <v>325</v>
      </c>
      <c r="B330" s="11" t="str">
        <f>"00019193"</f>
        <v>00019193</v>
      </c>
    </row>
    <row r="331" spans="1:2" x14ac:dyDescent="0.25">
      <c r="A331" s="2">
        <v>326</v>
      </c>
      <c r="B331" s="11" t="str">
        <f>"00019197"</f>
        <v>00019197</v>
      </c>
    </row>
    <row r="332" spans="1:2" x14ac:dyDescent="0.25">
      <c r="A332" s="2">
        <v>327</v>
      </c>
      <c r="B332" s="11" t="str">
        <f>"00019201"</f>
        <v>00019201</v>
      </c>
    </row>
    <row r="333" spans="1:2" x14ac:dyDescent="0.25">
      <c r="A333" s="2">
        <v>328</v>
      </c>
      <c r="B333" s="11" t="str">
        <f>"00019205"</f>
        <v>00019205</v>
      </c>
    </row>
    <row r="334" spans="1:2" x14ac:dyDescent="0.25">
      <c r="A334" s="2">
        <v>329</v>
      </c>
      <c r="B334" s="11" t="str">
        <f>"00019319"</f>
        <v>00019319</v>
      </c>
    </row>
    <row r="335" spans="1:2" x14ac:dyDescent="0.25">
      <c r="A335" s="2">
        <v>330</v>
      </c>
      <c r="B335" s="11" t="str">
        <f>"00019372"</f>
        <v>00019372</v>
      </c>
    </row>
    <row r="336" spans="1:2" x14ac:dyDescent="0.25">
      <c r="A336" s="2">
        <v>331</v>
      </c>
      <c r="B336" s="11" t="str">
        <f>"00019430"</f>
        <v>00019430</v>
      </c>
    </row>
    <row r="337" spans="1:2" x14ac:dyDescent="0.25">
      <c r="A337" s="2">
        <v>332</v>
      </c>
      <c r="B337" s="11" t="str">
        <f>"00019497"</f>
        <v>00019497</v>
      </c>
    </row>
    <row r="338" spans="1:2" x14ac:dyDescent="0.25">
      <c r="A338" s="2">
        <v>333</v>
      </c>
      <c r="B338" s="11" t="str">
        <f>"00019516"</f>
        <v>00019516</v>
      </c>
    </row>
    <row r="339" spans="1:2" x14ac:dyDescent="0.25">
      <c r="A339" s="2">
        <v>334</v>
      </c>
      <c r="B339" s="11" t="str">
        <f>"00019581"</f>
        <v>00019581</v>
      </c>
    </row>
    <row r="340" spans="1:2" x14ac:dyDescent="0.25">
      <c r="A340" s="2">
        <v>335</v>
      </c>
      <c r="B340" s="11" t="str">
        <f>"00019595"</f>
        <v>00019595</v>
      </c>
    </row>
    <row r="341" spans="1:2" x14ac:dyDescent="0.25">
      <c r="A341" s="2">
        <v>336</v>
      </c>
      <c r="B341" s="11" t="str">
        <f>"00019613"</f>
        <v>00019613</v>
      </c>
    </row>
    <row r="342" spans="1:2" x14ac:dyDescent="0.25">
      <c r="A342" s="2">
        <v>337</v>
      </c>
      <c r="B342" s="11" t="str">
        <f>"00019629"</f>
        <v>00019629</v>
      </c>
    </row>
    <row r="343" spans="1:2" x14ac:dyDescent="0.25">
      <c r="A343" s="2">
        <v>338</v>
      </c>
      <c r="B343" s="11" t="str">
        <f>"00019647"</f>
        <v>00019647</v>
      </c>
    </row>
    <row r="344" spans="1:2" x14ac:dyDescent="0.25">
      <c r="A344" s="2">
        <v>339</v>
      </c>
      <c r="B344" s="11" t="str">
        <f>"00019688"</f>
        <v>00019688</v>
      </c>
    </row>
    <row r="345" spans="1:2" x14ac:dyDescent="0.25">
      <c r="A345" s="2">
        <v>340</v>
      </c>
      <c r="B345" s="11" t="str">
        <f>"00019696"</f>
        <v>00019696</v>
      </c>
    </row>
    <row r="346" spans="1:2" x14ac:dyDescent="0.25">
      <c r="A346" s="2">
        <v>341</v>
      </c>
      <c r="B346" s="11" t="str">
        <f>"00019732"</f>
        <v>00019732</v>
      </c>
    </row>
    <row r="347" spans="1:2" x14ac:dyDescent="0.25">
      <c r="A347" s="2">
        <v>342</v>
      </c>
      <c r="B347" s="11" t="str">
        <f>"00019733"</f>
        <v>00019733</v>
      </c>
    </row>
    <row r="348" spans="1:2" x14ac:dyDescent="0.25">
      <c r="A348" s="2">
        <v>343</v>
      </c>
      <c r="B348" s="11" t="str">
        <f>"00019736"</f>
        <v>00019736</v>
      </c>
    </row>
    <row r="349" spans="1:2" x14ac:dyDescent="0.25">
      <c r="A349" s="2">
        <v>344</v>
      </c>
      <c r="B349" s="11" t="str">
        <f>"00019750"</f>
        <v>00019750</v>
      </c>
    </row>
    <row r="350" spans="1:2" x14ac:dyDescent="0.25">
      <c r="A350" s="2">
        <v>345</v>
      </c>
      <c r="B350" s="11" t="str">
        <f>"00019769"</f>
        <v>00019769</v>
      </c>
    </row>
    <row r="351" spans="1:2" x14ac:dyDescent="0.25">
      <c r="A351" s="2">
        <v>346</v>
      </c>
      <c r="B351" s="11" t="str">
        <f>"00019799"</f>
        <v>00019799</v>
      </c>
    </row>
    <row r="352" spans="1:2" x14ac:dyDescent="0.25">
      <c r="A352" s="2">
        <v>347</v>
      </c>
      <c r="B352" s="11" t="str">
        <f>"00019840"</f>
        <v>00019840</v>
      </c>
    </row>
    <row r="353" spans="1:2" x14ac:dyDescent="0.25">
      <c r="A353" s="2">
        <v>348</v>
      </c>
      <c r="B353" s="11" t="str">
        <f>"00019856"</f>
        <v>00019856</v>
      </c>
    </row>
    <row r="354" spans="1:2" x14ac:dyDescent="0.25">
      <c r="A354" s="2">
        <v>349</v>
      </c>
      <c r="B354" s="11" t="str">
        <f>"00019913"</f>
        <v>00019913</v>
      </c>
    </row>
    <row r="355" spans="1:2" x14ac:dyDescent="0.25">
      <c r="A355" s="2">
        <v>350</v>
      </c>
      <c r="B355" s="11" t="str">
        <f>"00019974"</f>
        <v>00019974</v>
      </c>
    </row>
    <row r="356" spans="1:2" x14ac:dyDescent="0.25">
      <c r="A356" s="2">
        <v>351</v>
      </c>
      <c r="B356" s="11" t="str">
        <f>"00019984"</f>
        <v>00019984</v>
      </c>
    </row>
    <row r="357" spans="1:2" x14ac:dyDescent="0.25">
      <c r="A357" s="2">
        <v>352</v>
      </c>
      <c r="B357" s="11" t="str">
        <f>"00020012"</f>
        <v>00020012</v>
      </c>
    </row>
    <row r="358" spans="1:2" x14ac:dyDescent="0.25">
      <c r="A358" s="2">
        <v>353</v>
      </c>
      <c r="B358" s="11" t="str">
        <f>"00020054"</f>
        <v>00020054</v>
      </c>
    </row>
    <row r="359" spans="1:2" x14ac:dyDescent="0.25">
      <c r="A359" s="2">
        <v>354</v>
      </c>
      <c r="B359" s="11" t="str">
        <f>"00020078"</f>
        <v>00020078</v>
      </c>
    </row>
    <row r="360" spans="1:2" x14ac:dyDescent="0.25">
      <c r="A360" s="2">
        <v>355</v>
      </c>
      <c r="B360" s="11" t="str">
        <f>"00020186"</f>
        <v>00020186</v>
      </c>
    </row>
    <row r="361" spans="1:2" x14ac:dyDescent="0.25">
      <c r="A361" s="2">
        <v>356</v>
      </c>
      <c r="B361" s="11" t="str">
        <f>"00020191"</f>
        <v>00020191</v>
      </c>
    </row>
    <row r="362" spans="1:2" x14ac:dyDescent="0.25">
      <c r="A362" s="2">
        <v>357</v>
      </c>
      <c r="B362" s="11" t="str">
        <f>"00020218"</f>
        <v>00020218</v>
      </c>
    </row>
    <row r="363" spans="1:2" x14ac:dyDescent="0.25">
      <c r="A363" s="2">
        <v>358</v>
      </c>
      <c r="B363" s="11" t="str">
        <f>"00020227"</f>
        <v>00020227</v>
      </c>
    </row>
    <row r="364" spans="1:2" x14ac:dyDescent="0.25">
      <c r="A364" s="2">
        <v>359</v>
      </c>
      <c r="B364" s="11" t="str">
        <f>"00020427"</f>
        <v>00020427</v>
      </c>
    </row>
    <row r="365" spans="1:2" x14ac:dyDescent="0.25">
      <c r="A365" s="2">
        <v>360</v>
      </c>
      <c r="B365" s="11" t="str">
        <f>"00020432"</f>
        <v>00020432</v>
      </c>
    </row>
    <row r="366" spans="1:2" x14ac:dyDescent="0.25">
      <c r="A366" s="2">
        <v>361</v>
      </c>
      <c r="B366" s="11" t="str">
        <f>"00020435"</f>
        <v>00020435</v>
      </c>
    </row>
    <row r="367" spans="1:2" x14ac:dyDescent="0.25">
      <c r="A367" s="2">
        <v>362</v>
      </c>
      <c r="B367" s="11" t="str">
        <f>"00020442"</f>
        <v>00020442</v>
      </c>
    </row>
    <row r="368" spans="1:2" x14ac:dyDescent="0.25">
      <c r="A368" s="2">
        <v>363</v>
      </c>
      <c r="B368" s="11" t="str">
        <f>"00020446"</f>
        <v>00020446</v>
      </c>
    </row>
    <row r="369" spans="1:2" x14ac:dyDescent="0.25">
      <c r="A369" s="2">
        <v>364</v>
      </c>
      <c r="B369" s="11" t="str">
        <f>"00020480"</f>
        <v>00020480</v>
      </c>
    </row>
    <row r="370" spans="1:2" x14ac:dyDescent="0.25">
      <c r="A370" s="2">
        <v>365</v>
      </c>
      <c r="B370" s="11" t="str">
        <f>"00020518"</f>
        <v>00020518</v>
      </c>
    </row>
    <row r="371" spans="1:2" x14ac:dyDescent="0.25">
      <c r="A371" s="2">
        <v>366</v>
      </c>
      <c r="B371" s="11" t="str">
        <f>"00020540"</f>
        <v>00020540</v>
      </c>
    </row>
    <row r="372" spans="1:2" x14ac:dyDescent="0.25">
      <c r="A372" s="2">
        <v>367</v>
      </c>
      <c r="B372" s="11" t="str">
        <f>"00020542"</f>
        <v>00020542</v>
      </c>
    </row>
    <row r="373" spans="1:2" x14ac:dyDescent="0.25">
      <c r="A373" s="2">
        <v>368</v>
      </c>
      <c r="B373" s="11" t="str">
        <f>"00020543"</f>
        <v>00020543</v>
      </c>
    </row>
    <row r="374" spans="1:2" x14ac:dyDescent="0.25">
      <c r="A374" s="2">
        <v>369</v>
      </c>
      <c r="B374" s="11" t="str">
        <f>"00020672"</f>
        <v>00020672</v>
      </c>
    </row>
    <row r="375" spans="1:2" x14ac:dyDescent="0.25">
      <c r="A375" s="2">
        <v>370</v>
      </c>
      <c r="B375" s="11" t="str">
        <f>"00020734"</f>
        <v>00020734</v>
      </c>
    </row>
    <row r="376" spans="1:2" x14ac:dyDescent="0.25">
      <c r="A376" s="2">
        <v>371</v>
      </c>
      <c r="B376" s="11" t="str">
        <f>"00020770"</f>
        <v>00020770</v>
      </c>
    </row>
    <row r="377" spans="1:2" x14ac:dyDescent="0.25">
      <c r="A377" s="2">
        <v>372</v>
      </c>
      <c r="B377" s="11" t="str">
        <f>"00020802"</f>
        <v>00020802</v>
      </c>
    </row>
    <row r="378" spans="1:2" x14ac:dyDescent="0.25">
      <c r="A378" s="2">
        <v>373</v>
      </c>
      <c r="B378" s="11" t="str">
        <f>"00020818"</f>
        <v>00020818</v>
      </c>
    </row>
    <row r="379" spans="1:2" x14ac:dyDescent="0.25">
      <c r="A379" s="2">
        <v>374</v>
      </c>
      <c r="B379" s="11" t="str">
        <f>"00020833"</f>
        <v>00020833</v>
      </c>
    </row>
    <row r="380" spans="1:2" x14ac:dyDescent="0.25">
      <c r="A380" s="2">
        <v>375</v>
      </c>
      <c r="B380" s="11" t="str">
        <f>"00020897"</f>
        <v>00020897</v>
      </c>
    </row>
    <row r="381" spans="1:2" x14ac:dyDescent="0.25">
      <c r="A381" s="2">
        <v>376</v>
      </c>
      <c r="B381" s="11" t="str">
        <f>"00020945"</f>
        <v>00020945</v>
      </c>
    </row>
    <row r="382" spans="1:2" x14ac:dyDescent="0.25">
      <c r="A382" s="2">
        <v>377</v>
      </c>
      <c r="B382" s="11" t="str">
        <f>"00021000"</f>
        <v>00021000</v>
      </c>
    </row>
    <row r="383" spans="1:2" x14ac:dyDescent="0.25">
      <c r="A383" s="2">
        <v>378</v>
      </c>
      <c r="B383" s="11" t="str">
        <f>"00021002"</f>
        <v>00021002</v>
      </c>
    </row>
    <row r="384" spans="1:2" x14ac:dyDescent="0.25">
      <c r="A384" s="2">
        <v>379</v>
      </c>
      <c r="B384" s="11" t="str">
        <f>"00021011"</f>
        <v>00021011</v>
      </c>
    </row>
    <row r="385" spans="1:2" x14ac:dyDescent="0.25">
      <c r="A385" s="2">
        <v>380</v>
      </c>
      <c r="B385" s="11" t="str">
        <f>"00021060"</f>
        <v>00021060</v>
      </c>
    </row>
    <row r="386" spans="1:2" x14ac:dyDescent="0.25">
      <c r="A386" s="2">
        <v>381</v>
      </c>
      <c r="B386" s="11" t="str">
        <f>"00021105"</f>
        <v>00021105</v>
      </c>
    </row>
    <row r="387" spans="1:2" x14ac:dyDescent="0.25">
      <c r="A387" s="2">
        <v>382</v>
      </c>
      <c r="B387" s="11" t="str">
        <f>"00021107"</f>
        <v>00021107</v>
      </c>
    </row>
    <row r="388" spans="1:2" x14ac:dyDescent="0.25">
      <c r="A388" s="2">
        <v>383</v>
      </c>
      <c r="B388" s="11" t="str">
        <f>"00021160"</f>
        <v>00021160</v>
      </c>
    </row>
    <row r="389" spans="1:2" x14ac:dyDescent="0.25">
      <c r="A389" s="2">
        <v>384</v>
      </c>
      <c r="B389" s="11" t="str">
        <f>"00021174"</f>
        <v>00021174</v>
      </c>
    </row>
    <row r="390" spans="1:2" x14ac:dyDescent="0.25">
      <c r="A390" s="2">
        <v>385</v>
      </c>
      <c r="B390" s="11" t="str">
        <f>"00021185"</f>
        <v>00021185</v>
      </c>
    </row>
    <row r="391" spans="1:2" x14ac:dyDescent="0.25">
      <c r="A391" s="2">
        <v>386</v>
      </c>
      <c r="B391" s="11" t="str">
        <f>"00021282"</f>
        <v>00021282</v>
      </c>
    </row>
    <row r="392" spans="1:2" x14ac:dyDescent="0.25">
      <c r="A392" s="2">
        <v>387</v>
      </c>
      <c r="B392" s="11" t="str">
        <f>"00021346"</f>
        <v>00021346</v>
      </c>
    </row>
    <row r="393" spans="1:2" x14ac:dyDescent="0.25">
      <c r="A393" s="2">
        <v>388</v>
      </c>
      <c r="B393" s="11" t="str">
        <f>"00021373"</f>
        <v>00021373</v>
      </c>
    </row>
    <row r="394" spans="1:2" x14ac:dyDescent="0.25">
      <c r="A394" s="2">
        <v>389</v>
      </c>
      <c r="B394" s="11" t="str">
        <f>"00021383"</f>
        <v>00021383</v>
      </c>
    </row>
    <row r="395" spans="1:2" x14ac:dyDescent="0.25">
      <c r="A395" s="2">
        <v>390</v>
      </c>
      <c r="B395" s="11" t="str">
        <f>"00021428"</f>
        <v>00021428</v>
      </c>
    </row>
    <row r="396" spans="1:2" x14ac:dyDescent="0.25">
      <c r="A396" s="2">
        <v>391</v>
      </c>
      <c r="B396" s="11" t="str">
        <f>"00021431"</f>
        <v>00021431</v>
      </c>
    </row>
    <row r="397" spans="1:2" x14ac:dyDescent="0.25">
      <c r="A397" s="2">
        <v>392</v>
      </c>
      <c r="B397" s="11" t="str">
        <f>"00021436"</f>
        <v>00021436</v>
      </c>
    </row>
    <row r="398" spans="1:2" x14ac:dyDescent="0.25">
      <c r="A398" s="2">
        <v>393</v>
      </c>
      <c r="B398" s="11" t="str">
        <f>"00021458"</f>
        <v>00021458</v>
      </c>
    </row>
    <row r="399" spans="1:2" x14ac:dyDescent="0.25">
      <c r="A399" s="2">
        <v>394</v>
      </c>
      <c r="B399" s="11" t="str">
        <f>"00021578"</f>
        <v>00021578</v>
      </c>
    </row>
    <row r="400" spans="1:2" x14ac:dyDescent="0.25">
      <c r="A400" s="2">
        <v>395</v>
      </c>
      <c r="B400" s="11" t="str">
        <f>"00021590"</f>
        <v>00021590</v>
      </c>
    </row>
    <row r="401" spans="1:2" x14ac:dyDescent="0.25">
      <c r="A401" s="2">
        <v>396</v>
      </c>
      <c r="B401" s="11" t="str">
        <f>"00021624"</f>
        <v>00021624</v>
      </c>
    </row>
    <row r="402" spans="1:2" x14ac:dyDescent="0.25">
      <c r="A402" s="2">
        <v>397</v>
      </c>
      <c r="B402" s="11" t="str">
        <f>"00021626"</f>
        <v>00021626</v>
      </c>
    </row>
    <row r="403" spans="1:2" x14ac:dyDescent="0.25">
      <c r="A403" s="2">
        <v>398</v>
      </c>
      <c r="B403" s="11" t="str">
        <f>"00021656"</f>
        <v>00021656</v>
      </c>
    </row>
    <row r="404" spans="1:2" x14ac:dyDescent="0.25">
      <c r="A404" s="2">
        <v>399</v>
      </c>
      <c r="B404" s="11" t="str">
        <f>"00021659"</f>
        <v>00021659</v>
      </c>
    </row>
    <row r="405" spans="1:2" x14ac:dyDescent="0.25">
      <c r="A405" s="2">
        <v>400</v>
      </c>
      <c r="B405" s="11" t="str">
        <f>"00021682"</f>
        <v>00021682</v>
      </c>
    </row>
    <row r="406" spans="1:2" x14ac:dyDescent="0.25">
      <c r="A406" s="2">
        <v>401</v>
      </c>
      <c r="B406" s="11" t="str">
        <f>"00021691"</f>
        <v>00021691</v>
      </c>
    </row>
    <row r="407" spans="1:2" x14ac:dyDescent="0.25">
      <c r="A407" s="2">
        <v>402</v>
      </c>
      <c r="B407" s="11" t="str">
        <f>"00021734"</f>
        <v>00021734</v>
      </c>
    </row>
    <row r="408" spans="1:2" x14ac:dyDescent="0.25">
      <c r="A408" s="2">
        <v>403</v>
      </c>
      <c r="B408" s="11" t="str">
        <f>"00021768"</f>
        <v>00021768</v>
      </c>
    </row>
    <row r="409" spans="1:2" x14ac:dyDescent="0.25">
      <c r="A409" s="2">
        <v>404</v>
      </c>
      <c r="B409" s="11" t="str">
        <f>"00021770"</f>
        <v>00021770</v>
      </c>
    </row>
    <row r="410" spans="1:2" x14ac:dyDescent="0.25">
      <c r="A410" s="2">
        <v>405</v>
      </c>
      <c r="B410" s="11" t="str">
        <f>"00021780"</f>
        <v>00021780</v>
      </c>
    </row>
    <row r="411" spans="1:2" x14ac:dyDescent="0.25">
      <c r="A411" s="2">
        <v>406</v>
      </c>
      <c r="B411" s="11" t="str">
        <f>"00021822"</f>
        <v>00021822</v>
      </c>
    </row>
    <row r="412" spans="1:2" x14ac:dyDescent="0.25">
      <c r="A412" s="2">
        <v>407</v>
      </c>
      <c r="B412" s="11" t="str">
        <f>"00021951"</f>
        <v>00021951</v>
      </c>
    </row>
    <row r="413" spans="1:2" x14ac:dyDescent="0.25">
      <c r="A413" s="2">
        <v>408</v>
      </c>
      <c r="B413" s="11" t="str">
        <f>"00021991"</f>
        <v>00021991</v>
      </c>
    </row>
    <row r="414" spans="1:2" x14ac:dyDescent="0.25">
      <c r="A414" s="2">
        <v>409</v>
      </c>
      <c r="B414" s="11" t="str">
        <f>"00022015"</f>
        <v>00022015</v>
      </c>
    </row>
    <row r="415" spans="1:2" x14ac:dyDescent="0.25">
      <c r="A415" s="2">
        <v>410</v>
      </c>
      <c r="B415" s="11" t="str">
        <f>"00022054"</f>
        <v>00022054</v>
      </c>
    </row>
    <row r="416" spans="1:2" x14ac:dyDescent="0.25">
      <c r="A416" s="2">
        <v>411</v>
      </c>
      <c r="B416" s="11" t="str">
        <f>"00022076"</f>
        <v>00022076</v>
      </c>
    </row>
    <row r="417" spans="1:2" x14ac:dyDescent="0.25">
      <c r="A417" s="2">
        <v>412</v>
      </c>
      <c r="B417" s="11" t="str">
        <f>"00022119"</f>
        <v>00022119</v>
      </c>
    </row>
    <row r="418" spans="1:2" x14ac:dyDescent="0.25">
      <c r="A418" s="2">
        <v>413</v>
      </c>
      <c r="B418" s="11" t="str">
        <f>"00022160"</f>
        <v>00022160</v>
      </c>
    </row>
    <row r="419" spans="1:2" x14ac:dyDescent="0.25">
      <c r="A419" s="2">
        <v>414</v>
      </c>
      <c r="B419" s="11" t="str">
        <f>"00022188"</f>
        <v>00022188</v>
      </c>
    </row>
    <row r="420" spans="1:2" x14ac:dyDescent="0.25">
      <c r="A420" s="2">
        <v>415</v>
      </c>
      <c r="B420" s="11" t="str">
        <f>"00022251"</f>
        <v>00022251</v>
      </c>
    </row>
    <row r="421" spans="1:2" x14ac:dyDescent="0.25">
      <c r="A421" s="2">
        <v>416</v>
      </c>
      <c r="B421" s="11" t="str">
        <f>"00022306"</f>
        <v>00022306</v>
      </c>
    </row>
    <row r="422" spans="1:2" x14ac:dyDescent="0.25">
      <c r="A422" s="2">
        <v>417</v>
      </c>
      <c r="B422" s="11" t="str">
        <f>"00022357"</f>
        <v>00022357</v>
      </c>
    </row>
    <row r="423" spans="1:2" x14ac:dyDescent="0.25">
      <c r="A423" s="2">
        <v>418</v>
      </c>
      <c r="B423" s="11" t="str">
        <f>"00022397"</f>
        <v>00022397</v>
      </c>
    </row>
    <row r="424" spans="1:2" x14ac:dyDescent="0.25">
      <c r="A424" s="2">
        <v>419</v>
      </c>
      <c r="B424" s="11" t="str">
        <f>"00022402"</f>
        <v>00022402</v>
      </c>
    </row>
    <row r="425" spans="1:2" x14ac:dyDescent="0.25">
      <c r="A425" s="2">
        <v>420</v>
      </c>
      <c r="B425" s="11" t="str">
        <f>"00022451"</f>
        <v>00022451</v>
      </c>
    </row>
    <row r="426" spans="1:2" x14ac:dyDescent="0.25">
      <c r="A426" s="2">
        <v>421</v>
      </c>
      <c r="B426" s="11" t="str">
        <f>"00022472"</f>
        <v>00022472</v>
      </c>
    </row>
    <row r="427" spans="1:2" x14ac:dyDescent="0.25">
      <c r="A427" s="2">
        <v>422</v>
      </c>
      <c r="B427" s="11" t="str">
        <f>"00022580"</f>
        <v>00022580</v>
      </c>
    </row>
    <row r="428" spans="1:2" x14ac:dyDescent="0.25">
      <c r="A428" s="2">
        <v>423</v>
      </c>
      <c r="B428" s="11" t="str">
        <f>"00022613"</f>
        <v>00022613</v>
      </c>
    </row>
    <row r="429" spans="1:2" x14ac:dyDescent="0.25">
      <c r="A429" s="2">
        <v>424</v>
      </c>
      <c r="B429" s="11" t="str">
        <f>"00022620"</f>
        <v>00022620</v>
      </c>
    </row>
    <row r="430" spans="1:2" x14ac:dyDescent="0.25">
      <c r="A430" s="2">
        <v>425</v>
      </c>
      <c r="B430" s="11" t="str">
        <f>"00022812"</f>
        <v>00022812</v>
      </c>
    </row>
    <row r="431" spans="1:2" x14ac:dyDescent="0.25">
      <c r="A431" s="2">
        <v>426</v>
      </c>
      <c r="B431" s="11" t="str">
        <f>"00022843"</f>
        <v>00022843</v>
      </c>
    </row>
    <row r="432" spans="1:2" x14ac:dyDescent="0.25">
      <c r="A432" s="2">
        <v>427</v>
      </c>
      <c r="B432" s="11" t="str">
        <f>"00022879"</f>
        <v>00022879</v>
      </c>
    </row>
    <row r="433" spans="1:2" x14ac:dyDescent="0.25">
      <c r="A433" s="2">
        <v>428</v>
      </c>
      <c r="B433" s="11" t="str">
        <f>"00022882"</f>
        <v>00022882</v>
      </c>
    </row>
    <row r="434" spans="1:2" x14ac:dyDescent="0.25">
      <c r="A434" s="2">
        <v>429</v>
      </c>
      <c r="B434" s="11" t="str">
        <f>"00022956"</f>
        <v>00022956</v>
      </c>
    </row>
    <row r="435" spans="1:2" x14ac:dyDescent="0.25">
      <c r="A435" s="2">
        <v>430</v>
      </c>
      <c r="B435" s="11" t="str">
        <f>"00022967"</f>
        <v>00022967</v>
      </c>
    </row>
    <row r="436" spans="1:2" x14ac:dyDescent="0.25">
      <c r="A436" s="2">
        <v>431</v>
      </c>
      <c r="B436" s="11" t="str">
        <f>"00023002"</f>
        <v>00023002</v>
      </c>
    </row>
    <row r="437" spans="1:2" x14ac:dyDescent="0.25">
      <c r="A437" s="2">
        <v>432</v>
      </c>
      <c r="B437" s="11" t="str">
        <f>"00023040"</f>
        <v>00023040</v>
      </c>
    </row>
    <row r="438" spans="1:2" x14ac:dyDescent="0.25">
      <c r="A438" s="2">
        <v>433</v>
      </c>
      <c r="B438" s="11" t="str">
        <f>"00023058"</f>
        <v>00023058</v>
      </c>
    </row>
    <row r="439" spans="1:2" x14ac:dyDescent="0.25">
      <c r="A439" s="2">
        <v>434</v>
      </c>
      <c r="B439" s="11" t="str">
        <f>"00023132"</f>
        <v>00023132</v>
      </c>
    </row>
    <row r="440" spans="1:2" x14ac:dyDescent="0.25">
      <c r="A440" s="2">
        <v>435</v>
      </c>
      <c r="B440" s="11" t="str">
        <f>"00023137"</f>
        <v>00023137</v>
      </c>
    </row>
    <row r="441" spans="1:2" x14ac:dyDescent="0.25">
      <c r="A441" s="2">
        <v>436</v>
      </c>
      <c r="B441" s="11" t="str">
        <f>"00023152"</f>
        <v>00023152</v>
      </c>
    </row>
    <row r="442" spans="1:2" x14ac:dyDescent="0.25">
      <c r="A442" s="2">
        <v>437</v>
      </c>
      <c r="B442" s="11" t="str">
        <f>"00023188"</f>
        <v>00023188</v>
      </c>
    </row>
    <row r="443" spans="1:2" x14ac:dyDescent="0.25">
      <c r="A443" s="2">
        <v>438</v>
      </c>
      <c r="B443" s="11" t="str">
        <f>"00023263"</f>
        <v>00023263</v>
      </c>
    </row>
    <row r="444" spans="1:2" x14ac:dyDescent="0.25">
      <c r="A444" s="2">
        <v>439</v>
      </c>
      <c r="B444" s="11" t="str">
        <f>"00023272"</f>
        <v>00023272</v>
      </c>
    </row>
    <row r="445" spans="1:2" x14ac:dyDescent="0.25">
      <c r="A445" s="2">
        <v>440</v>
      </c>
      <c r="B445" s="11" t="str">
        <f>"00023286"</f>
        <v>00023286</v>
      </c>
    </row>
    <row r="446" spans="1:2" x14ac:dyDescent="0.25">
      <c r="A446" s="2">
        <v>441</v>
      </c>
      <c r="B446" s="11" t="str">
        <f>"00023295"</f>
        <v>00023295</v>
      </c>
    </row>
    <row r="447" spans="1:2" x14ac:dyDescent="0.25">
      <c r="A447" s="2">
        <v>442</v>
      </c>
      <c r="B447" s="11" t="str">
        <f>"00023301"</f>
        <v>00023301</v>
      </c>
    </row>
    <row r="448" spans="1:2" x14ac:dyDescent="0.25">
      <c r="A448" s="2">
        <v>443</v>
      </c>
      <c r="B448" s="11" t="str">
        <f>"00023351"</f>
        <v>00023351</v>
      </c>
    </row>
    <row r="449" spans="1:2" x14ac:dyDescent="0.25">
      <c r="A449" s="2">
        <v>444</v>
      </c>
      <c r="B449" s="11" t="str">
        <f>"00023395"</f>
        <v>00023395</v>
      </c>
    </row>
    <row r="450" spans="1:2" x14ac:dyDescent="0.25">
      <c r="A450" s="2">
        <v>445</v>
      </c>
      <c r="B450" s="11" t="str">
        <f>"00023430"</f>
        <v>00023430</v>
      </c>
    </row>
    <row r="451" spans="1:2" x14ac:dyDescent="0.25">
      <c r="A451" s="2">
        <v>446</v>
      </c>
      <c r="B451" s="11" t="str">
        <f>"00023455"</f>
        <v>00023455</v>
      </c>
    </row>
    <row r="452" spans="1:2" x14ac:dyDescent="0.25">
      <c r="A452" s="2">
        <v>447</v>
      </c>
      <c r="B452" s="11" t="str">
        <f>"00023476"</f>
        <v>00023476</v>
      </c>
    </row>
    <row r="453" spans="1:2" x14ac:dyDescent="0.25">
      <c r="A453" s="2">
        <v>448</v>
      </c>
      <c r="B453" s="11" t="str">
        <f>"00023483"</f>
        <v>00023483</v>
      </c>
    </row>
    <row r="454" spans="1:2" x14ac:dyDescent="0.25">
      <c r="A454" s="2">
        <v>449</v>
      </c>
      <c r="B454" s="11" t="str">
        <f>"00023491"</f>
        <v>00023491</v>
      </c>
    </row>
    <row r="455" spans="1:2" x14ac:dyDescent="0.25">
      <c r="A455" s="2">
        <v>450</v>
      </c>
      <c r="B455" s="11" t="str">
        <f>"00023526"</f>
        <v>00023526</v>
      </c>
    </row>
    <row r="456" spans="1:2" x14ac:dyDescent="0.25">
      <c r="A456" s="2">
        <v>451</v>
      </c>
      <c r="B456" s="11" t="str">
        <f>"00023553"</f>
        <v>00023553</v>
      </c>
    </row>
    <row r="457" spans="1:2" x14ac:dyDescent="0.25">
      <c r="A457" s="2">
        <v>452</v>
      </c>
      <c r="B457" s="11" t="str">
        <f>"00023577"</f>
        <v>00023577</v>
      </c>
    </row>
    <row r="458" spans="1:2" x14ac:dyDescent="0.25">
      <c r="A458" s="2">
        <v>453</v>
      </c>
      <c r="B458" s="11" t="str">
        <f>"00023613"</f>
        <v>00023613</v>
      </c>
    </row>
    <row r="459" spans="1:2" x14ac:dyDescent="0.25">
      <c r="A459" s="2">
        <v>454</v>
      </c>
      <c r="B459" s="11" t="str">
        <f>"00023617"</f>
        <v>00023617</v>
      </c>
    </row>
    <row r="460" spans="1:2" x14ac:dyDescent="0.25">
      <c r="A460" s="2">
        <v>455</v>
      </c>
      <c r="B460" s="11" t="str">
        <f>"00023679"</f>
        <v>00023679</v>
      </c>
    </row>
    <row r="461" spans="1:2" x14ac:dyDescent="0.25">
      <c r="A461" s="2">
        <v>456</v>
      </c>
      <c r="B461" s="11" t="str">
        <f>"00023705"</f>
        <v>00023705</v>
      </c>
    </row>
    <row r="462" spans="1:2" x14ac:dyDescent="0.25">
      <c r="A462" s="2">
        <v>457</v>
      </c>
      <c r="B462" s="11" t="str">
        <f>"00023730"</f>
        <v>00023730</v>
      </c>
    </row>
    <row r="463" spans="1:2" x14ac:dyDescent="0.25">
      <c r="A463" s="2">
        <v>458</v>
      </c>
      <c r="B463" s="11" t="str">
        <f>"00023775"</f>
        <v>00023775</v>
      </c>
    </row>
    <row r="464" spans="1:2" x14ac:dyDescent="0.25">
      <c r="A464" s="2">
        <v>459</v>
      </c>
      <c r="B464" s="11" t="str">
        <f>"00023794"</f>
        <v>00023794</v>
      </c>
    </row>
    <row r="465" spans="1:2" x14ac:dyDescent="0.25">
      <c r="A465" s="2">
        <v>460</v>
      </c>
      <c r="B465" s="11" t="str">
        <f>"00023846"</f>
        <v>00023846</v>
      </c>
    </row>
    <row r="466" spans="1:2" x14ac:dyDescent="0.25">
      <c r="A466" s="2">
        <v>461</v>
      </c>
      <c r="B466" s="11" t="str">
        <f>"00023940"</f>
        <v>00023940</v>
      </c>
    </row>
    <row r="467" spans="1:2" x14ac:dyDescent="0.25">
      <c r="A467" s="2">
        <v>462</v>
      </c>
      <c r="B467" s="11" t="str">
        <f>"00023947"</f>
        <v>00023947</v>
      </c>
    </row>
    <row r="468" spans="1:2" x14ac:dyDescent="0.25">
      <c r="A468" s="2">
        <v>463</v>
      </c>
      <c r="B468" s="11" t="str">
        <f>"00023958"</f>
        <v>00023958</v>
      </c>
    </row>
    <row r="469" spans="1:2" x14ac:dyDescent="0.25">
      <c r="A469" s="2">
        <v>464</v>
      </c>
      <c r="B469" s="11" t="str">
        <f>"00024042"</f>
        <v>00024042</v>
      </c>
    </row>
    <row r="470" spans="1:2" x14ac:dyDescent="0.25">
      <c r="A470" s="2">
        <v>465</v>
      </c>
      <c r="B470" s="11" t="str">
        <f>"00024159"</f>
        <v>00024159</v>
      </c>
    </row>
    <row r="471" spans="1:2" x14ac:dyDescent="0.25">
      <c r="A471" s="2">
        <v>466</v>
      </c>
      <c r="B471" s="11" t="str">
        <f>"00024190"</f>
        <v>00024190</v>
      </c>
    </row>
    <row r="472" spans="1:2" x14ac:dyDescent="0.25">
      <c r="A472" s="2">
        <v>467</v>
      </c>
      <c r="B472" s="11" t="str">
        <f>"00024238"</f>
        <v>00024238</v>
      </c>
    </row>
    <row r="473" spans="1:2" x14ac:dyDescent="0.25">
      <c r="A473" s="2">
        <v>468</v>
      </c>
      <c r="B473" s="11" t="str">
        <f>"00024283"</f>
        <v>00024283</v>
      </c>
    </row>
    <row r="474" spans="1:2" x14ac:dyDescent="0.25">
      <c r="A474" s="2">
        <v>469</v>
      </c>
      <c r="B474" s="11" t="str">
        <f>"00024288"</f>
        <v>00024288</v>
      </c>
    </row>
    <row r="475" spans="1:2" x14ac:dyDescent="0.25">
      <c r="A475" s="2">
        <v>470</v>
      </c>
      <c r="B475" s="11" t="str">
        <f>"00024302"</f>
        <v>00024302</v>
      </c>
    </row>
    <row r="476" spans="1:2" x14ac:dyDescent="0.25">
      <c r="A476" s="2">
        <v>471</v>
      </c>
      <c r="B476" s="11" t="str">
        <f>"00024335"</f>
        <v>00024335</v>
      </c>
    </row>
    <row r="477" spans="1:2" x14ac:dyDescent="0.25">
      <c r="A477" s="2">
        <v>472</v>
      </c>
      <c r="B477" s="11" t="str">
        <f>"00024352"</f>
        <v>00024352</v>
      </c>
    </row>
    <row r="478" spans="1:2" x14ac:dyDescent="0.25">
      <c r="A478" s="2">
        <v>473</v>
      </c>
      <c r="B478" s="11" t="str">
        <f>"00024359"</f>
        <v>00024359</v>
      </c>
    </row>
    <row r="479" spans="1:2" x14ac:dyDescent="0.25">
      <c r="A479" s="2">
        <v>474</v>
      </c>
      <c r="B479" s="11" t="str">
        <f>"00024402"</f>
        <v>00024402</v>
      </c>
    </row>
    <row r="480" spans="1:2" x14ac:dyDescent="0.25">
      <c r="A480" s="2">
        <v>475</v>
      </c>
      <c r="B480" s="11" t="str">
        <f>"00024492"</f>
        <v>00024492</v>
      </c>
    </row>
    <row r="481" spans="1:2" x14ac:dyDescent="0.25">
      <c r="A481" s="2">
        <v>476</v>
      </c>
      <c r="B481" s="11" t="str">
        <f>"00024533"</f>
        <v>00024533</v>
      </c>
    </row>
    <row r="482" spans="1:2" x14ac:dyDescent="0.25">
      <c r="A482" s="2">
        <v>477</v>
      </c>
      <c r="B482" s="11" t="str">
        <f>"00024563"</f>
        <v>00024563</v>
      </c>
    </row>
    <row r="483" spans="1:2" x14ac:dyDescent="0.25">
      <c r="A483" s="2">
        <v>478</v>
      </c>
      <c r="B483" s="11" t="str">
        <f>"00024692"</f>
        <v>00024692</v>
      </c>
    </row>
    <row r="484" spans="1:2" x14ac:dyDescent="0.25">
      <c r="A484" s="2">
        <v>479</v>
      </c>
      <c r="B484" s="11" t="str">
        <f>"00024710"</f>
        <v>00024710</v>
      </c>
    </row>
    <row r="485" spans="1:2" x14ac:dyDescent="0.25">
      <c r="A485" s="2">
        <v>480</v>
      </c>
      <c r="B485" s="11" t="str">
        <f>"00024743"</f>
        <v>00024743</v>
      </c>
    </row>
    <row r="486" spans="1:2" x14ac:dyDescent="0.25">
      <c r="A486" s="2">
        <v>481</v>
      </c>
      <c r="B486" s="11" t="str">
        <f>"00024822"</f>
        <v>00024822</v>
      </c>
    </row>
    <row r="487" spans="1:2" x14ac:dyDescent="0.25">
      <c r="A487" s="2">
        <v>482</v>
      </c>
      <c r="B487" s="11" t="str">
        <f>"00024853"</f>
        <v>00024853</v>
      </c>
    </row>
    <row r="488" spans="1:2" x14ac:dyDescent="0.25">
      <c r="A488" s="2">
        <v>483</v>
      </c>
      <c r="B488" s="11" t="str">
        <f>"00024919"</f>
        <v>00024919</v>
      </c>
    </row>
    <row r="489" spans="1:2" x14ac:dyDescent="0.25">
      <c r="A489" s="2">
        <v>484</v>
      </c>
      <c r="B489" s="11" t="str">
        <f>"00024926"</f>
        <v>00024926</v>
      </c>
    </row>
    <row r="490" spans="1:2" x14ac:dyDescent="0.25">
      <c r="A490" s="2">
        <v>485</v>
      </c>
      <c r="B490" s="11" t="str">
        <f>"00024964"</f>
        <v>00024964</v>
      </c>
    </row>
    <row r="491" spans="1:2" x14ac:dyDescent="0.25">
      <c r="A491" s="2">
        <v>486</v>
      </c>
      <c r="B491" s="11" t="str">
        <f>"00025024"</f>
        <v>00025024</v>
      </c>
    </row>
    <row r="492" spans="1:2" x14ac:dyDescent="0.25">
      <c r="A492" s="2">
        <v>487</v>
      </c>
      <c r="B492" s="11" t="str">
        <f>"00025058"</f>
        <v>00025058</v>
      </c>
    </row>
    <row r="493" spans="1:2" x14ac:dyDescent="0.25">
      <c r="A493" s="2">
        <v>488</v>
      </c>
      <c r="B493" s="11" t="str">
        <f>"00025168"</f>
        <v>00025168</v>
      </c>
    </row>
    <row r="494" spans="1:2" x14ac:dyDescent="0.25">
      <c r="A494" s="2">
        <v>489</v>
      </c>
      <c r="B494" s="11" t="str">
        <f>"00025442"</f>
        <v>00025442</v>
      </c>
    </row>
    <row r="495" spans="1:2" x14ac:dyDescent="0.25">
      <c r="A495" s="2">
        <v>490</v>
      </c>
      <c r="B495" s="11" t="str">
        <f>"00025577"</f>
        <v>00025577</v>
      </c>
    </row>
    <row r="496" spans="1:2" x14ac:dyDescent="0.25">
      <c r="A496" s="2">
        <v>491</v>
      </c>
      <c r="B496" s="11" t="str">
        <f>"00025580"</f>
        <v>00025580</v>
      </c>
    </row>
    <row r="497" spans="1:2" x14ac:dyDescent="0.25">
      <c r="A497" s="2">
        <v>492</v>
      </c>
      <c r="B497" s="11" t="str">
        <f>"00025749"</f>
        <v>00025749</v>
      </c>
    </row>
    <row r="498" spans="1:2" x14ac:dyDescent="0.25">
      <c r="A498" s="2">
        <v>493</v>
      </c>
      <c r="B498" s="11" t="str">
        <f>"00025813"</f>
        <v>00025813</v>
      </c>
    </row>
    <row r="499" spans="1:2" x14ac:dyDescent="0.25">
      <c r="A499" s="2">
        <v>494</v>
      </c>
      <c r="B499" s="11" t="str">
        <f>"00025825"</f>
        <v>00025825</v>
      </c>
    </row>
    <row r="500" spans="1:2" x14ac:dyDescent="0.25">
      <c r="A500" s="2">
        <v>495</v>
      </c>
      <c r="B500" s="11" t="str">
        <f>"00025829"</f>
        <v>00025829</v>
      </c>
    </row>
    <row r="501" spans="1:2" x14ac:dyDescent="0.25">
      <c r="A501" s="2">
        <v>496</v>
      </c>
      <c r="B501" s="11" t="str">
        <f>"00025928"</f>
        <v>00025928</v>
      </c>
    </row>
    <row r="502" spans="1:2" x14ac:dyDescent="0.25">
      <c r="A502" s="2">
        <v>497</v>
      </c>
      <c r="B502" s="11" t="str">
        <f>"00026054"</f>
        <v>00026054</v>
      </c>
    </row>
    <row r="503" spans="1:2" x14ac:dyDescent="0.25">
      <c r="A503" s="2">
        <v>498</v>
      </c>
      <c r="B503" s="11" t="str">
        <f>"00026061"</f>
        <v>00026061</v>
      </c>
    </row>
    <row r="504" spans="1:2" x14ac:dyDescent="0.25">
      <c r="A504" s="2">
        <v>499</v>
      </c>
      <c r="B504" s="11" t="str">
        <f>"00026067"</f>
        <v>00026067</v>
      </c>
    </row>
    <row r="505" spans="1:2" x14ac:dyDescent="0.25">
      <c r="A505" s="2">
        <v>500</v>
      </c>
      <c r="B505" s="11" t="str">
        <f>"00026152"</f>
        <v>00026152</v>
      </c>
    </row>
    <row r="506" spans="1:2" x14ac:dyDescent="0.25">
      <c r="A506" s="2">
        <v>501</v>
      </c>
      <c r="B506" s="11" t="str">
        <f>"00026179"</f>
        <v>00026179</v>
      </c>
    </row>
    <row r="507" spans="1:2" x14ac:dyDescent="0.25">
      <c r="A507" s="2">
        <v>502</v>
      </c>
      <c r="B507" s="11" t="str">
        <f>"00026180"</f>
        <v>00026180</v>
      </c>
    </row>
    <row r="508" spans="1:2" x14ac:dyDescent="0.25">
      <c r="A508" s="2">
        <v>503</v>
      </c>
      <c r="B508" s="11" t="str">
        <f>"00026199"</f>
        <v>00026199</v>
      </c>
    </row>
    <row r="509" spans="1:2" x14ac:dyDescent="0.25">
      <c r="A509" s="2">
        <v>504</v>
      </c>
      <c r="B509" s="11" t="str">
        <f>"00026273"</f>
        <v>00026273</v>
      </c>
    </row>
    <row r="510" spans="1:2" x14ac:dyDescent="0.25">
      <c r="A510" s="2">
        <v>505</v>
      </c>
      <c r="B510" s="11" t="str">
        <f>"00026295"</f>
        <v>00026295</v>
      </c>
    </row>
    <row r="511" spans="1:2" x14ac:dyDescent="0.25">
      <c r="A511" s="2">
        <v>506</v>
      </c>
      <c r="B511" s="11" t="str">
        <f>"00026323"</f>
        <v>00026323</v>
      </c>
    </row>
    <row r="512" spans="1:2" x14ac:dyDescent="0.25">
      <c r="A512" s="2">
        <v>507</v>
      </c>
      <c r="B512" s="11" t="str">
        <f>"00026360"</f>
        <v>00026360</v>
      </c>
    </row>
    <row r="513" spans="1:2" x14ac:dyDescent="0.25">
      <c r="A513" s="2">
        <v>508</v>
      </c>
      <c r="B513" s="11" t="str">
        <f>"00026394"</f>
        <v>00026394</v>
      </c>
    </row>
    <row r="514" spans="1:2" x14ac:dyDescent="0.25">
      <c r="A514" s="2">
        <v>509</v>
      </c>
      <c r="B514" s="11" t="str">
        <f>"00026438"</f>
        <v>00026438</v>
      </c>
    </row>
    <row r="515" spans="1:2" x14ac:dyDescent="0.25">
      <c r="A515" s="2">
        <v>510</v>
      </c>
      <c r="B515" s="11" t="str">
        <f>"00026534"</f>
        <v>00026534</v>
      </c>
    </row>
    <row r="516" spans="1:2" x14ac:dyDescent="0.25">
      <c r="A516" s="2">
        <v>511</v>
      </c>
      <c r="B516" s="11" t="str">
        <f>"00026544"</f>
        <v>00026544</v>
      </c>
    </row>
    <row r="517" spans="1:2" x14ac:dyDescent="0.25">
      <c r="A517" s="2">
        <v>512</v>
      </c>
      <c r="B517" s="11" t="str">
        <f>"00026564"</f>
        <v>00026564</v>
      </c>
    </row>
    <row r="518" spans="1:2" x14ac:dyDescent="0.25">
      <c r="A518" s="2">
        <v>513</v>
      </c>
      <c r="B518" s="11" t="str">
        <f>"00026619"</f>
        <v>00026619</v>
      </c>
    </row>
    <row r="519" spans="1:2" x14ac:dyDescent="0.25">
      <c r="A519" s="2">
        <v>514</v>
      </c>
      <c r="B519" s="11" t="str">
        <f>"00026637"</f>
        <v>00026637</v>
      </c>
    </row>
    <row r="520" spans="1:2" x14ac:dyDescent="0.25">
      <c r="A520" s="2">
        <v>515</v>
      </c>
      <c r="B520" s="11" t="str">
        <f>"00026653"</f>
        <v>00026653</v>
      </c>
    </row>
    <row r="521" spans="1:2" x14ac:dyDescent="0.25">
      <c r="A521" s="2">
        <v>516</v>
      </c>
      <c r="B521" s="11" t="str">
        <f>"00026790"</f>
        <v>00026790</v>
      </c>
    </row>
    <row r="522" spans="1:2" x14ac:dyDescent="0.25">
      <c r="A522" s="2">
        <v>517</v>
      </c>
      <c r="B522" s="11" t="str">
        <f>"00026849"</f>
        <v>00026849</v>
      </c>
    </row>
    <row r="523" spans="1:2" x14ac:dyDescent="0.25">
      <c r="A523" s="2">
        <v>518</v>
      </c>
      <c r="B523" s="11" t="str">
        <f>"00026865"</f>
        <v>00026865</v>
      </c>
    </row>
    <row r="524" spans="1:2" x14ac:dyDescent="0.25">
      <c r="A524" s="2">
        <v>519</v>
      </c>
      <c r="B524" s="11" t="str">
        <f>"00026923"</f>
        <v>00026923</v>
      </c>
    </row>
    <row r="525" spans="1:2" x14ac:dyDescent="0.25">
      <c r="A525" s="2">
        <v>520</v>
      </c>
      <c r="B525" s="11" t="str">
        <f>"00026972"</f>
        <v>00026972</v>
      </c>
    </row>
    <row r="526" spans="1:2" x14ac:dyDescent="0.25">
      <c r="A526" s="2">
        <v>521</v>
      </c>
      <c r="B526" s="11" t="str">
        <f>"00027021"</f>
        <v>00027021</v>
      </c>
    </row>
    <row r="527" spans="1:2" x14ac:dyDescent="0.25">
      <c r="A527" s="2">
        <v>522</v>
      </c>
      <c r="B527" s="11" t="str">
        <f>"00027210"</f>
        <v>00027210</v>
      </c>
    </row>
    <row r="528" spans="1:2" x14ac:dyDescent="0.25">
      <c r="A528" s="2">
        <v>523</v>
      </c>
      <c r="B528" s="11" t="str">
        <f>"00027215"</f>
        <v>00027215</v>
      </c>
    </row>
    <row r="529" spans="1:2" x14ac:dyDescent="0.25">
      <c r="A529" s="2">
        <v>524</v>
      </c>
      <c r="B529" s="11" t="str">
        <f>"00027298"</f>
        <v>00027298</v>
      </c>
    </row>
    <row r="530" spans="1:2" x14ac:dyDescent="0.25">
      <c r="A530" s="2">
        <v>525</v>
      </c>
      <c r="B530" s="11" t="str">
        <f>"00027353"</f>
        <v>00027353</v>
      </c>
    </row>
    <row r="531" spans="1:2" x14ac:dyDescent="0.25">
      <c r="A531" s="2">
        <v>526</v>
      </c>
      <c r="B531" s="11" t="str">
        <f>"00027358"</f>
        <v>00027358</v>
      </c>
    </row>
    <row r="532" spans="1:2" x14ac:dyDescent="0.25">
      <c r="A532" s="2">
        <v>527</v>
      </c>
      <c r="B532" s="11" t="str">
        <f>"00027362"</f>
        <v>00027362</v>
      </c>
    </row>
    <row r="533" spans="1:2" x14ac:dyDescent="0.25">
      <c r="A533" s="2">
        <v>528</v>
      </c>
      <c r="B533" s="11" t="str">
        <f>"00027478"</f>
        <v>00027478</v>
      </c>
    </row>
    <row r="534" spans="1:2" x14ac:dyDescent="0.25">
      <c r="A534" s="2">
        <v>529</v>
      </c>
      <c r="B534" s="11" t="str">
        <f>"00027515"</f>
        <v>00027515</v>
      </c>
    </row>
    <row r="535" spans="1:2" x14ac:dyDescent="0.25">
      <c r="A535" s="2">
        <v>530</v>
      </c>
      <c r="B535" s="11" t="str">
        <f>"00027569"</f>
        <v>00027569</v>
      </c>
    </row>
    <row r="536" spans="1:2" x14ac:dyDescent="0.25">
      <c r="A536" s="2">
        <v>531</v>
      </c>
      <c r="B536" s="11" t="str">
        <f>"00027582"</f>
        <v>00027582</v>
      </c>
    </row>
    <row r="537" spans="1:2" x14ac:dyDescent="0.25">
      <c r="A537" s="2">
        <v>532</v>
      </c>
      <c r="B537" s="11" t="str">
        <f>"00027605"</f>
        <v>00027605</v>
      </c>
    </row>
    <row r="538" spans="1:2" x14ac:dyDescent="0.25">
      <c r="A538" s="2">
        <v>533</v>
      </c>
      <c r="B538" s="11" t="str">
        <f>"00027623"</f>
        <v>00027623</v>
      </c>
    </row>
    <row r="539" spans="1:2" x14ac:dyDescent="0.25">
      <c r="A539" s="2">
        <v>534</v>
      </c>
      <c r="B539" s="11" t="str">
        <f>"00027678"</f>
        <v>00027678</v>
      </c>
    </row>
    <row r="540" spans="1:2" x14ac:dyDescent="0.25">
      <c r="A540" s="2">
        <v>535</v>
      </c>
      <c r="B540" s="11" t="str">
        <f>"00027681"</f>
        <v>00027681</v>
      </c>
    </row>
    <row r="541" spans="1:2" x14ac:dyDescent="0.25">
      <c r="A541" s="2">
        <v>536</v>
      </c>
      <c r="B541" s="11" t="str">
        <f>"00027743"</f>
        <v>00027743</v>
      </c>
    </row>
    <row r="542" spans="1:2" x14ac:dyDescent="0.25">
      <c r="A542" s="2">
        <v>537</v>
      </c>
      <c r="B542" s="11" t="str">
        <f>"00027746"</f>
        <v>00027746</v>
      </c>
    </row>
    <row r="543" spans="1:2" x14ac:dyDescent="0.25">
      <c r="A543" s="2">
        <v>538</v>
      </c>
      <c r="B543" s="11" t="str">
        <f>"00027770"</f>
        <v>00027770</v>
      </c>
    </row>
    <row r="544" spans="1:2" x14ac:dyDescent="0.25">
      <c r="A544" s="2">
        <v>539</v>
      </c>
      <c r="B544" s="11" t="str">
        <f>"00027858"</f>
        <v>00027858</v>
      </c>
    </row>
    <row r="545" spans="1:2" x14ac:dyDescent="0.25">
      <c r="A545" s="2">
        <v>540</v>
      </c>
      <c r="B545" s="11" t="str">
        <f>"00027860"</f>
        <v>00027860</v>
      </c>
    </row>
    <row r="546" spans="1:2" x14ac:dyDescent="0.25">
      <c r="A546" s="2">
        <v>541</v>
      </c>
      <c r="B546" s="11" t="str">
        <f>"00027894"</f>
        <v>00027894</v>
      </c>
    </row>
    <row r="547" spans="1:2" x14ac:dyDescent="0.25">
      <c r="A547" s="2">
        <v>542</v>
      </c>
      <c r="B547" s="11" t="str">
        <f>"00027897"</f>
        <v>00027897</v>
      </c>
    </row>
    <row r="548" spans="1:2" x14ac:dyDescent="0.25">
      <c r="A548" s="2">
        <v>543</v>
      </c>
      <c r="B548" s="11" t="str">
        <f>"00027924"</f>
        <v>00027924</v>
      </c>
    </row>
    <row r="549" spans="1:2" x14ac:dyDescent="0.25">
      <c r="A549" s="2">
        <v>544</v>
      </c>
      <c r="B549" s="11" t="str">
        <f>"00027939"</f>
        <v>00027939</v>
      </c>
    </row>
    <row r="550" spans="1:2" x14ac:dyDescent="0.25">
      <c r="A550" s="2">
        <v>545</v>
      </c>
      <c r="B550" s="11" t="str">
        <f>"00028029"</f>
        <v>00028029</v>
      </c>
    </row>
    <row r="551" spans="1:2" x14ac:dyDescent="0.25">
      <c r="A551" s="2">
        <v>546</v>
      </c>
      <c r="B551" s="11" t="str">
        <f>"00028066"</f>
        <v>00028066</v>
      </c>
    </row>
    <row r="552" spans="1:2" x14ac:dyDescent="0.25">
      <c r="A552" s="2">
        <v>547</v>
      </c>
      <c r="B552" s="11" t="str">
        <f>"00028172"</f>
        <v>00028172</v>
      </c>
    </row>
    <row r="553" spans="1:2" x14ac:dyDescent="0.25">
      <c r="A553" s="2">
        <v>548</v>
      </c>
      <c r="B553" s="11" t="str">
        <f>"00028181"</f>
        <v>00028181</v>
      </c>
    </row>
    <row r="554" spans="1:2" x14ac:dyDescent="0.25">
      <c r="A554" s="2">
        <v>549</v>
      </c>
      <c r="B554" s="11" t="str">
        <f>"00028220"</f>
        <v>00028220</v>
      </c>
    </row>
    <row r="555" spans="1:2" x14ac:dyDescent="0.25">
      <c r="A555" s="2">
        <v>550</v>
      </c>
      <c r="B555" s="11" t="str">
        <f>"00028270"</f>
        <v>00028270</v>
      </c>
    </row>
    <row r="556" spans="1:2" x14ac:dyDescent="0.25">
      <c r="A556" s="2">
        <v>551</v>
      </c>
      <c r="B556" s="11" t="str">
        <f>"00028366"</f>
        <v>00028366</v>
      </c>
    </row>
    <row r="557" spans="1:2" x14ac:dyDescent="0.25">
      <c r="A557" s="2">
        <v>552</v>
      </c>
      <c r="B557" s="11" t="str">
        <f>"00028387"</f>
        <v>00028387</v>
      </c>
    </row>
    <row r="558" spans="1:2" x14ac:dyDescent="0.25">
      <c r="A558" s="2">
        <v>553</v>
      </c>
      <c r="B558" s="11" t="str">
        <f>"00028413"</f>
        <v>00028413</v>
      </c>
    </row>
    <row r="559" spans="1:2" x14ac:dyDescent="0.25">
      <c r="A559" s="2">
        <v>554</v>
      </c>
      <c r="B559" s="11" t="str">
        <f>"00028446"</f>
        <v>00028446</v>
      </c>
    </row>
    <row r="560" spans="1:2" x14ac:dyDescent="0.25">
      <c r="A560" s="2">
        <v>555</v>
      </c>
      <c r="B560" s="11" t="str">
        <f>"00028462"</f>
        <v>00028462</v>
      </c>
    </row>
    <row r="561" spans="1:2" x14ac:dyDescent="0.25">
      <c r="A561" s="2">
        <v>556</v>
      </c>
      <c r="B561" s="11" t="str">
        <f>"00028468"</f>
        <v>00028468</v>
      </c>
    </row>
    <row r="562" spans="1:2" x14ac:dyDescent="0.25">
      <c r="A562" s="2">
        <v>557</v>
      </c>
      <c r="B562" s="11" t="str">
        <f>"00028541"</f>
        <v>00028541</v>
      </c>
    </row>
    <row r="563" spans="1:2" x14ac:dyDescent="0.25">
      <c r="A563" s="2">
        <v>558</v>
      </c>
      <c r="B563" s="11" t="str">
        <f>"00028640"</f>
        <v>00028640</v>
      </c>
    </row>
    <row r="564" spans="1:2" x14ac:dyDescent="0.25">
      <c r="A564" s="2">
        <v>559</v>
      </c>
      <c r="B564" s="11" t="str">
        <f>"00028676"</f>
        <v>00028676</v>
      </c>
    </row>
    <row r="565" spans="1:2" x14ac:dyDescent="0.25">
      <c r="A565" s="2">
        <v>560</v>
      </c>
      <c r="B565" s="11" t="str">
        <f>"00028754"</f>
        <v>00028754</v>
      </c>
    </row>
    <row r="566" spans="1:2" x14ac:dyDescent="0.25">
      <c r="A566" s="2">
        <v>561</v>
      </c>
      <c r="B566" s="11" t="str">
        <f>"00028787"</f>
        <v>00028787</v>
      </c>
    </row>
    <row r="567" spans="1:2" x14ac:dyDescent="0.25">
      <c r="A567" s="2">
        <v>562</v>
      </c>
      <c r="B567" s="11" t="str">
        <f>"00028792"</f>
        <v>00028792</v>
      </c>
    </row>
    <row r="568" spans="1:2" x14ac:dyDescent="0.25">
      <c r="A568" s="2">
        <v>563</v>
      </c>
      <c r="B568" s="11">
        <v>28822</v>
      </c>
    </row>
    <row r="569" spans="1:2" x14ac:dyDescent="0.25">
      <c r="A569" s="2">
        <v>564</v>
      </c>
      <c r="B569" s="11" t="str">
        <f>"00028874"</f>
        <v>00028874</v>
      </c>
    </row>
    <row r="570" spans="1:2" x14ac:dyDescent="0.25">
      <c r="A570" s="2">
        <v>565</v>
      </c>
      <c r="B570" s="11" t="str">
        <f>"00028895"</f>
        <v>00028895</v>
      </c>
    </row>
    <row r="571" spans="1:2" x14ac:dyDescent="0.25">
      <c r="A571" s="2">
        <v>566</v>
      </c>
      <c r="B571" s="11" t="str">
        <f>"00028984"</f>
        <v>00028984</v>
      </c>
    </row>
    <row r="572" spans="1:2" x14ac:dyDescent="0.25">
      <c r="A572" s="2">
        <v>567</v>
      </c>
      <c r="B572" s="11" t="str">
        <f>"00028993"</f>
        <v>00028993</v>
      </c>
    </row>
    <row r="573" spans="1:2" x14ac:dyDescent="0.25">
      <c r="A573" s="2">
        <v>568</v>
      </c>
      <c r="B573" s="11" t="str">
        <f>"00029001"</f>
        <v>00029001</v>
      </c>
    </row>
    <row r="574" spans="1:2" x14ac:dyDescent="0.25">
      <c r="A574" s="2">
        <v>569</v>
      </c>
      <c r="B574" s="11" t="str">
        <f>"00029019"</f>
        <v>00029019</v>
      </c>
    </row>
    <row r="575" spans="1:2" x14ac:dyDescent="0.25">
      <c r="A575" s="2">
        <v>570</v>
      </c>
      <c r="B575" s="11" t="str">
        <f>"00029069"</f>
        <v>00029069</v>
      </c>
    </row>
    <row r="576" spans="1:2" x14ac:dyDescent="0.25">
      <c r="A576" s="2">
        <v>571</v>
      </c>
      <c r="B576" s="11" t="str">
        <f>"00029089"</f>
        <v>00029089</v>
      </c>
    </row>
    <row r="577" spans="1:2" x14ac:dyDescent="0.25">
      <c r="A577" s="2">
        <v>572</v>
      </c>
      <c r="B577" s="11" t="str">
        <f>"00029125"</f>
        <v>00029125</v>
      </c>
    </row>
    <row r="578" spans="1:2" x14ac:dyDescent="0.25">
      <c r="A578" s="2">
        <v>573</v>
      </c>
      <c r="B578" s="11" t="str">
        <f>"00029225"</f>
        <v>00029225</v>
      </c>
    </row>
    <row r="579" spans="1:2" x14ac:dyDescent="0.25">
      <c r="A579" s="2">
        <v>574</v>
      </c>
      <c r="B579" s="11" t="str">
        <f>"00029237"</f>
        <v>00029237</v>
      </c>
    </row>
    <row r="580" spans="1:2" x14ac:dyDescent="0.25">
      <c r="A580" s="2">
        <v>575</v>
      </c>
      <c r="B580" s="11" t="str">
        <f>"00029301"</f>
        <v>00029301</v>
      </c>
    </row>
    <row r="581" spans="1:2" x14ac:dyDescent="0.25">
      <c r="A581" s="2">
        <v>576</v>
      </c>
      <c r="B581" s="11" t="str">
        <f>"00029327"</f>
        <v>00029327</v>
      </c>
    </row>
    <row r="582" spans="1:2" x14ac:dyDescent="0.25">
      <c r="A582" s="2">
        <v>577</v>
      </c>
      <c r="B582" s="11" t="str">
        <f>"00029351"</f>
        <v>00029351</v>
      </c>
    </row>
    <row r="583" spans="1:2" x14ac:dyDescent="0.25">
      <c r="A583" s="2">
        <v>578</v>
      </c>
      <c r="B583" s="11" t="str">
        <f>"00029353"</f>
        <v>00029353</v>
      </c>
    </row>
    <row r="584" spans="1:2" x14ac:dyDescent="0.25">
      <c r="A584" s="2">
        <v>579</v>
      </c>
      <c r="B584" s="11" t="str">
        <f>"00029363"</f>
        <v>00029363</v>
      </c>
    </row>
    <row r="585" spans="1:2" x14ac:dyDescent="0.25">
      <c r="A585" s="2">
        <v>580</v>
      </c>
      <c r="B585" s="11" t="str">
        <f>"00029464"</f>
        <v>00029464</v>
      </c>
    </row>
    <row r="586" spans="1:2" x14ac:dyDescent="0.25">
      <c r="A586" s="2">
        <v>581</v>
      </c>
      <c r="B586" s="11" t="str">
        <f>"00029525"</f>
        <v>00029525</v>
      </c>
    </row>
    <row r="587" spans="1:2" x14ac:dyDescent="0.25">
      <c r="A587" s="2">
        <v>582</v>
      </c>
      <c r="B587" s="11" t="str">
        <f>"00029538"</f>
        <v>00029538</v>
      </c>
    </row>
    <row r="588" spans="1:2" x14ac:dyDescent="0.25">
      <c r="A588" s="2">
        <v>583</v>
      </c>
      <c r="B588" s="11" t="str">
        <f>"00029541"</f>
        <v>00029541</v>
      </c>
    </row>
    <row r="589" spans="1:2" x14ac:dyDescent="0.25">
      <c r="A589" s="2">
        <v>584</v>
      </c>
      <c r="B589" s="11" t="str">
        <f>"00029549"</f>
        <v>00029549</v>
      </c>
    </row>
    <row r="590" spans="1:2" x14ac:dyDescent="0.25">
      <c r="A590" s="2">
        <v>585</v>
      </c>
      <c r="B590" s="11" t="str">
        <f>"00029590"</f>
        <v>00029590</v>
      </c>
    </row>
    <row r="591" spans="1:2" x14ac:dyDescent="0.25">
      <c r="A591" s="2">
        <v>586</v>
      </c>
      <c r="B591" s="11" t="str">
        <f>"00029702"</f>
        <v>00029702</v>
      </c>
    </row>
    <row r="592" spans="1:2" x14ac:dyDescent="0.25">
      <c r="A592" s="2">
        <v>587</v>
      </c>
      <c r="B592" s="11" t="str">
        <f>"00029747"</f>
        <v>00029747</v>
      </c>
    </row>
    <row r="593" spans="1:2" x14ac:dyDescent="0.25">
      <c r="A593" s="2">
        <v>588</v>
      </c>
      <c r="B593" s="11" t="str">
        <f>"00029781"</f>
        <v>00029781</v>
      </c>
    </row>
    <row r="594" spans="1:2" x14ac:dyDescent="0.25">
      <c r="A594" s="2">
        <v>589</v>
      </c>
      <c r="B594" s="11" t="str">
        <f>"00029787"</f>
        <v>00029787</v>
      </c>
    </row>
    <row r="595" spans="1:2" x14ac:dyDescent="0.25">
      <c r="A595" s="2">
        <v>590</v>
      </c>
      <c r="B595" s="11" t="str">
        <f>"00029842"</f>
        <v>00029842</v>
      </c>
    </row>
    <row r="596" spans="1:2" x14ac:dyDescent="0.25">
      <c r="A596" s="2">
        <v>591</v>
      </c>
      <c r="B596" s="11" t="str">
        <f>"00030144"</f>
        <v>00030144</v>
      </c>
    </row>
    <row r="597" spans="1:2" x14ac:dyDescent="0.25">
      <c r="A597" s="2">
        <v>592</v>
      </c>
      <c r="B597" s="11" t="str">
        <f>"00030145"</f>
        <v>00030145</v>
      </c>
    </row>
    <row r="598" spans="1:2" x14ac:dyDescent="0.25">
      <c r="A598" s="2">
        <v>593</v>
      </c>
      <c r="B598" s="11" t="str">
        <f>"00030183"</f>
        <v>00030183</v>
      </c>
    </row>
    <row r="599" spans="1:2" x14ac:dyDescent="0.25">
      <c r="A599" s="2">
        <v>594</v>
      </c>
      <c r="B599" s="11" t="str">
        <f>"00030205"</f>
        <v>00030205</v>
      </c>
    </row>
    <row r="600" spans="1:2" x14ac:dyDescent="0.25">
      <c r="A600" s="2">
        <v>595</v>
      </c>
      <c r="B600" s="11" t="str">
        <f>"00030207"</f>
        <v>00030207</v>
      </c>
    </row>
    <row r="601" spans="1:2" x14ac:dyDescent="0.25">
      <c r="A601" s="2">
        <v>596</v>
      </c>
      <c r="B601" s="11" t="str">
        <f>"00030236"</f>
        <v>00030236</v>
      </c>
    </row>
    <row r="602" spans="1:2" x14ac:dyDescent="0.25">
      <c r="A602" s="2">
        <v>597</v>
      </c>
      <c r="B602" s="11" t="str">
        <f>"00030255"</f>
        <v>00030255</v>
      </c>
    </row>
    <row r="603" spans="1:2" x14ac:dyDescent="0.25">
      <c r="A603" s="2">
        <v>598</v>
      </c>
      <c r="B603" s="11" t="str">
        <f>"00030288"</f>
        <v>00030288</v>
      </c>
    </row>
    <row r="604" spans="1:2" x14ac:dyDescent="0.25">
      <c r="A604" s="2">
        <v>599</v>
      </c>
      <c r="B604" s="11" t="str">
        <f>"00030292"</f>
        <v>00030292</v>
      </c>
    </row>
    <row r="605" spans="1:2" x14ac:dyDescent="0.25">
      <c r="A605" s="2">
        <v>600</v>
      </c>
      <c r="B605" s="11" t="str">
        <f>"00030303"</f>
        <v>00030303</v>
      </c>
    </row>
    <row r="606" spans="1:2" x14ac:dyDescent="0.25">
      <c r="A606" s="2">
        <v>601</v>
      </c>
      <c r="B606" s="11" t="str">
        <f>"00030345"</f>
        <v>00030345</v>
      </c>
    </row>
    <row r="607" spans="1:2" x14ac:dyDescent="0.25">
      <c r="A607" s="2">
        <v>602</v>
      </c>
      <c r="B607" s="11" t="str">
        <f>"00030369"</f>
        <v>00030369</v>
      </c>
    </row>
    <row r="608" spans="1:2" x14ac:dyDescent="0.25">
      <c r="A608" s="2">
        <v>603</v>
      </c>
      <c r="B608" s="11" t="str">
        <f>"00030470"</f>
        <v>00030470</v>
      </c>
    </row>
    <row r="609" spans="1:2" x14ac:dyDescent="0.25">
      <c r="A609" s="2">
        <v>604</v>
      </c>
      <c r="B609" s="11" t="str">
        <f>"00030487"</f>
        <v>00030487</v>
      </c>
    </row>
    <row r="610" spans="1:2" x14ac:dyDescent="0.25">
      <c r="A610" s="2">
        <v>605</v>
      </c>
      <c r="B610" s="11" t="str">
        <f>"00030511"</f>
        <v>00030511</v>
      </c>
    </row>
    <row r="611" spans="1:2" x14ac:dyDescent="0.25">
      <c r="A611" s="2">
        <v>606</v>
      </c>
      <c r="B611" s="11" t="str">
        <f>"00030547"</f>
        <v>00030547</v>
      </c>
    </row>
    <row r="612" spans="1:2" x14ac:dyDescent="0.25">
      <c r="A612" s="2">
        <v>607</v>
      </c>
      <c r="B612" s="11" t="str">
        <f>"00030625"</f>
        <v>00030625</v>
      </c>
    </row>
    <row r="613" spans="1:2" x14ac:dyDescent="0.25">
      <c r="A613" s="2">
        <v>608</v>
      </c>
      <c r="B613" s="11" t="str">
        <f>"00030676"</f>
        <v>00030676</v>
      </c>
    </row>
    <row r="614" spans="1:2" x14ac:dyDescent="0.25">
      <c r="A614" s="2">
        <v>609</v>
      </c>
      <c r="B614" s="11" t="str">
        <f>"00030728"</f>
        <v>00030728</v>
      </c>
    </row>
    <row r="615" spans="1:2" x14ac:dyDescent="0.25">
      <c r="A615" s="2">
        <v>610</v>
      </c>
      <c r="B615" s="11" t="str">
        <f>"00030909"</f>
        <v>00030909</v>
      </c>
    </row>
    <row r="616" spans="1:2" x14ac:dyDescent="0.25">
      <c r="A616" s="2">
        <v>611</v>
      </c>
      <c r="B616" s="11" t="str">
        <f>"00030975"</f>
        <v>00030975</v>
      </c>
    </row>
    <row r="617" spans="1:2" x14ac:dyDescent="0.25">
      <c r="A617" s="2">
        <v>612</v>
      </c>
      <c r="B617" s="11" t="str">
        <f>"00031311"</f>
        <v>00031311</v>
      </c>
    </row>
    <row r="618" spans="1:2" x14ac:dyDescent="0.25">
      <c r="A618" s="2">
        <v>613</v>
      </c>
      <c r="B618" s="11" t="str">
        <f>"00031680"</f>
        <v>00031680</v>
      </c>
    </row>
    <row r="619" spans="1:2" x14ac:dyDescent="0.25">
      <c r="A619" s="2">
        <v>614</v>
      </c>
      <c r="B619" s="11" t="str">
        <f>"00032007"</f>
        <v>00032007</v>
      </c>
    </row>
    <row r="620" spans="1:2" x14ac:dyDescent="0.25">
      <c r="A620" s="2">
        <v>615</v>
      </c>
      <c r="B620" s="11" t="str">
        <f>"00032307"</f>
        <v>00032307</v>
      </c>
    </row>
    <row r="621" spans="1:2" x14ac:dyDescent="0.25">
      <c r="A621" s="2">
        <v>616</v>
      </c>
      <c r="B621" s="11" t="str">
        <f>"00032364"</f>
        <v>00032364</v>
      </c>
    </row>
    <row r="622" spans="1:2" x14ac:dyDescent="0.25">
      <c r="A622" s="2">
        <v>617</v>
      </c>
      <c r="B622" s="11" t="str">
        <f>"00032484"</f>
        <v>00032484</v>
      </c>
    </row>
    <row r="623" spans="1:2" x14ac:dyDescent="0.25">
      <c r="A623" s="2">
        <v>618</v>
      </c>
      <c r="B623" s="11" t="str">
        <f>"00032504"</f>
        <v>00032504</v>
      </c>
    </row>
    <row r="624" spans="1:2" x14ac:dyDescent="0.25">
      <c r="A624" s="2">
        <v>619</v>
      </c>
      <c r="B624" s="11" t="str">
        <f>"00032547"</f>
        <v>00032547</v>
      </c>
    </row>
    <row r="625" spans="1:2" x14ac:dyDescent="0.25">
      <c r="A625" s="2">
        <v>620</v>
      </c>
      <c r="B625" s="11" t="str">
        <f>"00032615"</f>
        <v>00032615</v>
      </c>
    </row>
    <row r="626" spans="1:2" x14ac:dyDescent="0.25">
      <c r="A626" s="2">
        <v>621</v>
      </c>
      <c r="B626" s="11" t="str">
        <f>"00032791"</f>
        <v>00032791</v>
      </c>
    </row>
    <row r="627" spans="1:2" x14ac:dyDescent="0.25">
      <c r="A627" s="2">
        <v>622</v>
      </c>
      <c r="B627" s="11" t="str">
        <f>"00032841"</f>
        <v>00032841</v>
      </c>
    </row>
    <row r="628" spans="1:2" x14ac:dyDescent="0.25">
      <c r="A628" s="2">
        <v>623</v>
      </c>
      <c r="B628" s="11" t="str">
        <f>"00033020"</f>
        <v>00033020</v>
      </c>
    </row>
    <row r="629" spans="1:2" x14ac:dyDescent="0.25">
      <c r="A629" s="2">
        <v>624</v>
      </c>
      <c r="B629" s="11" t="str">
        <f>"00033053"</f>
        <v>00033053</v>
      </c>
    </row>
    <row r="630" spans="1:2" x14ac:dyDescent="0.25">
      <c r="A630" s="2">
        <v>625</v>
      </c>
      <c r="B630" s="11" t="str">
        <f>"00033160"</f>
        <v>00033160</v>
      </c>
    </row>
    <row r="631" spans="1:2" x14ac:dyDescent="0.25">
      <c r="A631" s="2">
        <v>626</v>
      </c>
      <c r="B631" s="11" t="str">
        <f>"00033353"</f>
        <v>00033353</v>
      </c>
    </row>
    <row r="632" spans="1:2" x14ac:dyDescent="0.25">
      <c r="A632" s="2">
        <v>627</v>
      </c>
      <c r="B632" s="11" t="str">
        <f>"00033826"</f>
        <v>00033826</v>
      </c>
    </row>
    <row r="633" spans="1:2" x14ac:dyDescent="0.25">
      <c r="A633" s="2">
        <v>628</v>
      </c>
      <c r="B633" s="11" t="str">
        <f>"00034309"</f>
        <v>00034309</v>
      </c>
    </row>
    <row r="634" spans="1:2" x14ac:dyDescent="0.25">
      <c r="A634" s="2">
        <v>629</v>
      </c>
      <c r="B634" s="11" t="str">
        <f>"00034420"</f>
        <v>00034420</v>
      </c>
    </row>
    <row r="635" spans="1:2" x14ac:dyDescent="0.25">
      <c r="A635" s="2">
        <v>630</v>
      </c>
      <c r="B635" s="11" t="str">
        <f>"00035095"</f>
        <v>00035095</v>
      </c>
    </row>
    <row r="636" spans="1:2" x14ac:dyDescent="0.25">
      <c r="A636" s="2">
        <v>631</v>
      </c>
      <c r="B636" s="11" t="str">
        <f>"00035187"</f>
        <v>00035187</v>
      </c>
    </row>
    <row r="637" spans="1:2" x14ac:dyDescent="0.25">
      <c r="A637" s="2">
        <v>632</v>
      </c>
      <c r="B637" s="11" t="str">
        <f>"00035834"</f>
        <v>00035834</v>
      </c>
    </row>
    <row r="638" spans="1:2" x14ac:dyDescent="0.25">
      <c r="A638" s="2">
        <v>633</v>
      </c>
      <c r="B638" s="11" t="str">
        <f>"00036029"</f>
        <v>00036029</v>
      </c>
    </row>
    <row r="639" spans="1:2" x14ac:dyDescent="0.25">
      <c r="A639" s="2">
        <v>634</v>
      </c>
      <c r="B639" s="11" t="str">
        <f>"00036035"</f>
        <v>00036035</v>
      </c>
    </row>
    <row r="640" spans="1:2" x14ac:dyDescent="0.25">
      <c r="A640" s="2">
        <v>635</v>
      </c>
      <c r="B640" s="11" t="str">
        <f>"00036216"</f>
        <v>00036216</v>
      </c>
    </row>
    <row r="641" spans="1:2" x14ac:dyDescent="0.25">
      <c r="A641" s="2">
        <v>636</v>
      </c>
      <c r="B641" s="11" t="str">
        <f>"00036236"</f>
        <v>00036236</v>
      </c>
    </row>
    <row r="642" spans="1:2" x14ac:dyDescent="0.25">
      <c r="A642" s="2">
        <v>637</v>
      </c>
      <c r="B642" s="11" t="str">
        <f>"00036259"</f>
        <v>00036259</v>
      </c>
    </row>
    <row r="643" spans="1:2" x14ac:dyDescent="0.25">
      <c r="A643" s="2">
        <v>638</v>
      </c>
      <c r="B643" s="11" t="str">
        <f>"00036351"</f>
        <v>00036351</v>
      </c>
    </row>
    <row r="644" spans="1:2" x14ac:dyDescent="0.25">
      <c r="A644" s="2">
        <v>639</v>
      </c>
      <c r="B644" s="11" t="str">
        <f>"00036513"</f>
        <v>00036513</v>
      </c>
    </row>
    <row r="645" spans="1:2" x14ac:dyDescent="0.25">
      <c r="A645" s="2">
        <v>640</v>
      </c>
      <c r="B645" s="11" t="str">
        <f>"00036645"</f>
        <v>00036645</v>
      </c>
    </row>
    <row r="646" spans="1:2" x14ac:dyDescent="0.25">
      <c r="A646" s="2">
        <v>641</v>
      </c>
      <c r="B646" s="11" t="str">
        <f>"00036647"</f>
        <v>00036647</v>
      </c>
    </row>
    <row r="647" spans="1:2" x14ac:dyDescent="0.25">
      <c r="A647" s="2">
        <v>642</v>
      </c>
      <c r="B647" s="11" t="str">
        <f>"00036701"</f>
        <v>00036701</v>
      </c>
    </row>
    <row r="648" spans="1:2" x14ac:dyDescent="0.25">
      <c r="A648" s="2">
        <v>643</v>
      </c>
      <c r="B648" s="11" t="str">
        <f>"00036757"</f>
        <v>00036757</v>
      </c>
    </row>
    <row r="649" spans="1:2" x14ac:dyDescent="0.25">
      <c r="A649" s="2">
        <v>644</v>
      </c>
      <c r="B649" s="11" t="str">
        <f>"00036820"</f>
        <v>00036820</v>
      </c>
    </row>
    <row r="650" spans="1:2" x14ac:dyDescent="0.25">
      <c r="A650" s="2">
        <v>645</v>
      </c>
      <c r="B650" s="11" t="str">
        <f>"00036830"</f>
        <v>00036830</v>
      </c>
    </row>
    <row r="651" spans="1:2" x14ac:dyDescent="0.25">
      <c r="A651" s="2">
        <v>646</v>
      </c>
      <c r="B651" s="11" t="str">
        <f>"00036898"</f>
        <v>00036898</v>
      </c>
    </row>
    <row r="652" spans="1:2" x14ac:dyDescent="0.25">
      <c r="A652" s="2">
        <v>647</v>
      </c>
      <c r="B652" s="11" t="str">
        <f>"00036908"</f>
        <v>00036908</v>
      </c>
    </row>
    <row r="653" spans="1:2" x14ac:dyDescent="0.25">
      <c r="A653" s="2">
        <v>648</v>
      </c>
      <c r="B653" s="11" t="str">
        <f>"00036942"</f>
        <v>00036942</v>
      </c>
    </row>
    <row r="654" spans="1:2" x14ac:dyDescent="0.25">
      <c r="A654" s="2">
        <v>649</v>
      </c>
      <c r="B654" s="11" t="str">
        <f>"00037084"</f>
        <v>00037084</v>
      </c>
    </row>
    <row r="655" spans="1:2" x14ac:dyDescent="0.25">
      <c r="A655" s="2">
        <v>650</v>
      </c>
      <c r="B655" s="11" t="str">
        <f>"00037134"</f>
        <v>00037134</v>
      </c>
    </row>
    <row r="656" spans="1:2" x14ac:dyDescent="0.25">
      <c r="A656" s="2">
        <v>651</v>
      </c>
      <c r="B656" s="11" t="str">
        <f>"00037204"</f>
        <v>00037204</v>
      </c>
    </row>
    <row r="657" spans="1:2" x14ac:dyDescent="0.25">
      <c r="A657" s="2">
        <v>652</v>
      </c>
      <c r="B657" s="11" t="str">
        <f>"00037208"</f>
        <v>00037208</v>
      </c>
    </row>
    <row r="658" spans="1:2" x14ac:dyDescent="0.25">
      <c r="A658" s="2">
        <v>653</v>
      </c>
      <c r="B658" s="11" t="str">
        <f>"00037210"</f>
        <v>00037210</v>
      </c>
    </row>
    <row r="659" spans="1:2" x14ac:dyDescent="0.25">
      <c r="A659" s="2">
        <v>654</v>
      </c>
      <c r="B659" s="11" t="str">
        <f>"00037273"</f>
        <v>00037273</v>
      </c>
    </row>
    <row r="660" spans="1:2" x14ac:dyDescent="0.25">
      <c r="A660" s="2">
        <v>655</v>
      </c>
      <c r="B660" s="11" t="str">
        <f>"00037411"</f>
        <v>00037411</v>
      </c>
    </row>
    <row r="661" spans="1:2" x14ac:dyDescent="0.25">
      <c r="A661" s="2">
        <v>656</v>
      </c>
      <c r="B661" s="11" t="str">
        <f>"00037463"</f>
        <v>00037463</v>
      </c>
    </row>
    <row r="662" spans="1:2" x14ac:dyDescent="0.25">
      <c r="A662" s="2">
        <v>657</v>
      </c>
      <c r="B662" s="11" t="str">
        <f>"00037475"</f>
        <v>00037475</v>
      </c>
    </row>
    <row r="663" spans="1:2" x14ac:dyDescent="0.25">
      <c r="A663" s="2">
        <v>658</v>
      </c>
      <c r="B663" s="11" t="str">
        <f>"00037507"</f>
        <v>00037507</v>
      </c>
    </row>
    <row r="664" spans="1:2" x14ac:dyDescent="0.25">
      <c r="A664" s="2">
        <v>659</v>
      </c>
      <c r="B664" s="11" t="str">
        <f>"00037520"</f>
        <v>00037520</v>
      </c>
    </row>
    <row r="665" spans="1:2" x14ac:dyDescent="0.25">
      <c r="A665" s="2">
        <v>660</v>
      </c>
      <c r="B665" s="11" t="str">
        <f>"00037651"</f>
        <v>00037651</v>
      </c>
    </row>
    <row r="666" spans="1:2" x14ac:dyDescent="0.25">
      <c r="A666" s="2">
        <v>661</v>
      </c>
      <c r="B666" s="11" t="str">
        <f>"00037661"</f>
        <v>00037661</v>
      </c>
    </row>
    <row r="667" spans="1:2" x14ac:dyDescent="0.25">
      <c r="A667" s="2">
        <v>662</v>
      </c>
      <c r="B667" s="11" t="str">
        <f>"00037694"</f>
        <v>00037694</v>
      </c>
    </row>
    <row r="668" spans="1:2" x14ac:dyDescent="0.25">
      <c r="A668" s="2">
        <v>663</v>
      </c>
      <c r="B668" s="11" t="str">
        <f>"00037717"</f>
        <v>00037717</v>
      </c>
    </row>
    <row r="669" spans="1:2" x14ac:dyDescent="0.25">
      <c r="A669" s="2">
        <v>664</v>
      </c>
      <c r="B669" s="11" t="str">
        <f>"00037729"</f>
        <v>00037729</v>
      </c>
    </row>
    <row r="670" spans="1:2" x14ac:dyDescent="0.25">
      <c r="A670" s="2">
        <v>665</v>
      </c>
      <c r="B670" s="11" t="str">
        <f>"00037775"</f>
        <v>00037775</v>
      </c>
    </row>
    <row r="671" spans="1:2" x14ac:dyDescent="0.25">
      <c r="A671" s="2">
        <v>666</v>
      </c>
      <c r="B671" s="11" t="str">
        <f>"00037924"</f>
        <v>00037924</v>
      </c>
    </row>
    <row r="672" spans="1:2" x14ac:dyDescent="0.25">
      <c r="A672" s="2">
        <v>667</v>
      </c>
      <c r="B672" s="11" t="str">
        <f>"00037984"</f>
        <v>00037984</v>
      </c>
    </row>
    <row r="673" spans="1:2" x14ac:dyDescent="0.25">
      <c r="A673" s="2">
        <v>668</v>
      </c>
      <c r="B673" s="11" t="str">
        <f>"00038054"</f>
        <v>00038054</v>
      </c>
    </row>
    <row r="674" spans="1:2" x14ac:dyDescent="0.25">
      <c r="A674" s="2">
        <v>669</v>
      </c>
      <c r="B674" s="11" t="str">
        <f>"00038195"</f>
        <v>00038195</v>
      </c>
    </row>
    <row r="675" spans="1:2" x14ac:dyDescent="0.25">
      <c r="A675" s="2">
        <v>670</v>
      </c>
      <c r="B675" s="11" t="str">
        <f>"00038227"</f>
        <v>00038227</v>
      </c>
    </row>
    <row r="676" spans="1:2" x14ac:dyDescent="0.25">
      <c r="A676" s="2">
        <v>671</v>
      </c>
      <c r="B676" s="11" t="str">
        <f>"00038252"</f>
        <v>00038252</v>
      </c>
    </row>
    <row r="677" spans="1:2" x14ac:dyDescent="0.25">
      <c r="A677" s="2">
        <v>672</v>
      </c>
      <c r="B677" s="11" t="str">
        <f>"00038382"</f>
        <v>00038382</v>
      </c>
    </row>
    <row r="678" spans="1:2" x14ac:dyDescent="0.25">
      <c r="A678" s="2">
        <v>673</v>
      </c>
      <c r="B678" s="11" t="str">
        <f>"00038684"</f>
        <v>00038684</v>
      </c>
    </row>
    <row r="679" spans="1:2" x14ac:dyDescent="0.25">
      <c r="A679" s="2">
        <v>674</v>
      </c>
      <c r="B679" s="11" t="str">
        <f>"00038711"</f>
        <v>00038711</v>
      </c>
    </row>
    <row r="680" spans="1:2" x14ac:dyDescent="0.25">
      <c r="A680" s="2">
        <v>675</v>
      </c>
      <c r="B680" s="11" t="str">
        <f>"00038742"</f>
        <v>00038742</v>
      </c>
    </row>
    <row r="681" spans="1:2" x14ac:dyDescent="0.25">
      <c r="A681" s="2">
        <v>676</v>
      </c>
      <c r="B681" s="11" t="str">
        <f>"00038751"</f>
        <v>00038751</v>
      </c>
    </row>
    <row r="682" spans="1:2" x14ac:dyDescent="0.25">
      <c r="A682" s="2">
        <v>677</v>
      </c>
      <c r="B682" s="11" t="str">
        <f>"00038765"</f>
        <v>00038765</v>
      </c>
    </row>
    <row r="683" spans="1:2" x14ac:dyDescent="0.25">
      <c r="A683" s="2">
        <v>678</v>
      </c>
      <c r="B683" s="11" t="str">
        <f>"00038799"</f>
        <v>00038799</v>
      </c>
    </row>
    <row r="684" spans="1:2" x14ac:dyDescent="0.25">
      <c r="A684" s="2">
        <v>679</v>
      </c>
      <c r="B684" s="11" t="str">
        <f>"00038909"</f>
        <v>00038909</v>
      </c>
    </row>
    <row r="685" spans="1:2" x14ac:dyDescent="0.25">
      <c r="A685" s="2">
        <v>680</v>
      </c>
      <c r="B685" s="11" t="str">
        <f>"00039069"</f>
        <v>00039069</v>
      </c>
    </row>
    <row r="686" spans="1:2" x14ac:dyDescent="0.25">
      <c r="A686" s="2">
        <v>681</v>
      </c>
      <c r="B686" s="11" t="str">
        <f>"00039104"</f>
        <v>00039104</v>
      </c>
    </row>
    <row r="687" spans="1:2" x14ac:dyDescent="0.25">
      <c r="A687" s="2">
        <v>682</v>
      </c>
      <c r="B687" s="11" t="str">
        <f>"00039107"</f>
        <v>00039107</v>
      </c>
    </row>
    <row r="688" spans="1:2" x14ac:dyDescent="0.25">
      <c r="A688" s="2">
        <v>683</v>
      </c>
      <c r="B688" s="11" t="str">
        <f>"00039110"</f>
        <v>00039110</v>
      </c>
    </row>
    <row r="689" spans="1:2" x14ac:dyDescent="0.25">
      <c r="A689" s="2">
        <v>684</v>
      </c>
      <c r="B689" s="11" t="str">
        <f>"00039112"</f>
        <v>00039112</v>
      </c>
    </row>
    <row r="690" spans="1:2" x14ac:dyDescent="0.25">
      <c r="A690" s="2">
        <v>685</v>
      </c>
      <c r="B690" s="11" t="str">
        <f>"00039127"</f>
        <v>00039127</v>
      </c>
    </row>
    <row r="691" spans="1:2" x14ac:dyDescent="0.25">
      <c r="A691" s="2">
        <v>686</v>
      </c>
      <c r="B691" s="11" t="str">
        <f>"00039140"</f>
        <v>00039140</v>
      </c>
    </row>
    <row r="692" spans="1:2" x14ac:dyDescent="0.25">
      <c r="A692" s="2">
        <v>687</v>
      </c>
      <c r="B692" s="11" t="str">
        <f>"00039202"</f>
        <v>00039202</v>
      </c>
    </row>
    <row r="693" spans="1:2" x14ac:dyDescent="0.25">
      <c r="A693" s="2">
        <v>688</v>
      </c>
      <c r="B693" s="11" t="str">
        <f>"00039290"</f>
        <v>00039290</v>
      </c>
    </row>
    <row r="694" spans="1:2" x14ac:dyDescent="0.25">
      <c r="A694" s="2">
        <v>689</v>
      </c>
      <c r="B694" s="11" t="str">
        <f>"00039293"</f>
        <v>00039293</v>
      </c>
    </row>
    <row r="695" spans="1:2" x14ac:dyDescent="0.25">
      <c r="A695" s="2">
        <v>690</v>
      </c>
      <c r="B695" s="11" t="str">
        <f>"00039319"</f>
        <v>00039319</v>
      </c>
    </row>
    <row r="696" spans="1:2" x14ac:dyDescent="0.25">
      <c r="A696" s="2">
        <v>691</v>
      </c>
      <c r="B696" s="11" t="str">
        <f>"00039332"</f>
        <v>00039332</v>
      </c>
    </row>
    <row r="697" spans="1:2" x14ac:dyDescent="0.25">
      <c r="A697" s="2">
        <v>692</v>
      </c>
      <c r="B697" s="11" t="str">
        <f>"00039485"</f>
        <v>00039485</v>
      </c>
    </row>
    <row r="698" spans="1:2" x14ac:dyDescent="0.25">
      <c r="A698" s="2">
        <v>693</v>
      </c>
      <c r="B698" s="11" t="str">
        <f>"00039490"</f>
        <v>00039490</v>
      </c>
    </row>
    <row r="699" spans="1:2" x14ac:dyDescent="0.25">
      <c r="A699" s="2">
        <v>694</v>
      </c>
      <c r="B699" s="11" t="str">
        <f>"00039518"</f>
        <v>00039518</v>
      </c>
    </row>
    <row r="700" spans="1:2" x14ac:dyDescent="0.25">
      <c r="A700" s="2">
        <v>695</v>
      </c>
      <c r="B700" s="11" t="str">
        <f>"00039642"</f>
        <v>00039642</v>
      </c>
    </row>
    <row r="701" spans="1:2" x14ac:dyDescent="0.25">
      <c r="A701" s="2">
        <v>696</v>
      </c>
      <c r="B701" s="11" t="str">
        <f>"00039684"</f>
        <v>00039684</v>
      </c>
    </row>
    <row r="702" spans="1:2" x14ac:dyDescent="0.25">
      <c r="A702" s="2">
        <v>697</v>
      </c>
      <c r="B702" s="11" t="str">
        <f>"00039714"</f>
        <v>00039714</v>
      </c>
    </row>
    <row r="703" spans="1:2" x14ac:dyDescent="0.25">
      <c r="A703" s="2">
        <v>698</v>
      </c>
      <c r="B703" s="11" t="str">
        <f>"00039867"</f>
        <v>00039867</v>
      </c>
    </row>
    <row r="704" spans="1:2" x14ac:dyDescent="0.25">
      <c r="A704" s="2">
        <v>699</v>
      </c>
      <c r="B704" s="11" t="str">
        <f>"00039920"</f>
        <v>00039920</v>
      </c>
    </row>
    <row r="705" spans="1:2" x14ac:dyDescent="0.25">
      <c r="A705" s="2">
        <v>700</v>
      </c>
      <c r="B705" s="11" t="str">
        <f>"00039935"</f>
        <v>00039935</v>
      </c>
    </row>
    <row r="706" spans="1:2" x14ac:dyDescent="0.25">
      <c r="A706" s="2">
        <v>701</v>
      </c>
      <c r="B706" s="11" t="str">
        <f>"00039942"</f>
        <v>00039942</v>
      </c>
    </row>
    <row r="707" spans="1:2" x14ac:dyDescent="0.25">
      <c r="A707" s="2">
        <v>702</v>
      </c>
      <c r="B707" s="11" t="str">
        <f>"00039954"</f>
        <v>00039954</v>
      </c>
    </row>
    <row r="708" spans="1:2" x14ac:dyDescent="0.25">
      <c r="A708" s="2">
        <v>703</v>
      </c>
      <c r="B708" s="11" t="str">
        <f>"00039975"</f>
        <v>00039975</v>
      </c>
    </row>
    <row r="709" spans="1:2" x14ac:dyDescent="0.25">
      <c r="A709" s="2">
        <v>704</v>
      </c>
      <c r="B709" s="11" t="str">
        <f>"00040004"</f>
        <v>00040004</v>
      </c>
    </row>
    <row r="710" spans="1:2" x14ac:dyDescent="0.25">
      <c r="A710" s="2">
        <v>705</v>
      </c>
      <c r="B710" s="11" t="str">
        <f>"00040017"</f>
        <v>00040017</v>
      </c>
    </row>
    <row r="711" spans="1:2" x14ac:dyDescent="0.25">
      <c r="A711" s="2">
        <v>706</v>
      </c>
      <c r="B711" s="11" t="str">
        <f>"00040056"</f>
        <v>00040056</v>
      </c>
    </row>
    <row r="712" spans="1:2" x14ac:dyDescent="0.25">
      <c r="A712" s="2">
        <v>707</v>
      </c>
      <c r="B712" s="11" t="str">
        <f>"00040090"</f>
        <v>00040090</v>
      </c>
    </row>
    <row r="713" spans="1:2" x14ac:dyDescent="0.25">
      <c r="A713" s="2">
        <v>708</v>
      </c>
      <c r="B713" s="11" t="str">
        <f>"00040109"</f>
        <v>00040109</v>
      </c>
    </row>
    <row r="714" spans="1:2" x14ac:dyDescent="0.25">
      <c r="A714" s="2">
        <v>709</v>
      </c>
      <c r="B714" s="11" t="str">
        <f>"00040144"</f>
        <v>00040144</v>
      </c>
    </row>
    <row r="715" spans="1:2" x14ac:dyDescent="0.25">
      <c r="A715" s="2">
        <v>710</v>
      </c>
      <c r="B715" s="11" t="str">
        <f>"00040214"</f>
        <v>00040214</v>
      </c>
    </row>
    <row r="716" spans="1:2" x14ac:dyDescent="0.25">
      <c r="A716" s="2">
        <v>711</v>
      </c>
      <c r="B716" s="11" t="str">
        <f>"00040238"</f>
        <v>00040238</v>
      </c>
    </row>
    <row r="717" spans="1:2" x14ac:dyDescent="0.25">
      <c r="A717" s="2">
        <v>712</v>
      </c>
      <c r="B717" s="11" t="str">
        <f>"00040249"</f>
        <v>00040249</v>
      </c>
    </row>
    <row r="718" spans="1:2" x14ac:dyDescent="0.25">
      <c r="A718" s="2">
        <v>713</v>
      </c>
      <c r="B718" s="11" t="str">
        <f>"00040258"</f>
        <v>00040258</v>
      </c>
    </row>
    <row r="719" spans="1:2" x14ac:dyDescent="0.25">
      <c r="A719" s="2">
        <v>714</v>
      </c>
      <c r="B719" s="11" t="str">
        <f>"00040586"</f>
        <v>00040586</v>
      </c>
    </row>
    <row r="720" spans="1:2" x14ac:dyDescent="0.25">
      <c r="A720" s="2">
        <v>715</v>
      </c>
      <c r="B720" s="11" t="str">
        <f>"00040611"</f>
        <v>00040611</v>
      </c>
    </row>
    <row r="721" spans="1:2" x14ac:dyDescent="0.25">
      <c r="A721" s="2">
        <v>716</v>
      </c>
      <c r="B721" s="11" t="str">
        <f>"00040632"</f>
        <v>00040632</v>
      </c>
    </row>
    <row r="722" spans="1:2" x14ac:dyDescent="0.25">
      <c r="A722" s="2">
        <v>717</v>
      </c>
      <c r="B722" s="11" t="str">
        <f>"00040712"</f>
        <v>00040712</v>
      </c>
    </row>
    <row r="723" spans="1:2" x14ac:dyDescent="0.25">
      <c r="A723" s="2">
        <v>718</v>
      </c>
      <c r="B723" s="11" t="str">
        <f>"00040723"</f>
        <v>00040723</v>
      </c>
    </row>
    <row r="724" spans="1:2" x14ac:dyDescent="0.25">
      <c r="A724" s="2">
        <v>719</v>
      </c>
      <c r="B724" s="11" t="str">
        <f>"00040725"</f>
        <v>00040725</v>
      </c>
    </row>
    <row r="725" spans="1:2" x14ac:dyDescent="0.25">
      <c r="A725" s="2">
        <v>720</v>
      </c>
      <c r="B725" s="11" t="str">
        <f>"00040785"</f>
        <v>00040785</v>
      </c>
    </row>
    <row r="726" spans="1:2" x14ac:dyDescent="0.25">
      <c r="A726" s="2">
        <v>721</v>
      </c>
      <c r="B726" s="11" t="str">
        <f>"00040823"</f>
        <v>00040823</v>
      </c>
    </row>
    <row r="727" spans="1:2" x14ac:dyDescent="0.25">
      <c r="A727" s="2">
        <v>722</v>
      </c>
      <c r="B727" s="11" t="str">
        <f>"00040860"</f>
        <v>00040860</v>
      </c>
    </row>
    <row r="728" spans="1:2" x14ac:dyDescent="0.25">
      <c r="A728" s="2">
        <v>723</v>
      </c>
      <c r="B728" s="11" t="str">
        <f>"00040957"</f>
        <v>00040957</v>
      </c>
    </row>
    <row r="729" spans="1:2" x14ac:dyDescent="0.25">
      <c r="A729" s="2">
        <v>724</v>
      </c>
      <c r="B729" s="11" t="str">
        <f>"00041031"</f>
        <v>00041031</v>
      </c>
    </row>
    <row r="730" spans="1:2" x14ac:dyDescent="0.25">
      <c r="A730" s="2">
        <v>725</v>
      </c>
      <c r="B730" s="11" t="str">
        <f>"00041059"</f>
        <v>00041059</v>
      </c>
    </row>
    <row r="731" spans="1:2" x14ac:dyDescent="0.25">
      <c r="A731" s="2">
        <v>726</v>
      </c>
      <c r="B731" s="11" t="str">
        <f>"00041082"</f>
        <v>00041082</v>
      </c>
    </row>
    <row r="732" spans="1:2" x14ac:dyDescent="0.25">
      <c r="A732" s="2">
        <v>727</v>
      </c>
      <c r="B732" s="11" t="str">
        <f>"00041083"</f>
        <v>00041083</v>
      </c>
    </row>
    <row r="733" spans="1:2" x14ac:dyDescent="0.25">
      <c r="A733" s="2">
        <v>728</v>
      </c>
      <c r="B733" s="11" t="str">
        <f>"00041092"</f>
        <v>00041092</v>
      </c>
    </row>
    <row r="734" spans="1:2" x14ac:dyDescent="0.25">
      <c r="A734" s="2">
        <v>729</v>
      </c>
      <c r="B734" s="11" t="str">
        <f>"00041286"</f>
        <v>00041286</v>
      </c>
    </row>
    <row r="735" spans="1:2" x14ac:dyDescent="0.25">
      <c r="A735" s="2">
        <v>730</v>
      </c>
      <c r="B735" s="11" t="str">
        <f>"00041449"</f>
        <v>00041449</v>
      </c>
    </row>
    <row r="736" spans="1:2" x14ac:dyDescent="0.25">
      <c r="A736" s="2">
        <v>731</v>
      </c>
      <c r="B736" s="11" t="str">
        <f>"00041558"</f>
        <v>00041558</v>
      </c>
    </row>
    <row r="737" spans="1:2" x14ac:dyDescent="0.25">
      <c r="A737" s="2">
        <v>732</v>
      </c>
      <c r="B737" s="11" t="str">
        <f>"00041613"</f>
        <v>00041613</v>
      </c>
    </row>
    <row r="738" spans="1:2" x14ac:dyDescent="0.25">
      <c r="A738" s="2">
        <v>733</v>
      </c>
      <c r="B738" s="11" t="str">
        <f>"00042061"</f>
        <v>00042061</v>
      </c>
    </row>
    <row r="739" spans="1:2" x14ac:dyDescent="0.25">
      <c r="A739" s="2">
        <v>734</v>
      </c>
      <c r="B739" s="11" t="str">
        <f>"00042085"</f>
        <v>00042085</v>
      </c>
    </row>
    <row r="740" spans="1:2" x14ac:dyDescent="0.25">
      <c r="A740" s="2">
        <v>735</v>
      </c>
      <c r="B740" s="11" t="str">
        <f>"00042097"</f>
        <v>00042097</v>
      </c>
    </row>
    <row r="741" spans="1:2" x14ac:dyDescent="0.25">
      <c r="A741" s="2">
        <v>736</v>
      </c>
      <c r="B741" s="11" t="str">
        <f>"00042110"</f>
        <v>00042110</v>
      </c>
    </row>
    <row r="742" spans="1:2" x14ac:dyDescent="0.25">
      <c r="A742" s="2">
        <v>737</v>
      </c>
      <c r="B742" s="11" t="str">
        <f>"00042147"</f>
        <v>00042147</v>
      </c>
    </row>
    <row r="743" spans="1:2" x14ac:dyDescent="0.25">
      <c r="A743" s="2">
        <v>738</v>
      </c>
      <c r="B743" s="11" t="str">
        <f>"00042230"</f>
        <v>00042230</v>
      </c>
    </row>
    <row r="744" spans="1:2" x14ac:dyDescent="0.25">
      <c r="A744" s="2">
        <v>739</v>
      </c>
      <c r="B744" s="11" t="str">
        <f>"00042256"</f>
        <v>00042256</v>
      </c>
    </row>
    <row r="745" spans="1:2" x14ac:dyDescent="0.25">
      <c r="A745" s="2">
        <v>740</v>
      </c>
      <c r="B745" s="11" t="str">
        <f>"00042324"</f>
        <v>00042324</v>
      </c>
    </row>
    <row r="746" spans="1:2" x14ac:dyDescent="0.25">
      <c r="A746" s="2">
        <v>741</v>
      </c>
      <c r="B746" s="11" t="str">
        <f>"00042371"</f>
        <v>00042371</v>
      </c>
    </row>
    <row r="747" spans="1:2" x14ac:dyDescent="0.25">
      <c r="A747" s="2">
        <v>742</v>
      </c>
      <c r="B747" s="11" t="str">
        <f>"00042380"</f>
        <v>00042380</v>
      </c>
    </row>
    <row r="748" spans="1:2" x14ac:dyDescent="0.25">
      <c r="A748" s="2">
        <v>743</v>
      </c>
      <c r="B748" s="11" t="str">
        <f>"00042385"</f>
        <v>00042385</v>
      </c>
    </row>
    <row r="749" spans="1:2" x14ac:dyDescent="0.25">
      <c r="A749" s="2">
        <v>744</v>
      </c>
      <c r="B749" s="11" t="str">
        <f>"00042449"</f>
        <v>00042449</v>
      </c>
    </row>
    <row r="750" spans="1:2" x14ac:dyDescent="0.25">
      <c r="A750" s="2">
        <v>745</v>
      </c>
      <c r="B750" s="11" t="str">
        <f>"00042466"</f>
        <v>00042466</v>
      </c>
    </row>
    <row r="751" spans="1:2" x14ac:dyDescent="0.25">
      <c r="A751" s="2">
        <v>746</v>
      </c>
      <c r="B751" s="11" t="str">
        <f>"00042510"</f>
        <v>00042510</v>
      </c>
    </row>
    <row r="752" spans="1:2" x14ac:dyDescent="0.25">
      <c r="A752" s="2">
        <v>747</v>
      </c>
      <c r="B752" s="11" t="str">
        <f>"00042543"</f>
        <v>00042543</v>
      </c>
    </row>
    <row r="753" spans="1:2" x14ac:dyDescent="0.25">
      <c r="A753" s="2">
        <v>748</v>
      </c>
      <c r="B753" s="11" t="str">
        <f>"00042641"</f>
        <v>00042641</v>
      </c>
    </row>
    <row r="754" spans="1:2" x14ac:dyDescent="0.25">
      <c r="A754" s="2">
        <v>749</v>
      </c>
      <c r="B754" s="11" t="str">
        <f>"00042643"</f>
        <v>00042643</v>
      </c>
    </row>
    <row r="755" spans="1:2" x14ac:dyDescent="0.25">
      <c r="A755" s="2">
        <v>750</v>
      </c>
      <c r="B755" s="11" t="str">
        <f>"00042831"</f>
        <v>00042831</v>
      </c>
    </row>
    <row r="756" spans="1:2" x14ac:dyDescent="0.25">
      <c r="A756" s="2">
        <v>751</v>
      </c>
      <c r="B756" s="11" t="str">
        <f>"00043080"</f>
        <v>00043080</v>
      </c>
    </row>
    <row r="757" spans="1:2" x14ac:dyDescent="0.25">
      <c r="A757" s="2">
        <v>752</v>
      </c>
      <c r="B757" s="11" t="str">
        <f>"00043188"</f>
        <v>00043188</v>
      </c>
    </row>
    <row r="758" spans="1:2" x14ac:dyDescent="0.25">
      <c r="A758" s="2">
        <v>753</v>
      </c>
      <c r="B758" s="11" t="str">
        <f>"00043274"</f>
        <v>00043274</v>
      </c>
    </row>
    <row r="759" spans="1:2" x14ac:dyDescent="0.25">
      <c r="A759" s="2">
        <v>754</v>
      </c>
      <c r="B759" s="11" t="str">
        <f>"00043319"</f>
        <v>00043319</v>
      </c>
    </row>
    <row r="760" spans="1:2" x14ac:dyDescent="0.25">
      <c r="A760" s="2">
        <v>755</v>
      </c>
      <c r="B760" s="11" t="str">
        <f>"00043326"</f>
        <v>00043326</v>
      </c>
    </row>
    <row r="761" spans="1:2" x14ac:dyDescent="0.25">
      <c r="A761" s="2">
        <v>756</v>
      </c>
      <c r="B761" s="11" t="str">
        <f>"00043541"</f>
        <v>00043541</v>
      </c>
    </row>
    <row r="762" spans="1:2" x14ac:dyDescent="0.25">
      <c r="A762" s="2">
        <v>757</v>
      </c>
      <c r="B762" s="11" t="str">
        <f>"00043544"</f>
        <v>00043544</v>
      </c>
    </row>
    <row r="763" spans="1:2" x14ac:dyDescent="0.25">
      <c r="A763" s="2">
        <v>758</v>
      </c>
      <c r="B763" s="11" t="str">
        <f>"00043548"</f>
        <v>00043548</v>
      </c>
    </row>
    <row r="764" spans="1:2" x14ac:dyDescent="0.25">
      <c r="A764" s="2">
        <v>759</v>
      </c>
      <c r="B764" s="11" t="str">
        <f>"00043550"</f>
        <v>00043550</v>
      </c>
    </row>
    <row r="765" spans="1:2" x14ac:dyDescent="0.25">
      <c r="A765" s="2">
        <v>760</v>
      </c>
      <c r="B765" s="11" t="str">
        <f>"00043561"</f>
        <v>00043561</v>
      </c>
    </row>
    <row r="766" spans="1:2" x14ac:dyDescent="0.25">
      <c r="A766" s="2">
        <v>761</v>
      </c>
      <c r="B766" s="11" t="str">
        <f>"00043566"</f>
        <v>00043566</v>
      </c>
    </row>
    <row r="767" spans="1:2" x14ac:dyDescent="0.25">
      <c r="A767" s="2">
        <v>762</v>
      </c>
      <c r="B767" s="11" t="str">
        <f>"00043619"</f>
        <v>00043619</v>
      </c>
    </row>
    <row r="768" spans="1:2" x14ac:dyDescent="0.25">
      <c r="A768" s="2">
        <v>763</v>
      </c>
      <c r="B768" s="11" t="str">
        <f>"00043622"</f>
        <v>00043622</v>
      </c>
    </row>
    <row r="769" spans="1:2" x14ac:dyDescent="0.25">
      <c r="A769" s="2">
        <v>764</v>
      </c>
      <c r="B769" s="11" t="str">
        <f>"00043648"</f>
        <v>00043648</v>
      </c>
    </row>
    <row r="770" spans="1:2" x14ac:dyDescent="0.25">
      <c r="A770" s="2">
        <v>765</v>
      </c>
      <c r="B770" s="11" t="str">
        <f>"00043662"</f>
        <v>00043662</v>
      </c>
    </row>
    <row r="771" spans="1:2" x14ac:dyDescent="0.25">
      <c r="A771" s="2">
        <v>766</v>
      </c>
      <c r="B771" s="11" t="str">
        <f>"00043705"</f>
        <v>00043705</v>
      </c>
    </row>
    <row r="772" spans="1:2" x14ac:dyDescent="0.25">
      <c r="A772" s="2">
        <v>767</v>
      </c>
      <c r="B772" s="11" t="str">
        <f>"00043855"</f>
        <v>00043855</v>
      </c>
    </row>
    <row r="773" spans="1:2" x14ac:dyDescent="0.25">
      <c r="A773" s="2">
        <v>768</v>
      </c>
      <c r="B773" s="11" t="str">
        <f>"00044167"</f>
        <v>00044167</v>
      </c>
    </row>
    <row r="774" spans="1:2" x14ac:dyDescent="0.25">
      <c r="A774" s="2">
        <v>769</v>
      </c>
      <c r="B774" s="11" t="str">
        <f>"00044266"</f>
        <v>00044266</v>
      </c>
    </row>
    <row r="775" spans="1:2" x14ac:dyDescent="0.25">
      <c r="A775" s="2">
        <v>770</v>
      </c>
      <c r="B775" s="11" t="str">
        <f>"00044367"</f>
        <v>00044367</v>
      </c>
    </row>
    <row r="776" spans="1:2" x14ac:dyDescent="0.25">
      <c r="A776" s="2">
        <v>771</v>
      </c>
      <c r="B776" s="11" t="str">
        <f>"00044378"</f>
        <v>00044378</v>
      </c>
    </row>
    <row r="777" spans="1:2" x14ac:dyDescent="0.25">
      <c r="A777" s="2">
        <v>772</v>
      </c>
      <c r="B777" s="11" t="str">
        <f>"00044593"</f>
        <v>00044593</v>
      </c>
    </row>
    <row r="778" spans="1:2" x14ac:dyDescent="0.25">
      <c r="A778" s="2">
        <v>773</v>
      </c>
      <c r="B778" s="11" t="str">
        <f>"00044603"</f>
        <v>00044603</v>
      </c>
    </row>
    <row r="779" spans="1:2" x14ac:dyDescent="0.25">
      <c r="A779" s="2">
        <v>774</v>
      </c>
      <c r="B779" s="11" t="str">
        <f>"00044607"</f>
        <v>00044607</v>
      </c>
    </row>
    <row r="780" spans="1:2" x14ac:dyDescent="0.25">
      <c r="A780" s="2">
        <v>775</v>
      </c>
      <c r="B780" s="11" t="str">
        <f>"00044628"</f>
        <v>00044628</v>
      </c>
    </row>
    <row r="781" spans="1:2" x14ac:dyDescent="0.25">
      <c r="A781" s="2">
        <v>776</v>
      </c>
      <c r="B781" s="11" t="str">
        <f>"00044666"</f>
        <v>00044666</v>
      </c>
    </row>
    <row r="782" spans="1:2" x14ac:dyDescent="0.25">
      <c r="A782" s="2">
        <v>777</v>
      </c>
      <c r="B782" s="11" t="str">
        <f>"00044735"</f>
        <v>00044735</v>
      </c>
    </row>
    <row r="783" spans="1:2" x14ac:dyDescent="0.25">
      <c r="A783" s="2">
        <v>778</v>
      </c>
      <c r="B783" s="11" t="str">
        <f>"00044748"</f>
        <v>00044748</v>
      </c>
    </row>
    <row r="784" spans="1:2" x14ac:dyDescent="0.25">
      <c r="A784" s="2">
        <v>779</v>
      </c>
      <c r="B784" s="11" t="str">
        <f>"00044756"</f>
        <v>00044756</v>
      </c>
    </row>
    <row r="785" spans="1:2" x14ac:dyDescent="0.25">
      <c r="A785" s="2">
        <v>780</v>
      </c>
      <c r="B785" s="11" t="str">
        <f>"00044832"</f>
        <v>00044832</v>
      </c>
    </row>
    <row r="786" spans="1:2" x14ac:dyDescent="0.25">
      <c r="A786" s="2">
        <v>781</v>
      </c>
      <c r="B786" s="11" t="str">
        <f>"00044849"</f>
        <v>00044849</v>
      </c>
    </row>
    <row r="787" spans="1:2" x14ac:dyDescent="0.25">
      <c r="A787" s="2">
        <v>782</v>
      </c>
      <c r="B787" s="11" t="str">
        <f>"00044861"</f>
        <v>00044861</v>
      </c>
    </row>
    <row r="788" spans="1:2" x14ac:dyDescent="0.25">
      <c r="A788" s="2">
        <v>783</v>
      </c>
      <c r="B788" s="11" t="str">
        <f>"00044880"</f>
        <v>00044880</v>
      </c>
    </row>
    <row r="789" spans="1:2" x14ac:dyDescent="0.25">
      <c r="A789" s="2">
        <v>784</v>
      </c>
      <c r="B789" s="11" t="str">
        <f>"00044906"</f>
        <v>00044906</v>
      </c>
    </row>
    <row r="790" spans="1:2" x14ac:dyDescent="0.25">
      <c r="A790" s="2">
        <v>785</v>
      </c>
      <c r="B790" s="11" t="str">
        <f>"00044952"</f>
        <v>00044952</v>
      </c>
    </row>
    <row r="791" spans="1:2" x14ac:dyDescent="0.25">
      <c r="A791" s="2">
        <v>786</v>
      </c>
      <c r="B791" s="11" t="str">
        <f>"00044987"</f>
        <v>00044987</v>
      </c>
    </row>
    <row r="792" spans="1:2" x14ac:dyDescent="0.25">
      <c r="A792" s="2">
        <v>787</v>
      </c>
      <c r="B792" s="11" t="str">
        <f>"00045048"</f>
        <v>00045048</v>
      </c>
    </row>
    <row r="793" spans="1:2" x14ac:dyDescent="0.25">
      <c r="A793" s="2">
        <v>788</v>
      </c>
      <c r="B793" s="11" t="str">
        <f>"00045134"</f>
        <v>00045134</v>
      </c>
    </row>
    <row r="794" spans="1:2" x14ac:dyDescent="0.25">
      <c r="A794" s="2">
        <v>789</v>
      </c>
      <c r="B794" s="11" t="str">
        <f>"00045248"</f>
        <v>00045248</v>
      </c>
    </row>
    <row r="795" spans="1:2" x14ac:dyDescent="0.25">
      <c r="A795" s="2">
        <v>790</v>
      </c>
      <c r="B795" s="11" t="str">
        <f>"00045264"</f>
        <v>00045264</v>
      </c>
    </row>
    <row r="796" spans="1:2" x14ac:dyDescent="0.25">
      <c r="A796" s="2">
        <v>791</v>
      </c>
      <c r="B796" s="11" t="str">
        <f>"00045278"</f>
        <v>00045278</v>
      </c>
    </row>
    <row r="797" spans="1:2" x14ac:dyDescent="0.25">
      <c r="A797" s="2">
        <v>792</v>
      </c>
      <c r="B797" s="11" t="str">
        <f>"00045323"</f>
        <v>00045323</v>
      </c>
    </row>
    <row r="798" spans="1:2" x14ac:dyDescent="0.25">
      <c r="A798" s="2">
        <v>793</v>
      </c>
      <c r="B798" s="11" t="str">
        <f>"00045485"</f>
        <v>00045485</v>
      </c>
    </row>
    <row r="799" spans="1:2" x14ac:dyDescent="0.25">
      <c r="A799" s="2">
        <v>794</v>
      </c>
      <c r="B799" s="11" t="str">
        <f>"00045806"</f>
        <v>00045806</v>
      </c>
    </row>
    <row r="800" spans="1:2" x14ac:dyDescent="0.25">
      <c r="A800" s="2">
        <v>795</v>
      </c>
      <c r="B800" s="11" t="str">
        <f>"00045845"</f>
        <v>00045845</v>
      </c>
    </row>
    <row r="801" spans="1:2" x14ac:dyDescent="0.25">
      <c r="A801" s="2">
        <v>796</v>
      </c>
      <c r="B801" s="11" t="str">
        <f>"00045856"</f>
        <v>00045856</v>
      </c>
    </row>
    <row r="802" spans="1:2" x14ac:dyDescent="0.25">
      <c r="A802" s="2">
        <v>797</v>
      </c>
      <c r="B802" s="11" t="str">
        <f>"00045867"</f>
        <v>00045867</v>
      </c>
    </row>
    <row r="803" spans="1:2" x14ac:dyDescent="0.25">
      <c r="A803" s="2">
        <v>798</v>
      </c>
      <c r="B803" s="11" t="str">
        <f>"00045884"</f>
        <v>00045884</v>
      </c>
    </row>
    <row r="804" spans="1:2" x14ac:dyDescent="0.25">
      <c r="A804" s="2">
        <v>799</v>
      </c>
      <c r="B804" s="11" t="str">
        <f>"00045899"</f>
        <v>00045899</v>
      </c>
    </row>
    <row r="805" spans="1:2" x14ac:dyDescent="0.25">
      <c r="A805" s="2">
        <v>800</v>
      </c>
      <c r="B805" s="11" t="str">
        <f>"00045972"</f>
        <v>00045972</v>
      </c>
    </row>
    <row r="806" spans="1:2" x14ac:dyDescent="0.25">
      <c r="A806" s="2">
        <v>801</v>
      </c>
      <c r="B806" s="11" t="str">
        <f>"00046017"</f>
        <v>00046017</v>
      </c>
    </row>
    <row r="807" spans="1:2" x14ac:dyDescent="0.25">
      <c r="A807" s="2">
        <v>802</v>
      </c>
      <c r="B807" s="11" t="str">
        <f>"00046027"</f>
        <v>00046027</v>
      </c>
    </row>
    <row r="808" spans="1:2" x14ac:dyDescent="0.25">
      <c r="A808" s="2">
        <v>803</v>
      </c>
      <c r="B808" s="11" t="str">
        <f>"00046070"</f>
        <v>00046070</v>
      </c>
    </row>
    <row r="809" spans="1:2" x14ac:dyDescent="0.25">
      <c r="A809" s="2">
        <v>804</v>
      </c>
      <c r="B809" s="11" t="str">
        <f>"00046145"</f>
        <v>00046145</v>
      </c>
    </row>
    <row r="810" spans="1:2" x14ac:dyDescent="0.25">
      <c r="A810" s="2">
        <v>805</v>
      </c>
      <c r="B810" s="11" t="str">
        <f>"00046228"</f>
        <v>00046228</v>
      </c>
    </row>
    <row r="811" spans="1:2" x14ac:dyDescent="0.25">
      <c r="A811" s="2">
        <v>806</v>
      </c>
      <c r="B811" s="11" t="str">
        <f>"00046332"</f>
        <v>00046332</v>
      </c>
    </row>
    <row r="812" spans="1:2" x14ac:dyDescent="0.25">
      <c r="A812" s="2">
        <v>807</v>
      </c>
      <c r="B812" s="11" t="str">
        <f>"00046349"</f>
        <v>00046349</v>
      </c>
    </row>
    <row r="813" spans="1:2" x14ac:dyDescent="0.25">
      <c r="A813" s="2">
        <v>808</v>
      </c>
      <c r="B813" s="11" t="str">
        <f>"00046358"</f>
        <v>00046358</v>
      </c>
    </row>
    <row r="814" spans="1:2" x14ac:dyDescent="0.25">
      <c r="A814" s="2">
        <v>809</v>
      </c>
      <c r="B814" s="11" t="str">
        <f>"00046462"</f>
        <v>00046462</v>
      </c>
    </row>
    <row r="815" spans="1:2" x14ac:dyDescent="0.25">
      <c r="A815" s="2">
        <v>810</v>
      </c>
      <c r="B815" s="11" t="str">
        <f>"00046464"</f>
        <v>00046464</v>
      </c>
    </row>
    <row r="816" spans="1:2" x14ac:dyDescent="0.25">
      <c r="A816" s="2">
        <v>811</v>
      </c>
      <c r="B816" s="11" t="str">
        <f>"00046474"</f>
        <v>00046474</v>
      </c>
    </row>
    <row r="817" spans="1:2" x14ac:dyDescent="0.25">
      <c r="A817" s="2">
        <v>812</v>
      </c>
      <c r="B817" s="11" t="str">
        <f>"00046524"</f>
        <v>00046524</v>
      </c>
    </row>
    <row r="818" spans="1:2" x14ac:dyDescent="0.25">
      <c r="A818" s="2">
        <v>813</v>
      </c>
      <c r="B818" s="11" t="str">
        <f>"00046549"</f>
        <v>00046549</v>
      </c>
    </row>
    <row r="819" spans="1:2" x14ac:dyDescent="0.25">
      <c r="A819" s="2">
        <v>814</v>
      </c>
      <c r="B819" s="11" t="str">
        <f>"00046646"</f>
        <v>00046646</v>
      </c>
    </row>
    <row r="820" spans="1:2" x14ac:dyDescent="0.25">
      <c r="A820" s="2">
        <v>815</v>
      </c>
      <c r="B820" s="11" t="str">
        <f>"00046653"</f>
        <v>00046653</v>
      </c>
    </row>
    <row r="821" spans="1:2" x14ac:dyDescent="0.25">
      <c r="A821" s="2">
        <v>816</v>
      </c>
      <c r="B821" s="11" t="str">
        <f>"00046699"</f>
        <v>00046699</v>
      </c>
    </row>
    <row r="822" spans="1:2" x14ac:dyDescent="0.25">
      <c r="A822" s="2">
        <v>817</v>
      </c>
      <c r="B822" s="11" t="str">
        <f>"00046759"</f>
        <v>00046759</v>
      </c>
    </row>
    <row r="823" spans="1:2" x14ac:dyDescent="0.25">
      <c r="A823" s="2">
        <v>818</v>
      </c>
      <c r="B823" s="11" t="str">
        <f>"00046786"</f>
        <v>00046786</v>
      </c>
    </row>
    <row r="824" spans="1:2" x14ac:dyDescent="0.25">
      <c r="A824" s="2">
        <v>819</v>
      </c>
      <c r="B824" s="11" t="str">
        <f>"00046803"</f>
        <v>00046803</v>
      </c>
    </row>
    <row r="825" spans="1:2" x14ac:dyDescent="0.25">
      <c r="A825" s="2">
        <v>820</v>
      </c>
      <c r="B825" s="11" t="str">
        <f>"00046877"</f>
        <v>00046877</v>
      </c>
    </row>
    <row r="826" spans="1:2" x14ac:dyDescent="0.25">
      <c r="A826" s="2">
        <v>821</v>
      </c>
      <c r="B826" s="11" t="str">
        <f>"00046919"</f>
        <v>00046919</v>
      </c>
    </row>
    <row r="827" spans="1:2" x14ac:dyDescent="0.25">
      <c r="A827" s="2">
        <v>822</v>
      </c>
      <c r="B827" s="11" t="str">
        <f>"00046925"</f>
        <v>00046925</v>
      </c>
    </row>
    <row r="828" spans="1:2" x14ac:dyDescent="0.25">
      <c r="A828" s="2">
        <v>823</v>
      </c>
      <c r="B828" s="11" t="str">
        <f>"00046938"</f>
        <v>00046938</v>
      </c>
    </row>
    <row r="829" spans="1:2" x14ac:dyDescent="0.25">
      <c r="A829" s="2">
        <v>824</v>
      </c>
      <c r="B829" s="11" t="str">
        <f>"00047023"</f>
        <v>00047023</v>
      </c>
    </row>
    <row r="830" spans="1:2" x14ac:dyDescent="0.25">
      <c r="A830" s="2">
        <v>825</v>
      </c>
      <c r="B830" s="11" t="str">
        <f>"00047098"</f>
        <v>00047098</v>
      </c>
    </row>
    <row r="831" spans="1:2" x14ac:dyDescent="0.25">
      <c r="A831" s="2">
        <v>826</v>
      </c>
      <c r="B831" s="11" t="str">
        <f>"00047104"</f>
        <v>00047104</v>
      </c>
    </row>
    <row r="832" spans="1:2" x14ac:dyDescent="0.25">
      <c r="A832" s="2">
        <v>827</v>
      </c>
      <c r="B832" s="11" t="str">
        <f>"00047424"</f>
        <v>00047424</v>
      </c>
    </row>
    <row r="833" spans="1:2" x14ac:dyDescent="0.25">
      <c r="A833" s="2">
        <v>828</v>
      </c>
      <c r="B833" s="11" t="str">
        <f>"00047481"</f>
        <v>00047481</v>
      </c>
    </row>
    <row r="834" spans="1:2" x14ac:dyDescent="0.25">
      <c r="A834" s="2">
        <v>829</v>
      </c>
      <c r="B834" s="11" t="str">
        <f>"00047493"</f>
        <v>00047493</v>
      </c>
    </row>
    <row r="835" spans="1:2" x14ac:dyDescent="0.25">
      <c r="A835" s="2">
        <v>830</v>
      </c>
      <c r="B835" s="11" t="str">
        <f>"00047635"</f>
        <v>00047635</v>
      </c>
    </row>
    <row r="836" spans="1:2" x14ac:dyDescent="0.25">
      <c r="A836" s="2">
        <v>831</v>
      </c>
      <c r="B836" s="11" t="str">
        <f>"00047803"</f>
        <v>00047803</v>
      </c>
    </row>
    <row r="837" spans="1:2" x14ac:dyDescent="0.25">
      <c r="A837" s="2">
        <v>832</v>
      </c>
      <c r="B837" s="11" t="str">
        <f>"00047940"</f>
        <v>00047940</v>
      </c>
    </row>
    <row r="838" spans="1:2" x14ac:dyDescent="0.25">
      <c r="A838" s="2">
        <v>833</v>
      </c>
      <c r="B838" s="11" t="str">
        <f>"00047952"</f>
        <v>00047952</v>
      </c>
    </row>
    <row r="839" spans="1:2" x14ac:dyDescent="0.25">
      <c r="A839" s="2">
        <v>834</v>
      </c>
      <c r="B839" s="11" t="str">
        <f>"00047955"</f>
        <v>00047955</v>
      </c>
    </row>
    <row r="840" spans="1:2" x14ac:dyDescent="0.25">
      <c r="A840" s="2">
        <v>835</v>
      </c>
      <c r="B840" s="11" t="str">
        <f>"00047976"</f>
        <v>00047976</v>
      </c>
    </row>
    <row r="841" spans="1:2" x14ac:dyDescent="0.25">
      <c r="A841" s="2">
        <v>836</v>
      </c>
      <c r="B841" s="11" t="str">
        <f>"00047986"</f>
        <v>00047986</v>
      </c>
    </row>
    <row r="842" spans="1:2" x14ac:dyDescent="0.25">
      <c r="A842" s="2">
        <v>837</v>
      </c>
      <c r="B842" s="11" t="str">
        <f>"00048065"</f>
        <v>00048065</v>
      </c>
    </row>
    <row r="843" spans="1:2" x14ac:dyDescent="0.25">
      <c r="A843" s="2">
        <v>838</v>
      </c>
      <c r="B843" s="11" t="str">
        <f>"00048072"</f>
        <v>00048072</v>
      </c>
    </row>
    <row r="844" spans="1:2" x14ac:dyDescent="0.25">
      <c r="A844" s="2">
        <v>839</v>
      </c>
      <c r="B844" s="11" t="str">
        <f>"00048115"</f>
        <v>00048115</v>
      </c>
    </row>
    <row r="845" spans="1:2" x14ac:dyDescent="0.25">
      <c r="A845" s="2">
        <v>840</v>
      </c>
      <c r="B845" s="11" t="str">
        <f>"00048183"</f>
        <v>00048183</v>
      </c>
    </row>
    <row r="846" spans="1:2" x14ac:dyDescent="0.25">
      <c r="A846" s="2">
        <v>841</v>
      </c>
      <c r="B846" s="11" t="str">
        <f>"00049048"</f>
        <v>00049048</v>
      </c>
    </row>
    <row r="847" spans="1:2" x14ac:dyDescent="0.25">
      <c r="A847" s="2">
        <v>842</v>
      </c>
      <c r="B847" s="11" t="str">
        <f>"00049171"</f>
        <v>00049171</v>
      </c>
    </row>
    <row r="848" spans="1:2" x14ac:dyDescent="0.25">
      <c r="A848" s="2">
        <v>843</v>
      </c>
      <c r="B848" s="11" t="str">
        <f>"00049290"</f>
        <v>00049290</v>
      </c>
    </row>
    <row r="849" spans="1:2" x14ac:dyDescent="0.25">
      <c r="A849" s="2">
        <v>844</v>
      </c>
      <c r="B849" s="11" t="str">
        <f>"00049307"</f>
        <v>00049307</v>
      </c>
    </row>
    <row r="850" spans="1:2" x14ac:dyDescent="0.25">
      <c r="A850" s="2">
        <v>845</v>
      </c>
      <c r="B850" s="11" t="str">
        <f>"00049308"</f>
        <v>00049308</v>
      </c>
    </row>
    <row r="851" spans="1:2" x14ac:dyDescent="0.25">
      <c r="A851" s="2">
        <v>846</v>
      </c>
      <c r="B851" s="11" t="str">
        <f>"00049353"</f>
        <v>00049353</v>
      </c>
    </row>
    <row r="852" spans="1:2" x14ac:dyDescent="0.25">
      <c r="A852" s="2">
        <v>847</v>
      </c>
      <c r="B852" s="11" t="str">
        <f>"00049446"</f>
        <v>00049446</v>
      </c>
    </row>
    <row r="853" spans="1:2" x14ac:dyDescent="0.25">
      <c r="A853" s="2">
        <v>848</v>
      </c>
      <c r="B853" s="11" t="str">
        <f>"00049518"</f>
        <v>00049518</v>
      </c>
    </row>
    <row r="854" spans="1:2" x14ac:dyDescent="0.25">
      <c r="A854" s="2">
        <v>849</v>
      </c>
      <c r="B854" s="11" t="str">
        <f>"00049541"</f>
        <v>00049541</v>
      </c>
    </row>
    <row r="855" spans="1:2" x14ac:dyDescent="0.25">
      <c r="A855" s="2">
        <v>850</v>
      </c>
      <c r="B855" s="11" t="str">
        <f>"00049764"</f>
        <v>00049764</v>
      </c>
    </row>
    <row r="856" spans="1:2" x14ac:dyDescent="0.25">
      <c r="A856" s="2">
        <v>851</v>
      </c>
      <c r="B856" s="11" t="str">
        <f>"00049835"</f>
        <v>00049835</v>
      </c>
    </row>
    <row r="857" spans="1:2" x14ac:dyDescent="0.25">
      <c r="A857" s="2">
        <v>852</v>
      </c>
      <c r="B857" s="11" t="str">
        <f>"00049912"</f>
        <v>00049912</v>
      </c>
    </row>
    <row r="858" spans="1:2" x14ac:dyDescent="0.25">
      <c r="A858" s="2">
        <v>853</v>
      </c>
      <c r="B858" s="11" t="str">
        <f>"00049913"</f>
        <v>00049913</v>
      </c>
    </row>
    <row r="859" spans="1:2" x14ac:dyDescent="0.25">
      <c r="A859" s="2">
        <v>854</v>
      </c>
      <c r="B859" s="11" t="str">
        <f>"00049940"</f>
        <v>00049940</v>
      </c>
    </row>
    <row r="860" spans="1:2" x14ac:dyDescent="0.25">
      <c r="A860" s="2">
        <v>855</v>
      </c>
      <c r="B860" s="11" t="str">
        <f>"00049977"</f>
        <v>00049977</v>
      </c>
    </row>
    <row r="861" spans="1:2" x14ac:dyDescent="0.25">
      <c r="A861" s="2">
        <v>856</v>
      </c>
      <c r="B861" s="11" t="str">
        <f>"00049984"</f>
        <v>00049984</v>
      </c>
    </row>
    <row r="862" spans="1:2" x14ac:dyDescent="0.25">
      <c r="A862" s="2">
        <v>857</v>
      </c>
      <c r="B862" s="11" t="str">
        <f>"00050027"</f>
        <v>00050027</v>
      </c>
    </row>
    <row r="863" spans="1:2" x14ac:dyDescent="0.25">
      <c r="A863" s="2">
        <v>858</v>
      </c>
      <c r="B863" s="11" t="str">
        <f>"00050049"</f>
        <v>00050049</v>
      </c>
    </row>
    <row r="864" spans="1:2" x14ac:dyDescent="0.25">
      <c r="A864" s="2">
        <v>859</v>
      </c>
      <c r="B864" s="11" t="str">
        <f>"00050147"</f>
        <v>00050147</v>
      </c>
    </row>
    <row r="865" spans="1:2" x14ac:dyDescent="0.25">
      <c r="A865" s="2">
        <v>860</v>
      </c>
      <c r="B865" s="11" t="str">
        <f>"00050160"</f>
        <v>00050160</v>
      </c>
    </row>
    <row r="866" spans="1:2" x14ac:dyDescent="0.25">
      <c r="A866" s="2">
        <v>861</v>
      </c>
      <c r="B866" s="11" t="str">
        <f>"00050211"</f>
        <v>00050211</v>
      </c>
    </row>
    <row r="867" spans="1:2" x14ac:dyDescent="0.25">
      <c r="A867" s="2">
        <v>862</v>
      </c>
      <c r="B867" s="11" t="str">
        <f>"00050215"</f>
        <v>00050215</v>
      </c>
    </row>
    <row r="868" spans="1:2" x14ac:dyDescent="0.25">
      <c r="A868" s="2">
        <v>863</v>
      </c>
      <c r="B868" s="11" t="str">
        <f>"00050323"</f>
        <v>00050323</v>
      </c>
    </row>
    <row r="869" spans="1:2" x14ac:dyDescent="0.25">
      <c r="A869" s="2">
        <v>864</v>
      </c>
      <c r="B869" s="11" t="str">
        <f>"00050450"</f>
        <v>00050450</v>
      </c>
    </row>
    <row r="870" spans="1:2" x14ac:dyDescent="0.25">
      <c r="A870" s="2">
        <v>865</v>
      </c>
      <c r="B870" s="11" t="str">
        <f>"00050467"</f>
        <v>00050467</v>
      </c>
    </row>
    <row r="871" spans="1:2" x14ac:dyDescent="0.25">
      <c r="A871" s="2">
        <v>866</v>
      </c>
      <c r="B871" s="11" t="str">
        <f>"00050515"</f>
        <v>00050515</v>
      </c>
    </row>
    <row r="872" spans="1:2" x14ac:dyDescent="0.25">
      <c r="A872" s="2">
        <v>867</v>
      </c>
      <c r="B872" s="11" t="str">
        <f>"00050526"</f>
        <v>00050526</v>
      </c>
    </row>
    <row r="873" spans="1:2" x14ac:dyDescent="0.25">
      <c r="A873" s="2">
        <v>868</v>
      </c>
      <c r="B873" s="11" t="str">
        <f>"00050697"</f>
        <v>00050697</v>
      </c>
    </row>
    <row r="874" spans="1:2" x14ac:dyDescent="0.25">
      <c r="A874" s="2">
        <v>869</v>
      </c>
      <c r="B874" s="11" t="str">
        <f>"00050741"</f>
        <v>00050741</v>
      </c>
    </row>
    <row r="875" spans="1:2" x14ac:dyDescent="0.25">
      <c r="A875" s="2">
        <v>870</v>
      </c>
      <c r="B875" s="11" t="str">
        <f>"00050827"</f>
        <v>00050827</v>
      </c>
    </row>
    <row r="876" spans="1:2" x14ac:dyDescent="0.25">
      <c r="A876" s="2">
        <v>871</v>
      </c>
      <c r="B876" s="11" t="str">
        <f>"00051179"</f>
        <v>00051179</v>
      </c>
    </row>
    <row r="877" spans="1:2" x14ac:dyDescent="0.25">
      <c r="A877" s="2">
        <v>872</v>
      </c>
      <c r="B877" s="11" t="str">
        <f>"00051270"</f>
        <v>00051270</v>
      </c>
    </row>
    <row r="878" spans="1:2" x14ac:dyDescent="0.25">
      <c r="A878" s="2">
        <v>873</v>
      </c>
      <c r="B878" s="11" t="str">
        <f>"00051569"</f>
        <v>00051569</v>
      </c>
    </row>
    <row r="879" spans="1:2" x14ac:dyDescent="0.25">
      <c r="A879" s="2">
        <v>874</v>
      </c>
      <c r="B879" s="11" t="str">
        <f>"00051678"</f>
        <v>00051678</v>
      </c>
    </row>
    <row r="880" spans="1:2" x14ac:dyDescent="0.25">
      <c r="A880" s="2">
        <v>875</v>
      </c>
      <c r="B880" s="11" t="str">
        <f>"00051962"</f>
        <v>00051962</v>
      </c>
    </row>
    <row r="881" spans="1:2" x14ac:dyDescent="0.25">
      <c r="A881" s="2">
        <v>876</v>
      </c>
      <c r="B881" s="11" t="str">
        <f>"00052017"</f>
        <v>00052017</v>
      </c>
    </row>
    <row r="882" spans="1:2" x14ac:dyDescent="0.25">
      <c r="A882" s="2">
        <v>877</v>
      </c>
      <c r="B882" s="11" t="str">
        <f>"00052338"</f>
        <v>00052338</v>
      </c>
    </row>
    <row r="883" spans="1:2" x14ac:dyDescent="0.25">
      <c r="A883" s="2">
        <v>878</v>
      </c>
      <c r="B883" s="11" t="str">
        <f>"00052565"</f>
        <v>00052565</v>
      </c>
    </row>
    <row r="884" spans="1:2" x14ac:dyDescent="0.25">
      <c r="A884" s="2">
        <v>879</v>
      </c>
      <c r="B884" s="11" t="str">
        <f>"00053157"</f>
        <v>00053157</v>
      </c>
    </row>
    <row r="885" spans="1:2" x14ac:dyDescent="0.25">
      <c r="A885" s="2">
        <v>880</v>
      </c>
      <c r="B885" s="11" t="str">
        <f>"00053208"</f>
        <v>00053208</v>
      </c>
    </row>
    <row r="886" spans="1:2" x14ac:dyDescent="0.25">
      <c r="A886" s="2">
        <v>881</v>
      </c>
      <c r="B886" s="11" t="str">
        <f>"00053267"</f>
        <v>00053267</v>
      </c>
    </row>
    <row r="887" spans="1:2" x14ac:dyDescent="0.25">
      <c r="A887" s="2">
        <v>882</v>
      </c>
      <c r="B887" s="11" t="str">
        <f>"00053692"</f>
        <v>00053692</v>
      </c>
    </row>
    <row r="888" spans="1:2" x14ac:dyDescent="0.25">
      <c r="A888" s="2">
        <v>883</v>
      </c>
      <c r="B888" s="11" t="str">
        <f>"00053754"</f>
        <v>00053754</v>
      </c>
    </row>
    <row r="889" spans="1:2" x14ac:dyDescent="0.25">
      <c r="A889" s="2">
        <v>884</v>
      </c>
      <c r="B889" s="11" t="str">
        <f>"00054001"</f>
        <v>00054001</v>
      </c>
    </row>
    <row r="890" spans="1:2" x14ac:dyDescent="0.25">
      <c r="A890" s="2">
        <v>885</v>
      </c>
      <c r="B890" s="11" t="str">
        <f>"00056054"</f>
        <v>00056054</v>
      </c>
    </row>
    <row r="891" spans="1:2" x14ac:dyDescent="0.25">
      <c r="A891" s="2">
        <v>886</v>
      </c>
      <c r="B891" s="11" t="str">
        <f>"00056226"</f>
        <v>00056226</v>
      </c>
    </row>
    <row r="892" spans="1:2" x14ac:dyDescent="0.25">
      <c r="A892" s="2">
        <v>887</v>
      </c>
      <c r="B892" s="11" t="str">
        <f>"00057262"</f>
        <v>00057262</v>
      </c>
    </row>
    <row r="893" spans="1:2" x14ac:dyDescent="0.25">
      <c r="A893" s="2">
        <v>888</v>
      </c>
      <c r="B893" s="11" t="str">
        <f>"00057824"</f>
        <v>00057824</v>
      </c>
    </row>
    <row r="894" spans="1:2" x14ac:dyDescent="0.25">
      <c r="A894" s="2">
        <v>889</v>
      </c>
      <c r="B894" s="11" t="str">
        <f>"00057835"</f>
        <v>00057835</v>
      </c>
    </row>
    <row r="895" spans="1:2" x14ac:dyDescent="0.25">
      <c r="A895" s="2">
        <v>890</v>
      </c>
      <c r="B895" s="11" t="str">
        <f>"00058296"</f>
        <v>00058296</v>
      </c>
    </row>
    <row r="896" spans="1:2" x14ac:dyDescent="0.25">
      <c r="A896" s="2">
        <v>891</v>
      </c>
      <c r="B896" s="11" t="str">
        <f>"00059661"</f>
        <v>00059661</v>
      </c>
    </row>
    <row r="897" spans="1:2" x14ac:dyDescent="0.25">
      <c r="A897" s="2">
        <v>892</v>
      </c>
      <c r="B897" s="11" t="str">
        <f>"00059956"</f>
        <v>00059956</v>
      </c>
    </row>
    <row r="898" spans="1:2" x14ac:dyDescent="0.25">
      <c r="A898" s="2">
        <v>893</v>
      </c>
      <c r="B898" s="11" t="str">
        <f>"00060616"</f>
        <v>00060616</v>
      </c>
    </row>
    <row r="899" spans="1:2" x14ac:dyDescent="0.25">
      <c r="A899" s="2">
        <v>894</v>
      </c>
      <c r="B899" s="11" t="str">
        <f>"00061040"</f>
        <v>00061040</v>
      </c>
    </row>
    <row r="900" spans="1:2" x14ac:dyDescent="0.25">
      <c r="A900" s="2">
        <v>895</v>
      </c>
      <c r="B900" s="11" t="str">
        <f>"00061241"</f>
        <v>00061241</v>
      </c>
    </row>
    <row r="901" spans="1:2" x14ac:dyDescent="0.25">
      <c r="A901" s="2">
        <v>896</v>
      </c>
      <c r="B901" s="11" t="str">
        <f>"00061363"</f>
        <v>00061363</v>
      </c>
    </row>
    <row r="902" spans="1:2" x14ac:dyDescent="0.25">
      <c r="A902" s="2">
        <v>897</v>
      </c>
      <c r="B902" s="11" t="str">
        <f>"00062053"</f>
        <v>00062053</v>
      </c>
    </row>
    <row r="903" spans="1:2" x14ac:dyDescent="0.25">
      <c r="A903" s="2">
        <v>898</v>
      </c>
      <c r="B903" s="11" t="str">
        <f>"00062161"</f>
        <v>00062161</v>
      </c>
    </row>
    <row r="904" spans="1:2" x14ac:dyDescent="0.25">
      <c r="A904" s="2">
        <v>899</v>
      </c>
      <c r="B904" s="11" t="str">
        <f>"00062284"</f>
        <v>00062284</v>
      </c>
    </row>
    <row r="905" spans="1:2" x14ac:dyDescent="0.25">
      <c r="A905" s="2">
        <v>900</v>
      </c>
      <c r="B905" s="11" t="str">
        <f>"00062376"</f>
        <v>00062376</v>
      </c>
    </row>
    <row r="906" spans="1:2" x14ac:dyDescent="0.25">
      <c r="A906" s="2">
        <v>901</v>
      </c>
      <c r="B906" s="11" t="str">
        <f>"00062653"</f>
        <v>00062653</v>
      </c>
    </row>
    <row r="907" spans="1:2" x14ac:dyDescent="0.25">
      <c r="A907" s="2">
        <v>902</v>
      </c>
      <c r="B907" s="11" t="str">
        <f>"00062903"</f>
        <v>00062903</v>
      </c>
    </row>
    <row r="908" spans="1:2" x14ac:dyDescent="0.25">
      <c r="A908" s="2">
        <v>903</v>
      </c>
      <c r="B908" s="11" t="str">
        <f>"00062945"</f>
        <v>00062945</v>
      </c>
    </row>
    <row r="909" spans="1:2" x14ac:dyDescent="0.25">
      <c r="A909" s="2">
        <v>904</v>
      </c>
      <c r="B909" s="11" t="str">
        <f>"00063559"</f>
        <v>00063559</v>
      </c>
    </row>
    <row r="910" spans="1:2" x14ac:dyDescent="0.25">
      <c r="A910" s="2">
        <v>905</v>
      </c>
      <c r="B910" s="11" t="str">
        <f>"00064010"</f>
        <v>00064010</v>
      </c>
    </row>
    <row r="911" spans="1:2" x14ac:dyDescent="0.25">
      <c r="A911" s="2">
        <v>906</v>
      </c>
      <c r="B911" s="11" t="str">
        <f>"00065064"</f>
        <v>00065064</v>
      </c>
    </row>
    <row r="912" spans="1:2" x14ac:dyDescent="0.25">
      <c r="A912" s="2">
        <v>907</v>
      </c>
      <c r="B912" s="11" t="str">
        <f>"00067097"</f>
        <v>00067097</v>
      </c>
    </row>
    <row r="913" spans="1:2" x14ac:dyDescent="0.25">
      <c r="A913" s="2">
        <v>908</v>
      </c>
      <c r="B913" s="11" t="str">
        <f>"00067711"</f>
        <v>00067711</v>
      </c>
    </row>
    <row r="914" spans="1:2" x14ac:dyDescent="0.25">
      <c r="A914" s="2">
        <v>909</v>
      </c>
      <c r="B914" s="11" t="str">
        <f>"00068054"</f>
        <v>00068054</v>
      </c>
    </row>
    <row r="915" spans="1:2" x14ac:dyDescent="0.25">
      <c r="A915" s="2">
        <v>910</v>
      </c>
      <c r="B915" s="11" t="str">
        <f>"00068269"</f>
        <v>00068269</v>
      </c>
    </row>
    <row r="916" spans="1:2" x14ac:dyDescent="0.25">
      <c r="A916" s="2">
        <v>911</v>
      </c>
      <c r="B916" s="11" t="str">
        <f>"00068496"</f>
        <v>00068496</v>
      </c>
    </row>
    <row r="917" spans="1:2" x14ac:dyDescent="0.25">
      <c r="A917" s="2">
        <v>912</v>
      </c>
      <c r="B917" s="11" t="str">
        <f>"00068500"</f>
        <v>00068500</v>
      </c>
    </row>
    <row r="918" spans="1:2" x14ac:dyDescent="0.25">
      <c r="A918" s="2">
        <v>913</v>
      </c>
      <c r="B918" s="11" t="str">
        <f>"00068622"</f>
        <v>00068622</v>
      </c>
    </row>
    <row r="919" spans="1:2" x14ac:dyDescent="0.25">
      <c r="A919" s="2">
        <v>914</v>
      </c>
      <c r="B919" s="11" t="str">
        <f>"00068701"</f>
        <v>00068701</v>
      </c>
    </row>
    <row r="920" spans="1:2" x14ac:dyDescent="0.25">
      <c r="A920" s="2">
        <v>915</v>
      </c>
      <c r="B920" s="11" t="str">
        <f>"00068941"</f>
        <v>00068941</v>
      </c>
    </row>
    <row r="921" spans="1:2" x14ac:dyDescent="0.25">
      <c r="A921" s="2">
        <v>916</v>
      </c>
      <c r="B921" s="11" t="str">
        <f>"00068998"</f>
        <v>00068998</v>
      </c>
    </row>
    <row r="922" spans="1:2" x14ac:dyDescent="0.25">
      <c r="A922" s="2">
        <v>917</v>
      </c>
      <c r="B922" s="11" t="str">
        <f>"00069185"</f>
        <v>00069185</v>
      </c>
    </row>
    <row r="923" spans="1:2" x14ac:dyDescent="0.25">
      <c r="A923" s="2">
        <v>918</v>
      </c>
      <c r="B923" s="11" t="str">
        <f>"00069298"</f>
        <v>00069298</v>
      </c>
    </row>
    <row r="924" spans="1:2" x14ac:dyDescent="0.25">
      <c r="A924" s="2">
        <v>919</v>
      </c>
      <c r="B924" s="11" t="str">
        <f>"00069385"</f>
        <v>00069385</v>
      </c>
    </row>
    <row r="925" spans="1:2" x14ac:dyDescent="0.25">
      <c r="A925" s="2">
        <v>920</v>
      </c>
      <c r="B925" s="11" t="str">
        <f>"00069439"</f>
        <v>00069439</v>
      </c>
    </row>
    <row r="926" spans="1:2" x14ac:dyDescent="0.25">
      <c r="A926" s="2">
        <v>921</v>
      </c>
      <c r="B926" s="11" t="str">
        <f>"00069477"</f>
        <v>00069477</v>
      </c>
    </row>
    <row r="927" spans="1:2" x14ac:dyDescent="0.25">
      <c r="A927" s="2">
        <v>922</v>
      </c>
      <c r="B927" s="11" t="str">
        <f>"00069509"</f>
        <v>00069509</v>
      </c>
    </row>
    <row r="928" spans="1:2" x14ac:dyDescent="0.25">
      <c r="A928" s="2">
        <v>923</v>
      </c>
      <c r="B928" s="11" t="str">
        <f>"00069696"</f>
        <v>00069696</v>
      </c>
    </row>
    <row r="929" spans="1:2" x14ac:dyDescent="0.25">
      <c r="A929" s="2">
        <v>924</v>
      </c>
      <c r="B929" s="11" t="str">
        <f>"00069712"</f>
        <v>00069712</v>
      </c>
    </row>
    <row r="930" spans="1:2" x14ac:dyDescent="0.25">
      <c r="A930" s="2">
        <v>925</v>
      </c>
      <c r="B930" s="11" t="str">
        <f>"00069749"</f>
        <v>00069749</v>
      </c>
    </row>
    <row r="931" spans="1:2" x14ac:dyDescent="0.25">
      <c r="A931" s="2">
        <v>926</v>
      </c>
      <c r="B931" s="11" t="str">
        <f>"00069802"</f>
        <v>00069802</v>
      </c>
    </row>
    <row r="932" spans="1:2" x14ac:dyDescent="0.25">
      <c r="A932" s="2">
        <v>927</v>
      </c>
      <c r="B932" s="11" t="str">
        <f>"00069909"</f>
        <v>00069909</v>
      </c>
    </row>
    <row r="933" spans="1:2" x14ac:dyDescent="0.25">
      <c r="A933" s="2">
        <v>928</v>
      </c>
      <c r="B933" s="11" t="str">
        <f>"00069910"</f>
        <v>00069910</v>
      </c>
    </row>
    <row r="934" spans="1:2" x14ac:dyDescent="0.25">
      <c r="A934" s="2">
        <v>929</v>
      </c>
      <c r="B934" s="11" t="str">
        <f>"00069914"</f>
        <v>00069914</v>
      </c>
    </row>
    <row r="935" spans="1:2" x14ac:dyDescent="0.25">
      <c r="A935" s="2">
        <v>930</v>
      </c>
      <c r="B935" s="11" t="str">
        <f>"00069937"</f>
        <v>00069937</v>
      </c>
    </row>
    <row r="936" spans="1:2" x14ac:dyDescent="0.25">
      <c r="A936" s="2">
        <v>931</v>
      </c>
      <c r="B936" s="11" t="str">
        <f>"00069963"</f>
        <v>00069963</v>
      </c>
    </row>
    <row r="937" spans="1:2" x14ac:dyDescent="0.25">
      <c r="A937" s="2">
        <v>932</v>
      </c>
      <c r="B937" s="11" t="str">
        <f>"00069964"</f>
        <v>00069964</v>
      </c>
    </row>
    <row r="938" spans="1:2" x14ac:dyDescent="0.25">
      <c r="A938" s="2">
        <v>933</v>
      </c>
      <c r="B938" s="11" t="str">
        <f>"00069981"</f>
        <v>00069981</v>
      </c>
    </row>
    <row r="939" spans="1:2" x14ac:dyDescent="0.25">
      <c r="A939" s="2">
        <v>934</v>
      </c>
      <c r="B939" s="11" t="str">
        <f>"00069982"</f>
        <v>00069982</v>
      </c>
    </row>
    <row r="940" spans="1:2" x14ac:dyDescent="0.25">
      <c r="A940" s="2">
        <v>935</v>
      </c>
      <c r="B940" s="11" t="str">
        <f>"00070063"</f>
        <v>00070063</v>
      </c>
    </row>
    <row r="941" spans="1:2" x14ac:dyDescent="0.25">
      <c r="A941" s="2">
        <v>936</v>
      </c>
      <c r="B941" s="11" t="str">
        <f>"00070144"</f>
        <v>00070144</v>
      </c>
    </row>
    <row r="942" spans="1:2" x14ac:dyDescent="0.25">
      <c r="A942" s="2">
        <v>937</v>
      </c>
      <c r="B942" s="11" t="str">
        <f>"00070194"</f>
        <v>00070194</v>
      </c>
    </row>
    <row r="943" spans="1:2" x14ac:dyDescent="0.25">
      <c r="A943" s="2">
        <v>938</v>
      </c>
      <c r="B943" s="11" t="str">
        <f>"00070196"</f>
        <v>00070196</v>
      </c>
    </row>
    <row r="944" spans="1:2" x14ac:dyDescent="0.25">
      <c r="A944" s="2">
        <v>939</v>
      </c>
      <c r="B944" s="11" t="str">
        <f>"00070206"</f>
        <v>00070206</v>
      </c>
    </row>
    <row r="945" spans="1:2" x14ac:dyDescent="0.25">
      <c r="A945" s="2">
        <v>940</v>
      </c>
      <c r="B945" s="11" t="str">
        <f>"00070259"</f>
        <v>00070259</v>
      </c>
    </row>
    <row r="946" spans="1:2" x14ac:dyDescent="0.25">
      <c r="A946" s="2">
        <v>941</v>
      </c>
      <c r="B946" s="11" t="str">
        <f>"00070280"</f>
        <v>00070280</v>
      </c>
    </row>
    <row r="947" spans="1:2" x14ac:dyDescent="0.25">
      <c r="A947" s="2">
        <v>942</v>
      </c>
      <c r="B947" s="11" t="str">
        <f>"00070329"</f>
        <v>00070329</v>
      </c>
    </row>
    <row r="948" spans="1:2" x14ac:dyDescent="0.25">
      <c r="A948" s="2">
        <v>943</v>
      </c>
      <c r="B948" s="11" t="str">
        <f>"00070381"</f>
        <v>00070381</v>
      </c>
    </row>
    <row r="949" spans="1:2" x14ac:dyDescent="0.25">
      <c r="A949" s="2">
        <v>944</v>
      </c>
      <c r="B949" s="11" t="str">
        <f>"00070475"</f>
        <v>00070475</v>
      </c>
    </row>
    <row r="950" spans="1:2" x14ac:dyDescent="0.25">
      <c r="A950" s="2">
        <v>945</v>
      </c>
      <c r="B950" s="11" t="str">
        <f>"00070491"</f>
        <v>00070491</v>
      </c>
    </row>
    <row r="951" spans="1:2" x14ac:dyDescent="0.25">
      <c r="A951" s="2">
        <v>946</v>
      </c>
      <c r="B951" s="11" t="str">
        <f>"00070890"</f>
        <v>00070890</v>
      </c>
    </row>
    <row r="952" spans="1:2" x14ac:dyDescent="0.25">
      <c r="A952" s="2">
        <v>947</v>
      </c>
      <c r="B952" s="11" t="str">
        <f>"00071075"</f>
        <v>00071075</v>
      </c>
    </row>
    <row r="953" spans="1:2" x14ac:dyDescent="0.25">
      <c r="A953" s="2">
        <v>948</v>
      </c>
      <c r="B953" s="11" t="str">
        <f>"00071148"</f>
        <v>00071148</v>
      </c>
    </row>
    <row r="954" spans="1:2" x14ac:dyDescent="0.25">
      <c r="A954" s="2">
        <v>949</v>
      </c>
      <c r="B954" s="11" t="str">
        <f>"00071249"</f>
        <v>00071249</v>
      </c>
    </row>
    <row r="955" spans="1:2" x14ac:dyDescent="0.25">
      <c r="A955" s="2">
        <v>950</v>
      </c>
      <c r="B955" s="11" t="str">
        <f>"00071380"</f>
        <v>00071380</v>
      </c>
    </row>
    <row r="956" spans="1:2" x14ac:dyDescent="0.25">
      <c r="A956" s="2">
        <v>951</v>
      </c>
      <c r="B956" s="11" t="str">
        <f>"00071512"</f>
        <v>00071512</v>
      </c>
    </row>
    <row r="957" spans="1:2" x14ac:dyDescent="0.25">
      <c r="A957" s="2">
        <v>952</v>
      </c>
      <c r="B957" s="11" t="str">
        <f>"00071558"</f>
        <v>00071558</v>
      </c>
    </row>
    <row r="958" spans="1:2" x14ac:dyDescent="0.25">
      <c r="A958" s="2">
        <v>953</v>
      </c>
      <c r="B958" s="11" t="str">
        <f>"00071635"</f>
        <v>00071635</v>
      </c>
    </row>
    <row r="959" spans="1:2" x14ac:dyDescent="0.25">
      <c r="A959" s="2">
        <v>954</v>
      </c>
      <c r="B959" s="11" t="str">
        <f>"00071763"</f>
        <v>00071763</v>
      </c>
    </row>
    <row r="960" spans="1:2" x14ac:dyDescent="0.25">
      <c r="A960" s="2">
        <v>955</v>
      </c>
      <c r="B960" s="11" t="str">
        <f>"00071896"</f>
        <v>00071896</v>
      </c>
    </row>
    <row r="961" spans="1:2" x14ac:dyDescent="0.25">
      <c r="A961" s="2">
        <v>956</v>
      </c>
      <c r="B961" s="11" t="str">
        <f>"00071913"</f>
        <v>00071913</v>
      </c>
    </row>
    <row r="962" spans="1:2" x14ac:dyDescent="0.25">
      <c r="A962" s="2">
        <v>957</v>
      </c>
      <c r="B962" s="11" t="str">
        <f>"00071923"</f>
        <v>00071923</v>
      </c>
    </row>
    <row r="963" spans="1:2" x14ac:dyDescent="0.25">
      <c r="A963" s="2">
        <v>958</v>
      </c>
      <c r="B963" s="11" t="str">
        <f>"00071945"</f>
        <v>00071945</v>
      </c>
    </row>
    <row r="964" spans="1:2" x14ac:dyDescent="0.25">
      <c r="A964" s="2">
        <v>959</v>
      </c>
      <c r="B964" s="11" t="str">
        <f>"00072281"</f>
        <v>00072281</v>
      </c>
    </row>
    <row r="965" spans="1:2" x14ac:dyDescent="0.25">
      <c r="A965" s="2">
        <v>960</v>
      </c>
      <c r="B965" s="11" t="str">
        <f>"00072459"</f>
        <v>00072459</v>
      </c>
    </row>
    <row r="966" spans="1:2" x14ac:dyDescent="0.25">
      <c r="A966" s="2">
        <v>961</v>
      </c>
      <c r="B966" s="11" t="str">
        <f>"00072656"</f>
        <v>00072656</v>
      </c>
    </row>
    <row r="967" spans="1:2" x14ac:dyDescent="0.25">
      <c r="A967" s="2">
        <v>962</v>
      </c>
      <c r="B967" s="11" t="str">
        <f>"00072829"</f>
        <v>00072829</v>
      </c>
    </row>
    <row r="968" spans="1:2" x14ac:dyDescent="0.25">
      <c r="A968" s="2">
        <v>963</v>
      </c>
      <c r="B968" s="11" t="str">
        <f>"00072835"</f>
        <v>00072835</v>
      </c>
    </row>
    <row r="969" spans="1:2" x14ac:dyDescent="0.25">
      <c r="A969" s="2">
        <v>964</v>
      </c>
      <c r="B969" s="11" t="str">
        <f>"00072858"</f>
        <v>00072858</v>
      </c>
    </row>
    <row r="970" spans="1:2" x14ac:dyDescent="0.25">
      <c r="A970" s="2">
        <v>965</v>
      </c>
      <c r="B970" s="11" t="str">
        <f>"00072922"</f>
        <v>00072922</v>
      </c>
    </row>
    <row r="971" spans="1:2" x14ac:dyDescent="0.25">
      <c r="A971" s="2">
        <v>966</v>
      </c>
      <c r="B971" s="11" t="str">
        <f>"00073023"</f>
        <v>00073023</v>
      </c>
    </row>
    <row r="972" spans="1:2" x14ac:dyDescent="0.25">
      <c r="A972" s="2">
        <v>967</v>
      </c>
      <c r="B972" s="11" t="str">
        <f>"00073140"</f>
        <v>00073140</v>
      </c>
    </row>
    <row r="973" spans="1:2" x14ac:dyDescent="0.25">
      <c r="A973" s="2">
        <v>968</v>
      </c>
      <c r="B973" s="11" t="str">
        <f>"00073152"</f>
        <v>00073152</v>
      </c>
    </row>
    <row r="974" spans="1:2" x14ac:dyDescent="0.25">
      <c r="A974" s="2">
        <v>969</v>
      </c>
      <c r="B974" s="11" t="str">
        <f>"00073233"</f>
        <v>00073233</v>
      </c>
    </row>
    <row r="975" spans="1:2" x14ac:dyDescent="0.25">
      <c r="A975" s="2">
        <v>970</v>
      </c>
      <c r="B975" s="11" t="str">
        <f>"00073246"</f>
        <v>00073246</v>
      </c>
    </row>
    <row r="976" spans="1:2" x14ac:dyDescent="0.25">
      <c r="A976" s="2">
        <v>971</v>
      </c>
      <c r="B976" s="11" t="str">
        <f>"00073297"</f>
        <v>00073297</v>
      </c>
    </row>
    <row r="977" spans="1:2" x14ac:dyDescent="0.25">
      <c r="A977" s="2">
        <v>972</v>
      </c>
      <c r="B977" s="11" t="str">
        <f>"00073304"</f>
        <v>00073304</v>
      </c>
    </row>
    <row r="978" spans="1:2" x14ac:dyDescent="0.25">
      <c r="A978" s="2">
        <v>973</v>
      </c>
      <c r="B978" s="11" t="str">
        <f>"00073333"</f>
        <v>00073333</v>
      </c>
    </row>
    <row r="979" spans="1:2" x14ac:dyDescent="0.25">
      <c r="A979" s="2">
        <v>974</v>
      </c>
      <c r="B979" s="11" t="str">
        <f>"00073457"</f>
        <v>00073457</v>
      </c>
    </row>
    <row r="980" spans="1:2" x14ac:dyDescent="0.25">
      <c r="A980" s="2">
        <v>975</v>
      </c>
      <c r="B980" s="11" t="str">
        <f>"00073462"</f>
        <v>00073462</v>
      </c>
    </row>
    <row r="981" spans="1:2" x14ac:dyDescent="0.25">
      <c r="A981" s="2">
        <v>976</v>
      </c>
      <c r="B981" s="11" t="str">
        <f>"00073630"</f>
        <v>00073630</v>
      </c>
    </row>
    <row r="982" spans="1:2" x14ac:dyDescent="0.25">
      <c r="A982" s="2">
        <v>977</v>
      </c>
      <c r="B982" s="11" t="str">
        <f>"00073652"</f>
        <v>00073652</v>
      </c>
    </row>
    <row r="983" spans="1:2" x14ac:dyDescent="0.25">
      <c r="A983" s="2">
        <v>978</v>
      </c>
      <c r="B983" s="11" t="str">
        <f>"00073787"</f>
        <v>00073787</v>
      </c>
    </row>
    <row r="984" spans="1:2" x14ac:dyDescent="0.25">
      <c r="A984" s="2">
        <v>979</v>
      </c>
      <c r="B984" s="11" t="str">
        <f>"00073826"</f>
        <v>00073826</v>
      </c>
    </row>
    <row r="985" spans="1:2" x14ac:dyDescent="0.25">
      <c r="A985" s="2">
        <v>980</v>
      </c>
      <c r="B985" s="11" t="str">
        <f>"00073865"</f>
        <v>00073865</v>
      </c>
    </row>
    <row r="986" spans="1:2" x14ac:dyDescent="0.25">
      <c r="A986" s="2">
        <v>981</v>
      </c>
      <c r="B986" s="11" t="str">
        <f>"00073868"</f>
        <v>00073868</v>
      </c>
    </row>
    <row r="987" spans="1:2" x14ac:dyDescent="0.25">
      <c r="A987" s="2">
        <v>982</v>
      </c>
      <c r="B987" s="11" t="str">
        <f>"00074005"</f>
        <v>00074005</v>
      </c>
    </row>
    <row r="988" spans="1:2" x14ac:dyDescent="0.25">
      <c r="A988" s="2">
        <v>983</v>
      </c>
      <c r="B988" s="11" t="str">
        <f>"00074100"</f>
        <v>00074100</v>
      </c>
    </row>
    <row r="989" spans="1:2" x14ac:dyDescent="0.25">
      <c r="A989" s="2">
        <v>984</v>
      </c>
      <c r="B989" s="11" t="str">
        <f>"00074195"</f>
        <v>00074195</v>
      </c>
    </row>
    <row r="990" spans="1:2" x14ac:dyDescent="0.25">
      <c r="A990" s="2">
        <v>985</v>
      </c>
      <c r="B990" s="11" t="str">
        <f>"00074280"</f>
        <v>00074280</v>
      </c>
    </row>
    <row r="991" spans="1:2" x14ac:dyDescent="0.25">
      <c r="A991" s="2">
        <v>986</v>
      </c>
      <c r="B991" s="11" t="str">
        <f>"00074323"</f>
        <v>00074323</v>
      </c>
    </row>
    <row r="992" spans="1:2" x14ac:dyDescent="0.25">
      <c r="A992" s="2">
        <v>987</v>
      </c>
      <c r="B992" s="11" t="str">
        <f>"00074560"</f>
        <v>00074560</v>
      </c>
    </row>
    <row r="993" spans="1:2" x14ac:dyDescent="0.25">
      <c r="A993" s="2">
        <v>988</v>
      </c>
      <c r="B993" s="11" t="str">
        <f>"00074612"</f>
        <v>00074612</v>
      </c>
    </row>
    <row r="994" spans="1:2" x14ac:dyDescent="0.25">
      <c r="A994" s="2">
        <v>989</v>
      </c>
      <c r="B994" s="11" t="str">
        <f>"00074749"</f>
        <v>00074749</v>
      </c>
    </row>
    <row r="995" spans="1:2" x14ac:dyDescent="0.25">
      <c r="A995" s="2">
        <v>990</v>
      </c>
      <c r="B995" s="11" t="str">
        <f>"00074787"</f>
        <v>00074787</v>
      </c>
    </row>
    <row r="996" spans="1:2" x14ac:dyDescent="0.25">
      <c r="A996" s="2">
        <v>991</v>
      </c>
      <c r="B996" s="11" t="str">
        <f>"00074789"</f>
        <v>00074789</v>
      </c>
    </row>
    <row r="997" spans="1:2" x14ac:dyDescent="0.25">
      <c r="A997" s="2">
        <v>992</v>
      </c>
      <c r="B997" s="11" t="str">
        <f>"00074799"</f>
        <v>00074799</v>
      </c>
    </row>
    <row r="998" spans="1:2" x14ac:dyDescent="0.25">
      <c r="A998" s="2">
        <v>993</v>
      </c>
      <c r="B998" s="11" t="str">
        <f>"00074801"</f>
        <v>00074801</v>
      </c>
    </row>
    <row r="999" spans="1:2" x14ac:dyDescent="0.25">
      <c r="A999" s="2">
        <v>994</v>
      </c>
      <c r="B999" s="11" t="str">
        <f>"00074820"</f>
        <v>00074820</v>
      </c>
    </row>
    <row r="1000" spans="1:2" x14ac:dyDescent="0.25">
      <c r="A1000" s="2">
        <v>995</v>
      </c>
      <c r="B1000" s="11" t="str">
        <f>"00074871"</f>
        <v>00074871</v>
      </c>
    </row>
    <row r="1001" spans="1:2" x14ac:dyDescent="0.25">
      <c r="A1001" s="2">
        <v>996</v>
      </c>
      <c r="B1001" s="11" t="str">
        <f>"00074938"</f>
        <v>00074938</v>
      </c>
    </row>
    <row r="1002" spans="1:2" x14ac:dyDescent="0.25">
      <c r="A1002" s="2">
        <v>997</v>
      </c>
      <c r="B1002" s="11" t="str">
        <f>"00075036"</f>
        <v>00075036</v>
      </c>
    </row>
    <row r="1003" spans="1:2" x14ac:dyDescent="0.25">
      <c r="A1003" s="2">
        <v>998</v>
      </c>
      <c r="B1003" s="11" t="str">
        <f>"00075065"</f>
        <v>00075065</v>
      </c>
    </row>
    <row r="1004" spans="1:2" x14ac:dyDescent="0.25">
      <c r="A1004" s="2">
        <v>999</v>
      </c>
      <c r="B1004" s="11" t="str">
        <f>"00075079"</f>
        <v>00075079</v>
      </c>
    </row>
    <row r="1005" spans="1:2" x14ac:dyDescent="0.25">
      <c r="A1005" s="2">
        <v>1000</v>
      </c>
      <c r="B1005" s="11" t="str">
        <f>"00075144"</f>
        <v>00075144</v>
      </c>
    </row>
    <row r="1006" spans="1:2" x14ac:dyDescent="0.25">
      <c r="A1006" s="2">
        <v>1001</v>
      </c>
      <c r="B1006" s="11" t="str">
        <f>"00075245"</f>
        <v>00075245</v>
      </c>
    </row>
    <row r="1007" spans="1:2" x14ac:dyDescent="0.25">
      <c r="A1007" s="2">
        <v>1002</v>
      </c>
      <c r="B1007" s="11" t="str">
        <f>"00075279"</f>
        <v>00075279</v>
      </c>
    </row>
    <row r="1008" spans="1:2" x14ac:dyDescent="0.25">
      <c r="A1008" s="2">
        <v>1003</v>
      </c>
      <c r="B1008" s="11" t="str">
        <f>"00075343"</f>
        <v>00075343</v>
      </c>
    </row>
    <row r="1009" spans="1:2" x14ac:dyDescent="0.25">
      <c r="A1009" s="2">
        <v>1004</v>
      </c>
      <c r="B1009" s="11" t="str">
        <f>"00075405"</f>
        <v>00075405</v>
      </c>
    </row>
    <row r="1010" spans="1:2" x14ac:dyDescent="0.25">
      <c r="A1010" s="2">
        <v>1005</v>
      </c>
      <c r="B1010" s="11" t="str">
        <f>"00075727"</f>
        <v>00075727</v>
      </c>
    </row>
    <row r="1011" spans="1:2" x14ac:dyDescent="0.25">
      <c r="A1011" s="2">
        <v>1006</v>
      </c>
      <c r="B1011" s="11" t="str">
        <f>"00076035"</f>
        <v>00076035</v>
      </c>
    </row>
    <row r="1012" spans="1:2" x14ac:dyDescent="0.25">
      <c r="A1012" s="2">
        <v>1007</v>
      </c>
      <c r="B1012" s="11" t="str">
        <f>"00076081"</f>
        <v>00076081</v>
      </c>
    </row>
    <row r="1013" spans="1:2" x14ac:dyDescent="0.25">
      <c r="A1013" s="2">
        <v>1008</v>
      </c>
      <c r="B1013" s="11" t="str">
        <f>"00076096"</f>
        <v>00076096</v>
      </c>
    </row>
    <row r="1014" spans="1:2" x14ac:dyDescent="0.25">
      <c r="A1014" s="2">
        <v>1009</v>
      </c>
      <c r="B1014" s="11" t="str">
        <f>"00076191"</f>
        <v>00076191</v>
      </c>
    </row>
    <row r="1015" spans="1:2" x14ac:dyDescent="0.25">
      <c r="A1015" s="2">
        <v>1010</v>
      </c>
      <c r="B1015" s="11" t="str">
        <f>"00076300"</f>
        <v>00076300</v>
      </c>
    </row>
    <row r="1016" spans="1:2" x14ac:dyDescent="0.25">
      <c r="A1016" s="2">
        <v>1011</v>
      </c>
      <c r="B1016" s="11" t="str">
        <f>"00076309"</f>
        <v>00076309</v>
      </c>
    </row>
    <row r="1017" spans="1:2" x14ac:dyDescent="0.25">
      <c r="A1017" s="2">
        <v>1012</v>
      </c>
      <c r="B1017" s="11" t="str">
        <f>"00076332"</f>
        <v>00076332</v>
      </c>
    </row>
    <row r="1018" spans="1:2" x14ac:dyDescent="0.25">
      <c r="A1018" s="2">
        <v>1013</v>
      </c>
      <c r="B1018" s="11" t="str">
        <f>"00076372"</f>
        <v>00076372</v>
      </c>
    </row>
    <row r="1019" spans="1:2" x14ac:dyDescent="0.25">
      <c r="A1019" s="2">
        <v>1014</v>
      </c>
      <c r="B1019" s="11" t="str">
        <f>"00076564"</f>
        <v>00076564</v>
      </c>
    </row>
    <row r="1020" spans="1:2" x14ac:dyDescent="0.25">
      <c r="A1020" s="2">
        <v>1015</v>
      </c>
      <c r="B1020" s="11" t="str">
        <f>"00076593"</f>
        <v>00076593</v>
      </c>
    </row>
    <row r="1021" spans="1:2" x14ac:dyDescent="0.25">
      <c r="A1021" s="2">
        <v>1016</v>
      </c>
      <c r="B1021" s="11" t="str">
        <f>"00076601"</f>
        <v>00076601</v>
      </c>
    </row>
    <row r="1022" spans="1:2" x14ac:dyDescent="0.25">
      <c r="A1022" s="2">
        <v>1017</v>
      </c>
      <c r="B1022" s="11" t="str">
        <f>"00076617"</f>
        <v>00076617</v>
      </c>
    </row>
    <row r="1023" spans="1:2" x14ac:dyDescent="0.25">
      <c r="A1023" s="2">
        <v>1018</v>
      </c>
      <c r="B1023" s="11" t="str">
        <f>"00076676"</f>
        <v>00076676</v>
      </c>
    </row>
    <row r="1024" spans="1:2" x14ac:dyDescent="0.25">
      <c r="A1024" s="2">
        <v>1019</v>
      </c>
      <c r="B1024" s="11" t="str">
        <f>"00076723"</f>
        <v>00076723</v>
      </c>
    </row>
    <row r="1025" spans="1:2" x14ac:dyDescent="0.25">
      <c r="A1025" s="2">
        <v>1020</v>
      </c>
      <c r="B1025" s="11" t="str">
        <f>"00076819"</f>
        <v>00076819</v>
      </c>
    </row>
    <row r="1026" spans="1:2" x14ac:dyDescent="0.25">
      <c r="A1026" s="2">
        <v>1021</v>
      </c>
      <c r="B1026" s="11" t="str">
        <f>"00076833"</f>
        <v>00076833</v>
      </c>
    </row>
    <row r="1027" spans="1:2" x14ac:dyDescent="0.25">
      <c r="A1027" s="2">
        <v>1022</v>
      </c>
      <c r="B1027" s="11" t="str">
        <f>"00076837"</f>
        <v>00076837</v>
      </c>
    </row>
    <row r="1028" spans="1:2" x14ac:dyDescent="0.25">
      <c r="A1028" s="2">
        <v>1023</v>
      </c>
      <c r="B1028" s="11" t="str">
        <f>"00076846"</f>
        <v>00076846</v>
      </c>
    </row>
    <row r="1029" spans="1:2" x14ac:dyDescent="0.25">
      <c r="A1029" s="2">
        <v>1024</v>
      </c>
      <c r="B1029" s="11" t="str">
        <f>"00077223"</f>
        <v>00077223</v>
      </c>
    </row>
    <row r="1030" spans="1:2" x14ac:dyDescent="0.25">
      <c r="A1030" s="2">
        <v>1025</v>
      </c>
      <c r="B1030" s="11" t="str">
        <f>"00077235"</f>
        <v>00077235</v>
      </c>
    </row>
    <row r="1031" spans="1:2" x14ac:dyDescent="0.25">
      <c r="A1031" s="2">
        <v>1026</v>
      </c>
      <c r="B1031" s="11" t="str">
        <f>"00077482"</f>
        <v>00077482</v>
      </c>
    </row>
    <row r="1032" spans="1:2" x14ac:dyDescent="0.25">
      <c r="A1032" s="2">
        <v>1027</v>
      </c>
      <c r="B1032" s="11" t="str">
        <f>"00077638"</f>
        <v>00077638</v>
      </c>
    </row>
    <row r="1033" spans="1:2" x14ac:dyDescent="0.25">
      <c r="A1033" s="2">
        <v>1028</v>
      </c>
      <c r="B1033" s="11" t="str">
        <f>"00077741"</f>
        <v>00077741</v>
      </c>
    </row>
    <row r="1034" spans="1:2" x14ac:dyDescent="0.25">
      <c r="A1034" s="2">
        <v>1029</v>
      </c>
      <c r="B1034" s="11" t="str">
        <f>"00077798"</f>
        <v>00077798</v>
      </c>
    </row>
    <row r="1035" spans="1:2" x14ac:dyDescent="0.25">
      <c r="A1035" s="2">
        <v>1030</v>
      </c>
      <c r="B1035" s="11" t="str">
        <f>"00077888"</f>
        <v>00077888</v>
      </c>
    </row>
    <row r="1036" spans="1:2" x14ac:dyDescent="0.25">
      <c r="A1036" s="2">
        <v>1031</v>
      </c>
      <c r="B1036" s="11" t="str">
        <f>"00077977"</f>
        <v>00077977</v>
      </c>
    </row>
    <row r="1037" spans="1:2" x14ac:dyDescent="0.25">
      <c r="A1037" s="2">
        <v>1032</v>
      </c>
      <c r="B1037" s="11" t="str">
        <f>"00077999"</f>
        <v>00077999</v>
      </c>
    </row>
    <row r="1038" spans="1:2" x14ac:dyDescent="0.25">
      <c r="A1038" s="2">
        <v>1033</v>
      </c>
      <c r="B1038" s="11" t="str">
        <f>"00078016"</f>
        <v>00078016</v>
      </c>
    </row>
    <row r="1039" spans="1:2" x14ac:dyDescent="0.25">
      <c r="A1039" s="2">
        <v>1034</v>
      </c>
      <c r="B1039" s="11" t="str">
        <f>"00078159"</f>
        <v>00078159</v>
      </c>
    </row>
    <row r="1040" spans="1:2" x14ac:dyDescent="0.25">
      <c r="A1040" s="2">
        <v>1035</v>
      </c>
      <c r="B1040" s="11" t="str">
        <f>"00078180"</f>
        <v>00078180</v>
      </c>
    </row>
    <row r="1041" spans="1:2" x14ac:dyDescent="0.25">
      <c r="A1041" s="2">
        <v>1036</v>
      </c>
      <c r="B1041" s="11" t="str">
        <f>"00078265"</f>
        <v>00078265</v>
      </c>
    </row>
    <row r="1042" spans="1:2" x14ac:dyDescent="0.25">
      <c r="A1042" s="2">
        <v>1037</v>
      </c>
      <c r="B1042" s="11" t="str">
        <f>"00078364"</f>
        <v>00078364</v>
      </c>
    </row>
    <row r="1043" spans="1:2" x14ac:dyDescent="0.25">
      <c r="A1043" s="2">
        <v>1038</v>
      </c>
      <c r="B1043" s="11" t="str">
        <f>"00078471"</f>
        <v>00078471</v>
      </c>
    </row>
    <row r="1044" spans="1:2" x14ac:dyDescent="0.25">
      <c r="A1044" s="2">
        <v>1039</v>
      </c>
      <c r="B1044" s="11" t="str">
        <f>"00078485"</f>
        <v>00078485</v>
      </c>
    </row>
    <row r="1045" spans="1:2" x14ac:dyDescent="0.25">
      <c r="A1045" s="2">
        <v>1040</v>
      </c>
      <c r="B1045" s="11" t="str">
        <f>"00078492"</f>
        <v>00078492</v>
      </c>
    </row>
    <row r="1046" spans="1:2" x14ac:dyDescent="0.25">
      <c r="A1046" s="2">
        <v>1041</v>
      </c>
      <c r="B1046" s="11" t="str">
        <f>"00078659"</f>
        <v>00078659</v>
      </c>
    </row>
    <row r="1047" spans="1:2" x14ac:dyDescent="0.25">
      <c r="A1047" s="2">
        <v>1042</v>
      </c>
      <c r="B1047" s="11" t="str">
        <f>"00078705"</f>
        <v>00078705</v>
      </c>
    </row>
    <row r="1048" spans="1:2" x14ac:dyDescent="0.25">
      <c r="A1048" s="2">
        <v>1043</v>
      </c>
      <c r="B1048" s="11" t="str">
        <f>"00078763"</f>
        <v>00078763</v>
      </c>
    </row>
    <row r="1049" spans="1:2" x14ac:dyDescent="0.25">
      <c r="A1049" s="2">
        <v>1044</v>
      </c>
      <c r="B1049" s="11" t="str">
        <f>"00078892"</f>
        <v>00078892</v>
      </c>
    </row>
    <row r="1050" spans="1:2" x14ac:dyDescent="0.25">
      <c r="A1050" s="2">
        <v>1045</v>
      </c>
      <c r="B1050" s="11" t="str">
        <f>"00078903"</f>
        <v>00078903</v>
      </c>
    </row>
    <row r="1051" spans="1:2" x14ac:dyDescent="0.25">
      <c r="A1051" s="2">
        <v>1046</v>
      </c>
      <c r="B1051" s="11" t="str">
        <f>"00079016"</f>
        <v>00079016</v>
      </c>
    </row>
    <row r="1052" spans="1:2" x14ac:dyDescent="0.25">
      <c r="A1052" s="2">
        <v>1047</v>
      </c>
      <c r="B1052" s="11" t="str">
        <f>"00079201"</f>
        <v>00079201</v>
      </c>
    </row>
    <row r="1053" spans="1:2" x14ac:dyDescent="0.25">
      <c r="A1053" s="2">
        <v>1048</v>
      </c>
      <c r="B1053" s="11" t="str">
        <f>"00079203"</f>
        <v>00079203</v>
      </c>
    </row>
    <row r="1054" spans="1:2" x14ac:dyDescent="0.25">
      <c r="A1054" s="2">
        <v>1049</v>
      </c>
      <c r="B1054" s="11" t="str">
        <f>"00079232"</f>
        <v>00079232</v>
      </c>
    </row>
    <row r="1055" spans="1:2" x14ac:dyDescent="0.25">
      <c r="A1055" s="2">
        <v>1050</v>
      </c>
      <c r="B1055" s="11" t="str">
        <f>"00079259"</f>
        <v>00079259</v>
      </c>
    </row>
    <row r="1056" spans="1:2" x14ac:dyDescent="0.25">
      <c r="A1056" s="2">
        <v>1051</v>
      </c>
      <c r="B1056" s="11" t="str">
        <f>"00079291"</f>
        <v>00079291</v>
      </c>
    </row>
    <row r="1057" spans="1:2" x14ac:dyDescent="0.25">
      <c r="A1057" s="2">
        <v>1052</v>
      </c>
      <c r="B1057" s="11" t="str">
        <f>"00079293"</f>
        <v>00079293</v>
      </c>
    </row>
    <row r="1058" spans="1:2" x14ac:dyDescent="0.25">
      <c r="A1058" s="2">
        <v>1053</v>
      </c>
      <c r="B1058" s="11" t="str">
        <f>"00079295"</f>
        <v>00079295</v>
      </c>
    </row>
    <row r="1059" spans="1:2" x14ac:dyDescent="0.25">
      <c r="A1059" s="2">
        <v>1054</v>
      </c>
      <c r="B1059" s="11" t="str">
        <f>"00079347"</f>
        <v>00079347</v>
      </c>
    </row>
    <row r="1060" spans="1:2" x14ac:dyDescent="0.25">
      <c r="A1060" s="2">
        <v>1055</v>
      </c>
      <c r="B1060" s="11" t="str">
        <f>"00079362"</f>
        <v>00079362</v>
      </c>
    </row>
    <row r="1061" spans="1:2" x14ac:dyDescent="0.25">
      <c r="A1061" s="2">
        <v>1056</v>
      </c>
      <c r="B1061" s="11" t="str">
        <f>"00079390"</f>
        <v>00079390</v>
      </c>
    </row>
    <row r="1062" spans="1:2" x14ac:dyDescent="0.25">
      <c r="A1062" s="2">
        <v>1057</v>
      </c>
      <c r="B1062" s="11" t="str">
        <f>"00079491"</f>
        <v>00079491</v>
      </c>
    </row>
    <row r="1063" spans="1:2" x14ac:dyDescent="0.25">
      <c r="A1063" s="2">
        <v>1058</v>
      </c>
      <c r="B1063" s="11" t="str">
        <f>"00079611"</f>
        <v>00079611</v>
      </c>
    </row>
    <row r="1064" spans="1:2" x14ac:dyDescent="0.25">
      <c r="A1064" s="2">
        <v>1059</v>
      </c>
      <c r="B1064" s="11" t="str">
        <f>"00079627"</f>
        <v>00079627</v>
      </c>
    </row>
    <row r="1065" spans="1:2" x14ac:dyDescent="0.25">
      <c r="A1065" s="2">
        <v>1060</v>
      </c>
      <c r="B1065" s="11" t="str">
        <f>"00079838"</f>
        <v>00079838</v>
      </c>
    </row>
    <row r="1066" spans="1:2" x14ac:dyDescent="0.25">
      <c r="A1066" s="2">
        <v>1061</v>
      </c>
      <c r="B1066" s="11" t="str">
        <f>"00079867"</f>
        <v>00079867</v>
      </c>
    </row>
    <row r="1067" spans="1:2" x14ac:dyDescent="0.25">
      <c r="A1067" s="2">
        <v>1062</v>
      </c>
      <c r="B1067" s="11" t="str">
        <f>"00079881"</f>
        <v>00079881</v>
      </c>
    </row>
    <row r="1068" spans="1:2" x14ac:dyDescent="0.25">
      <c r="A1068" s="2">
        <v>1063</v>
      </c>
      <c r="B1068" s="11" t="str">
        <f>"00079897"</f>
        <v>00079897</v>
      </c>
    </row>
    <row r="1069" spans="1:2" x14ac:dyDescent="0.25">
      <c r="A1069" s="2">
        <v>1064</v>
      </c>
      <c r="B1069" s="11" t="str">
        <f>"00079904"</f>
        <v>00079904</v>
      </c>
    </row>
    <row r="1070" spans="1:2" x14ac:dyDescent="0.25">
      <c r="A1070" s="2">
        <v>1065</v>
      </c>
      <c r="B1070" s="11" t="str">
        <f>"00080175"</f>
        <v>00080175</v>
      </c>
    </row>
    <row r="1071" spans="1:2" x14ac:dyDescent="0.25">
      <c r="A1071" s="2">
        <v>1066</v>
      </c>
      <c r="B1071" s="11" t="str">
        <f>"00080264"</f>
        <v>00080264</v>
      </c>
    </row>
    <row r="1072" spans="1:2" x14ac:dyDescent="0.25">
      <c r="A1072" s="2">
        <v>1067</v>
      </c>
      <c r="B1072" s="11" t="str">
        <f>"00080403"</f>
        <v>00080403</v>
      </c>
    </row>
    <row r="1073" spans="1:2" x14ac:dyDescent="0.25">
      <c r="A1073" s="2">
        <v>1068</v>
      </c>
      <c r="B1073" s="11" t="str">
        <f>"00080404"</f>
        <v>00080404</v>
      </c>
    </row>
    <row r="1074" spans="1:2" x14ac:dyDescent="0.25">
      <c r="A1074" s="2">
        <v>1069</v>
      </c>
      <c r="B1074" s="11" t="str">
        <f>"00080416"</f>
        <v>00080416</v>
      </c>
    </row>
    <row r="1075" spans="1:2" x14ac:dyDescent="0.25">
      <c r="A1075" s="2">
        <v>1070</v>
      </c>
      <c r="B1075" s="11" t="str">
        <f>"00080456"</f>
        <v>00080456</v>
      </c>
    </row>
    <row r="1076" spans="1:2" x14ac:dyDescent="0.25">
      <c r="A1076" s="2">
        <v>1071</v>
      </c>
      <c r="B1076" s="11" t="str">
        <f>"00080487"</f>
        <v>00080487</v>
      </c>
    </row>
    <row r="1077" spans="1:2" x14ac:dyDescent="0.25">
      <c r="A1077" s="2">
        <v>1072</v>
      </c>
      <c r="B1077" s="11" t="str">
        <f>"00080502"</f>
        <v>00080502</v>
      </c>
    </row>
    <row r="1078" spans="1:2" x14ac:dyDescent="0.25">
      <c r="A1078" s="2">
        <v>1073</v>
      </c>
      <c r="B1078" s="11" t="str">
        <f>"00080504"</f>
        <v>00080504</v>
      </c>
    </row>
    <row r="1079" spans="1:2" x14ac:dyDescent="0.25">
      <c r="A1079" s="2">
        <v>1074</v>
      </c>
      <c r="B1079" s="11" t="str">
        <f>"00080645"</f>
        <v>00080645</v>
      </c>
    </row>
    <row r="1080" spans="1:2" x14ac:dyDescent="0.25">
      <c r="A1080" s="2">
        <v>1075</v>
      </c>
      <c r="B1080" s="11" t="str">
        <f>"00080903"</f>
        <v>00080903</v>
      </c>
    </row>
    <row r="1081" spans="1:2" x14ac:dyDescent="0.25">
      <c r="A1081" s="2">
        <v>1076</v>
      </c>
      <c r="B1081" s="11" t="str">
        <f>"00080931"</f>
        <v>00080931</v>
      </c>
    </row>
    <row r="1082" spans="1:2" x14ac:dyDescent="0.25">
      <c r="A1082" s="2">
        <v>1077</v>
      </c>
      <c r="B1082" s="11" t="str">
        <f>"00081001"</f>
        <v>00081001</v>
      </c>
    </row>
    <row r="1083" spans="1:2" x14ac:dyDescent="0.25">
      <c r="A1083" s="2">
        <v>1078</v>
      </c>
      <c r="B1083" s="11" t="str">
        <f>"00081151"</f>
        <v>00081151</v>
      </c>
    </row>
    <row r="1084" spans="1:2" x14ac:dyDescent="0.25">
      <c r="A1084" s="2">
        <v>1079</v>
      </c>
      <c r="B1084" s="11" t="str">
        <f>"00081169"</f>
        <v>00081169</v>
      </c>
    </row>
    <row r="1085" spans="1:2" x14ac:dyDescent="0.25">
      <c r="A1085" s="2">
        <v>1080</v>
      </c>
      <c r="B1085" s="11" t="str">
        <f>"00081196"</f>
        <v>00081196</v>
      </c>
    </row>
    <row r="1086" spans="1:2" x14ac:dyDescent="0.25">
      <c r="A1086" s="2">
        <v>1081</v>
      </c>
      <c r="B1086" s="11" t="str">
        <f>"00081255"</f>
        <v>00081255</v>
      </c>
    </row>
    <row r="1087" spans="1:2" x14ac:dyDescent="0.25">
      <c r="A1087" s="2">
        <v>1082</v>
      </c>
      <c r="B1087" s="11" t="str">
        <f>"00081410"</f>
        <v>00081410</v>
      </c>
    </row>
    <row r="1088" spans="1:2" x14ac:dyDescent="0.25">
      <c r="A1088" s="2">
        <v>1083</v>
      </c>
      <c r="B1088" s="11" t="str">
        <f>"00081634"</f>
        <v>00081634</v>
      </c>
    </row>
    <row r="1089" spans="1:2" x14ac:dyDescent="0.25">
      <c r="A1089" s="2">
        <v>1084</v>
      </c>
      <c r="B1089" s="11" t="str">
        <f>"00081853"</f>
        <v>00081853</v>
      </c>
    </row>
    <row r="1090" spans="1:2" x14ac:dyDescent="0.25">
      <c r="A1090" s="2">
        <v>1085</v>
      </c>
      <c r="B1090" s="11" t="str">
        <f>"00081873"</f>
        <v>00081873</v>
      </c>
    </row>
    <row r="1091" spans="1:2" x14ac:dyDescent="0.25">
      <c r="A1091" s="2">
        <v>1086</v>
      </c>
      <c r="B1091" s="11" t="str">
        <f>"00081901"</f>
        <v>00081901</v>
      </c>
    </row>
    <row r="1092" spans="1:2" x14ac:dyDescent="0.25">
      <c r="A1092" s="2">
        <v>1087</v>
      </c>
      <c r="B1092" s="11" t="str">
        <f>"00081977"</f>
        <v>00081977</v>
      </c>
    </row>
    <row r="1093" spans="1:2" x14ac:dyDescent="0.25">
      <c r="A1093" s="2">
        <v>1088</v>
      </c>
      <c r="B1093" s="11" t="str">
        <f>"00082094"</f>
        <v>00082094</v>
      </c>
    </row>
    <row r="1094" spans="1:2" x14ac:dyDescent="0.25">
      <c r="A1094" s="2">
        <v>1089</v>
      </c>
      <c r="B1094" s="11" t="str">
        <f>"00082163"</f>
        <v>00082163</v>
      </c>
    </row>
    <row r="1095" spans="1:2" x14ac:dyDescent="0.25">
      <c r="A1095" s="2">
        <v>1090</v>
      </c>
      <c r="B1095" s="11" t="str">
        <f>"00082733"</f>
        <v>00082733</v>
      </c>
    </row>
    <row r="1096" spans="1:2" x14ac:dyDescent="0.25">
      <c r="A1096" s="2">
        <v>1091</v>
      </c>
      <c r="B1096" s="11" t="str">
        <f>"00082791"</f>
        <v>00082791</v>
      </c>
    </row>
    <row r="1097" spans="1:2" x14ac:dyDescent="0.25">
      <c r="A1097" s="2">
        <v>1092</v>
      </c>
      <c r="B1097" s="11" t="str">
        <f>"00082806"</f>
        <v>00082806</v>
      </c>
    </row>
    <row r="1098" spans="1:2" x14ac:dyDescent="0.25">
      <c r="A1098" s="2">
        <v>1093</v>
      </c>
      <c r="B1098" s="11" t="str">
        <f>"00082850"</f>
        <v>00082850</v>
      </c>
    </row>
    <row r="1099" spans="1:2" x14ac:dyDescent="0.25">
      <c r="A1099" s="2">
        <v>1094</v>
      </c>
      <c r="B1099" s="11" t="str">
        <f>"00082944"</f>
        <v>00082944</v>
      </c>
    </row>
    <row r="1100" spans="1:2" x14ac:dyDescent="0.25">
      <c r="A1100" s="2">
        <v>1095</v>
      </c>
      <c r="B1100" s="11" t="str">
        <f>"00082945"</f>
        <v>00082945</v>
      </c>
    </row>
    <row r="1101" spans="1:2" x14ac:dyDescent="0.25">
      <c r="A1101" s="2">
        <v>1096</v>
      </c>
      <c r="B1101" s="11" t="str">
        <f>"00083088"</f>
        <v>00083088</v>
      </c>
    </row>
    <row r="1102" spans="1:2" x14ac:dyDescent="0.25">
      <c r="A1102" s="2">
        <v>1097</v>
      </c>
      <c r="B1102" s="11" t="str">
        <f>"00083094"</f>
        <v>00083094</v>
      </c>
    </row>
    <row r="1103" spans="1:2" x14ac:dyDescent="0.25">
      <c r="A1103" s="2">
        <v>1098</v>
      </c>
      <c r="B1103" s="11" t="str">
        <f>"00083208"</f>
        <v>00083208</v>
      </c>
    </row>
    <row r="1104" spans="1:2" x14ac:dyDescent="0.25">
      <c r="A1104" s="2">
        <v>1099</v>
      </c>
      <c r="B1104" s="11" t="str">
        <f>"00083249"</f>
        <v>00083249</v>
      </c>
    </row>
    <row r="1105" spans="1:2" x14ac:dyDescent="0.25">
      <c r="A1105" s="2">
        <v>1100</v>
      </c>
      <c r="B1105" s="11" t="str">
        <f>"00083255"</f>
        <v>00083255</v>
      </c>
    </row>
    <row r="1106" spans="1:2" x14ac:dyDescent="0.25">
      <c r="A1106" s="2">
        <v>1101</v>
      </c>
      <c r="B1106" s="11" t="str">
        <f>"00083264"</f>
        <v>00083264</v>
      </c>
    </row>
    <row r="1107" spans="1:2" x14ac:dyDescent="0.25">
      <c r="A1107" s="2">
        <v>1102</v>
      </c>
      <c r="B1107" s="11" t="str">
        <f>"00083265"</f>
        <v>00083265</v>
      </c>
    </row>
    <row r="1108" spans="1:2" x14ac:dyDescent="0.25">
      <c r="A1108" s="2">
        <v>1103</v>
      </c>
      <c r="B1108" s="11" t="str">
        <f>"00083279"</f>
        <v>00083279</v>
      </c>
    </row>
    <row r="1109" spans="1:2" x14ac:dyDescent="0.25">
      <c r="A1109" s="2">
        <v>1104</v>
      </c>
      <c r="B1109" s="11" t="str">
        <f>"00083282"</f>
        <v>00083282</v>
      </c>
    </row>
    <row r="1110" spans="1:2" x14ac:dyDescent="0.25">
      <c r="A1110" s="2">
        <v>1105</v>
      </c>
      <c r="B1110" s="11" t="str">
        <f>"00083295"</f>
        <v>00083295</v>
      </c>
    </row>
    <row r="1111" spans="1:2" x14ac:dyDescent="0.25">
      <c r="A1111" s="2">
        <v>1106</v>
      </c>
      <c r="B1111" s="11" t="str">
        <f>"00083352"</f>
        <v>00083352</v>
      </c>
    </row>
    <row r="1112" spans="1:2" x14ac:dyDescent="0.25">
      <c r="A1112" s="2">
        <v>1107</v>
      </c>
      <c r="B1112" s="11" t="str">
        <f>"00083392"</f>
        <v>00083392</v>
      </c>
    </row>
    <row r="1113" spans="1:2" x14ac:dyDescent="0.25">
      <c r="A1113" s="2">
        <v>1108</v>
      </c>
      <c r="B1113" s="11" t="str">
        <f>"00083418"</f>
        <v>00083418</v>
      </c>
    </row>
    <row r="1114" spans="1:2" x14ac:dyDescent="0.25">
      <c r="A1114" s="2">
        <v>1109</v>
      </c>
      <c r="B1114" s="11" t="str">
        <f>"00083424"</f>
        <v>00083424</v>
      </c>
    </row>
    <row r="1115" spans="1:2" x14ac:dyDescent="0.25">
      <c r="A1115" s="2">
        <v>1110</v>
      </c>
      <c r="B1115" s="11" t="str">
        <f>"00083442"</f>
        <v>00083442</v>
      </c>
    </row>
    <row r="1116" spans="1:2" x14ac:dyDescent="0.25">
      <c r="A1116" s="2">
        <v>1111</v>
      </c>
      <c r="B1116" s="11" t="str">
        <f>"00083492"</f>
        <v>00083492</v>
      </c>
    </row>
    <row r="1117" spans="1:2" x14ac:dyDescent="0.25">
      <c r="A1117" s="2">
        <v>1112</v>
      </c>
      <c r="B1117" s="11" t="str">
        <f>"00083500"</f>
        <v>00083500</v>
      </c>
    </row>
    <row r="1118" spans="1:2" x14ac:dyDescent="0.25">
      <c r="A1118" s="2">
        <v>1113</v>
      </c>
      <c r="B1118" s="11" t="str">
        <f>"00083513"</f>
        <v>00083513</v>
      </c>
    </row>
    <row r="1119" spans="1:2" x14ac:dyDescent="0.25">
      <c r="A1119" s="2">
        <v>1114</v>
      </c>
      <c r="B1119" s="11" t="str">
        <f>"00083523"</f>
        <v>00083523</v>
      </c>
    </row>
    <row r="1120" spans="1:2" x14ac:dyDescent="0.25">
      <c r="A1120" s="2">
        <v>1115</v>
      </c>
      <c r="B1120" s="11" t="str">
        <f>"00083540"</f>
        <v>00083540</v>
      </c>
    </row>
    <row r="1121" spans="1:2" x14ac:dyDescent="0.25">
      <c r="A1121" s="2">
        <v>1116</v>
      </c>
      <c r="B1121" s="11" t="str">
        <f>"00083558"</f>
        <v>00083558</v>
      </c>
    </row>
    <row r="1122" spans="1:2" x14ac:dyDescent="0.25">
      <c r="A1122" s="2">
        <v>1117</v>
      </c>
      <c r="B1122" s="11" t="str">
        <f>"00083602"</f>
        <v>00083602</v>
      </c>
    </row>
    <row r="1123" spans="1:2" x14ac:dyDescent="0.25">
      <c r="A1123" s="2">
        <v>1118</v>
      </c>
      <c r="B1123" s="11" t="str">
        <f>"00083614"</f>
        <v>00083614</v>
      </c>
    </row>
    <row r="1124" spans="1:2" x14ac:dyDescent="0.25">
      <c r="A1124" s="2">
        <v>1119</v>
      </c>
      <c r="B1124" s="11" t="str">
        <f>"00083617"</f>
        <v>00083617</v>
      </c>
    </row>
    <row r="1125" spans="1:2" x14ac:dyDescent="0.25">
      <c r="A1125" s="2">
        <v>1120</v>
      </c>
      <c r="B1125" s="11" t="str">
        <f>"00083665"</f>
        <v>00083665</v>
      </c>
    </row>
    <row r="1126" spans="1:2" x14ac:dyDescent="0.25">
      <c r="A1126" s="2">
        <v>1121</v>
      </c>
      <c r="B1126" s="11" t="str">
        <f>"00083787"</f>
        <v>00083787</v>
      </c>
    </row>
    <row r="1127" spans="1:2" x14ac:dyDescent="0.25">
      <c r="A1127" s="2">
        <v>1122</v>
      </c>
      <c r="B1127" s="11" t="str">
        <f>"00083827"</f>
        <v>00083827</v>
      </c>
    </row>
    <row r="1128" spans="1:2" x14ac:dyDescent="0.25">
      <c r="A1128" s="2">
        <v>1123</v>
      </c>
      <c r="B1128" s="11" t="str">
        <f>"00083880"</f>
        <v>00083880</v>
      </c>
    </row>
    <row r="1129" spans="1:2" x14ac:dyDescent="0.25">
      <c r="A1129" s="2">
        <v>1124</v>
      </c>
      <c r="B1129" s="11" t="str">
        <f>"00083992"</f>
        <v>00083992</v>
      </c>
    </row>
    <row r="1130" spans="1:2" x14ac:dyDescent="0.25">
      <c r="A1130" s="2">
        <v>1125</v>
      </c>
      <c r="B1130" s="11" t="str">
        <f>"00084043"</f>
        <v>00084043</v>
      </c>
    </row>
    <row r="1131" spans="1:2" x14ac:dyDescent="0.25">
      <c r="A1131" s="2">
        <v>1126</v>
      </c>
      <c r="B1131" s="11" t="str">
        <f>"00084182"</f>
        <v>00084182</v>
      </c>
    </row>
    <row r="1132" spans="1:2" x14ac:dyDescent="0.25">
      <c r="A1132" s="2">
        <v>1127</v>
      </c>
      <c r="B1132" s="11" t="str">
        <f>"00084190"</f>
        <v>00084190</v>
      </c>
    </row>
    <row r="1133" spans="1:2" x14ac:dyDescent="0.25">
      <c r="A1133" s="2">
        <v>1128</v>
      </c>
      <c r="B1133" s="11" t="str">
        <f>"00084201"</f>
        <v>00084201</v>
      </c>
    </row>
    <row r="1134" spans="1:2" x14ac:dyDescent="0.25">
      <c r="A1134" s="2">
        <v>1129</v>
      </c>
      <c r="B1134" s="11" t="str">
        <f>"00084282"</f>
        <v>00084282</v>
      </c>
    </row>
    <row r="1135" spans="1:2" x14ac:dyDescent="0.25">
      <c r="A1135" s="2">
        <v>1130</v>
      </c>
      <c r="B1135" s="11" t="str">
        <f>"00084286"</f>
        <v>00084286</v>
      </c>
    </row>
    <row r="1136" spans="1:2" x14ac:dyDescent="0.25">
      <c r="A1136" s="2">
        <v>1131</v>
      </c>
      <c r="B1136" s="11" t="str">
        <f>"00084373"</f>
        <v>00084373</v>
      </c>
    </row>
    <row r="1137" spans="1:2" x14ac:dyDescent="0.25">
      <c r="A1137" s="2">
        <v>1132</v>
      </c>
      <c r="B1137" s="11" t="str">
        <f>"00084442"</f>
        <v>00084442</v>
      </c>
    </row>
    <row r="1138" spans="1:2" x14ac:dyDescent="0.25">
      <c r="A1138" s="2">
        <v>1133</v>
      </c>
      <c r="B1138" s="11" t="str">
        <f>"00084480"</f>
        <v>00084480</v>
      </c>
    </row>
    <row r="1139" spans="1:2" x14ac:dyDescent="0.25">
      <c r="A1139" s="2">
        <v>1134</v>
      </c>
      <c r="B1139" s="11" t="str">
        <f>"00084496"</f>
        <v>00084496</v>
      </c>
    </row>
    <row r="1140" spans="1:2" x14ac:dyDescent="0.25">
      <c r="A1140" s="2">
        <v>1135</v>
      </c>
      <c r="B1140" s="11" t="str">
        <f>"00084519"</f>
        <v>00084519</v>
      </c>
    </row>
    <row r="1141" spans="1:2" x14ac:dyDescent="0.25">
      <c r="A1141" s="2">
        <v>1136</v>
      </c>
      <c r="B1141" s="11" t="str">
        <f>"00084537"</f>
        <v>00084537</v>
      </c>
    </row>
    <row r="1142" spans="1:2" x14ac:dyDescent="0.25">
      <c r="A1142" s="2">
        <v>1137</v>
      </c>
      <c r="B1142" s="11" t="str">
        <f>"00084563"</f>
        <v>00084563</v>
      </c>
    </row>
    <row r="1143" spans="1:2" x14ac:dyDescent="0.25">
      <c r="A1143" s="2">
        <v>1138</v>
      </c>
      <c r="B1143" s="11" t="str">
        <f>"00084626"</f>
        <v>00084626</v>
      </c>
    </row>
    <row r="1144" spans="1:2" x14ac:dyDescent="0.25">
      <c r="A1144" s="2">
        <v>1139</v>
      </c>
      <c r="B1144" s="11" t="str">
        <f>"00084699"</f>
        <v>00084699</v>
      </c>
    </row>
    <row r="1145" spans="1:2" x14ac:dyDescent="0.25">
      <c r="A1145" s="2">
        <v>1140</v>
      </c>
      <c r="B1145" s="11" t="str">
        <f>"00084716"</f>
        <v>00084716</v>
      </c>
    </row>
    <row r="1146" spans="1:2" x14ac:dyDescent="0.25">
      <c r="A1146" s="2">
        <v>1141</v>
      </c>
      <c r="B1146" s="11" t="str">
        <f>"00084727"</f>
        <v>00084727</v>
      </c>
    </row>
    <row r="1147" spans="1:2" x14ac:dyDescent="0.25">
      <c r="A1147" s="2">
        <v>1142</v>
      </c>
      <c r="B1147" s="11" t="str">
        <f>"00084730"</f>
        <v>00084730</v>
      </c>
    </row>
    <row r="1148" spans="1:2" x14ac:dyDescent="0.25">
      <c r="A1148" s="2">
        <v>1143</v>
      </c>
      <c r="B1148" s="11" t="str">
        <f>"00084869"</f>
        <v>00084869</v>
      </c>
    </row>
    <row r="1149" spans="1:2" x14ac:dyDescent="0.25">
      <c r="A1149" s="2">
        <v>1144</v>
      </c>
      <c r="B1149" s="11" t="str">
        <f>"00085167"</f>
        <v>00085167</v>
      </c>
    </row>
    <row r="1150" spans="1:2" x14ac:dyDescent="0.25">
      <c r="A1150" s="2">
        <v>1145</v>
      </c>
      <c r="B1150" s="11" t="str">
        <f>"00085177"</f>
        <v>00085177</v>
      </c>
    </row>
    <row r="1151" spans="1:2" x14ac:dyDescent="0.25">
      <c r="A1151" s="2">
        <v>1146</v>
      </c>
      <c r="B1151" s="11" t="str">
        <f>"00085251"</f>
        <v>00085251</v>
      </c>
    </row>
    <row r="1152" spans="1:2" x14ac:dyDescent="0.25">
      <c r="A1152" s="2">
        <v>1147</v>
      </c>
      <c r="B1152" s="11" t="str">
        <f>"00085271"</f>
        <v>00085271</v>
      </c>
    </row>
    <row r="1153" spans="1:2" x14ac:dyDescent="0.25">
      <c r="A1153" s="2">
        <v>1148</v>
      </c>
      <c r="B1153" s="11" t="str">
        <f>"00085285"</f>
        <v>00085285</v>
      </c>
    </row>
    <row r="1154" spans="1:2" x14ac:dyDescent="0.25">
      <c r="A1154" s="2">
        <v>1149</v>
      </c>
      <c r="B1154" s="11" t="str">
        <f>"00085303"</f>
        <v>00085303</v>
      </c>
    </row>
    <row r="1155" spans="1:2" x14ac:dyDescent="0.25">
      <c r="A1155" s="2">
        <v>1150</v>
      </c>
      <c r="B1155" s="11" t="str">
        <f>"00085311"</f>
        <v>00085311</v>
      </c>
    </row>
    <row r="1156" spans="1:2" x14ac:dyDescent="0.25">
      <c r="A1156" s="2">
        <v>1151</v>
      </c>
      <c r="B1156" s="11" t="str">
        <f>"00085326"</f>
        <v>00085326</v>
      </c>
    </row>
    <row r="1157" spans="1:2" x14ac:dyDescent="0.25">
      <c r="A1157" s="2">
        <v>1152</v>
      </c>
      <c r="B1157" s="11" t="str">
        <f>"00085327"</f>
        <v>00085327</v>
      </c>
    </row>
    <row r="1158" spans="1:2" x14ac:dyDescent="0.25">
      <c r="A1158" s="2">
        <v>1153</v>
      </c>
      <c r="B1158" s="11" t="str">
        <f>"00085331"</f>
        <v>00085331</v>
      </c>
    </row>
    <row r="1159" spans="1:2" x14ac:dyDescent="0.25">
      <c r="A1159" s="2">
        <v>1154</v>
      </c>
      <c r="B1159" s="11" t="str">
        <f>"00085378"</f>
        <v>00085378</v>
      </c>
    </row>
    <row r="1160" spans="1:2" x14ac:dyDescent="0.25">
      <c r="A1160" s="2">
        <v>1155</v>
      </c>
      <c r="B1160" s="11" t="str">
        <f>"00085432"</f>
        <v>00085432</v>
      </c>
    </row>
    <row r="1161" spans="1:2" x14ac:dyDescent="0.25">
      <c r="A1161" s="2">
        <v>1156</v>
      </c>
      <c r="B1161" s="11" t="str">
        <f>"00085436"</f>
        <v>00085436</v>
      </c>
    </row>
    <row r="1162" spans="1:2" x14ac:dyDescent="0.25">
      <c r="A1162" s="2">
        <v>1157</v>
      </c>
      <c r="B1162" s="11" t="str">
        <f>"00085464"</f>
        <v>00085464</v>
      </c>
    </row>
    <row r="1163" spans="1:2" x14ac:dyDescent="0.25">
      <c r="A1163" s="2">
        <v>1158</v>
      </c>
      <c r="B1163" s="11" t="str">
        <f>"00085486"</f>
        <v>00085486</v>
      </c>
    </row>
    <row r="1164" spans="1:2" x14ac:dyDescent="0.25">
      <c r="A1164" s="2">
        <v>1159</v>
      </c>
      <c r="B1164" s="11" t="str">
        <f>"00085622"</f>
        <v>00085622</v>
      </c>
    </row>
    <row r="1165" spans="1:2" x14ac:dyDescent="0.25">
      <c r="A1165" s="2">
        <v>1160</v>
      </c>
      <c r="B1165" s="11" t="str">
        <f>"00085751"</f>
        <v>00085751</v>
      </c>
    </row>
    <row r="1166" spans="1:2" x14ac:dyDescent="0.25">
      <c r="A1166" s="2">
        <v>1161</v>
      </c>
      <c r="B1166" s="11" t="str">
        <f>"00085876"</f>
        <v>00085876</v>
      </c>
    </row>
    <row r="1167" spans="1:2" x14ac:dyDescent="0.25">
      <c r="A1167" s="2">
        <v>1162</v>
      </c>
      <c r="B1167" s="11" t="str">
        <f>"00085899"</f>
        <v>00085899</v>
      </c>
    </row>
    <row r="1168" spans="1:2" x14ac:dyDescent="0.25">
      <c r="A1168" s="2">
        <v>1163</v>
      </c>
      <c r="B1168" s="11" t="str">
        <f>"00085900"</f>
        <v>00085900</v>
      </c>
    </row>
    <row r="1169" spans="1:2" x14ac:dyDescent="0.25">
      <c r="A1169" s="2">
        <v>1164</v>
      </c>
      <c r="B1169" s="11" t="str">
        <f>"00085902"</f>
        <v>00085902</v>
      </c>
    </row>
    <row r="1170" spans="1:2" x14ac:dyDescent="0.25">
      <c r="A1170" s="2">
        <v>1165</v>
      </c>
      <c r="B1170" s="11" t="str">
        <f>"00085962"</f>
        <v>00085962</v>
      </c>
    </row>
    <row r="1171" spans="1:2" x14ac:dyDescent="0.25">
      <c r="A1171" s="2">
        <v>1166</v>
      </c>
      <c r="B1171" s="11" t="str">
        <f>"00086064"</f>
        <v>00086064</v>
      </c>
    </row>
    <row r="1172" spans="1:2" x14ac:dyDescent="0.25">
      <c r="A1172" s="2">
        <v>1167</v>
      </c>
      <c r="B1172" s="11" t="str">
        <f>"00086075"</f>
        <v>00086075</v>
      </c>
    </row>
    <row r="1173" spans="1:2" x14ac:dyDescent="0.25">
      <c r="A1173" s="2">
        <v>1168</v>
      </c>
      <c r="B1173" s="11" t="str">
        <f>"00086126"</f>
        <v>00086126</v>
      </c>
    </row>
    <row r="1174" spans="1:2" x14ac:dyDescent="0.25">
      <c r="A1174" s="2">
        <v>1169</v>
      </c>
      <c r="B1174" s="11" t="str">
        <f>"00086155"</f>
        <v>00086155</v>
      </c>
    </row>
    <row r="1175" spans="1:2" x14ac:dyDescent="0.25">
      <c r="A1175" s="2">
        <v>1170</v>
      </c>
      <c r="B1175" s="11" t="str">
        <f>"00086304"</f>
        <v>00086304</v>
      </c>
    </row>
    <row r="1176" spans="1:2" x14ac:dyDescent="0.25">
      <c r="A1176" s="2">
        <v>1171</v>
      </c>
      <c r="B1176" s="11" t="str">
        <f>"00086357"</f>
        <v>00086357</v>
      </c>
    </row>
    <row r="1177" spans="1:2" x14ac:dyDescent="0.25">
      <c r="A1177" s="2">
        <v>1172</v>
      </c>
      <c r="B1177" s="11" t="str">
        <f>"00086382"</f>
        <v>00086382</v>
      </c>
    </row>
    <row r="1178" spans="1:2" x14ac:dyDescent="0.25">
      <c r="A1178" s="2">
        <v>1173</v>
      </c>
      <c r="B1178" s="11" t="str">
        <f>"00086453"</f>
        <v>00086453</v>
      </c>
    </row>
    <row r="1179" spans="1:2" x14ac:dyDescent="0.25">
      <c r="A1179" s="2">
        <v>1174</v>
      </c>
      <c r="B1179" s="11" t="str">
        <f>"00086477"</f>
        <v>00086477</v>
      </c>
    </row>
    <row r="1180" spans="1:2" x14ac:dyDescent="0.25">
      <c r="A1180" s="2">
        <v>1175</v>
      </c>
      <c r="B1180" s="11" t="str">
        <f>"00086520"</f>
        <v>00086520</v>
      </c>
    </row>
    <row r="1181" spans="1:2" x14ac:dyDescent="0.25">
      <c r="A1181" s="2">
        <v>1176</v>
      </c>
      <c r="B1181" s="11" t="str">
        <f>"00086577"</f>
        <v>00086577</v>
      </c>
    </row>
    <row r="1182" spans="1:2" x14ac:dyDescent="0.25">
      <c r="A1182" s="2">
        <v>1177</v>
      </c>
      <c r="B1182" s="11" t="str">
        <f>"00086593"</f>
        <v>00086593</v>
      </c>
    </row>
    <row r="1183" spans="1:2" x14ac:dyDescent="0.25">
      <c r="A1183" s="2">
        <v>1178</v>
      </c>
      <c r="B1183" s="11" t="str">
        <f>"00086640"</f>
        <v>00086640</v>
      </c>
    </row>
    <row r="1184" spans="1:2" x14ac:dyDescent="0.25">
      <c r="A1184" s="2">
        <v>1179</v>
      </c>
      <c r="B1184" s="11" t="str">
        <f>"00086652"</f>
        <v>00086652</v>
      </c>
    </row>
    <row r="1185" spans="1:2" x14ac:dyDescent="0.25">
      <c r="A1185" s="2">
        <v>1180</v>
      </c>
      <c r="B1185" s="11" t="str">
        <f>"00086776"</f>
        <v>00086776</v>
      </c>
    </row>
    <row r="1186" spans="1:2" x14ac:dyDescent="0.25">
      <c r="A1186" s="2">
        <v>1181</v>
      </c>
      <c r="B1186" s="11" t="str">
        <f>"00086826"</f>
        <v>00086826</v>
      </c>
    </row>
    <row r="1187" spans="1:2" x14ac:dyDescent="0.25">
      <c r="A1187" s="2">
        <v>1182</v>
      </c>
      <c r="B1187" s="11" t="str">
        <f>"00086870"</f>
        <v>00086870</v>
      </c>
    </row>
    <row r="1188" spans="1:2" x14ac:dyDescent="0.25">
      <c r="A1188" s="2">
        <v>1183</v>
      </c>
      <c r="B1188" s="11" t="str">
        <f>"00086891"</f>
        <v>00086891</v>
      </c>
    </row>
    <row r="1189" spans="1:2" x14ac:dyDescent="0.25">
      <c r="A1189" s="2">
        <v>1184</v>
      </c>
      <c r="B1189" s="11" t="str">
        <f>"00086931"</f>
        <v>00086931</v>
      </c>
    </row>
    <row r="1190" spans="1:2" x14ac:dyDescent="0.25">
      <c r="A1190" s="2">
        <v>1185</v>
      </c>
      <c r="B1190" s="11" t="str">
        <f>"00087015"</f>
        <v>00087015</v>
      </c>
    </row>
    <row r="1191" spans="1:2" x14ac:dyDescent="0.25">
      <c r="A1191" s="2">
        <v>1186</v>
      </c>
      <c r="B1191" s="11" t="str">
        <f>"00087081"</f>
        <v>00087081</v>
      </c>
    </row>
    <row r="1192" spans="1:2" x14ac:dyDescent="0.25">
      <c r="A1192" s="2">
        <v>1187</v>
      </c>
      <c r="B1192" s="11" t="str">
        <f>"00087090"</f>
        <v>00087090</v>
      </c>
    </row>
    <row r="1193" spans="1:2" x14ac:dyDescent="0.25">
      <c r="A1193" s="2">
        <v>1188</v>
      </c>
      <c r="B1193" s="11" t="str">
        <f>"00087101"</f>
        <v>00087101</v>
      </c>
    </row>
    <row r="1194" spans="1:2" x14ac:dyDescent="0.25">
      <c r="A1194" s="2">
        <v>1189</v>
      </c>
      <c r="B1194" s="11" t="str">
        <f>"00087116"</f>
        <v>00087116</v>
      </c>
    </row>
    <row r="1195" spans="1:2" x14ac:dyDescent="0.25">
      <c r="A1195" s="2">
        <v>1190</v>
      </c>
      <c r="B1195" s="11" t="str">
        <f>"00087140"</f>
        <v>00087140</v>
      </c>
    </row>
    <row r="1196" spans="1:2" x14ac:dyDescent="0.25">
      <c r="A1196" s="2">
        <v>1191</v>
      </c>
      <c r="B1196" s="11" t="str">
        <f>"00087208"</f>
        <v>00087208</v>
      </c>
    </row>
    <row r="1197" spans="1:2" x14ac:dyDescent="0.25">
      <c r="A1197" s="2">
        <v>1192</v>
      </c>
      <c r="B1197" s="11" t="str">
        <f>"00087218"</f>
        <v>00087218</v>
      </c>
    </row>
    <row r="1198" spans="1:2" x14ac:dyDescent="0.25">
      <c r="A1198" s="2">
        <v>1193</v>
      </c>
      <c r="B1198" s="11" t="str">
        <f>"00087260"</f>
        <v>00087260</v>
      </c>
    </row>
    <row r="1199" spans="1:2" x14ac:dyDescent="0.25">
      <c r="A1199" s="2">
        <v>1194</v>
      </c>
      <c r="B1199" s="11" t="str">
        <f>"00087309"</f>
        <v>00087309</v>
      </c>
    </row>
    <row r="1200" spans="1:2" x14ac:dyDescent="0.25">
      <c r="A1200" s="2">
        <v>1195</v>
      </c>
      <c r="B1200" s="11" t="str">
        <f>"00087351"</f>
        <v>00087351</v>
      </c>
    </row>
    <row r="1201" spans="1:2" x14ac:dyDescent="0.25">
      <c r="A1201" s="2">
        <v>1196</v>
      </c>
      <c r="B1201" s="11" t="str">
        <f>"00087396"</f>
        <v>00087396</v>
      </c>
    </row>
    <row r="1202" spans="1:2" x14ac:dyDescent="0.25">
      <c r="A1202" s="2">
        <v>1197</v>
      </c>
      <c r="B1202" s="11" t="str">
        <f>"00087424"</f>
        <v>00087424</v>
      </c>
    </row>
    <row r="1203" spans="1:2" x14ac:dyDescent="0.25">
      <c r="A1203" s="2">
        <v>1198</v>
      </c>
      <c r="B1203" s="11" t="str">
        <f>"00087440"</f>
        <v>00087440</v>
      </c>
    </row>
    <row r="1204" spans="1:2" x14ac:dyDescent="0.25">
      <c r="A1204" s="2">
        <v>1199</v>
      </c>
      <c r="B1204" s="11" t="str">
        <f>"00087514"</f>
        <v>00087514</v>
      </c>
    </row>
    <row r="1205" spans="1:2" x14ac:dyDescent="0.25">
      <c r="A1205" s="2">
        <v>1200</v>
      </c>
      <c r="B1205" s="11" t="str">
        <f>"00087519"</f>
        <v>00087519</v>
      </c>
    </row>
    <row r="1206" spans="1:2" x14ac:dyDescent="0.25">
      <c r="A1206" s="2">
        <v>1201</v>
      </c>
      <c r="B1206" s="11" t="str">
        <f>"00087530"</f>
        <v>00087530</v>
      </c>
    </row>
    <row r="1207" spans="1:2" x14ac:dyDescent="0.25">
      <c r="A1207" s="2">
        <v>1202</v>
      </c>
      <c r="B1207" s="11" t="str">
        <f>"00087550"</f>
        <v>00087550</v>
      </c>
    </row>
    <row r="1208" spans="1:2" x14ac:dyDescent="0.25">
      <c r="A1208" s="2">
        <v>1203</v>
      </c>
      <c r="B1208" s="11" t="str">
        <f>"00087580"</f>
        <v>00087580</v>
      </c>
    </row>
    <row r="1209" spans="1:2" x14ac:dyDescent="0.25">
      <c r="A1209" s="2">
        <v>1204</v>
      </c>
      <c r="B1209" s="11" t="str">
        <f>"00087761"</f>
        <v>00087761</v>
      </c>
    </row>
    <row r="1210" spans="1:2" x14ac:dyDescent="0.25">
      <c r="A1210" s="2">
        <v>1205</v>
      </c>
      <c r="B1210" s="11" t="str">
        <f>"00087885"</f>
        <v>00087885</v>
      </c>
    </row>
    <row r="1211" spans="1:2" x14ac:dyDescent="0.25">
      <c r="A1211" s="2">
        <v>1206</v>
      </c>
      <c r="B1211" s="11" t="str">
        <f>"00087913"</f>
        <v>00087913</v>
      </c>
    </row>
    <row r="1212" spans="1:2" x14ac:dyDescent="0.25">
      <c r="A1212" s="2">
        <v>1207</v>
      </c>
      <c r="B1212" s="11" t="str">
        <f>"00087920"</f>
        <v>00087920</v>
      </c>
    </row>
    <row r="1213" spans="1:2" x14ac:dyDescent="0.25">
      <c r="A1213" s="2">
        <v>1208</v>
      </c>
      <c r="B1213" s="11" t="str">
        <f>"00087935"</f>
        <v>00087935</v>
      </c>
    </row>
    <row r="1214" spans="1:2" x14ac:dyDescent="0.25">
      <c r="A1214" s="2">
        <v>1209</v>
      </c>
      <c r="B1214" s="11" t="str">
        <f>"00088097"</f>
        <v>00088097</v>
      </c>
    </row>
    <row r="1215" spans="1:2" x14ac:dyDescent="0.25">
      <c r="A1215" s="2">
        <v>1210</v>
      </c>
      <c r="B1215" s="11" t="str">
        <f>"00088148"</f>
        <v>00088148</v>
      </c>
    </row>
    <row r="1216" spans="1:2" x14ac:dyDescent="0.25">
      <c r="A1216" s="2">
        <v>1211</v>
      </c>
      <c r="B1216" s="11" t="str">
        <f>"00088219"</f>
        <v>00088219</v>
      </c>
    </row>
    <row r="1217" spans="1:2" x14ac:dyDescent="0.25">
      <c r="A1217" s="2">
        <v>1212</v>
      </c>
      <c r="B1217" s="11" t="str">
        <f>"00088220"</f>
        <v>00088220</v>
      </c>
    </row>
    <row r="1218" spans="1:2" x14ac:dyDescent="0.25">
      <c r="A1218" s="2">
        <v>1213</v>
      </c>
      <c r="B1218" s="11" t="str">
        <f>"00088223"</f>
        <v>00088223</v>
      </c>
    </row>
    <row r="1219" spans="1:2" x14ac:dyDescent="0.25">
      <c r="A1219" s="2">
        <v>1214</v>
      </c>
      <c r="B1219" s="11" t="str">
        <f>"00088244"</f>
        <v>00088244</v>
      </c>
    </row>
    <row r="1220" spans="1:2" x14ac:dyDescent="0.25">
      <c r="A1220" s="2">
        <v>1215</v>
      </c>
      <c r="B1220" s="11" t="str">
        <f>"00088255"</f>
        <v>00088255</v>
      </c>
    </row>
    <row r="1221" spans="1:2" x14ac:dyDescent="0.25">
      <c r="A1221" s="2">
        <v>1216</v>
      </c>
      <c r="B1221" s="11" t="str">
        <f>"00088267"</f>
        <v>00088267</v>
      </c>
    </row>
    <row r="1222" spans="1:2" x14ac:dyDescent="0.25">
      <c r="A1222" s="2">
        <v>1217</v>
      </c>
      <c r="B1222" s="11" t="str">
        <f>"00088270"</f>
        <v>00088270</v>
      </c>
    </row>
    <row r="1223" spans="1:2" x14ac:dyDescent="0.25">
      <c r="A1223" s="2">
        <v>1218</v>
      </c>
      <c r="B1223" s="11" t="str">
        <f>"00088275"</f>
        <v>00088275</v>
      </c>
    </row>
    <row r="1224" spans="1:2" x14ac:dyDescent="0.25">
      <c r="A1224" s="2">
        <v>1219</v>
      </c>
      <c r="B1224" s="11" t="str">
        <f>"00088440"</f>
        <v>00088440</v>
      </c>
    </row>
    <row r="1225" spans="1:2" x14ac:dyDescent="0.25">
      <c r="A1225" s="2">
        <v>1220</v>
      </c>
      <c r="B1225" s="11" t="str">
        <f>"00088663"</f>
        <v>00088663</v>
      </c>
    </row>
    <row r="1226" spans="1:2" x14ac:dyDescent="0.25">
      <c r="A1226" s="2">
        <v>1221</v>
      </c>
      <c r="B1226" s="11" t="str">
        <f>"00088710"</f>
        <v>00088710</v>
      </c>
    </row>
    <row r="1227" spans="1:2" x14ac:dyDescent="0.25">
      <c r="A1227" s="2">
        <v>1222</v>
      </c>
      <c r="B1227" s="11" t="str">
        <f>"00088743"</f>
        <v>00088743</v>
      </c>
    </row>
    <row r="1228" spans="1:2" x14ac:dyDescent="0.25">
      <c r="A1228" s="2">
        <v>1223</v>
      </c>
      <c r="B1228" s="11" t="str">
        <f>"00088746"</f>
        <v>00088746</v>
      </c>
    </row>
    <row r="1229" spans="1:2" x14ac:dyDescent="0.25">
      <c r="A1229" s="2">
        <v>1224</v>
      </c>
      <c r="B1229" s="11" t="str">
        <f>"00088755"</f>
        <v>00088755</v>
      </c>
    </row>
    <row r="1230" spans="1:2" x14ac:dyDescent="0.25">
      <c r="A1230" s="2">
        <v>1225</v>
      </c>
      <c r="B1230" s="11" t="str">
        <f>"00088775"</f>
        <v>00088775</v>
      </c>
    </row>
    <row r="1231" spans="1:2" x14ac:dyDescent="0.25">
      <c r="A1231" s="2">
        <v>1226</v>
      </c>
      <c r="B1231" s="11" t="str">
        <f>"00088810"</f>
        <v>00088810</v>
      </c>
    </row>
    <row r="1232" spans="1:2" x14ac:dyDescent="0.25">
      <c r="A1232" s="2">
        <v>1227</v>
      </c>
      <c r="B1232" s="11" t="str">
        <f>"00088832"</f>
        <v>00088832</v>
      </c>
    </row>
    <row r="1233" spans="1:2" x14ac:dyDescent="0.25">
      <c r="A1233" s="2">
        <v>1228</v>
      </c>
      <c r="B1233" s="11" t="str">
        <f>"00088842"</f>
        <v>00088842</v>
      </c>
    </row>
    <row r="1234" spans="1:2" x14ac:dyDescent="0.25">
      <c r="A1234" s="2">
        <v>1229</v>
      </c>
      <c r="B1234" s="11" t="str">
        <f>"00088911"</f>
        <v>00088911</v>
      </c>
    </row>
    <row r="1235" spans="1:2" x14ac:dyDescent="0.25">
      <c r="A1235" s="2">
        <v>1230</v>
      </c>
      <c r="B1235" s="11" t="str">
        <f>"00088952"</f>
        <v>00088952</v>
      </c>
    </row>
    <row r="1236" spans="1:2" x14ac:dyDescent="0.25">
      <c r="A1236" s="2">
        <v>1231</v>
      </c>
      <c r="B1236" s="11" t="str">
        <f>"00088955"</f>
        <v>00088955</v>
      </c>
    </row>
    <row r="1237" spans="1:2" x14ac:dyDescent="0.25">
      <c r="A1237" s="2">
        <v>1232</v>
      </c>
      <c r="B1237" s="11" t="str">
        <f>"00089017"</f>
        <v>00089017</v>
      </c>
    </row>
    <row r="1238" spans="1:2" x14ac:dyDescent="0.25">
      <c r="A1238" s="2">
        <v>1233</v>
      </c>
      <c r="B1238" s="11" t="str">
        <f>"00089064"</f>
        <v>00089064</v>
      </c>
    </row>
    <row r="1239" spans="1:2" x14ac:dyDescent="0.25">
      <c r="A1239" s="2">
        <v>1234</v>
      </c>
      <c r="B1239" s="11" t="str">
        <f>"00089129"</f>
        <v>00089129</v>
      </c>
    </row>
    <row r="1240" spans="1:2" x14ac:dyDescent="0.25">
      <c r="A1240" s="2">
        <v>1235</v>
      </c>
      <c r="B1240" s="11" t="str">
        <f>"00089142"</f>
        <v>00089142</v>
      </c>
    </row>
    <row r="1241" spans="1:2" x14ac:dyDescent="0.25">
      <c r="A1241" s="2">
        <v>1236</v>
      </c>
      <c r="B1241" s="11" t="str">
        <f>"00089207"</f>
        <v>00089207</v>
      </c>
    </row>
    <row r="1242" spans="1:2" x14ac:dyDescent="0.25">
      <c r="A1242" s="2">
        <v>1237</v>
      </c>
      <c r="B1242" s="11" t="str">
        <f>"00089253"</f>
        <v>00089253</v>
      </c>
    </row>
    <row r="1243" spans="1:2" x14ac:dyDescent="0.25">
      <c r="A1243" s="2">
        <v>1238</v>
      </c>
      <c r="B1243" s="11" t="str">
        <f>"00089301"</f>
        <v>00089301</v>
      </c>
    </row>
    <row r="1244" spans="1:2" x14ac:dyDescent="0.25">
      <c r="A1244" s="2">
        <v>1239</v>
      </c>
      <c r="B1244" s="11" t="str">
        <f>"00089329"</f>
        <v>00089329</v>
      </c>
    </row>
    <row r="1245" spans="1:2" x14ac:dyDescent="0.25">
      <c r="A1245" s="2">
        <v>1240</v>
      </c>
      <c r="B1245" s="11" t="str">
        <f>"00089332"</f>
        <v>00089332</v>
      </c>
    </row>
    <row r="1246" spans="1:2" x14ac:dyDescent="0.25">
      <c r="A1246" s="2">
        <v>1241</v>
      </c>
      <c r="B1246" s="11" t="str">
        <f>"00089400"</f>
        <v>00089400</v>
      </c>
    </row>
    <row r="1247" spans="1:2" x14ac:dyDescent="0.25">
      <c r="A1247" s="2">
        <v>1242</v>
      </c>
      <c r="B1247" s="11" t="str">
        <f>"00089432"</f>
        <v>00089432</v>
      </c>
    </row>
    <row r="1248" spans="1:2" x14ac:dyDescent="0.25">
      <c r="A1248" s="2">
        <v>1243</v>
      </c>
      <c r="B1248" s="11" t="str">
        <f>"00089468"</f>
        <v>00089468</v>
      </c>
    </row>
    <row r="1249" spans="1:2" x14ac:dyDescent="0.25">
      <c r="A1249" s="2">
        <v>1244</v>
      </c>
      <c r="B1249" s="11" t="str">
        <f>"00089584"</f>
        <v>00089584</v>
      </c>
    </row>
    <row r="1250" spans="1:2" x14ac:dyDescent="0.25">
      <c r="A1250" s="2">
        <v>1245</v>
      </c>
      <c r="B1250" s="11" t="str">
        <f>"00089661"</f>
        <v>00089661</v>
      </c>
    </row>
    <row r="1251" spans="1:2" x14ac:dyDescent="0.25">
      <c r="A1251" s="2">
        <v>1246</v>
      </c>
      <c r="B1251" s="11" t="str">
        <f>"00089693"</f>
        <v>00089693</v>
      </c>
    </row>
    <row r="1252" spans="1:2" x14ac:dyDescent="0.25">
      <c r="A1252" s="2">
        <v>1247</v>
      </c>
      <c r="B1252" s="11" t="str">
        <f>"00089791"</f>
        <v>00089791</v>
      </c>
    </row>
    <row r="1253" spans="1:2" x14ac:dyDescent="0.25">
      <c r="A1253" s="2">
        <v>1248</v>
      </c>
      <c r="B1253" s="11" t="str">
        <f>"00089908"</f>
        <v>00089908</v>
      </c>
    </row>
    <row r="1254" spans="1:2" x14ac:dyDescent="0.25">
      <c r="A1254" s="2">
        <v>1249</v>
      </c>
      <c r="B1254" s="11" t="str">
        <f>"00090092"</f>
        <v>00090092</v>
      </c>
    </row>
    <row r="1255" spans="1:2" x14ac:dyDescent="0.25">
      <c r="A1255" s="2">
        <v>1250</v>
      </c>
      <c r="B1255" s="11" t="str">
        <f>"00090189"</f>
        <v>00090189</v>
      </c>
    </row>
    <row r="1256" spans="1:2" x14ac:dyDescent="0.25">
      <c r="A1256" s="2">
        <v>1251</v>
      </c>
      <c r="B1256" s="11" t="str">
        <f>"00090221"</f>
        <v>00090221</v>
      </c>
    </row>
    <row r="1257" spans="1:2" x14ac:dyDescent="0.25">
      <c r="A1257" s="2">
        <v>1252</v>
      </c>
      <c r="B1257" s="11" t="str">
        <f>"00090226"</f>
        <v>00090226</v>
      </c>
    </row>
    <row r="1258" spans="1:2" x14ac:dyDescent="0.25">
      <c r="A1258" s="2">
        <v>1253</v>
      </c>
      <c r="B1258" s="11" t="str">
        <f>"00090260"</f>
        <v>00090260</v>
      </c>
    </row>
    <row r="1259" spans="1:2" x14ac:dyDescent="0.25">
      <c r="A1259" s="2">
        <v>1254</v>
      </c>
      <c r="B1259" s="11" t="str">
        <f>"00090297"</f>
        <v>00090297</v>
      </c>
    </row>
    <row r="1260" spans="1:2" x14ac:dyDescent="0.25">
      <c r="A1260" s="2">
        <v>1255</v>
      </c>
      <c r="B1260" s="11" t="str">
        <f>"00090340"</f>
        <v>00090340</v>
      </c>
    </row>
    <row r="1261" spans="1:2" x14ac:dyDescent="0.25">
      <c r="A1261" s="2">
        <v>1256</v>
      </c>
      <c r="B1261" s="11" t="str">
        <f>"00090352"</f>
        <v>00090352</v>
      </c>
    </row>
    <row r="1262" spans="1:2" x14ac:dyDescent="0.25">
      <c r="A1262" s="2">
        <v>1257</v>
      </c>
      <c r="B1262" s="11" t="str">
        <f>"00090492"</f>
        <v>00090492</v>
      </c>
    </row>
    <row r="1263" spans="1:2" x14ac:dyDescent="0.25">
      <c r="A1263" s="2">
        <v>1258</v>
      </c>
      <c r="B1263" s="11" t="str">
        <f>"00090577"</f>
        <v>00090577</v>
      </c>
    </row>
    <row r="1264" spans="1:2" x14ac:dyDescent="0.25">
      <c r="A1264" s="2">
        <v>1259</v>
      </c>
      <c r="B1264" s="11" t="str">
        <f>"00090587"</f>
        <v>00090587</v>
      </c>
    </row>
    <row r="1265" spans="1:2" x14ac:dyDescent="0.25">
      <c r="A1265" s="2">
        <v>1260</v>
      </c>
      <c r="B1265" s="11" t="str">
        <f>"00090605"</f>
        <v>00090605</v>
      </c>
    </row>
    <row r="1266" spans="1:2" x14ac:dyDescent="0.25">
      <c r="A1266" s="2">
        <v>1261</v>
      </c>
      <c r="B1266" s="11" t="str">
        <f>"00090628"</f>
        <v>00090628</v>
      </c>
    </row>
    <row r="1267" spans="1:2" x14ac:dyDescent="0.25">
      <c r="A1267" s="2">
        <v>1262</v>
      </c>
      <c r="B1267" s="11" t="str">
        <f>"00090851"</f>
        <v>00090851</v>
      </c>
    </row>
    <row r="1268" spans="1:2" x14ac:dyDescent="0.25">
      <c r="A1268" s="2">
        <v>1263</v>
      </c>
      <c r="B1268" s="11" t="str">
        <f>"00090890"</f>
        <v>00090890</v>
      </c>
    </row>
    <row r="1269" spans="1:2" x14ac:dyDescent="0.25">
      <c r="A1269" s="2">
        <v>1264</v>
      </c>
      <c r="B1269" s="11" t="str">
        <f>"00090922"</f>
        <v>00090922</v>
      </c>
    </row>
    <row r="1270" spans="1:2" x14ac:dyDescent="0.25">
      <c r="A1270" s="2">
        <v>1265</v>
      </c>
      <c r="B1270" s="11" t="str">
        <f>"00090974"</f>
        <v>00090974</v>
      </c>
    </row>
    <row r="1271" spans="1:2" x14ac:dyDescent="0.25">
      <c r="A1271" s="2">
        <v>1266</v>
      </c>
      <c r="B1271" s="11" t="str">
        <f>"00091012"</f>
        <v>00091012</v>
      </c>
    </row>
    <row r="1272" spans="1:2" x14ac:dyDescent="0.25">
      <c r="A1272" s="2">
        <v>1267</v>
      </c>
      <c r="B1272" s="11" t="str">
        <f>"00091200"</f>
        <v>00091200</v>
      </c>
    </row>
    <row r="1273" spans="1:2" x14ac:dyDescent="0.25">
      <c r="A1273" s="2">
        <v>1268</v>
      </c>
      <c r="B1273" s="11" t="str">
        <f>"00091240"</f>
        <v>00091240</v>
      </c>
    </row>
    <row r="1274" spans="1:2" x14ac:dyDescent="0.25">
      <c r="A1274" s="2">
        <v>1269</v>
      </c>
      <c r="B1274" s="11" t="str">
        <f>"00091352"</f>
        <v>00091352</v>
      </c>
    </row>
    <row r="1275" spans="1:2" x14ac:dyDescent="0.25">
      <c r="A1275" s="2">
        <v>1270</v>
      </c>
      <c r="B1275" s="11" t="str">
        <f>"00091709"</f>
        <v>00091709</v>
      </c>
    </row>
    <row r="1276" spans="1:2" x14ac:dyDescent="0.25">
      <c r="A1276" s="2">
        <v>1271</v>
      </c>
      <c r="B1276" s="11" t="str">
        <f>"00091737"</f>
        <v>00091737</v>
      </c>
    </row>
    <row r="1277" spans="1:2" x14ac:dyDescent="0.25">
      <c r="A1277" s="2">
        <v>1272</v>
      </c>
      <c r="B1277" s="11" t="str">
        <f>"00091745"</f>
        <v>00091745</v>
      </c>
    </row>
    <row r="1278" spans="1:2" x14ac:dyDescent="0.25">
      <c r="A1278" s="2">
        <v>1273</v>
      </c>
      <c r="B1278" s="11" t="str">
        <f>"00091757"</f>
        <v>00091757</v>
      </c>
    </row>
    <row r="1279" spans="1:2" x14ac:dyDescent="0.25">
      <c r="A1279" s="2">
        <v>1274</v>
      </c>
      <c r="B1279" s="11" t="str">
        <f>"00091774"</f>
        <v>00091774</v>
      </c>
    </row>
    <row r="1280" spans="1:2" x14ac:dyDescent="0.25">
      <c r="A1280" s="2">
        <v>1275</v>
      </c>
      <c r="B1280" s="11" t="str">
        <f>"00091805"</f>
        <v>00091805</v>
      </c>
    </row>
    <row r="1281" spans="1:2" x14ac:dyDescent="0.25">
      <c r="A1281" s="2">
        <v>1276</v>
      </c>
      <c r="B1281" s="11" t="str">
        <f>"00091819"</f>
        <v>00091819</v>
      </c>
    </row>
    <row r="1282" spans="1:2" x14ac:dyDescent="0.25">
      <c r="A1282" s="2">
        <v>1277</v>
      </c>
      <c r="B1282" s="11" t="str">
        <f>"00091840"</f>
        <v>00091840</v>
      </c>
    </row>
    <row r="1283" spans="1:2" x14ac:dyDescent="0.25">
      <c r="A1283" s="2">
        <v>1278</v>
      </c>
      <c r="B1283" s="11" t="str">
        <f>"00091843"</f>
        <v>00091843</v>
      </c>
    </row>
    <row r="1284" spans="1:2" x14ac:dyDescent="0.25">
      <c r="A1284" s="2">
        <v>1279</v>
      </c>
      <c r="B1284" s="11" t="str">
        <f>"00091844"</f>
        <v>00091844</v>
      </c>
    </row>
    <row r="1285" spans="1:2" x14ac:dyDescent="0.25">
      <c r="A1285" s="2">
        <v>1280</v>
      </c>
      <c r="B1285" s="11" t="str">
        <f>"00092041"</f>
        <v>00092041</v>
      </c>
    </row>
    <row r="1286" spans="1:2" x14ac:dyDescent="0.25">
      <c r="A1286" s="2">
        <v>1281</v>
      </c>
      <c r="B1286" s="11" t="str">
        <f>"00092083"</f>
        <v>00092083</v>
      </c>
    </row>
    <row r="1287" spans="1:2" x14ac:dyDescent="0.25">
      <c r="A1287" s="2">
        <v>1282</v>
      </c>
      <c r="B1287" s="11" t="str">
        <f>"00092142"</f>
        <v>00092142</v>
      </c>
    </row>
    <row r="1288" spans="1:2" x14ac:dyDescent="0.25">
      <c r="A1288" s="2">
        <v>1283</v>
      </c>
      <c r="B1288" s="11" t="str">
        <f>"00092154"</f>
        <v>00092154</v>
      </c>
    </row>
    <row r="1289" spans="1:2" x14ac:dyDescent="0.25">
      <c r="A1289" s="2">
        <v>1284</v>
      </c>
      <c r="B1289" s="11" t="str">
        <f>"00092194"</f>
        <v>00092194</v>
      </c>
    </row>
    <row r="1290" spans="1:2" x14ac:dyDescent="0.25">
      <c r="A1290" s="2">
        <v>1285</v>
      </c>
      <c r="B1290" s="11" t="str">
        <f>"00092220"</f>
        <v>00092220</v>
      </c>
    </row>
    <row r="1291" spans="1:2" x14ac:dyDescent="0.25">
      <c r="A1291" s="2">
        <v>1286</v>
      </c>
      <c r="B1291" s="11" t="str">
        <f>"00092251"</f>
        <v>00092251</v>
      </c>
    </row>
    <row r="1292" spans="1:2" x14ac:dyDescent="0.25">
      <c r="A1292" s="2">
        <v>1287</v>
      </c>
      <c r="B1292" s="11" t="str">
        <f>"00092253"</f>
        <v>00092253</v>
      </c>
    </row>
    <row r="1293" spans="1:2" x14ac:dyDescent="0.25">
      <c r="A1293" s="2">
        <v>1288</v>
      </c>
      <c r="B1293" s="11" t="str">
        <f>"00092254"</f>
        <v>00092254</v>
      </c>
    </row>
    <row r="1294" spans="1:2" x14ac:dyDescent="0.25">
      <c r="A1294" s="2">
        <v>1289</v>
      </c>
      <c r="B1294" s="11" t="str">
        <f>"00092301"</f>
        <v>00092301</v>
      </c>
    </row>
    <row r="1295" spans="1:2" x14ac:dyDescent="0.25">
      <c r="A1295" s="2">
        <v>1290</v>
      </c>
      <c r="B1295" s="11" t="str">
        <f>"00092509"</f>
        <v>00092509</v>
      </c>
    </row>
    <row r="1296" spans="1:2" x14ac:dyDescent="0.25">
      <c r="A1296" s="2">
        <v>1291</v>
      </c>
      <c r="B1296" s="11" t="str">
        <f>"00092568"</f>
        <v>00092568</v>
      </c>
    </row>
    <row r="1297" spans="1:2" x14ac:dyDescent="0.25">
      <c r="A1297" s="2">
        <v>1292</v>
      </c>
      <c r="B1297" s="11" t="str">
        <f>"00092570"</f>
        <v>00092570</v>
      </c>
    </row>
    <row r="1298" spans="1:2" x14ac:dyDescent="0.25">
      <c r="A1298" s="2">
        <v>1293</v>
      </c>
      <c r="B1298" s="11" t="str">
        <f>"00092575"</f>
        <v>00092575</v>
      </c>
    </row>
    <row r="1299" spans="1:2" x14ac:dyDescent="0.25">
      <c r="A1299" s="2">
        <v>1294</v>
      </c>
      <c r="B1299" s="11" t="str">
        <f>"00092608"</f>
        <v>00092608</v>
      </c>
    </row>
    <row r="1300" spans="1:2" x14ac:dyDescent="0.25">
      <c r="A1300" s="2">
        <v>1295</v>
      </c>
      <c r="B1300" s="11" t="str">
        <f>"00092636"</f>
        <v>00092636</v>
      </c>
    </row>
    <row r="1301" spans="1:2" x14ac:dyDescent="0.25">
      <c r="A1301" s="2">
        <v>1296</v>
      </c>
      <c r="B1301" s="11" t="str">
        <f>"00092714"</f>
        <v>00092714</v>
      </c>
    </row>
    <row r="1302" spans="1:2" x14ac:dyDescent="0.25">
      <c r="A1302" s="2">
        <v>1297</v>
      </c>
      <c r="B1302" s="11" t="str">
        <f>"00092762"</f>
        <v>00092762</v>
      </c>
    </row>
    <row r="1303" spans="1:2" x14ac:dyDescent="0.25">
      <c r="A1303" s="2">
        <v>1298</v>
      </c>
      <c r="B1303" s="11" t="str">
        <f>"00092779"</f>
        <v>00092779</v>
      </c>
    </row>
    <row r="1304" spans="1:2" x14ac:dyDescent="0.25">
      <c r="A1304" s="2">
        <v>1299</v>
      </c>
      <c r="B1304" s="11" t="str">
        <f>"00092840"</f>
        <v>00092840</v>
      </c>
    </row>
    <row r="1305" spans="1:2" x14ac:dyDescent="0.25">
      <c r="A1305" s="2">
        <v>1300</v>
      </c>
      <c r="B1305" s="11" t="str">
        <f>"00092876"</f>
        <v>00092876</v>
      </c>
    </row>
    <row r="1306" spans="1:2" x14ac:dyDescent="0.25">
      <c r="A1306" s="2">
        <v>1301</v>
      </c>
      <c r="B1306" s="11" t="str">
        <f>"00092884"</f>
        <v>00092884</v>
      </c>
    </row>
    <row r="1307" spans="1:2" x14ac:dyDescent="0.25">
      <c r="A1307" s="2">
        <v>1302</v>
      </c>
      <c r="B1307" s="11" t="str">
        <f>"00092958"</f>
        <v>00092958</v>
      </c>
    </row>
    <row r="1308" spans="1:2" x14ac:dyDescent="0.25">
      <c r="A1308" s="2">
        <v>1303</v>
      </c>
      <c r="B1308" s="11" t="str">
        <f>"00093001"</f>
        <v>00093001</v>
      </c>
    </row>
    <row r="1309" spans="1:2" x14ac:dyDescent="0.25">
      <c r="A1309" s="2">
        <v>1304</v>
      </c>
      <c r="B1309" s="11" t="str">
        <f>"00093023"</f>
        <v>00093023</v>
      </c>
    </row>
    <row r="1310" spans="1:2" x14ac:dyDescent="0.25">
      <c r="A1310" s="2">
        <v>1305</v>
      </c>
      <c r="B1310" s="11" t="str">
        <f>"00093134"</f>
        <v>00093134</v>
      </c>
    </row>
    <row r="1311" spans="1:2" x14ac:dyDescent="0.25">
      <c r="A1311" s="2">
        <v>1306</v>
      </c>
      <c r="B1311" s="11" t="str">
        <f>"00093186"</f>
        <v>00093186</v>
      </c>
    </row>
    <row r="1312" spans="1:2" x14ac:dyDescent="0.25">
      <c r="A1312" s="2">
        <v>1307</v>
      </c>
      <c r="B1312" s="11" t="str">
        <f>"00093241"</f>
        <v>00093241</v>
      </c>
    </row>
    <row r="1313" spans="1:2" x14ac:dyDescent="0.25">
      <c r="A1313" s="2">
        <v>1308</v>
      </c>
      <c r="B1313" s="11" t="str">
        <f>"00093274"</f>
        <v>00093274</v>
      </c>
    </row>
    <row r="1314" spans="1:2" x14ac:dyDescent="0.25">
      <c r="A1314" s="2">
        <v>1309</v>
      </c>
      <c r="B1314" s="11" t="str">
        <f>"00093392"</f>
        <v>00093392</v>
      </c>
    </row>
    <row r="1315" spans="1:2" x14ac:dyDescent="0.25">
      <c r="A1315" s="2">
        <v>1310</v>
      </c>
      <c r="B1315" s="11" t="str">
        <f>"00093435"</f>
        <v>00093435</v>
      </c>
    </row>
    <row r="1316" spans="1:2" x14ac:dyDescent="0.25">
      <c r="A1316" s="2">
        <v>1311</v>
      </c>
      <c r="B1316" s="11" t="str">
        <f>"00093492"</f>
        <v>00093492</v>
      </c>
    </row>
    <row r="1317" spans="1:2" x14ac:dyDescent="0.25">
      <c r="A1317" s="2">
        <v>1312</v>
      </c>
      <c r="B1317" s="11" t="str">
        <f>"00093566"</f>
        <v>00093566</v>
      </c>
    </row>
    <row r="1318" spans="1:2" x14ac:dyDescent="0.25">
      <c r="A1318" s="2">
        <v>1313</v>
      </c>
      <c r="B1318" s="11" t="str">
        <f>"00093677"</f>
        <v>00093677</v>
      </c>
    </row>
    <row r="1319" spans="1:2" x14ac:dyDescent="0.25">
      <c r="A1319" s="2">
        <v>1314</v>
      </c>
      <c r="B1319" s="11" t="str">
        <f>"00093753"</f>
        <v>00093753</v>
      </c>
    </row>
    <row r="1320" spans="1:2" x14ac:dyDescent="0.25">
      <c r="A1320" s="2">
        <v>1315</v>
      </c>
      <c r="B1320" s="11" t="str">
        <f>"00093757"</f>
        <v>00093757</v>
      </c>
    </row>
    <row r="1321" spans="1:2" x14ac:dyDescent="0.25">
      <c r="A1321" s="2">
        <v>1316</v>
      </c>
      <c r="B1321" s="11" t="str">
        <f>"00093793"</f>
        <v>00093793</v>
      </c>
    </row>
    <row r="1322" spans="1:2" x14ac:dyDescent="0.25">
      <c r="A1322" s="2">
        <v>1317</v>
      </c>
      <c r="B1322" s="11" t="str">
        <f>"00093869"</f>
        <v>00093869</v>
      </c>
    </row>
    <row r="1323" spans="1:2" x14ac:dyDescent="0.25">
      <c r="A1323" s="2">
        <v>1318</v>
      </c>
      <c r="B1323" s="11" t="str">
        <f>"00093888"</f>
        <v>00093888</v>
      </c>
    </row>
    <row r="1324" spans="1:2" x14ac:dyDescent="0.25">
      <c r="A1324" s="2">
        <v>1319</v>
      </c>
      <c r="B1324" s="11" t="str">
        <f>"00093967"</f>
        <v>00093967</v>
      </c>
    </row>
    <row r="1325" spans="1:2" x14ac:dyDescent="0.25">
      <c r="A1325" s="2">
        <v>1320</v>
      </c>
      <c r="B1325" s="11" t="str">
        <f>"00094062"</f>
        <v>00094062</v>
      </c>
    </row>
    <row r="1326" spans="1:2" x14ac:dyDescent="0.25">
      <c r="A1326" s="2">
        <v>1321</v>
      </c>
      <c r="B1326" s="11" t="str">
        <f>"00094071"</f>
        <v>00094071</v>
      </c>
    </row>
    <row r="1327" spans="1:2" x14ac:dyDescent="0.25">
      <c r="A1327" s="2">
        <v>1322</v>
      </c>
      <c r="B1327" s="11" t="str">
        <f>"00094154"</f>
        <v>00094154</v>
      </c>
    </row>
    <row r="1328" spans="1:2" x14ac:dyDescent="0.25">
      <c r="A1328" s="2">
        <v>1323</v>
      </c>
      <c r="B1328" s="11" t="str">
        <f>"00094170"</f>
        <v>00094170</v>
      </c>
    </row>
    <row r="1329" spans="1:2" x14ac:dyDescent="0.25">
      <c r="A1329" s="2">
        <v>1324</v>
      </c>
      <c r="B1329" s="11" t="str">
        <f>"00094301"</f>
        <v>00094301</v>
      </c>
    </row>
    <row r="1330" spans="1:2" x14ac:dyDescent="0.25">
      <c r="A1330" s="2">
        <v>1325</v>
      </c>
      <c r="B1330" s="11" t="str">
        <f>"00094447"</f>
        <v>00094447</v>
      </c>
    </row>
    <row r="1331" spans="1:2" x14ac:dyDescent="0.25">
      <c r="A1331" s="2">
        <v>1326</v>
      </c>
      <c r="B1331" s="11" t="str">
        <f>"00094449"</f>
        <v>00094449</v>
      </c>
    </row>
    <row r="1332" spans="1:2" x14ac:dyDescent="0.25">
      <c r="A1332" s="2">
        <v>1327</v>
      </c>
      <c r="B1332" s="11" t="str">
        <f>"00094468"</f>
        <v>00094468</v>
      </c>
    </row>
    <row r="1333" spans="1:2" x14ac:dyDescent="0.25">
      <c r="A1333" s="2">
        <v>1328</v>
      </c>
      <c r="B1333" s="11" t="str">
        <f>"00094482"</f>
        <v>00094482</v>
      </c>
    </row>
    <row r="1334" spans="1:2" x14ac:dyDescent="0.25">
      <c r="A1334" s="2">
        <v>1329</v>
      </c>
      <c r="B1334" s="11" t="str">
        <f>"00094484"</f>
        <v>00094484</v>
      </c>
    </row>
    <row r="1335" spans="1:2" x14ac:dyDescent="0.25">
      <c r="A1335" s="2">
        <v>1330</v>
      </c>
      <c r="B1335" s="11" t="str">
        <f>"00094508"</f>
        <v>00094508</v>
      </c>
    </row>
    <row r="1336" spans="1:2" x14ac:dyDescent="0.25">
      <c r="A1336" s="2">
        <v>1331</v>
      </c>
      <c r="B1336" s="11" t="str">
        <f>"00094510"</f>
        <v>00094510</v>
      </c>
    </row>
    <row r="1337" spans="1:2" x14ac:dyDescent="0.25">
      <c r="A1337" s="2">
        <v>1332</v>
      </c>
      <c r="B1337" s="11" t="str">
        <f>"00094542"</f>
        <v>00094542</v>
      </c>
    </row>
    <row r="1338" spans="1:2" x14ac:dyDescent="0.25">
      <c r="A1338" s="2">
        <v>1333</v>
      </c>
      <c r="B1338" s="11" t="str">
        <f>"00094611"</f>
        <v>00094611</v>
      </c>
    </row>
    <row r="1339" spans="1:2" x14ac:dyDescent="0.25">
      <c r="A1339" s="2">
        <v>1334</v>
      </c>
      <c r="B1339" s="11" t="str">
        <f>"00094659"</f>
        <v>00094659</v>
      </c>
    </row>
    <row r="1340" spans="1:2" x14ac:dyDescent="0.25">
      <c r="A1340" s="2">
        <v>1335</v>
      </c>
      <c r="B1340" s="11" t="str">
        <f>"00094745"</f>
        <v>00094745</v>
      </c>
    </row>
    <row r="1341" spans="1:2" x14ac:dyDescent="0.25">
      <c r="A1341" s="2">
        <v>1336</v>
      </c>
      <c r="B1341" s="11" t="str">
        <f>"00094805"</f>
        <v>00094805</v>
      </c>
    </row>
    <row r="1342" spans="1:2" x14ac:dyDescent="0.25">
      <c r="A1342" s="2">
        <v>1337</v>
      </c>
      <c r="B1342" s="11" t="str">
        <f>"00094936"</f>
        <v>00094936</v>
      </c>
    </row>
    <row r="1343" spans="1:2" x14ac:dyDescent="0.25">
      <c r="A1343" s="2">
        <v>1338</v>
      </c>
      <c r="B1343" s="11" t="str">
        <f>"00095061"</f>
        <v>00095061</v>
      </c>
    </row>
    <row r="1344" spans="1:2" x14ac:dyDescent="0.25">
      <c r="A1344" s="2">
        <v>1339</v>
      </c>
      <c r="B1344" s="11" t="str">
        <f>"00095153"</f>
        <v>00095153</v>
      </c>
    </row>
    <row r="1345" spans="1:2" x14ac:dyDescent="0.25">
      <c r="A1345" s="2">
        <v>1340</v>
      </c>
      <c r="B1345" s="11" t="str">
        <f>"00095224"</f>
        <v>00095224</v>
      </c>
    </row>
    <row r="1346" spans="1:2" x14ac:dyDescent="0.25">
      <c r="A1346" s="2">
        <v>1341</v>
      </c>
      <c r="B1346" s="11" t="str">
        <f>"00095315"</f>
        <v>00095315</v>
      </c>
    </row>
    <row r="1347" spans="1:2" x14ac:dyDescent="0.25">
      <c r="A1347" s="2">
        <v>1342</v>
      </c>
      <c r="B1347" s="11" t="str">
        <f>"00095392"</f>
        <v>00095392</v>
      </c>
    </row>
    <row r="1348" spans="1:2" x14ac:dyDescent="0.25">
      <c r="A1348" s="2">
        <v>1343</v>
      </c>
      <c r="B1348" s="11" t="str">
        <f>"00095434"</f>
        <v>00095434</v>
      </c>
    </row>
    <row r="1349" spans="1:2" x14ac:dyDescent="0.25">
      <c r="A1349" s="2">
        <v>1344</v>
      </c>
      <c r="B1349" s="11" t="str">
        <f>"00095457"</f>
        <v>00095457</v>
      </c>
    </row>
    <row r="1350" spans="1:2" x14ac:dyDescent="0.25">
      <c r="A1350" s="2">
        <v>1345</v>
      </c>
      <c r="B1350" s="11" t="str">
        <f>"00095575"</f>
        <v>00095575</v>
      </c>
    </row>
    <row r="1351" spans="1:2" x14ac:dyDescent="0.25">
      <c r="A1351" s="2">
        <v>1346</v>
      </c>
      <c r="B1351" s="11" t="str">
        <f>"00095581"</f>
        <v>00095581</v>
      </c>
    </row>
    <row r="1352" spans="1:2" x14ac:dyDescent="0.25">
      <c r="A1352" s="2">
        <v>1347</v>
      </c>
      <c r="B1352" s="11" t="str">
        <f>"00095700"</f>
        <v>00095700</v>
      </c>
    </row>
    <row r="1353" spans="1:2" x14ac:dyDescent="0.25">
      <c r="A1353" s="2">
        <v>1348</v>
      </c>
      <c r="B1353" s="11" t="str">
        <f>"00095770"</f>
        <v>00095770</v>
      </c>
    </row>
    <row r="1354" spans="1:2" x14ac:dyDescent="0.25">
      <c r="A1354" s="2">
        <v>1349</v>
      </c>
      <c r="B1354" s="11" t="str">
        <f>"00095813"</f>
        <v>00095813</v>
      </c>
    </row>
    <row r="1355" spans="1:2" x14ac:dyDescent="0.25">
      <c r="A1355" s="2">
        <v>1350</v>
      </c>
      <c r="B1355" s="11" t="str">
        <f>"00095867"</f>
        <v>00095867</v>
      </c>
    </row>
    <row r="1356" spans="1:2" x14ac:dyDescent="0.25">
      <c r="A1356" s="2">
        <v>1351</v>
      </c>
      <c r="B1356" s="11" t="str">
        <f>"00095969"</f>
        <v>00095969</v>
      </c>
    </row>
    <row r="1357" spans="1:2" x14ac:dyDescent="0.25">
      <c r="A1357" s="2">
        <v>1352</v>
      </c>
      <c r="B1357" s="11" t="str">
        <f>"00095995"</f>
        <v>00095995</v>
      </c>
    </row>
    <row r="1358" spans="1:2" x14ac:dyDescent="0.25">
      <c r="A1358" s="2">
        <v>1353</v>
      </c>
      <c r="B1358" s="11" t="str">
        <f>"00096017"</f>
        <v>00096017</v>
      </c>
    </row>
    <row r="1359" spans="1:2" x14ac:dyDescent="0.25">
      <c r="A1359" s="2">
        <v>1354</v>
      </c>
      <c r="B1359" s="11" t="str">
        <f>"00096024"</f>
        <v>00096024</v>
      </c>
    </row>
    <row r="1360" spans="1:2" x14ac:dyDescent="0.25">
      <c r="A1360" s="2">
        <v>1355</v>
      </c>
      <c r="B1360" s="11" t="str">
        <f>"00096058"</f>
        <v>00096058</v>
      </c>
    </row>
    <row r="1361" spans="1:2" x14ac:dyDescent="0.25">
      <c r="A1361" s="2">
        <v>1356</v>
      </c>
      <c r="B1361" s="11" t="str">
        <f>"00096114"</f>
        <v>00096114</v>
      </c>
    </row>
    <row r="1362" spans="1:2" x14ac:dyDescent="0.25">
      <c r="A1362" s="2">
        <v>1357</v>
      </c>
      <c r="B1362" s="11" t="str">
        <f>"00096171"</f>
        <v>00096171</v>
      </c>
    </row>
    <row r="1363" spans="1:2" x14ac:dyDescent="0.25">
      <c r="A1363" s="2">
        <v>1358</v>
      </c>
      <c r="B1363" s="11" t="str">
        <f>"00096174"</f>
        <v>00096174</v>
      </c>
    </row>
    <row r="1364" spans="1:2" x14ac:dyDescent="0.25">
      <c r="A1364" s="2">
        <v>1359</v>
      </c>
      <c r="B1364" s="11" t="str">
        <f>"00096266"</f>
        <v>00096266</v>
      </c>
    </row>
    <row r="1365" spans="1:2" x14ac:dyDescent="0.25">
      <c r="A1365" s="2">
        <v>1360</v>
      </c>
      <c r="B1365" s="11" t="str">
        <f>"00096323"</f>
        <v>00096323</v>
      </c>
    </row>
    <row r="1366" spans="1:2" x14ac:dyDescent="0.25">
      <c r="A1366" s="2">
        <v>1361</v>
      </c>
      <c r="B1366" s="11" t="str">
        <f>"00096324"</f>
        <v>00096324</v>
      </c>
    </row>
    <row r="1367" spans="1:2" x14ac:dyDescent="0.25">
      <c r="A1367" s="2">
        <v>1362</v>
      </c>
      <c r="B1367" s="11" t="str">
        <f>"00096383"</f>
        <v>00096383</v>
      </c>
    </row>
    <row r="1368" spans="1:2" x14ac:dyDescent="0.25">
      <c r="A1368" s="2">
        <v>1363</v>
      </c>
      <c r="B1368" s="11" t="str">
        <f>"00096385"</f>
        <v>00096385</v>
      </c>
    </row>
    <row r="1369" spans="1:2" x14ac:dyDescent="0.25">
      <c r="A1369" s="2">
        <v>1364</v>
      </c>
      <c r="B1369" s="11" t="str">
        <f>"00096402"</f>
        <v>00096402</v>
      </c>
    </row>
    <row r="1370" spans="1:2" x14ac:dyDescent="0.25">
      <c r="A1370" s="2">
        <v>1365</v>
      </c>
      <c r="B1370" s="11" t="str">
        <f>"00096461"</f>
        <v>00096461</v>
      </c>
    </row>
    <row r="1371" spans="1:2" x14ac:dyDescent="0.25">
      <c r="A1371" s="2">
        <v>1366</v>
      </c>
      <c r="B1371" s="11" t="str">
        <f>"00096469"</f>
        <v>00096469</v>
      </c>
    </row>
    <row r="1372" spans="1:2" x14ac:dyDescent="0.25">
      <c r="A1372" s="2">
        <v>1367</v>
      </c>
      <c r="B1372" s="11" t="str">
        <f>"00097319"</f>
        <v>00097319</v>
      </c>
    </row>
    <row r="1373" spans="1:2" x14ac:dyDescent="0.25">
      <c r="A1373" s="2">
        <v>1368</v>
      </c>
      <c r="B1373" s="11" t="str">
        <f>"00097458"</f>
        <v>00097458</v>
      </c>
    </row>
    <row r="1374" spans="1:2" x14ac:dyDescent="0.25">
      <c r="A1374" s="2">
        <v>1369</v>
      </c>
      <c r="B1374" s="11" t="str">
        <f>"00097505"</f>
        <v>00097505</v>
      </c>
    </row>
    <row r="1375" spans="1:2" x14ac:dyDescent="0.25">
      <c r="A1375" s="2">
        <v>1370</v>
      </c>
      <c r="B1375" s="11" t="str">
        <f>"00097545"</f>
        <v>00097545</v>
      </c>
    </row>
    <row r="1376" spans="1:2" x14ac:dyDescent="0.25">
      <c r="A1376" s="2">
        <v>1371</v>
      </c>
      <c r="B1376" s="11" t="str">
        <f>"00097815"</f>
        <v>00097815</v>
      </c>
    </row>
    <row r="1377" spans="1:2" x14ac:dyDescent="0.25">
      <c r="A1377" s="2">
        <v>1372</v>
      </c>
      <c r="B1377" s="11" t="str">
        <f>"00098260"</f>
        <v>00098260</v>
      </c>
    </row>
    <row r="1378" spans="1:2" x14ac:dyDescent="0.25">
      <c r="A1378" s="2">
        <v>1373</v>
      </c>
      <c r="B1378" s="11" t="str">
        <f>"00098381"</f>
        <v>00098381</v>
      </c>
    </row>
    <row r="1379" spans="1:2" x14ac:dyDescent="0.25">
      <c r="A1379" s="2">
        <v>1374</v>
      </c>
      <c r="B1379" s="11" t="str">
        <f>"00098406"</f>
        <v>00098406</v>
      </c>
    </row>
    <row r="1380" spans="1:2" x14ac:dyDescent="0.25">
      <c r="A1380" s="2">
        <v>1375</v>
      </c>
      <c r="B1380" s="11" t="str">
        <f>"00098811"</f>
        <v>00098811</v>
      </c>
    </row>
    <row r="1381" spans="1:2" x14ac:dyDescent="0.25">
      <c r="A1381" s="2">
        <v>1376</v>
      </c>
      <c r="B1381" s="11" t="str">
        <f>"00099087"</f>
        <v>00099087</v>
      </c>
    </row>
    <row r="1382" spans="1:2" x14ac:dyDescent="0.25">
      <c r="A1382" s="2">
        <v>1377</v>
      </c>
      <c r="B1382" s="11" t="str">
        <f>"00099244"</f>
        <v>00099244</v>
      </c>
    </row>
    <row r="1383" spans="1:2" x14ac:dyDescent="0.25">
      <c r="A1383" s="2">
        <v>1378</v>
      </c>
      <c r="B1383" s="11" t="str">
        <f>"00100178"</f>
        <v>00100178</v>
      </c>
    </row>
    <row r="1384" spans="1:2" x14ac:dyDescent="0.25">
      <c r="A1384" s="2">
        <v>1379</v>
      </c>
      <c r="B1384" s="11" t="str">
        <f>"00100181"</f>
        <v>00100181</v>
      </c>
    </row>
    <row r="1385" spans="1:2" x14ac:dyDescent="0.25">
      <c r="A1385" s="2">
        <v>1380</v>
      </c>
      <c r="B1385" s="11" t="str">
        <f>"00100184"</f>
        <v>00100184</v>
      </c>
    </row>
    <row r="1386" spans="1:2" x14ac:dyDescent="0.25">
      <c r="A1386" s="2">
        <v>1381</v>
      </c>
      <c r="B1386" s="11" t="str">
        <f>"00100344"</f>
        <v>00100344</v>
      </c>
    </row>
    <row r="1387" spans="1:2" x14ac:dyDescent="0.25">
      <c r="A1387" s="2">
        <v>1382</v>
      </c>
      <c r="B1387" s="11" t="str">
        <f>"00100367"</f>
        <v>00100367</v>
      </c>
    </row>
    <row r="1388" spans="1:2" x14ac:dyDescent="0.25">
      <c r="A1388" s="2">
        <v>1383</v>
      </c>
      <c r="B1388" s="11" t="str">
        <f>"00100429"</f>
        <v>00100429</v>
      </c>
    </row>
    <row r="1389" spans="1:2" x14ac:dyDescent="0.25">
      <c r="A1389" s="2">
        <v>1384</v>
      </c>
      <c r="B1389" s="11" t="str">
        <f>"00100814"</f>
        <v>00100814</v>
      </c>
    </row>
    <row r="1390" spans="1:2" x14ac:dyDescent="0.25">
      <c r="A1390" s="2">
        <v>1385</v>
      </c>
      <c r="B1390" s="11" t="str">
        <f>"00100819"</f>
        <v>00100819</v>
      </c>
    </row>
    <row r="1391" spans="1:2" x14ac:dyDescent="0.25">
      <c r="A1391" s="2">
        <v>1386</v>
      </c>
      <c r="B1391" s="11" t="str">
        <f>"00101313"</f>
        <v>00101313</v>
      </c>
    </row>
    <row r="1392" spans="1:2" x14ac:dyDescent="0.25">
      <c r="A1392" s="2">
        <v>1387</v>
      </c>
      <c r="B1392" s="11" t="str">
        <f>"00101316"</f>
        <v>00101316</v>
      </c>
    </row>
    <row r="1393" spans="1:2" x14ac:dyDescent="0.25">
      <c r="A1393" s="2">
        <v>1388</v>
      </c>
      <c r="B1393" s="11" t="str">
        <f>"00101383"</f>
        <v>00101383</v>
      </c>
    </row>
    <row r="1394" spans="1:2" x14ac:dyDescent="0.25">
      <c r="A1394" s="2">
        <v>1389</v>
      </c>
      <c r="B1394" s="11" t="str">
        <f>"00101442"</f>
        <v>00101442</v>
      </c>
    </row>
    <row r="1395" spans="1:2" x14ac:dyDescent="0.25">
      <c r="A1395" s="2">
        <v>1390</v>
      </c>
      <c r="B1395" s="11" t="str">
        <f>"00101479"</f>
        <v>00101479</v>
      </c>
    </row>
    <row r="1396" spans="1:2" x14ac:dyDescent="0.25">
      <c r="A1396" s="2">
        <v>1391</v>
      </c>
      <c r="B1396" s="11" t="str">
        <f>"00101480"</f>
        <v>00101480</v>
      </c>
    </row>
    <row r="1397" spans="1:2" x14ac:dyDescent="0.25">
      <c r="A1397" s="2">
        <v>1392</v>
      </c>
      <c r="B1397" s="11" t="str">
        <f>"00101490"</f>
        <v>00101490</v>
      </c>
    </row>
    <row r="1398" spans="1:2" x14ac:dyDescent="0.25">
      <c r="A1398" s="2">
        <v>1393</v>
      </c>
      <c r="B1398" s="11" t="str">
        <f>"00101532"</f>
        <v>00101532</v>
      </c>
    </row>
    <row r="1399" spans="1:2" x14ac:dyDescent="0.25">
      <c r="A1399" s="2">
        <v>1394</v>
      </c>
      <c r="B1399" s="11" t="str">
        <f>"00101555"</f>
        <v>00101555</v>
      </c>
    </row>
    <row r="1400" spans="1:2" x14ac:dyDescent="0.25">
      <c r="A1400" s="2">
        <v>1395</v>
      </c>
      <c r="B1400" s="11" t="str">
        <f>"00101605"</f>
        <v>00101605</v>
      </c>
    </row>
    <row r="1401" spans="1:2" x14ac:dyDescent="0.25">
      <c r="A1401" s="2">
        <v>1396</v>
      </c>
      <c r="B1401" s="11" t="str">
        <f>"00101691"</f>
        <v>00101691</v>
      </c>
    </row>
    <row r="1402" spans="1:2" x14ac:dyDescent="0.25">
      <c r="A1402" s="2">
        <v>1397</v>
      </c>
      <c r="B1402" s="11" t="str">
        <f>"00101711"</f>
        <v>00101711</v>
      </c>
    </row>
    <row r="1403" spans="1:2" x14ac:dyDescent="0.25">
      <c r="A1403" s="2">
        <v>1398</v>
      </c>
      <c r="B1403" s="11" t="str">
        <f>"00101724"</f>
        <v>00101724</v>
      </c>
    </row>
    <row r="1404" spans="1:2" x14ac:dyDescent="0.25">
      <c r="A1404" s="2">
        <v>1399</v>
      </c>
      <c r="B1404" s="11" t="str">
        <f>"00101731"</f>
        <v>00101731</v>
      </c>
    </row>
    <row r="1405" spans="1:2" x14ac:dyDescent="0.25">
      <c r="A1405" s="2">
        <v>1400</v>
      </c>
      <c r="B1405" s="11" t="str">
        <f>"00101802"</f>
        <v>00101802</v>
      </c>
    </row>
    <row r="1406" spans="1:2" x14ac:dyDescent="0.25">
      <c r="A1406" s="2">
        <v>1401</v>
      </c>
      <c r="B1406" s="11" t="str">
        <f>"00101815"</f>
        <v>00101815</v>
      </c>
    </row>
    <row r="1407" spans="1:2" x14ac:dyDescent="0.25">
      <c r="A1407" s="2">
        <v>1402</v>
      </c>
      <c r="B1407" s="11" t="str">
        <f>"00101824"</f>
        <v>00101824</v>
      </c>
    </row>
    <row r="1408" spans="1:2" x14ac:dyDescent="0.25">
      <c r="A1408" s="2">
        <v>1403</v>
      </c>
      <c r="B1408" s="11" t="str">
        <f>"00101844"</f>
        <v>00101844</v>
      </c>
    </row>
    <row r="1409" spans="1:2" x14ac:dyDescent="0.25">
      <c r="A1409" s="2">
        <v>1404</v>
      </c>
      <c r="B1409" s="11" t="str">
        <f>"00101850"</f>
        <v>00101850</v>
      </c>
    </row>
    <row r="1410" spans="1:2" x14ac:dyDescent="0.25">
      <c r="A1410" s="2">
        <v>1405</v>
      </c>
      <c r="B1410" s="11" t="str">
        <f>"00101953"</f>
        <v>00101953</v>
      </c>
    </row>
    <row r="1411" spans="1:2" x14ac:dyDescent="0.25">
      <c r="A1411" s="2">
        <v>1406</v>
      </c>
      <c r="B1411" s="11" t="str">
        <f>"00101982"</f>
        <v>00101982</v>
      </c>
    </row>
    <row r="1412" spans="1:2" x14ac:dyDescent="0.25">
      <c r="A1412" s="2">
        <v>1407</v>
      </c>
      <c r="B1412" s="11" t="str">
        <f>"00102025"</f>
        <v>00102025</v>
      </c>
    </row>
    <row r="1413" spans="1:2" x14ac:dyDescent="0.25">
      <c r="A1413" s="2">
        <v>1408</v>
      </c>
      <c r="B1413" s="11" t="str">
        <f>"00102036"</f>
        <v>00102036</v>
      </c>
    </row>
    <row r="1414" spans="1:2" x14ac:dyDescent="0.25">
      <c r="A1414" s="2">
        <v>1409</v>
      </c>
      <c r="B1414" s="11" t="str">
        <f>"00102059"</f>
        <v>00102059</v>
      </c>
    </row>
    <row r="1415" spans="1:2" x14ac:dyDescent="0.25">
      <c r="A1415" s="2">
        <v>1410</v>
      </c>
      <c r="B1415" s="11" t="str">
        <f>"00102151"</f>
        <v>00102151</v>
      </c>
    </row>
    <row r="1416" spans="1:2" x14ac:dyDescent="0.25">
      <c r="A1416" s="2">
        <v>1411</v>
      </c>
      <c r="B1416" s="11" t="str">
        <f>"00102212"</f>
        <v>00102212</v>
      </c>
    </row>
    <row r="1417" spans="1:2" x14ac:dyDescent="0.25">
      <c r="A1417" s="2">
        <v>1412</v>
      </c>
      <c r="B1417" s="11" t="str">
        <f>"00102369"</f>
        <v>00102369</v>
      </c>
    </row>
    <row r="1418" spans="1:2" x14ac:dyDescent="0.25">
      <c r="A1418" s="2">
        <v>1413</v>
      </c>
      <c r="B1418" s="11" t="str">
        <f>"00102375"</f>
        <v>00102375</v>
      </c>
    </row>
    <row r="1419" spans="1:2" x14ac:dyDescent="0.25">
      <c r="A1419" s="2">
        <v>1414</v>
      </c>
      <c r="B1419" s="11" t="str">
        <f>"00102384"</f>
        <v>00102384</v>
      </c>
    </row>
    <row r="1420" spans="1:2" x14ac:dyDescent="0.25">
      <c r="A1420" s="2">
        <v>1415</v>
      </c>
      <c r="B1420" s="11" t="str">
        <f>"00102388"</f>
        <v>00102388</v>
      </c>
    </row>
    <row r="1421" spans="1:2" x14ac:dyDescent="0.25">
      <c r="A1421" s="2">
        <v>1416</v>
      </c>
      <c r="B1421" s="11" t="str">
        <f>"00102391"</f>
        <v>00102391</v>
      </c>
    </row>
    <row r="1422" spans="1:2" x14ac:dyDescent="0.25">
      <c r="A1422" s="2">
        <v>1417</v>
      </c>
      <c r="B1422" s="11" t="str">
        <f>"00102403"</f>
        <v>00102403</v>
      </c>
    </row>
    <row r="1423" spans="1:2" x14ac:dyDescent="0.25">
      <c r="A1423" s="2">
        <v>1418</v>
      </c>
      <c r="B1423" s="11" t="str">
        <f>"00102435"</f>
        <v>00102435</v>
      </c>
    </row>
    <row r="1424" spans="1:2" x14ac:dyDescent="0.25">
      <c r="A1424" s="2">
        <v>1419</v>
      </c>
      <c r="B1424" s="11" t="str">
        <f>"00102491"</f>
        <v>00102491</v>
      </c>
    </row>
    <row r="1425" spans="1:2" x14ac:dyDescent="0.25">
      <c r="A1425" s="2">
        <v>1420</v>
      </c>
      <c r="B1425" s="11" t="str">
        <f>"00102543"</f>
        <v>00102543</v>
      </c>
    </row>
    <row r="1426" spans="1:2" x14ac:dyDescent="0.25">
      <c r="A1426" s="2">
        <v>1421</v>
      </c>
      <c r="B1426" s="11" t="str">
        <f>"00102597"</f>
        <v>00102597</v>
      </c>
    </row>
    <row r="1427" spans="1:2" x14ac:dyDescent="0.25">
      <c r="A1427" s="2">
        <v>1422</v>
      </c>
      <c r="B1427" s="11" t="str">
        <f>"00102626"</f>
        <v>00102626</v>
      </c>
    </row>
    <row r="1428" spans="1:2" x14ac:dyDescent="0.25">
      <c r="A1428" s="2">
        <v>1423</v>
      </c>
      <c r="B1428" s="11" t="str">
        <f>"00102670"</f>
        <v>00102670</v>
      </c>
    </row>
    <row r="1429" spans="1:2" x14ac:dyDescent="0.25">
      <c r="A1429" s="2">
        <v>1424</v>
      </c>
      <c r="B1429" s="11" t="str">
        <f>"00102693"</f>
        <v>00102693</v>
      </c>
    </row>
    <row r="1430" spans="1:2" x14ac:dyDescent="0.25">
      <c r="A1430" s="2">
        <v>1425</v>
      </c>
      <c r="B1430" s="11" t="str">
        <f>"00102766"</f>
        <v>00102766</v>
      </c>
    </row>
    <row r="1431" spans="1:2" x14ac:dyDescent="0.25">
      <c r="A1431" s="2">
        <v>1426</v>
      </c>
      <c r="B1431" s="11" t="str">
        <f>"00102844"</f>
        <v>00102844</v>
      </c>
    </row>
    <row r="1432" spans="1:2" x14ac:dyDescent="0.25">
      <c r="A1432" s="2">
        <v>1427</v>
      </c>
      <c r="B1432" s="11" t="str">
        <f>"00102851"</f>
        <v>00102851</v>
      </c>
    </row>
    <row r="1433" spans="1:2" x14ac:dyDescent="0.25">
      <c r="A1433" s="2">
        <v>1428</v>
      </c>
      <c r="B1433" s="11" t="str">
        <f>"00102862"</f>
        <v>00102862</v>
      </c>
    </row>
    <row r="1434" spans="1:2" x14ac:dyDescent="0.25">
      <c r="A1434" s="2">
        <v>1429</v>
      </c>
      <c r="B1434" s="11" t="str">
        <f>"00102950"</f>
        <v>00102950</v>
      </c>
    </row>
    <row r="1435" spans="1:2" x14ac:dyDescent="0.25">
      <c r="A1435" s="2">
        <v>1430</v>
      </c>
      <c r="B1435" s="11" t="str">
        <f>"00102979"</f>
        <v>00102979</v>
      </c>
    </row>
    <row r="1436" spans="1:2" x14ac:dyDescent="0.25">
      <c r="A1436" s="2">
        <v>1431</v>
      </c>
      <c r="B1436" s="11" t="str">
        <f>"00103029"</f>
        <v>00103029</v>
      </c>
    </row>
    <row r="1437" spans="1:2" x14ac:dyDescent="0.25">
      <c r="A1437" s="2">
        <v>1432</v>
      </c>
      <c r="B1437" s="11" t="str">
        <f>"00103030"</f>
        <v>00103030</v>
      </c>
    </row>
    <row r="1438" spans="1:2" x14ac:dyDescent="0.25">
      <c r="A1438" s="2">
        <v>1433</v>
      </c>
      <c r="B1438" s="11" t="str">
        <f>"00103033"</f>
        <v>00103033</v>
      </c>
    </row>
    <row r="1439" spans="1:2" x14ac:dyDescent="0.25">
      <c r="A1439" s="2">
        <v>1434</v>
      </c>
      <c r="B1439" s="11" t="str">
        <f>"00103037"</f>
        <v>00103037</v>
      </c>
    </row>
    <row r="1440" spans="1:2" x14ac:dyDescent="0.25">
      <c r="A1440" s="2">
        <v>1435</v>
      </c>
      <c r="B1440" s="11" t="str">
        <f>"00103096"</f>
        <v>00103096</v>
      </c>
    </row>
    <row r="1441" spans="1:2" x14ac:dyDescent="0.25">
      <c r="A1441" s="2">
        <v>1436</v>
      </c>
      <c r="B1441" s="11" t="str">
        <f>"00103102"</f>
        <v>00103102</v>
      </c>
    </row>
    <row r="1442" spans="1:2" x14ac:dyDescent="0.25">
      <c r="A1442" s="2">
        <v>1437</v>
      </c>
      <c r="B1442" s="11" t="str">
        <f>"00103122"</f>
        <v>00103122</v>
      </c>
    </row>
    <row r="1443" spans="1:2" x14ac:dyDescent="0.25">
      <c r="A1443" s="2">
        <v>1438</v>
      </c>
      <c r="B1443" s="11" t="str">
        <f>"00103170"</f>
        <v>00103170</v>
      </c>
    </row>
    <row r="1444" spans="1:2" x14ac:dyDescent="0.25">
      <c r="A1444" s="2">
        <v>1439</v>
      </c>
      <c r="B1444" s="11" t="str">
        <f>"00103187"</f>
        <v>00103187</v>
      </c>
    </row>
    <row r="1445" spans="1:2" x14ac:dyDescent="0.25">
      <c r="A1445" s="2">
        <v>1440</v>
      </c>
      <c r="B1445" s="11" t="str">
        <f>"00103328"</f>
        <v>00103328</v>
      </c>
    </row>
    <row r="1446" spans="1:2" x14ac:dyDescent="0.25">
      <c r="A1446" s="2">
        <v>1441</v>
      </c>
      <c r="B1446" s="11" t="str">
        <f>"00103345"</f>
        <v>00103345</v>
      </c>
    </row>
    <row r="1447" spans="1:2" x14ac:dyDescent="0.25">
      <c r="A1447" s="2">
        <v>1442</v>
      </c>
      <c r="B1447" s="11" t="str">
        <f>"00103373"</f>
        <v>00103373</v>
      </c>
    </row>
    <row r="1448" spans="1:2" x14ac:dyDescent="0.25">
      <c r="A1448" s="2">
        <v>1443</v>
      </c>
      <c r="B1448" s="11" t="str">
        <f>"00103481"</f>
        <v>00103481</v>
      </c>
    </row>
    <row r="1449" spans="1:2" x14ac:dyDescent="0.25">
      <c r="A1449" s="2">
        <v>1444</v>
      </c>
      <c r="B1449" s="11" t="str">
        <f>"00103494"</f>
        <v>00103494</v>
      </c>
    </row>
    <row r="1450" spans="1:2" x14ac:dyDescent="0.25">
      <c r="A1450" s="2">
        <v>1445</v>
      </c>
      <c r="B1450" s="11" t="str">
        <f>"00103521"</f>
        <v>00103521</v>
      </c>
    </row>
    <row r="1451" spans="1:2" x14ac:dyDescent="0.25">
      <c r="A1451" s="2">
        <v>1446</v>
      </c>
      <c r="B1451" s="11" t="str">
        <f>"00103529"</f>
        <v>00103529</v>
      </c>
    </row>
    <row r="1452" spans="1:2" x14ac:dyDescent="0.25">
      <c r="A1452" s="2">
        <v>1447</v>
      </c>
      <c r="B1452" s="11" t="str">
        <f>"00103580"</f>
        <v>00103580</v>
      </c>
    </row>
    <row r="1453" spans="1:2" x14ac:dyDescent="0.25">
      <c r="A1453" s="2">
        <v>1448</v>
      </c>
      <c r="B1453" s="11" t="str">
        <f>"00103649"</f>
        <v>00103649</v>
      </c>
    </row>
    <row r="1454" spans="1:2" x14ac:dyDescent="0.25">
      <c r="A1454" s="2">
        <v>1449</v>
      </c>
      <c r="B1454" s="11" t="str">
        <f>"00103836"</f>
        <v>00103836</v>
      </c>
    </row>
    <row r="1455" spans="1:2" x14ac:dyDescent="0.25">
      <c r="A1455" s="2">
        <v>1450</v>
      </c>
      <c r="B1455" s="11" t="str">
        <f>"00103856"</f>
        <v>00103856</v>
      </c>
    </row>
    <row r="1456" spans="1:2" x14ac:dyDescent="0.25">
      <c r="A1456" s="2">
        <v>1451</v>
      </c>
      <c r="B1456" s="11" t="str">
        <f>"00103862"</f>
        <v>00103862</v>
      </c>
    </row>
    <row r="1457" spans="1:2" x14ac:dyDescent="0.25">
      <c r="A1457" s="2">
        <v>1452</v>
      </c>
      <c r="B1457" s="11" t="str">
        <f>"00103863"</f>
        <v>00103863</v>
      </c>
    </row>
    <row r="1458" spans="1:2" x14ac:dyDescent="0.25">
      <c r="A1458" s="2">
        <v>1453</v>
      </c>
      <c r="B1458" s="11" t="str">
        <f>"00103955"</f>
        <v>00103955</v>
      </c>
    </row>
    <row r="1459" spans="1:2" x14ac:dyDescent="0.25">
      <c r="A1459" s="2">
        <v>1454</v>
      </c>
      <c r="B1459" s="11" t="str">
        <f>"00104005"</f>
        <v>00104005</v>
      </c>
    </row>
    <row r="1460" spans="1:2" x14ac:dyDescent="0.25">
      <c r="A1460" s="2">
        <v>1455</v>
      </c>
      <c r="B1460" s="11" t="str">
        <f>"00104039"</f>
        <v>00104039</v>
      </c>
    </row>
    <row r="1461" spans="1:2" x14ac:dyDescent="0.25">
      <c r="A1461" s="2">
        <v>1456</v>
      </c>
      <c r="B1461" s="11" t="str">
        <f>"00104043"</f>
        <v>00104043</v>
      </c>
    </row>
    <row r="1462" spans="1:2" x14ac:dyDescent="0.25">
      <c r="A1462" s="2">
        <v>1457</v>
      </c>
      <c r="B1462" s="11" t="str">
        <f>"00104102"</f>
        <v>00104102</v>
      </c>
    </row>
    <row r="1463" spans="1:2" x14ac:dyDescent="0.25">
      <c r="A1463" s="2">
        <v>1458</v>
      </c>
      <c r="B1463" s="11" t="str">
        <f>"00104127"</f>
        <v>00104127</v>
      </c>
    </row>
    <row r="1464" spans="1:2" x14ac:dyDescent="0.25">
      <c r="A1464" s="2">
        <v>1459</v>
      </c>
      <c r="B1464" s="11" t="str">
        <f>"00104143"</f>
        <v>00104143</v>
      </c>
    </row>
    <row r="1465" spans="1:2" x14ac:dyDescent="0.25">
      <c r="A1465" s="2">
        <v>1460</v>
      </c>
      <c r="B1465" s="11" t="str">
        <f>"00104145"</f>
        <v>00104145</v>
      </c>
    </row>
    <row r="1466" spans="1:2" x14ac:dyDescent="0.25">
      <c r="A1466" s="2">
        <v>1461</v>
      </c>
      <c r="B1466" s="11" t="str">
        <f>"00104193"</f>
        <v>00104193</v>
      </c>
    </row>
    <row r="1467" spans="1:2" x14ac:dyDescent="0.25">
      <c r="A1467" s="2">
        <v>1462</v>
      </c>
      <c r="B1467" s="11" t="str">
        <f>"00104242"</f>
        <v>00104242</v>
      </c>
    </row>
    <row r="1468" spans="1:2" x14ac:dyDescent="0.25">
      <c r="A1468" s="2">
        <v>1463</v>
      </c>
      <c r="B1468" s="11" t="str">
        <f>"00104285"</f>
        <v>00104285</v>
      </c>
    </row>
    <row r="1469" spans="1:2" x14ac:dyDescent="0.25">
      <c r="A1469" s="2">
        <v>1464</v>
      </c>
      <c r="B1469" s="11" t="str">
        <f>"00104311"</f>
        <v>00104311</v>
      </c>
    </row>
    <row r="1470" spans="1:2" x14ac:dyDescent="0.25">
      <c r="A1470" s="2">
        <v>1465</v>
      </c>
      <c r="B1470" s="11" t="str">
        <f>"00104316"</f>
        <v>00104316</v>
      </c>
    </row>
    <row r="1471" spans="1:2" x14ac:dyDescent="0.25">
      <c r="A1471" s="2">
        <v>1466</v>
      </c>
      <c r="B1471" s="11" t="str">
        <f>"00104322"</f>
        <v>00104322</v>
      </c>
    </row>
    <row r="1472" spans="1:2" x14ac:dyDescent="0.25">
      <c r="A1472" s="2">
        <v>1467</v>
      </c>
      <c r="B1472" s="11" t="str">
        <f>"00104336"</f>
        <v>00104336</v>
      </c>
    </row>
    <row r="1473" spans="1:2" x14ac:dyDescent="0.25">
      <c r="A1473" s="2">
        <v>1468</v>
      </c>
      <c r="B1473" s="11" t="str">
        <f>"00104340"</f>
        <v>00104340</v>
      </c>
    </row>
    <row r="1474" spans="1:2" x14ac:dyDescent="0.25">
      <c r="A1474" s="2">
        <v>1469</v>
      </c>
      <c r="B1474" s="11" t="str">
        <f>"00104350"</f>
        <v>00104350</v>
      </c>
    </row>
    <row r="1475" spans="1:2" x14ac:dyDescent="0.25">
      <c r="A1475" s="2">
        <v>1470</v>
      </c>
      <c r="B1475" s="11" t="str">
        <f>"00104405"</f>
        <v>00104405</v>
      </c>
    </row>
    <row r="1476" spans="1:2" x14ac:dyDescent="0.25">
      <c r="A1476" s="2">
        <v>1471</v>
      </c>
      <c r="B1476" s="11" t="str">
        <f>"00104472"</f>
        <v>00104472</v>
      </c>
    </row>
    <row r="1477" spans="1:2" x14ac:dyDescent="0.25">
      <c r="A1477" s="2">
        <v>1472</v>
      </c>
      <c r="B1477" s="11" t="str">
        <f>"00104481"</f>
        <v>00104481</v>
      </c>
    </row>
    <row r="1478" spans="1:2" x14ac:dyDescent="0.25">
      <c r="A1478" s="2">
        <v>1473</v>
      </c>
      <c r="B1478" s="11" t="str">
        <f>"00104567"</f>
        <v>00104567</v>
      </c>
    </row>
    <row r="1479" spans="1:2" x14ac:dyDescent="0.25">
      <c r="A1479" s="2">
        <v>1474</v>
      </c>
      <c r="B1479" s="11" t="str">
        <f>"00104591"</f>
        <v>00104591</v>
      </c>
    </row>
    <row r="1480" spans="1:2" x14ac:dyDescent="0.25">
      <c r="A1480" s="2">
        <v>1475</v>
      </c>
      <c r="B1480" s="11" t="str">
        <f>"00104603"</f>
        <v>00104603</v>
      </c>
    </row>
    <row r="1481" spans="1:2" x14ac:dyDescent="0.25">
      <c r="A1481" s="2">
        <v>1476</v>
      </c>
      <c r="B1481" s="11" t="str">
        <f>"00104626"</f>
        <v>00104626</v>
      </c>
    </row>
    <row r="1482" spans="1:2" x14ac:dyDescent="0.25">
      <c r="A1482" s="2">
        <v>1477</v>
      </c>
      <c r="B1482" s="11" t="str">
        <f>"00104628"</f>
        <v>00104628</v>
      </c>
    </row>
    <row r="1483" spans="1:2" x14ac:dyDescent="0.25">
      <c r="A1483" s="2">
        <v>1478</v>
      </c>
      <c r="B1483" s="11" t="str">
        <f>"00104784"</f>
        <v>00104784</v>
      </c>
    </row>
    <row r="1484" spans="1:2" x14ac:dyDescent="0.25">
      <c r="A1484" s="2">
        <v>1479</v>
      </c>
      <c r="B1484" s="11" t="str">
        <f>"00104864"</f>
        <v>00104864</v>
      </c>
    </row>
    <row r="1485" spans="1:2" x14ac:dyDescent="0.25">
      <c r="A1485" s="2">
        <v>1480</v>
      </c>
      <c r="B1485" s="11" t="str">
        <f>"00104879"</f>
        <v>00104879</v>
      </c>
    </row>
    <row r="1486" spans="1:2" x14ac:dyDescent="0.25">
      <c r="A1486" s="2">
        <v>1481</v>
      </c>
      <c r="B1486" s="11" t="str">
        <f>"00104894"</f>
        <v>00104894</v>
      </c>
    </row>
    <row r="1487" spans="1:2" x14ac:dyDescent="0.25">
      <c r="A1487" s="2">
        <v>1482</v>
      </c>
      <c r="B1487" s="11" t="str">
        <f>"00104922"</f>
        <v>00104922</v>
      </c>
    </row>
    <row r="1488" spans="1:2" x14ac:dyDescent="0.25">
      <c r="A1488" s="2">
        <v>1483</v>
      </c>
      <c r="B1488" s="11" t="str">
        <f>"00104948"</f>
        <v>00104948</v>
      </c>
    </row>
    <row r="1489" spans="1:2" x14ac:dyDescent="0.25">
      <c r="A1489" s="2">
        <v>1484</v>
      </c>
      <c r="B1489" s="11" t="str">
        <f>"00104957"</f>
        <v>00104957</v>
      </c>
    </row>
    <row r="1490" spans="1:2" x14ac:dyDescent="0.25">
      <c r="A1490" s="2">
        <v>1485</v>
      </c>
      <c r="B1490" s="11" t="str">
        <f>"00105041"</f>
        <v>00105041</v>
      </c>
    </row>
    <row r="1491" spans="1:2" x14ac:dyDescent="0.25">
      <c r="A1491" s="2">
        <v>1486</v>
      </c>
      <c r="B1491" s="11" t="str">
        <f>"00105047"</f>
        <v>00105047</v>
      </c>
    </row>
    <row r="1492" spans="1:2" x14ac:dyDescent="0.25">
      <c r="A1492" s="2">
        <v>1487</v>
      </c>
      <c r="B1492" s="11" t="str">
        <f>"00105208"</f>
        <v>00105208</v>
      </c>
    </row>
    <row r="1493" spans="1:2" x14ac:dyDescent="0.25">
      <c r="A1493" s="2">
        <v>1488</v>
      </c>
      <c r="B1493" s="11" t="str">
        <f>"00105305"</f>
        <v>00105305</v>
      </c>
    </row>
    <row r="1494" spans="1:2" x14ac:dyDescent="0.25">
      <c r="A1494" s="2">
        <v>1489</v>
      </c>
      <c r="B1494" s="11" t="str">
        <f>"00105307"</f>
        <v>00105307</v>
      </c>
    </row>
    <row r="1495" spans="1:2" x14ac:dyDescent="0.25">
      <c r="A1495" s="2">
        <v>1490</v>
      </c>
      <c r="B1495" s="11" t="str">
        <f>"00105332"</f>
        <v>00105332</v>
      </c>
    </row>
    <row r="1496" spans="1:2" x14ac:dyDescent="0.25">
      <c r="A1496" s="2">
        <v>1491</v>
      </c>
      <c r="B1496" s="11" t="str">
        <f>"00105363"</f>
        <v>00105363</v>
      </c>
    </row>
    <row r="1497" spans="1:2" x14ac:dyDescent="0.25">
      <c r="A1497" s="2">
        <v>1492</v>
      </c>
      <c r="B1497" s="11" t="str">
        <f>"00105534"</f>
        <v>00105534</v>
      </c>
    </row>
    <row r="1498" spans="1:2" x14ac:dyDescent="0.25">
      <c r="A1498" s="2">
        <v>1493</v>
      </c>
      <c r="B1498" s="11" t="str">
        <f>"00105562"</f>
        <v>00105562</v>
      </c>
    </row>
    <row r="1499" spans="1:2" x14ac:dyDescent="0.25">
      <c r="A1499" s="2">
        <v>1494</v>
      </c>
      <c r="B1499" s="11" t="str">
        <f>"00105563"</f>
        <v>00105563</v>
      </c>
    </row>
    <row r="1500" spans="1:2" x14ac:dyDescent="0.25">
      <c r="A1500" s="2">
        <v>1495</v>
      </c>
      <c r="B1500" s="11" t="str">
        <f>"00105608"</f>
        <v>00105608</v>
      </c>
    </row>
    <row r="1501" spans="1:2" x14ac:dyDescent="0.25">
      <c r="A1501" s="2">
        <v>1496</v>
      </c>
      <c r="B1501" s="11" t="str">
        <f>"00105632"</f>
        <v>00105632</v>
      </c>
    </row>
    <row r="1502" spans="1:2" x14ac:dyDescent="0.25">
      <c r="A1502" s="2">
        <v>1497</v>
      </c>
      <c r="B1502" s="11" t="str">
        <f>"00105637"</f>
        <v>00105637</v>
      </c>
    </row>
    <row r="1503" spans="1:2" x14ac:dyDescent="0.25">
      <c r="A1503" s="2">
        <v>1498</v>
      </c>
      <c r="B1503" s="11" t="str">
        <f>"00105643"</f>
        <v>00105643</v>
      </c>
    </row>
    <row r="1504" spans="1:2" x14ac:dyDescent="0.25">
      <c r="A1504" s="2">
        <v>1499</v>
      </c>
      <c r="B1504" s="11" t="str">
        <f>"00105648"</f>
        <v>00105648</v>
      </c>
    </row>
    <row r="1505" spans="1:2" x14ac:dyDescent="0.25">
      <c r="A1505" s="2">
        <v>1500</v>
      </c>
      <c r="B1505" s="11" t="str">
        <f>"00105657"</f>
        <v>00105657</v>
      </c>
    </row>
    <row r="1506" spans="1:2" x14ac:dyDescent="0.25">
      <c r="A1506" s="2">
        <v>1501</v>
      </c>
      <c r="B1506" s="11" t="str">
        <f>"00105686"</f>
        <v>00105686</v>
      </c>
    </row>
    <row r="1507" spans="1:2" x14ac:dyDescent="0.25">
      <c r="A1507" s="2">
        <v>1502</v>
      </c>
      <c r="B1507" s="11" t="str">
        <f>"00105705"</f>
        <v>00105705</v>
      </c>
    </row>
    <row r="1508" spans="1:2" x14ac:dyDescent="0.25">
      <c r="A1508" s="2">
        <v>1503</v>
      </c>
      <c r="B1508" s="11" t="str">
        <f>"00105707"</f>
        <v>00105707</v>
      </c>
    </row>
    <row r="1509" spans="1:2" x14ac:dyDescent="0.25">
      <c r="A1509" s="2">
        <v>1504</v>
      </c>
      <c r="B1509" s="11" t="str">
        <f>"00106254"</f>
        <v>00106254</v>
      </c>
    </row>
    <row r="1510" spans="1:2" x14ac:dyDescent="0.25">
      <c r="A1510" s="2">
        <v>1505</v>
      </c>
      <c r="B1510" s="11" t="str">
        <f>"00106593"</f>
        <v>00106593</v>
      </c>
    </row>
    <row r="1511" spans="1:2" x14ac:dyDescent="0.25">
      <c r="A1511" s="2">
        <v>1506</v>
      </c>
      <c r="B1511" s="11" t="str">
        <f>"00106602"</f>
        <v>00106602</v>
      </c>
    </row>
    <row r="1512" spans="1:2" x14ac:dyDescent="0.25">
      <c r="A1512" s="2">
        <v>1507</v>
      </c>
      <c r="B1512" s="11" t="str">
        <f>"00106631"</f>
        <v>00106631</v>
      </c>
    </row>
    <row r="1513" spans="1:2" x14ac:dyDescent="0.25">
      <c r="A1513" s="2">
        <v>1508</v>
      </c>
      <c r="B1513" s="11" t="str">
        <f>"00106697"</f>
        <v>00106697</v>
      </c>
    </row>
    <row r="1514" spans="1:2" x14ac:dyDescent="0.25">
      <c r="A1514" s="2">
        <v>1509</v>
      </c>
      <c r="B1514" s="11" t="str">
        <f>"00106947"</f>
        <v>00106947</v>
      </c>
    </row>
    <row r="1515" spans="1:2" x14ac:dyDescent="0.25">
      <c r="A1515" s="2">
        <v>1510</v>
      </c>
      <c r="B1515" s="11" t="str">
        <f>"00106963"</f>
        <v>00106963</v>
      </c>
    </row>
    <row r="1516" spans="1:2" x14ac:dyDescent="0.25">
      <c r="A1516" s="2">
        <v>1511</v>
      </c>
      <c r="B1516" s="11" t="str">
        <f>"00107014"</f>
        <v>00107014</v>
      </c>
    </row>
    <row r="1517" spans="1:2" x14ac:dyDescent="0.25">
      <c r="A1517" s="2">
        <v>1512</v>
      </c>
      <c r="B1517" s="11" t="str">
        <f>"00107072"</f>
        <v>00107072</v>
      </c>
    </row>
    <row r="1518" spans="1:2" x14ac:dyDescent="0.25">
      <c r="A1518" s="2">
        <v>1513</v>
      </c>
      <c r="B1518" s="11" t="str">
        <f>"00107085"</f>
        <v>00107085</v>
      </c>
    </row>
    <row r="1519" spans="1:2" x14ac:dyDescent="0.25">
      <c r="A1519" s="2">
        <v>1514</v>
      </c>
      <c r="B1519" s="11" t="str">
        <f>"00107124"</f>
        <v>00107124</v>
      </c>
    </row>
    <row r="1520" spans="1:2" x14ac:dyDescent="0.25">
      <c r="A1520" s="2">
        <v>1515</v>
      </c>
      <c r="B1520" s="11" t="str">
        <f>"00107150"</f>
        <v>00107150</v>
      </c>
    </row>
    <row r="1521" spans="1:2" x14ac:dyDescent="0.25">
      <c r="A1521" s="2">
        <v>1516</v>
      </c>
      <c r="B1521" s="11" t="str">
        <f>"00107186"</f>
        <v>00107186</v>
      </c>
    </row>
    <row r="1522" spans="1:2" x14ac:dyDescent="0.25">
      <c r="A1522" s="2">
        <v>1517</v>
      </c>
      <c r="B1522" s="11" t="str">
        <f>"00107208"</f>
        <v>00107208</v>
      </c>
    </row>
    <row r="1523" spans="1:2" x14ac:dyDescent="0.25">
      <c r="A1523" s="2">
        <v>1518</v>
      </c>
      <c r="B1523" s="11" t="str">
        <f>"00107216"</f>
        <v>00107216</v>
      </c>
    </row>
    <row r="1524" spans="1:2" x14ac:dyDescent="0.25">
      <c r="A1524" s="2">
        <v>1519</v>
      </c>
      <c r="B1524" s="11" t="str">
        <f>"00107235"</f>
        <v>00107235</v>
      </c>
    </row>
    <row r="1525" spans="1:2" x14ac:dyDescent="0.25">
      <c r="A1525" s="2">
        <v>1520</v>
      </c>
      <c r="B1525" s="11" t="str">
        <f>"00107332"</f>
        <v>00107332</v>
      </c>
    </row>
    <row r="1526" spans="1:2" x14ac:dyDescent="0.25">
      <c r="A1526" s="2">
        <v>1521</v>
      </c>
      <c r="B1526" s="11" t="str">
        <f>"00107364"</f>
        <v>00107364</v>
      </c>
    </row>
    <row r="1527" spans="1:2" x14ac:dyDescent="0.25">
      <c r="A1527" s="2">
        <v>1522</v>
      </c>
      <c r="B1527" s="11" t="str">
        <f>"00107366"</f>
        <v>00107366</v>
      </c>
    </row>
    <row r="1528" spans="1:2" x14ac:dyDescent="0.25">
      <c r="A1528" s="2">
        <v>1523</v>
      </c>
      <c r="B1528" s="11" t="str">
        <f>"00107371"</f>
        <v>00107371</v>
      </c>
    </row>
    <row r="1529" spans="1:2" x14ac:dyDescent="0.25">
      <c r="A1529" s="2">
        <v>1524</v>
      </c>
      <c r="B1529" s="11" t="str">
        <f>"00107394"</f>
        <v>00107394</v>
      </c>
    </row>
    <row r="1530" spans="1:2" x14ac:dyDescent="0.25">
      <c r="A1530" s="2">
        <v>1525</v>
      </c>
      <c r="B1530" s="11" t="str">
        <f>"00107400"</f>
        <v>00107400</v>
      </c>
    </row>
    <row r="1531" spans="1:2" x14ac:dyDescent="0.25">
      <c r="A1531" s="2">
        <v>1526</v>
      </c>
      <c r="B1531" s="11" t="str">
        <f>"00107421"</f>
        <v>00107421</v>
      </c>
    </row>
    <row r="1532" spans="1:2" x14ac:dyDescent="0.25">
      <c r="A1532" s="2">
        <v>1527</v>
      </c>
      <c r="B1532" s="11" t="str">
        <f>"00107433"</f>
        <v>00107433</v>
      </c>
    </row>
    <row r="1533" spans="1:2" x14ac:dyDescent="0.25">
      <c r="A1533" s="2">
        <v>1528</v>
      </c>
      <c r="B1533" s="11" t="str">
        <f>"00107441"</f>
        <v>00107441</v>
      </c>
    </row>
    <row r="1534" spans="1:2" x14ac:dyDescent="0.25">
      <c r="A1534" s="2">
        <v>1529</v>
      </c>
      <c r="B1534" s="11" t="str">
        <f>"00107443"</f>
        <v>00107443</v>
      </c>
    </row>
    <row r="1535" spans="1:2" x14ac:dyDescent="0.25">
      <c r="A1535" s="2">
        <v>1530</v>
      </c>
      <c r="B1535" s="11" t="str">
        <f>"00107458"</f>
        <v>00107458</v>
      </c>
    </row>
    <row r="1536" spans="1:2" x14ac:dyDescent="0.25">
      <c r="A1536" s="2">
        <v>1531</v>
      </c>
      <c r="B1536" s="11" t="str">
        <f>"00107469"</f>
        <v>00107469</v>
      </c>
    </row>
    <row r="1537" spans="1:2" x14ac:dyDescent="0.25">
      <c r="A1537" s="2">
        <v>1532</v>
      </c>
      <c r="B1537" s="11" t="str">
        <f>"00107476"</f>
        <v>00107476</v>
      </c>
    </row>
    <row r="1538" spans="1:2" x14ac:dyDescent="0.25">
      <c r="A1538" s="2">
        <v>1533</v>
      </c>
      <c r="B1538" s="11" t="str">
        <f>"00107492"</f>
        <v>00107492</v>
      </c>
    </row>
    <row r="1539" spans="1:2" x14ac:dyDescent="0.25">
      <c r="A1539" s="2">
        <v>1534</v>
      </c>
      <c r="B1539" s="11" t="str">
        <f>"00107509"</f>
        <v>00107509</v>
      </c>
    </row>
    <row r="1540" spans="1:2" x14ac:dyDescent="0.25">
      <c r="A1540" s="2">
        <v>1535</v>
      </c>
      <c r="B1540" s="11" t="str">
        <f>"00107546"</f>
        <v>00107546</v>
      </c>
    </row>
    <row r="1541" spans="1:2" x14ac:dyDescent="0.25">
      <c r="A1541" s="2">
        <v>1536</v>
      </c>
      <c r="B1541" s="11" t="str">
        <f>"00107616"</f>
        <v>00107616</v>
      </c>
    </row>
    <row r="1542" spans="1:2" x14ac:dyDescent="0.25">
      <c r="A1542" s="2">
        <v>1537</v>
      </c>
      <c r="B1542" s="11" t="str">
        <f>"00107618"</f>
        <v>00107618</v>
      </c>
    </row>
    <row r="1543" spans="1:2" x14ac:dyDescent="0.25">
      <c r="A1543" s="2">
        <v>1538</v>
      </c>
      <c r="B1543" s="11" t="str">
        <f>"00107644"</f>
        <v>00107644</v>
      </c>
    </row>
    <row r="1544" spans="1:2" x14ac:dyDescent="0.25">
      <c r="A1544" s="2">
        <v>1539</v>
      </c>
      <c r="B1544" s="11" t="str">
        <f>"00107672"</f>
        <v>00107672</v>
      </c>
    </row>
    <row r="1545" spans="1:2" x14ac:dyDescent="0.25">
      <c r="A1545" s="2">
        <v>1540</v>
      </c>
      <c r="B1545" s="11" t="str">
        <f>"00107703"</f>
        <v>00107703</v>
      </c>
    </row>
    <row r="1546" spans="1:2" x14ac:dyDescent="0.25">
      <c r="A1546" s="2">
        <v>1541</v>
      </c>
      <c r="B1546" s="11" t="str">
        <f>"00107704"</f>
        <v>00107704</v>
      </c>
    </row>
    <row r="1547" spans="1:2" x14ac:dyDescent="0.25">
      <c r="A1547" s="2">
        <v>1542</v>
      </c>
      <c r="B1547" s="11" t="str">
        <f>"00107711"</f>
        <v>00107711</v>
      </c>
    </row>
    <row r="1548" spans="1:2" x14ac:dyDescent="0.25">
      <c r="A1548" s="2">
        <v>1543</v>
      </c>
      <c r="B1548" s="11" t="str">
        <f>"00107733"</f>
        <v>00107733</v>
      </c>
    </row>
    <row r="1549" spans="1:2" x14ac:dyDescent="0.25">
      <c r="A1549" s="2">
        <v>1544</v>
      </c>
      <c r="B1549" s="11" t="str">
        <f>"00107768"</f>
        <v>00107768</v>
      </c>
    </row>
    <row r="1550" spans="1:2" x14ac:dyDescent="0.25">
      <c r="A1550" s="2">
        <v>1545</v>
      </c>
      <c r="B1550" s="11" t="str">
        <f>"00107785"</f>
        <v>00107785</v>
      </c>
    </row>
    <row r="1551" spans="1:2" x14ac:dyDescent="0.25">
      <c r="A1551" s="2">
        <v>1546</v>
      </c>
      <c r="B1551" s="11" t="str">
        <f>"00107791"</f>
        <v>00107791</v>
      </c>
    </row>
    <row r="1552" spans="1:2" x14ac:dyDescent="0.25">
      <c r="A1552" s="2">
        <v>1547</v>
      </c>
      <c r="B1552" s="11" t="str">
        <f>"00107841"</f>
        <v>00107841</v>
      </c>
    </row>
    <row r="1553" spans="1:2" x14ac:dyDescent="0.25">
      <c r="A1553" s="2">
        <v>1548</v>
      </c>
      <c r="B1553" s="11" t="str">
        <f>"00107847"</f>
        <v>00107847</v>
      </c>
    </row>
    <row r="1554" spans="1:2" x14ac:dyDescent="0.25">
      <c r="A1554" s="2">
        <v>1549</v>
      </c>
      <c r="B1554" s="11" t="str">
        <f>"00107870"</f>
        <v>00107870</v>
      </c>
    </row>
    <row r="1555" spans="1:2" x14ac:dyDescent="0.25">
      <c r="A1555" s="2">
        <v>1550</v>
      </c>
      <c r="B1555" s="11" t="str">
        <f>"00107876"</f>
        <v>00107876</v>
      </c>
    </row>
    <row r="1556" spans="1:2" x14ac:dyDescent="0.25">
      <c r="A1556" s="2">
        <v>1551</v>
      </c>
      <c r="B1556" s="11" t="str">
        <f>"00107893"</f>
        <v>00107893</v>
      </c>
    </row>
    <row r="1557" spans="1:2" x14ac:dyDescent="0.25">
      <c r="A1557" s="2">
        <v>1552</v>
      </c>
      <c r="B1557" s="11" t="str">
        <f>"00107904"</f>
        <v>00107904</v>
      </c>
    </row>
    <row r="1558" spans="1:2" x14ac:dyDescent="0.25">
      <c r="A1558" s="2">
        <v>1553</v>
      </c>
      <c r="B1558" s="11" t="str">
        <f>"00107918"</f>
        <v>00107918</v>
      </c>
    </row>
    <row r="1559" spans="1:2" x14ac:dyDescent="0.25">
      <c r="A1559" s="2">
        <v>1554</v>
      </c>
      <c r="B1559" s="11" t="str">
        <f>"00107968"</f>
        <v>00107968</v>
      </c>
    </row>
    <row r="1560" spans="1:2" x14ac:dyDescent="0.25">
      <c r="A1560" s="2">
        <v>1555</v>
      </c>
      <c r="B1560" s="11" t="str">
        <f>"00107973"</f>
        <v>00107973</v>
      </c>
    </row>
    <row r="1561" spans="1:2" x14ac:dyDescent="0.25">
      <c r="A1561" s="2">
        <v>1556</v>
      </c>
      <c r="B1561" s="11" t="str">
        <f>"00108004"</f>
        <v>00108004</v>
      </c>
    </row>
    <row r="1562" spans="1:2" x14ac:dyDescent="0.25">
      <c r="A1562" s="2">
        <v>1557</v>
      </c>
      <c r="B1562" s="11" t="str">
        <f>"00108039"</f>
        <v>00108039</v>
      </c>
    </row>
    <row r="1563" spans="1:2" x14ac:dyDescent="0.25">
      <c r="A1563" s="2">
        <v>1558</v>
      </c>
      <c r="B1563" s="11" t="str">
        <f>"00108056"</f>
        <v>00108056</v>
      </c>
    </row>
    <row r="1564" spans="1:2" x14ac:dyDescent="0.25">
      <c r="A1564" s="2">
        <v>1559</v>
      </c>
      <c r="B1564" s="11" t="str">
        <f>"00108160"</f>
        <v>00108160</v>
      </c>
    </row>
    <row r="1565" spans="1:2" x14ac:dyDescent="0.25">
      <c r="A1565" s="2">
        <v>1560</v>
      </c>
      <c r="B1565" s="11" t="str">
        <f>"00108175"</f>
        <v>00108175</v>
      </c>
    </row>
    <row r="1566" spans="1:2" x14ac:dyDescent="0.25">
      <c r="A1566" s="2">
        <v>1561</v>
      </c>
      <c r="B1566" s="11" t="str">
        <f>"00108226"</f>
        <v>00108226</v>
      </c>
    </row>
    <row r="1567" spans="1:2" x14ac:dyDescent="0.25">
      <c r="A1567" s="2">
        <v>1562</v>
      </c>
      <c r="B1567" s="11" t="str">
        <f>"00108248"</f>
        <v>00108248</v>
      </c>
    </row>
    <row r="1568" spans="1:2" x14ac:dyDescent="0.25">
      <c r="A1568" s="2">
        <v>1563</v>
      </c>
      <c r="B1568" s="11" t="str">
        <f>"00108259"</f>
        <v>00108259</v>
      </c>
    </row>
    <row r="1569" spans="1:2" x14ac:dyDescent="0.25">
      <c r="A1569" s="2">
        <v>1564</v>
      </c>
      <c r="B1569" s="11" t="str">
        <f>"00108294"</f>
        <v>00108294</v>
      </c>
    </row>
    <row r="1570" spans="1:2" x14ac:dyDescent="0.25">
      <c r="A1570" s="2">
        <v>1565</v>
      </c>
      <c r="B1570" s="11" t="str">
        <f>"00108296"</f>
        <v>00108296</v>
      </c>
    </row>
    <row r="1571" spans="1:2" x14ac:dyDescent="0.25">
      <c r="A1571" s="2">
        <v>1566</v>
      </c>
      <c r="B1571" s="11" t="str">
        <f>"00108298"</f>
        <v>00108298</v>
      </c>
    </row>
    <row r="1572" spans="1:2" x14ac:dyDescent="0.25">
      <c r="A1572" s="2">
        <v>1567</v>
      </c>
      <c r="B1572" s="11" t="str">
        <f>"00108377"</f>
        <v>00108377</v>
      </c>
    </row>
    <row r="1573" spans="1:2" x14ac:dyDescent="0.25">
      <c r="A1573" s="2">
        <v>1568</v>
      </c>
      <c r="B1573" s="11" t="str">
        <f>"00108382"</f>
        <v>00108382</v>
      </c>
    </row>
    <row r="1574" spans="1:2" x14ac:dyDescent="0.25">
      <c r="A1574" s="2">
        <v>1569</v>
      </c>
      <c r="B1574" s="11" t="str">
        <f>"00108422"</f>
        <v>00108422</v>
      </c>
    </row>
    <row r="1575" spans="1:2" x14ac:dyDescent="0.25">
      <c r="A1575" s="2">
        <v>1570</v>
      </c>
      <c r="B1575" s="11" t="str">
        <f>"00108461"</f>
        <v>00108461</v>
      </c>
    </row>
    <row r="1576" spans="1:2" x14ac:dyDescent="0.25">
      <c r="A1576" s="2">
        <v>1571</v>
      </c>
      <c r="B1576" s="11" t="str">
        <f>"00108504"</f>
        <v>00108504</v>
      </c>
    </row>
    <row r="1577" spans="1:2" x14ac:dyDescent="0.25">
      <c r="A1577" s="2">
        <v>1572</v>
      </c>
      <c r="B1577" s="11" t="str">
        <f>"00108597"</f>
        <v>00108597</v>
      </c>
    </row>
    <row r="1578" spans="1:2" x14ac:dyDescent="0.25">
      <c r="A1578" s="2">
        <v>1573</v>
      </c>
      <c r="B1578" s="11" t="str">
        <f>"00108643"</f>
        <v>00108643</v>
      </c>
    </row>
    <row r="1579" spans="1:2" x14ac:dyDescent="0.25">
      <c r="A1579" s="2">
        <v>1574</v>
      </c>
      <c r="B1579" s="11" t="str">
        <f>"00108652"</f>
        <v>00108652</v>
      </c>
    </row>
    <row r="1580" spans="1:2" x14ac:dyDescent="0.25">
      <c r="A1580" s="2">
        <v>1575</v>
      </c>
      <c r="B1580" s="11" t="str">
        <f>"00108655"</f>
        <v>00108655</v>
      </c>
    </row>
    <row r="1581" spans="1:2" x14ac:dyDescent="0.25">
      <c r="A1581" s="2">
        <v>1576</v>
      </c>
      <c r="B1581" s="11" t="str">
        <f>"00108660"</f>
        <v>00108660</v>
      </c>
    </row>
    <row r="1582" spans="1:2" x14ac:dyDescent="0.25">
      <c r="A1582" s="2">
        <v>1577</v>
      </c>
      <c r="B1582" s="11" t="str">
        <f>"00108661"</f>
        <v>00108661</v>
      </c>
    </row>
    <row r="1583" spans="1:2" x14ac:dyDescent="0.25">
      <c r="A1583" s="2">
        <v>1578</v>
      </c>
      <c r="B1583" s="11" t="str">
        <f>"00108663"</f>
        <v>00108663</v>
      </c>
    </row>
    <row r="1584" spans="1:2" x14ac:dyDescent="0.25">
      <c r="A1584" s="2">
        <v>1579</v>
      </c>
      <c r="B1584" s="11" t="str">
        <f>"00108680"</f>
        <v>00108680</v>
      </c>
    </row>
    <row r="1585" spans="1:2" x14ac:dyDescent="0.25">
      <c r="A1585" s="2">
        <v>1580</v>
      </c>
      <c r="B1585" s="11" t="str">
        <f>"00108692"</f>
        <v>00108692</v>
      </c>
    </row>
    <row r="1586" spans="1:2" x14ac:dyDescent="0.25">
      <c r="A1586" s="2">
        <v>1581</v>
      </c>
      <c r="B1586" s="11" t="str">
        <f>"00108745"</f>
        <v>00108745</v>
      </c>
    </row>
    <row r="1587" spans="1:2" x14ac:dyDescent="0.25">
      <c r="A1587" s="2">
        <v>1582</v>
      </c>
      <c r="B1587" s="11" t="str">
        <f>"00108828"</f>
        <v>00108828</v>
      </c>
    </row>
    <row r="1588" spans="1:2" x14ac:dyDescent="0.25">
      <c r="A1588" s="2">
        <v>1583</v>
      </c>
      <c r="B1588" s="11" t="str">
        <f>"00108843"</f>
        <v>00108843</v>
      </c>
    </row>
    <row r="1589" spans="1:2" x14ac:dyDescent="0.25">
      <c r="A1589" s="2">
        <v>1584</v>
      </c>
      <c r="B1589" s="11" t="str">
        <f>"00108856"</f>
        <v>00108856</v>
      </c>
    </row>
    <row r="1590" spans="1:2" x14ac:dyDescent="0.25">
      <c r="A1590" s="2">
        <v>1585</v>
      </c>
      <c r="B1590" s="11" t="str">
        <f>"00108869"</f>
        <v>00108869</v>
      </c>
    </row>
    <row r="1591" spans="1:2" x14ac:dyDescent="0.25">
      <c r="A1591" s="2">
        <v>1586</v>
      </c>
      <c r="B1591" s="11" t="str">
        <f>"00108879"</f>
        <v>00108879</v>
      </c>
    </row>
    <row r="1592" spans="1:2" x14ac:dyDescent="0.25">
      <c r="A1592" s="2">
        <v>1587</v>
      </c>
      <c r="B1592" s="11" t="str">
        <f>"00108881"</f>
        <v>00108881</v>
      </c>
    </row>
    <row r="1593" spans="1:2" x14ac:dyDescent="0.25">
      <c r="A1593" s="2">
        <v>1588</v>
      </c>
      <c r="B1593" s="11" t="str">
        <f>"00108900"</f>
        <v>00108900</v>
      </c>
    </row>
    <row r="1594" spans="1:2" x14ac:dyDescent="0.25">
      <c r="A1594" s="2">
        <v>1589</v>
      </c>
      <c r="B1594" s="11" t="str">
        <f>"00108905"</f>
        <v>00108905</v>
      </c>
    </row>
    <row r="1595" spans="1:2" x14ac:dyDescent="0.25">
      <c r="A1595" s="2">
        <v>1590</v>
      </c>
      <c r="B1595" s="11" t="str">
        <f>"00108917"</f>
        <v>00108917</v>
      </c>
    </row>
    <row r="1596" spans="1:2" x14ac:dyDescent="0.25">
      <c r="A1596" s="2">
        <v>1591</v>
      </c>
      <c r="B1596" s="11" t="str">
        <f>"00108924"</f>
        <v>00108924</v>
      </c>
    </row>
    <row r="1597" spans="1:2" x14ac:dyDescent="0.25">
      <c r="A1597" s="2">
        <v>1592</v>
      </c>
      <c r="B1597" s="11" t="str">
        <f>"00108932"</f>
        <v>00108932</v>
      </c>
    </row>
    <row r="1598" spans="1:2" x14ac:dyDescent="0.25">
      <c r="A1598" s="2">
        <v>1593</v>
      </c>
      <c r="B1598" s="11" t="str">
        <f>"00108984"</f>
        <v>00108984</v>
      </c>
    </row>
    <row r="1599" spans="1:2" x14ac:dyDescent="0.25">
      <c r="A1599" s="2">
        <v>1594</v>
      </c>
      <c r="B1599" s="11" t="str">
        <f>"00108999"</f>
        <v>00108999</v>
      </c>
    </row>
    <row r="1600" spans="1:2" x14ac:dyDescent="0.25">
      <c r="A1600" s="2">
        <v>1595</v>
      </c>
      <c r="B1600" s="11" t="str">
        <f>"00109086"</f>
        <v>00109086</v>
      </c>
    </row>
    <row r="1601" spans="1:2" x14ac:dyDescent="0.25">
      <c r="A1601" s="2">
        <v>1596</v>
      </c>
      <c r="B1601" s="11" t="str">
        <f>"00109158"</f>
        <v>00109158</v>
      </c>
    </row>
    <row r="1602" spans="1:2" x14ac:dyDescent="0.25">
      <c r="A1602" s="2">
        <v>1597</v>
      </c>
      <c r="B1602" s="11" t="str">
        <f>"00109162"</f>
        <v>00109162</v>
      </c>
    </row>
    <row r="1603" spans="1:2" x14ac:dyDescent="0.25">
      <c r="A1603" s="2">
        <v>1598</v>
      </c>
      <c r="B1603" s="11" t="str">
        <f>"00109187"</f>
        <v>00109187</v>
      </c>
    </row>
    <row r="1604" spans="1:2" x14ac:dyDescent="0.25">
      <c r="A1604" s="2">
        <v>1599</v>
      </c>
      <c r="B1604" s="11" t="str">
        <f>"00109210"</f>
        <v>00109210</v>
      </c>
    </row>
    <row r="1605" spans="1:2" x14ac:dyDescent="0.25">
      <c r="A1605" s="2">
        <v>1600</v>
      </c>
      <c r="B1605" s="11" t="str">
        <f>"00109218"</f>
        <v>00109218</v>
      </c>
    </row>
    <row r="1606" spans="1:2" x14ac:dyDescent="0.25">
      <c r="A1606" s="2">
        <v>1601</v>
      </c>
      <c r="B1606" s="11" t="str">
        <f>"00109286"</f>
        <v>00109286</v>
      </c>
    </row>
    <row r="1607" spans="1:2" x14ac:dyDescent="0.25">
      <c r="A1607" s="2">
        <v>1602</v>
      </c>
      <c r="B1607" s="11" t="str">
        <f>"00109326"</f>
        <v>00109326</v>
      </c>
    </row>
    <row r="1608" spans="1:2" x14ac:dyDescent="0.25">
      <c r="A1608" s="2">
        <v>1603</v>
      </c>
      <c r="B1608" s="11" t="str">
        <f>"00109330"</f>
        <v>00109330</v>
      </c>
    </row>
    <row r="1609" spans="1:2" x14ac:dyDescent="0.25">
      <c r="A1609" s="2">
        <v>1604</v>
      </c>
      <c r="B1609" s="11" t="str">
        <f>"00109340"</f>
        <v>00109340</v>
      </c>
    </row>
    <row r="1610" spans="1:2" x14ac:dyDescent="0.25">
      <c r="A1610" s="2">
        <v>1605</v>
      </c>
      <c r="B1610" s="11" t="str">
        <f>"00109373"</f>
        <v>00109373</v>
      </c>
    </row>
    <row r="1611" spans="1:2" x14ac:dyDescent="0.25">
      <c r="A1611" s="2">
        <v>1606</v>
      </c>
      <c r="B1611" s="11" t="str">
        <f>"00109449"</f>
        <v>00109449</v>
      </c>
    </row>
    <row r="1612" spans="1:2" x14ac:dyDescent="0.25">
      <c r="A1612" s="2">
        <v>1607</v>
      </c>
      <c r="B1612" s="11" t="str">
        <f>"00109483"</f>
        <v>00109483</v>
      </c>
    </row>
    <row r="1613" spans="1:2" x14ac:dyDescent="0.25">
      <c r="A1613" s="2">
        <v>1608</v>
      </c>
      <c r="B1613" s="11" t="str">
        <f>"00109488"</f>
        <v>00109488</v>
      </c>
    </row>
    <row r="1614" spans="1:2" x14ac:dyDescent="0.25">
      <c r="A1614" s="2">
        <v>1609</v>
      </c>
      <c r="B1614" s="11" t="str">
        <f>"00109567"</f>
        <v>00109567</v>
      </c>
    </row>
    <row r="1615" spans="1:2" x14ac:dyDescent="0.25">
      <c r="A1615" s="2">
        <v>1610</v>
      </c>
      <c r="B1615" s="11" t="str">
        <f>"00109575"</f>
        <v>00109575</v>
      </c>
    </row>
    <row r="1616" spans="1:2" x14ac:dyDescent="0.25">
      <c r="A1616" s="2">
        <v>1611</v>
      </c>
      <c r="B1616" s="11" t="str">
        <f>"00109609"</f>
        <v>00109609</v>
      </c>
    </row>
    <row r="1617" spans="1:2" x14ac:dyDescent="0.25">
      <c r="A1617" s="2">
        <v>1612</v>
      </c>
      <c r="B1617" s="11" t="str">
        <f>"00109610"</f>
        <v>00109610</v>
      </c>
    </row>
    <row r="1618" spans="1:2" x14ac:dyDescent="0.25">
      <c r="A1618" s="2">
        <v>1613</v>
      </c>
      <c r="B1618" s="11" t="str">
        <f>"00109643"</f>
        <v>00109643</v>
      </c>
    </row>
    <row r="1619" spans="1:2" x14ac:dyDescent="0.25">
      <c r="A1619" s="2">
        <v>1614</v>
      </c>
      <c r="B1619" s="11" t="str">
        <f>"00109729"</f>
        <v>00109729</v>
      </c>
    </row>
    <row r="1620" spans="1:2" x14ac:dyDescent="0.25">
      <c r="A1620" s="2">
        <v>1615</v>
      </c>
      <c r="B1620" s="11" t="str">
        <f>"00109764"</f>
        <v>00109764</v>
      </c>
    </row>
    <row r="1621" spans="1:2" x14ac:dyDescent="0.25">
      <c r="A1621" s="2">
        <v>1616</v>
      </c>
      <c r="B1621" s="11" t="str">
        <f>"00109774"</f>
        <v>00109774</v>
      </c>
    </row>
    <row r="1622" spans="1:2" x14ac:dyDescent="0.25">
      <c r="A1622" s="2">
        <v>1617</v>
      </c>
      <c r="B1622" s="11" t="str">
        <f>"00109793"</f>
        <v>00109793</v>
      </c>
    </row>
    <row r="1623" spans="1:2" x14ac:dyDescent="0.25">
      <c r="A1623" s="2">
        <v>1618</v>
      </c>
      <c r="B1623" s="11" t="str">
        <f>"00109849"</f>
        <v>00109849</v>
      </c>
    </row>
    <row r="1624" spans="1:2" x14ac:dyDescent="0.25">
      <c r="A1624" s="2">
        <v>1619</v>
      </c>
      <c r="B1624" s="11" t="str">
        <f>"00109863"</f>
        <v>00109863</v>
      </c>
    </row>
    <row r="1625" spans="1:2" x14ac:dyDescent="0.25">
      <c r="A1625" s="2">
        <v>1620</v>
      </c>
      <c r="B1625" s="11" t="str">
        <f>"00109933"</f>
        <v>00109933</v>
      </c>
    </row>
    <row r="1626" spans="1:2" x14ac:dyDescent="0.25">
      <c r="A1626" s="2">
        <v>1621</v>
      </c>
      <c r="B1626" s="11" t="str">
        <f>"00109934"</f>
        <v>00109934</v>
      </c>
    </row>
    <row r="1627" spans="1:2" x14ac:dyDescent="0.25">
      <c r="A1627" s="2">
        <v>1622</v>
      </c>
      <c r="B1627" s="11" t="str">
        <f>"00109948"</f>
        <v>00109948</v>
      </c>
    </row>
    <row r="1628" spans="1:2" x14ac:dyDescent="0.25">
      <c r="A1628" s="2">
        <v>1623</v>
      </c>
      <c r="B1628" s="11" t="str">
        <f>"00109960"</f>
        <v>00109960</v>
      </c>
    </row>
    <row r="1629" spans="1:2" x14ac:dyDescent="0.25">
      <c r="A1629" s="2">
        <v>1624</v>
      </c>
      <c r="B1629" s="11" t="str">
        <f>"00109974"</f>
        <v>00109974</v>
      </c>
    </row>
    <row r="1630" spans="1:2" x14ac:dyDescent="0.25">
      <c r="A1630" s="2">
        <v>1625</v>
      </c>
      <c r="B1630" s="11" t="str">
        <f>"00109984"</f>
        <v>00109984</v>
      </c>
    </row>
    <row r="1631" spans="1:2" x14ac:dyDescent="0.25">
      <c r="A1631" s="2">
        <v>1626</v>
      </c>
      <c r="B1631" s="11" t="str">
        <f>"00110007"</f>
        <v>00110007</v>
      </c>
    </row>
    <row r="1632" spans="1:2" x14ac:dyDescent="0.25">
      <c r="A1632" s="2">
        <v>1627</v>
      </c>
      <c r="B1632" s="11" t="str">
        <f>"00110025"</f>
        <v>00110025</v>
      </c>
    </row>
    <row r="1633" spans="1:2" x14ac:dyDescent="0.25">
      <c r="A1633" s="2">
        <v>1628</v>
      </c>
      <c r="B1633" s="11" t="str">
        <f>"00110032"</f>
        <v>00110032</v>
      </c>
    </row>
    <row r="1634" spans="1:2" x14ac:dyDescent="0.25">
      <c r="A1634" s="2">
        <v>1629</v>
      </c>
      <c r="B1634" s="11" t="str">
        <f>"00110046"</f>
        <v>00110046</v>
      </c>
    </row>
    <row r="1635" spans="1:2" x14ac:dyDescent="0.25">
      <c r="A1635" s="2">
        <v>1630</v>
      </c>
      <c r="B1635" s="11" t="str">
        <f>"00110199"</f>
        <v>00110199</v>
      </c>
    </row>
    <row r="1636" spans="1:2" x14ac:dyDescent="0.25">
      <c r="A1636" s="2">
        <v>1631</v>
      </c>
      <c r="B1636" s="11" t="str">
        <f>"00110234"</f>
        <v>00110234</v>
      </c>
    </row>
    <row r="1637" spans="1:2" x14ac:dyDescent="0.25">
      <c r="A1637" s="2">
        <v>1632</v>
      </c>
      <c r="B1637" s="11" t="str">
        <f>"00110244"</f>
        <v>00110244</v>
      </c>
    </row>
    <row r="1638" spans="1:2" x14ac:dyDescent="0.25">
      <c r="A1638" s="2">
        <v>1633</v>
      </c>
      <c r="B1638" s="11" t="str">
        <f>"00110252"</f>
        <v>00110252</v>
      </c>
    </row>
    <row r="1639" spans="1:2" x14ac:dyDescent="0.25">
      <c r="A1639" s="2">
        <v>1634</v>
      </c>
      <c r="B1639" s="11" t="str">
        <f>"00110256"</f>
        <v>00110256</v>
      </c>
    </row>
    <row r="1640" spans="1:2" x14ac:dyDescent="0.25">
      <c r="A1640" s="2">
        <v>1635</v>
      </c>
      <c r="B1640" s="11" t="str">
        <f>"00110257"</f>
        <v>00110257</v>
      </c>
    </row>
    <row r="1641" spans="1:2" x14ac:dyDescent="0.25">
      <c r="A1641" s="2">
        <v>1636</v>
      </c>
      <c r="B1641" s="11" t="str">
        <f>"00110340"</f>
        <v>00110340</v>
      </c>
    </row>
    <row r="1642" spans="1:2" x14ac:dyDescent="0.25">
      <c r="A1642" s="2">
        <v>1637</v>
      </c>
      <c r="B1642" s="11" t="str">
        <f>"00110383"</f>
        <v>00110383</v>
      </c>
    </row>
    <row r="1643" spans="1:2" x14ac:dyDescent="0.25">
      <c r="A1643" s="2">
        <v>1638</v>
      </c>
      <c r="B1643" s="11" t="str">
        <f>"00110406"</f>
        <v>00110406</v>
      </c>
    </row>
    <row r="1644" spans="1:2" x14ac:dyDescent="0.25">
      <c r="A1644" s="2">
        <v>1639</v>
      </c>
      <c r="B1644" s="11" t="str">
        <f>"00110411"</f>
        <v>00110411</v>
      </c>
    </row>
    <row r="1645" spans="1:2" x14ac:dyDescent="0.25">
      <c r="A1645" s="2">
        <v>1640</v>
      </c>
      <c r="B1645" s="11" t="str">
        <f>"00110464"</f>
        <v>00110464</v>
      </c>
    </row>
    <row r="1646" spans="1:2" x14ac:dyDescent="0.25">
      <c r="A1646" s="2">
        <v>1641</v>
      </c>
      <c r="B1646" s="11" t="str">
        <f>"00110488"</f>
        <v>00110488</v>
      </c>
    </row>
    <row r="1647" spans="1:2" x14ac:dyDescent="0.25">
      <c r="A1647" s="2">
        <v>1642</v>
      </c>
      <c r="B1647" s="11" t="str">
        <f>"00110570"</f>
        <v>00110570</v>
      </c>
    </row>
    <row r="1648" spans="1:2" x14ac:dyDescent="0.25">
      <c r="A1648" s="2">
        <v>1643</v>
      </c>
      <c r="B1648" s="11" t="str">
        <f>"00110619"</f>
        <v>00110619</v>
      </c>
    </row>
    <row r="1649" spans="1:2" x14ac:dyDescent="0.25">
      <c r="A1649" s="2">
        <v>1644</v>
      </c>
      <c r="B1649" s="11" t="str">
        <f>"00110634"</f>
        <v>00110634</v>
      </c>
    </row>
    <row r="1650" spans="1:2" x14ac:dyDescent="0.25">
      <c r="A1650" s="2">
        <v>1645</v>
      </c>
      <c r="B1650" s="11" t="str">
        <f>"00110645"</f>
        <v>00110645</v>
      </c>
    </row>
    <row r="1651" spans="1:2" x14ac:dyDescent="0.25">
      <c r="A1651" s="2">
        <v>1646</v>
      </c>
      <c r="B1651" s="11" t="str">
        <f>"00110694"</f>
        <v>00110694</v>
      </c>
    </row>
    <row r="1652" spans="1:2" x14ac:dyDescent="0.25">
      <c r="A1652" s="2">
        <v>1647</v>
      </c>
      <c r="B1652" s="11" t="str">
        <f>"00110700"</f>
        <v>00110700</v>
      </c>
    </row>
    <row r="1653" spans="1:2" x14ac:dyDescent="0.25">
      <c r="A1653" s="2">
        <v>1648</v>
      </c>
      <c r="B1653" s="11" t="str">
        <f>"00110701"</f>
        <v>00110701</v>
      </c>
    </row>
    <row r="1654" spans="1:2" x14ac:dyDescent="0.25">
      <c r="A1654" s="2">
        <v>1649</v>
      </c>
      <c r="B1654" s="11" t="str">
        <f>"00110735"</f>
        <v>00110735</v>
      </c>
    </row>
    <row r="1655" spans="1:2" x14ac:dyDescent="0.25">
      <c r="A1655" s="2">
        <v>1650</v>
      </c>
      <c r="B1655" s="11" t="str">
        <f>"00110796"</f>
        <v>00110796</v>
      </c>
    </row>
    <row r="1656" spans="1:2" x14ac:dyDescent="0.25">
      <c r="A1656" s="2">
        <v>1651</v>
      </c>
      <c r="B1656" s="11" t="str">
        <f>"00110857"</f>
        <v>00110857</v>
      </c>
    </row>
    <row r="1657" spans="1:2" x14ac:dyDescent="0.25">
      <c r="A1657" s="2">
        <v>1652</v>
      </c>
      <c r="B1657" s="11" t="str">
        <f>"00110983"</f>
        <v>00110983</v>
      </c>
    </row>
    <row r="1658" spans="1:2" x14ac:dyDescent="0.25">
      <c r="A1658" s="2">
        <v>1653</v>
      </c>
      <c r="B1658" s="11" t="str">
        <f>"00110987"</f>
        <v>00110987</v>
      </c>
    </row>
    <row r="1659" spans="1:2" x14ac:dyDescent="0.25">
      <c r="A1659" s="2">
        <v>1654</v>
      </c>
      <c r="B1659" s="11" t="str">
        <f>"00110996"</f>
        <v>00110996</v>
      </c>
    </row>
    <row r="1660" spans="1:2" x14ac:dyDescent="0.25">
      <c r="A1660" s="2">
        <v>1655</v>
      </c>
      <c r="B1660" s="11" t="str">
        <f>"00111007"</f>
        <v>00111007</v>
      </c>
    </row>
    <row r="1661" spans="1:2" x14ac:dyDescent="0.25">
      <c r="A1661" s="2">
        <v>1656</v>
      </c>
      <c r="B1661" s="11" t="str">
        <f>"00111016"</f>
        <v>00111016</v>
      </c>
    </row>
    <row r="1662" spans="1:2" x14ac:dyDescent="0.25">
      <c r="A1662" s="2">
        <v>1657</v>
      </c>
      <c r="B1662" s="11" t="str">
        <f>"00111069"</f>
        <v>00111069</v>
      </c>
    </row>
    <row r="1663" spans="1:2" x14ac:dyDescent="0.25">
      <c r="A1663" s="2">
        <v>1658</v>
      </c>
      <c r="B1663" s="11" t="str">
        <f>"00111101"</f>
        <v>00111101</v>
      </c>
    </row>
    <row r="1664" spans="1:2" x14ac:dyDescent="0.25">
      <c r="A1664" s="2">
        <v>1659</v>
      </c>
      <c r="B1664" s="11" t="str">
        <f>"00111115"</f>
        <v>00111115</v>
      </c>
    </row>
    <row r="1665" spans="1:2" x14ac:dyDescent="0.25">
      <c r="A1665" s="2">
        <v>1660</v>
      </c>
      <c r="B1665" s="11" t="str">
        <f>"00111139"</f>
        <v>00111139</v>
      </c>
    </row>
    <row r="1666" spans="1:2" x14ac:dyDescent="0.25">
      <c r="A1666" s="2">
        <v>1661</v>
      </c>
      <c r="B1666" s="11" t="str">
        <f>"00111160"</f>
        <v>00111160</v>
      </c>
    </row>
    <row r="1667" spans="1:2" x14ac:dyDescent="0.25">
      <c r="A1667" s="2">
        <v>1662</v>
      </c>
      <c r="B1667" s="11" t="str">
        <f>"00111213"</f>
        <v>00111213</v>
      </c>
    </row>
    <row r="1668" spans="1:2" x14ac:dyDescent="0.25">
      <c r="A1668" s="2">
        <v>1663</v>
      </c>
      <c r="B1668" s="11" t="str">
        <f>"00111214"</f>
        <v>00111214</v>
      </c>
    </row>
    <row r="1669" spans="1:2" x14ac:dyDescent="0.25">
      <c r="A1669" s="2">
        <v>1664</v>
      </c>
      <c r="B1669" s="11" t="str">
        <f>"00111218"</f>
        <v>00111218</v>
      </c>
    </row>
    <row r="1670" spans="1:2" x14ac:dyDescent="0.25">
      <c r="A1670" s="2">
        <v>1665</v>
      </c>
      <c r="B1670" s="11" t="str">
        <f>"00111220"</f>
        <v>00111220</v>
      </c>
    </row>
    <row r="1671" spans="1:2" x14ac:dyDescent="0.25">
      <c r="A1671" s="2">
        <v>1666</v>
      </c>
      <c r="B1671" s="11" t="str">
        <f>"00111226"</f>
        <v>00111226</v>
      </c>
    </row>
    <row r="1672" spans="1:2" x14ac:dyDescent="0.25">
      <c r="A1672" s="2">
        <v>1667</v>
      </c>
      <c r="B1672" s="11" t="str">
        <f>"00111308"</f>
        <v>00111308</v>
      </c>
    </row>
    <row r="1673" spans="1:2" x14ac:dyDescent="0.25">
      <c r="A1673" s="2">
        <v>1668</v>
      </c>
      <c r="B1673" s="11" t="str">
        <f>"00111311"</f>
        <v>00111311</v>
      </c>
    </row>
    <row r="1674" spans="1:2" x14ac:dyDescent="0.25">
      <c r="A1674" s="2">
        <v>1669</v>
      </c>
      <c r="B1674" s="11" t="str">
        <f>"00111358"</f>
        <v>00111358</v>
      </c>
    </row>
    <row r="1675" spans="1:2" x14ac:dyDescent="0.25">
      <c r="A1675" s="2">
        <v>1670</v>
      </c>
      <c r="B1675" s="11" t="str">
        <f>"00111364"</f>
        <v>00111364</v>
      </c>
    </row>
    <row r="1676" spans="1:2" x14ac:dyDescent="0.25">
      <c r="A1676" s="2">
        <v>1671</v>
      </c>
      <c r="B1676" s="11" t="str">
        <f>"00111379"</f>
        <v>00111379</v>
      </c>
    </row>
    <row r="1677" spans="1:2" x14ac:dyDescent="0.25">
      <c r="A1677" s="2">
        <v>1672</v>
      </c>
      <c r="B1677" s="11" t="str">
        <f>"00111395"</f>
        <v>00111395</v>
      </c>
    </row>
    <row r="1678" spans="1:2" x14ac:dyDescent="0.25">
      <c r="A1678" s="2">
        <v>1673</v>
      </c>
      <c r="B1678" s="11" t="str">
        <f>"00111417"</f>
        <v>00111417</v>
      </c>
    </row>
    <row r="1679" spans="1:2" x14ac:dyDescent="0.25">
      <c r="A1679" s="2">
        <v>1674</v>
      </c>
      <c r="B1679" s="11" t="str">
        <f>"00111461"</f>
        <v>00111461</v>
      </c>
    </row>
    <row r="1680" spans="1:2" x14ac:dyDescent="0.25">
      <c r="A1680" s="2">
        <v>1675</v>
      </c>
      <c r="B1680" s="11" t="str">
        <f>"00111531"</f>
        <v>00111531</v>
      </c>
    </row>
    <row r="1681" spans="1:2" x14ac:dyDescent="0.25">
      <c r="A1681" s="2">
        <v>1676</v>
      </c>
      <c r="B1681" s="11" t="str">
        <f>"00111536"</f>
        <v>00111536</v>
      </c>
    </row>
    <row r="1682" spans="1:2" x14ac:dyDescent="0.25">
      <c r="A1682" s="2">
        <v>1677</v>
      </c>
      <c r="B1682" s="11" t="str">
        <f>"00111635"</f>
        <v>00111635</v>
      </c>
    </row>
    <row r="1683" spans="1:2" x14ac:dyDescent="0.25">
      <c r="A1683" s="2">
        <v>1678</v>
      </c>
      <c r="B1683" s="11" t="str">
        <f>"00111660"</f>
        <v>00111660</v>
      </c>
    </row>
    <row r="1684" spans="1:2" x14ac:dyDescent="0.25">
      <c r="A1684" s="2">
        <v>1679</v>
      </c>
      <c r="B1684" s="11" t="str">
        <f>"00111692"</f>
        <v>00111692</v>
      </c>
    </row>
    <row r="1685" spans="1:2" x14ac:dyDescent="0.25">
      <c r="A1685" s="2">
        <v>1680</v>
      </c>
      <c r="B1685" s="11" t="str">
        <f>"00111698"</f>
        <v>00111698</v>
      </c>
    </row>
    <row r="1686" spans="1:2" x14ac:dyDescent="0.25">
      <c r="A1686" s="2">
        <v>1681</v>
      </c>
      <c r="B1686" s="11" t="str">
        <f>"00111748"</f>
        <v>00111748</v>
      </c>
    </row>
    <row r="1687" spans="1:2" x14ac:dyDescent="0.25">
      <c r="A1687" s="2">
        <v>1682</v>
      </c>
      <c r="B1687" s="11" t="str">
        <f>"00111798"</f>
        <v>00111798</v>
      </c>
    </row>
    <row r="1688" spans="1:2" x14ac:dyDescent="0.25">
      <c r="A1688" s="2">
        <v>1683</v>
      </c>
      <c r="B1688" s="11" t="str">
        <f>"00111855"</f>
        <v>00111855</v>
      </c>
    </row>
    <row r="1689" spans="1:2" x14ac:dyDescent="0.25">
      <c r="A1689" s="2">
        <v>1684</v>
      </c>
      <c r="B1689" s="11" t="str">
        <f>"00111897"</f>
        <v>00111897</v>
      </c>
    </row>
    <row r="1690" spans="1:2" x14ac:dyDescent="0.25">
      <c r="A1690" s="2">
        <v>1685</v>
      </c>
      <c r="B1690" s="11" t="str">
        <f>"00111918"</f>
        <v>00111918</v>
      </c>
    </row>
    <row r="1691" spans="1:2" x14ac:dyDescent="0.25">
      <c r="A1691" s="2">
        <v>1686</v>
      </c>
      <c r="B1691" s="11" t="str">
        <f>"00111989"</f>
        <v>00111989</v>
      </c>
    </row>
    <row r="1692" spans="1:2" x14ac:dyDescent="0.25">
      <c r="A1692" s="2">
        <v>1687</v>
      </c>
      <c r="B1692" s="11" t="str">
        <f>"00112016"</f>
        <v>00112016</v>
      </c>
    </row>
    <row r="1693" spans="1:2" x14ac:dyDescent="0.25">
      <c r="A1693" s="2">
        <v>1688</v>
      </c>
      <c r="B1693" s="11" t="str">
        <f>"00112074"</f>
        <v>00112074</v>
      </c>
    </row>
    <row r="1694" spans="1:2" x14ac:dyDescent="0.25">
      <c r="A1694" s="2">
        <v>1689</v>
      </c>
      <c r="B1694" s="11" t="str">
        <f>"00112091"</f>
        <v>00112091</v>
      </c>
    </row>
    <row r="1695" spans="1:2" x14ac:dyDescent="0.25">
      <c r="A1695" s="2">
        <v>1690</v>
      </c>
      <c r="B1695" s="11" t="str">
        <f>"00112157"</f>
        <v>00112157</v>
      </c>
    </row>
    <row r="1696" spans="1:2" x14ac:dyDescent="0.25">
      <c r="A1696" s="2">
        <v>1691</v>
      </c>
      <c r="B1696" s="11" t="str">
        <f>"00112207"</f>
        <v>00112207</v>
      </c>
    </row>
    <row r="1697" spans="1:2" x14ac:dyDescent="0.25">
      <c r="A1697" s="2">
        <v>1692</v>
      </c>
      <c r="B1697" s="11" t="str">
        <f>"00112366"</f>
        <v>00112366</v>
      </c>
    </row>
    <row r="1698" spans="1:2" x14ac:dyDescent="0.25">
      <c r="A1698" s="2">
        <v>1693</v>
      </c>
      <c r="B1698" s="11" t="str">
        <f>"00112417"</f>
        <v>00112417</v>
      </c>
    </row>
    <row r="1699" spans="1:2" x14ac:dyDescent="0.25">
      <c r="A1699" s="2">
        <v>1694</v>
      </c>
      <c r="B1699" s="11" t="str">
        <f>"00112429"</f>
        <v>00112429</v>
      </c>
    </row>
    <row r="1700" spans="1:2" x14ac:dyDescent="0.25">
      <c r="A1700" s="2">
        <v>1695</v>
      </c>
      <c r="B1700" s="11" t="str">
        <f>"00112482"</f>
        <v>00112482</v>
      </c>
    </row>
    <row r="1701" spans="1:2" x14ac:dyDescent="0.25">
      <c r="A1701" s="2">
        <v>1696</v>
      </c>
      <c r="B1701" s="11" t="str">
        <f>"00112532"</f>
        <v>00112532</v>
      </c>
    </row>
    <row r="1702" spans="1:2" x14ac:dyDescent="0.25">
      <c r="A1702" s="2">
        <v>1697</v>
      </c>
      <c r="B1702" s="11" t="str">
        <f>"00112599"</f>
        <v>00112599</v>
      </c>
    </row>
    <row r="1703" spans="1:2" x14ac:dyDescent="0.25">
      <c r="A1703" s="2">
        <v>1698</v>
      </c>
      <c r="B1703" s="11" t="str">
        <f>"00112624"</f>
        <v>00112624</v>
      </c>
    </row>
    <row r="1704" spans="1:2" x14ac:dyDescent="0.25">
      <c r="A1704" s="2">
        <v>1699</v>
      </c>
      <c r="B1704" s="11" t="str">
        <f>"00112628"</f>
        <v>00112628</v>
      </c>
    </row>
    <row r="1705" spans="1:2" x14ac:dyDescent="0.25">
      <c r="A1705" s="2">
        <v>1700</v>
      </c>
      <c r="B1705" s="11" t="str">
        <f>"00112639"</f>
        <v>00112639</v>
      </c>
    </row>
    <row r="1706" spans="1:2" x14ac:dyDescent="0.25">
      <c r="A1706" s="2">
        <v>1701</v>
      </c>
      <c r="B1706" s="11" t="str">
        <f>"00112703"</f>
        <v>00112703</v>
      </c>
    </row>
    <row r="1707" spans="1:2" x14ac:dyDescent="0.25">
      <c r="A1707" s="2">
        <v>1702</v>
      </c>
      <c r="B1707" s="11" t="str">
        <f>"00112714"</f>
        <v>00112714</v>
      </c>
    </row>
    <row r="1708" spans="1:2" x14ac:dyDescent="0.25">
      <c r="A1708" s="2">
        <v>1703</v>
      </c>
      <c r="B1708" s="11" t="str">
        <f>"00112722"</f>
        <v>00112722</v>
      </c>
    </row>
    <row r="1709" spans="1:2" x14ac:dyDescent="0.25">
      <c r="A1709" s="2">
        <v>1704</v>
      </c>
      <c r="B1709" s="11" t="str">
        <f>"00112867"</f>
        <v>00112867</v>
      </c>
    </row>
    <row r="1710" spans="1:2" x14ac:dyDescent="0.25">
      <c r="A1710" s="2">
        <v>1705</v>
      </c>
      <c r="B1710" s="11" t="str">
        <f>"00112870"</f>
        <v>00112870</v>
      </c>
    </row>
    <row r="1711" spans="1:2" x14ac:dyDescent="0.25">
      <c r="A1711" s="2">
        <v>1706</v>
      </c>
      <c r="B1711" s="11" t="str">
        <f>"00113006"</f>
        <v>00113006</v>
      </c>
    </row>
    <row r="1712" spans="1:2" x14ac:dyDescent="0.25">
      <c r="A1712" s="2">
        <v>1707</v>
      </c>
      <c r="B1712" s="11" t="str">
        <f>"00113007"</f>
        <v>00113007</v>
      </c>
    </row>
    <row r="1713" spans="1:2" x14ac:dyDescent="0.25">
      <c r="A1713" s="2">
        <v>1708</v>
      </c>
      <c r="B1713" s="11" t="str">
        <f>"00113014"</f>
        <v>00113014</v>
      </c>
    </row>
    <row r="1714" spans="1:2" x14ac:dyDescent="0.25">
      <c r="A1714" s="2">
        <v>1709</v>
      </c>
      <c r="B1714" s="11" t="str">
        <f>"00113015"</f>
        <v>00113015</v>
      </c>
    </row>
    <row r="1715" spans="1:2" x14ac:dyDescent="0.25">
      <c r="A1715" s="2">
        <v>1710</v>
      </c>
      <c r="B1715" s="11" t="str">
        <f>"00113023"</f>
        <v>00113023</v>
      </c>
    </row>
    <row r="1716" spans="1:2" x14ac:dyDescent="0.25">
      <c r="A1716" s="2">
        <v>1711</v>
      </c>
      <c r="B1716" s="11" t="str">
        <f>"00113029"</f>
        <v>00113029</v>
      </c>
    </row>
    <row r="1717" spans="1:2" x14ac:dyDescent="0.25">
      <c r="A1717" s="2">
        <v>1712</v>
      </c>
      <c r="B1717" s="11" t="str">
        <f>"00113036"</f>
        <v>00113036</v>
      </c>
    </row>
    <row r="1718" spans="1:2" x14ac:dyDescent="0.25">
      <c r="A1718" s="2">
        <v>1713</v>
      </c>
      <c r="B1718" s="11" t="str">
        <f>"00113038"</f>
        <v>00113038</v>
      </c>
    </row>
    <row r="1719" spans="1:2" x14ac:dyDescent="0.25">
      <c r="A1719" s="2">
        <v>1714</v>
      </c>
      <c r="B1719" s="11" t="str">
        <f>"00113041"</f>
        <v>00113041</v>
      </c>
    </row>
    <row r="1720" spans="1:2" x14ac:dyDescent="0.25">
      <c r="A1720" s="2">
        <v>1715</v>
      </c>
      <c r="B1720" s="11" t="str">
        <f>"00113148"</f>
        <v>00113148</v>
      </c>
    </row>
    <row r="1721" spans="1:2" x14ac:dyDescent="0.25">
      <c r="A1721" s="2">
        <v>1716</v>
      </c>
      <c r="B1721" s="11" t="str">
        <f>"00113155"</f>
        <v>00113155</v>
      </c>
    </row>
    <row r="1722" spans="1:2" x14ac:dyDescent="0.25">
      <c r="A1722" s="2">
        <v>1717</v>
      </c>
      <c r="B1722" s="11" t="str">
        <f>"00113165"</f>
        <v>00113165</v>
      </c>
    </row>
    <row r="1723" spans="1:2" x14ac:dyDescent="0.25">
      <c r="A1723" s="2">
        <v>1718</v>
      </c>
      <c r="B1723" s="11" t="str">
        <f>"00113187"</f>
        <v>00113187</v>
      </c>
    </row>
    <row r="1724" spans="1:2" x14ac:dyDescent="0.25">
      <c r="A1724" s="2">
        <v>1719</v>
      </c>
      <c r="B1724" s="11" t="str">
        <f>"00113205"</f>
        <v>00113205</v>
      </c>
    </row>
    <row r="1725" spans="1:2" x14ac:dyDescent="0.25">
      <c r="A1725" s="2">
        <v>1720</v>
      </c>
      <c r="B1725" s="11" t="str">
        <f>"00113273"</f>
        <v>00113273</v>
      </c>
    </row>
    <row r="1726" spans="1:2" x14ac:dyDescent="0.25">
      <c r="A1726" s="2">
        <v>1721</v>
      </c>
      <c r="B1726" s="11" t="str">
        <f>"00113305"</f>
        <v>00113305</v>
      </c>
    </row>
    <row r="1727" spans="1:2" x14ac:dyDescent="0.25">
      <c r="A1727" s="2">
        <v>1722</v>
      </c>
      <c r="B1727" s="11" t="str">
        <f>"00113416"</f>
        <v>00113416</v>
      </c>
    </row>
    <row r="1728" spans="1:2" x14ac:dyDescent="0.25">
      <c r="A1728" s="2">
        <v>1723</v>
      </c>
      <c r="B1728" s="11" t="str">
        <f>"00113461"</f>
        <v>00113461</v>
      </c>
    </row>
    <row r="1729" spans="1:2" x14ac:dyDescent="0.25">
      <c r="A1729" s="2">
        <v>1724</v>
      </c>
      <c r="B1729" s="11" t="str">
        <f>"00113531"</f>
        <v>00113531</v>
      </c>
    </row>
    <row r="1730" spans="1:2" x14ac:dyDescent="0.25">
      <c r="A1730" s="2">
        <v>1725</v>
      </c>
      <c r="B1730" s="11" t="str">
        <f>"00113543"</f>
        <v>00113543</v>
      </c>
    </row>
    <row r="1731" spans="1:2" x14ac:dyDescent="0.25">
      <c r="A1731" s="2">
        <v>1726</v>
      </c>
      <c r="B1731" s="11" t="str">
        <f>"00113586"</f>
        <v>00113586</v>
      </c>
    </row>
    <row r="1732" spans="1:2" x14ac:dyDescent="0.25">
      <c r="A1732" s="2">
        <v>1727</v>
      </c>
      <c r="B1732" s="11" t="str">
        <f>"00113629"</f>
        <v>00113629</v>
      </c>
    </row>
    <row r="1733" spans="1:2" x14ac:dyDescent="0.25">
      <c r="A1733" s="2">
        <v>1728</v>
      </c>
      <c r="B1733" s="11" t="str">
        <f>"00113658"</f>
        <v>00113658</v>
      </c>
    </row>
    <row r="1734" spans="1:2" x14ac:dyDescent="0.25">
      <c r="A1734" s="2">
        <v>1729</v>
      </c>
      <c r="B1734" s="11" t="str">
        <f>"00113817"</f>
        <v>00113817</v>
      </c>
    </row>
    <row r="1735" spans="1:2" x14ac:dyDescent="0.25">
      <c r="A1735" s="2">
        <v>1730</v>
      </c>
      <c r="B1735" s="11" t="str">
        <f>"00113859"</f>
        <v>00113859</v>
      </c>
    </row>
    <row r="1736" spans="1:2" x14ac:dyDescent="0.25">
      <c r="A1736" s="2">
        <v>1731</v>
      </c>
      <c r="B1736" s="11" t="str">
        <f>"00113864"</f>
        <v>00113864</v>
      </c>
    </row>
    <row r="1737" spans="1:2" x14ac:dyDescent="0.25">
      <c r="A1737" s="2">
        <v>1732</v>
      </c>
      <c r="B1737" s="11" t="str">
        <f>"00113973"</f>
        <v>00113973</v>
      </c>
    </row>
    <row r="1738" spans="1:2" x14ac:dyDescent="0.25">
      <c r="A1738" s="2">
        <v>1733</v>
      </c>
      <c r="B1738" s="11" t="str">
        <f>"00113982"</f>
        <v>00113982</v>
      </c>
    </row>
    <row r="1739" spans="1:2" x14ac:dyDescent="0.25">
      <c r="A1739" s="2">
        <v>1734</v>
      </c>
      <c r="B1739" s="11" t="str">
        <f>"00114019"</f>
        <v>00114019</v>
      </c>
    </row>
    <row r="1740" spans="1:2" x14ac:dyDescent="0.25">
      <c r="A1740" s="2">
        <v>1735</v>
      </c>
      <c r="B1740" s="11" t="str">
        <f>"00114025"</f>
        <v>00114025</v>
      </c>
    </row>
    <row r="1741" spans="1:2" x14ac:dyDescent="0.25">
      <c r="A1741" s="2">
        <v>1736</v>
      </c>
      <c r="B1741" s="11" t="str">
        <f>"00114039"</f>
        <v>00114039</v>
      </c>
    </row>
    <row r="1742" spans="1:2" x14ac:dyDescent="0.25">
      <c r="A1742" s="2">
        <v>1737</v>
      </c>
      <c r="B1742" s="11" t="str">
        <f>"00114053"</f>
        <v>00114053</v>
      </c>
    </row>
    <row r="1743" spans="1:2" x14ac:dyDescent="0.25">
      <c r="A1743" s="2">
        <v>1738</v>
      </c>
      <c r="B1743" s="11" t="str">
        <f>"00114069"</f>
        <v>00114069</v>
      </c>
    </row>
    <row r="1744" spans="1:2" x14ac:dyDescent="0.25">
      <c r="A1744" s="2">
        <v>1739</v>
      </c>
      <c r="B1744" s="11" t="str">
        <f>"00114114"</f>
        <v>00114114</v>
      </c>
    </row>
    <row r="1745" spans="1:2" x14ac:dyDescent="0.25">
      <c r="A1745" s="2">
        <v>1740</v>
      </c>
      <c r="B1745" s="11" t="str">
        <f>"00114126"</f>
        <v>00114126</v>
      </c>
    </row>
    <row r="1746" spans="1:2" x14ac:dyDescent="0.25">
      <c r="A1746" s="2">
        <v>1741</v>
      </c>
      <c r="B1746" s="11" t="str">
        <f>"00114130"</f>
        <v>00114130</v>
      </c>
    </row>
    <row r="1747" spans="1:2" x14ac:dyDescent="0.25">
      <c r="A1747" s="2">
        <v>1742</v>
      </c>
      <c r="B1747" s="11" t="str">
        <f>"00114184"</f>
        <v>00114184</v>
      </c>
    </row>
    <row r="1748" spans="1:2" x14ac:dyDescent="0.25">
      <c r="A1748" s="2">
        <v>1743</v>
      </c>
      <c r="B1748" s="11" t="str">
        <f>"00114232"</f>
        <v>00114232</v>
      </c>
    </row>
    <row r="1749" spans="1:2" x14ac:dyDescent="0.25">
      <c r="A1749" s="2">
        <v>1744</v>
      </c>
      <c r="B1749" s="11" t="str">
        <f>"00114259"</f>
        <v>00114259</v>
      </c>
    </row>
    <row r="1750" spans="1:2" x14ac:dyDescent="0.25">
      <c r="A1750" s="2">
        <v>1745</v>
      </c>
      <c r="B1750" s="11" t="str">
        <f>"00114349"</f>
        <v>00114349</v>
      </c>
    </row>
    <row r="1751" spans="1:2" x14ac:dyDescent="0.25">
      <c r="A1751" s="2">
        <v>1746</v>
      </c>
      <c r="B1751" s="11" t="str">
        <f>"00114352"</f>
        <v>00114352</v>
      </c>
    </row>
    <row r="1752" spans="1:2" x14ac:dyDescent="0.25">
      <c r="A1752" s="2">
        <v>1747</v>
      </c>
      <c r="B1752" s="11" t="str">
        <f>"00114409"</f>
        <v>00114409</v>
      </c>
    </row>
    <row r="1753" spans="1:2" x14ac:dyDescent="0.25">
      <c r="A1753" s="2">
        <v>1748</v>
      </c>
      <c r="B1753" s="11" t="str">
        <f>"00114438"</f>
        <v>00114438</v>
      </c>
    </row>
    <row r="1754" spans="1:2" x14ac:dyDescent="0.25">
      <c r="A1754" s="2">
        <v>1749</v>
      </c>
      <c r="B1754" s="11" t="str">
        <f>"00114450"</f>
        <v>00114450</v>
      </c>
    </row>
    <row r="1755" spans="1:2" x14ac:dyDescent="0.25">
      <c r="A1755" s="2">
        <v>1750</v>
      </c>
      <c r="B1755" s="11" t="str">
        <f>"00114510"</f>
        <v>00114510</v>
      </c>
    </row>
    <row r="1756" spans="1:2" x14ac:dyDescent="0.25">
      <c r="A1756" s="2">
        <v>1751</v>
      </c>
      <c r="B1756" s="11" t="str">
        <f>"00114513"</f>
        <v>00114513</v>
      </c>
    </row>
    <row r="1757" spans="1:2" x14ac:dyDescent="0.25">
      <c r="A1757" s="2">
        <v>1752</v>
      </c>
      <c r="B1757" s="11" t="str">
        <f>"00114570"</f>
        <v>00114570</v>
      </c>
    </row>
    <row r="1758" spans="1:2" x14ac:dyDescent="0.25">
      <c r="A1758" s="2">
        <v>1753</v>
      </c>
      <c r="B1758" s="11" t="str">
        <f>"00114582"</f>
        <v>00114582</v>
      </c>
    </row>
    <row r="1759" spans="1:2" x14ac:dyDescent="0.25">
      <c r="A1759" s="2">
        <v>1754</v>
      </c>
      <c r="B1759" s="11" t="str">
        <f>"00114593"</f>
        <v>00114593</v>
      </c>
    </row>
    <row r="1760" spans="1:2" x14ac:dyDescent="0.25">
      <c r="A1760" s="2">
        <v>1755</v>
      </c>
      <c r="B1760" s="11" t="str">
        <f>"00114631"</f>
        <v>00114631</v>
      </c>
    </row>
    <row r="1761" spans="1:2" x14ac:dyDescent="0.25">
      <c r="A1761" s="2">
        <v>1756</v>
      </c>
      <c r="B1761" s="11" t="str">
        <f>"00114682"</f>
        <v>00114682</v>
      </c>
    </row>
    <row r="1762" spans="1:2" x14ac:dyDescent="0.25">
      <c r="A1762" s="2">
        <v>1757</v>
      </c>
      <c r="B1762" s="11" t="str">
        <f>"00114691"</f>
        <v>00114691</v>
      </c>
    </row>
    <row r="1763" spans="1:2" x14ac:dyDescent="0.25">
      <c r="A1763" s="2">
        <v>1758</v>
      </c>
      <c r="B1763" s="11" t="str">
        <f>"00114723"</f>
        <v>00114723</v>
      </c>
    </row>
    <row r="1764" spans="1:2" x14ac:dyDescent="0.25">
      <c r="A1764" s="2">
        <v>1759</v>
      </c>
      <c r="B1764" s="11" t="str">
        <f>"00114726"</f>
        <v>00114726</v>
      </c>
    </row>
    <row r="1765" spans="1:2" x14ac:dyDescent="0.25">
      <c r="A1765" s="2">
        <v>1760</v>
      </c>
      <c r="B1765" s="11" t="str">
        <f>"00114867"</f>
        <v>00114867</v>
      </c>
    </row>
    <row r="1766" spans="1:2" x14ac:dyDescent="0.25">
      <c r="A1766" s="2">
        <v>1761</v>
      </c>
      <c r="B1766" s="11" t="str">
        <f>"00114868"</f>
        <v>00114868</v>
      </c>
    </row>
    <row r="1767" spans="1:2" x14ac:dyDescent="0.25">
      <c r="A1767" s="2">
        <v>1762</v>
      </c>
      <c r="B1767" s="11" t="str">
        <f>"00114892"</f>
        <v>00114892</v>
      </c>
    </row>
    <row r="1768" spans="1:2" x14ac:dyDescent="0.25">
      <c r="A1768" s="2">
        <v>1763</v>
      </c>
      <c r="B1768" s="11" t="str">
        <f>"00114901"</f>
        <v>00114901</v>
      </c>
    </row>
    <row r="1769" spans="1:2" x14ac:dyDescent="0.25">
      <c r="A1769" s="2">
        <v>1764</v>
      </c>
      <c r="B1769" s="11" t="str">
        <f>"00114916"</f>
        <v>00114916</v>
      </c>
    </row>
    <row r="1770" spans="1:2" x14ac:dyDescent="0.25">
      <c r="A1770" s="2">
        <v>1765</v>
      </c>
      <c r="B1770" s="11" t="str">
        <f>"00115081"</f>
        <v>00115081</v>
      </c>
    </row>
    <row r="1771" spans="1:2" x14ac:dyDescent="0.25">
      <c r="A1771" s="2">
        <v>1766</v>
      </c>
      <c r="B1771" s="11" t="str">
        <f>"00115181"</f>
        <v>00115181</v>
      </c>
    </row>
    <row r="1772" spans="1:2" x14ac:dyDescent="0.25">
      <c r="A1772" s="2">
        <v>1767</v>
      </c>
      <c r="B1772" s="11" t="str">
        <f>"00115280"</f>
        <v>00115280</v>
      </c>
    </row>
    <row r="1773" spans="1:2" x14ac:dyDescent="0.25">
      <c r="A1773" s="2">
        <v>1768</v>
      </c>
      <c r="B1773" s="11" t="str">
        <f>"00115341"</f>
        <v>00115341</v>
      </c>
    </row>
    <row r="1774" spans="1:2" x14ac:dyDescent="0.25">
      <c r="A1774" s="2">
        <v>1769</v>
      </c>
      <c r="B1774" s="11" t="str">
        <f>"00115364"</f>
        <v>00115364</v>
      </c>
    </row>
    <row r="1775" spans="1:2" x14ac:dyDescent="0.25">
      <c r="A1775" s="2">
        <v>1770</v>
      </c>
      <c r="B1775" s="11" t="str">
        <f>"00115384"</f>
        <v>00115384</v>
      </c>
    </row>
    <row r="1776" spans="1:2" x14ac:dyDescent="0.25">
      <c r="A1776" s="2">
        <v>1771</v>
      </c>
      <c r="B1776" s="11" t="str">
        <f>"00115397"</f>
        <v>00115397</v>
      </c>
    </row>
    <row r="1777" spans="1:2" x14ac:dyDescent="0.25">
      <c r="A1777" s="2">
        <v>1772</v>
      </c>
      <c r="B1777" s="11" t="str">
        <f>"00115409"</f>
        <v>00115409</v>
      </c>
    </row>
    <row r="1778" spans="1:2" x14ac:dyDescent="0.25">
      <c r="A1778" s="2">
        <v>1773</v>
      </c>
      <c r="B1778" s="11" t="str">
        <f>"00115469"</f>
        <v>00115469</v>
      </c>
    </row>
    <row r="1779" spans="1:2" x14ac:dyDescent="0.25">
      <c r="A1779" s="2">
        <v>1774</v>
      </c>
      <c r="B1779" s="11" t="str">
        <f>"00115475"</f>
        <v>00115475</v>
      </c>
    </row>
    <row r="1780" spans="1:2" x14ac:dyDescent="0.25">
      <c r="A1780" s="2">
        <v>1775</v>
      </c>
      <c r="B1780" s="11" t="str">
        <f>"00115486"</f>
        <v>00115486</v>
      </c>
    </row>
    <row r="1781" spans="1:2" x14ac:dyDescent="0.25">
      <c r="A1781" s="2">
        <v>1776</v>
      </c>
      <c r="B1781" s="11" t="str">
        <f>"00115550"</f>
        <v>00115550</v>
      </c>
    </row>
    <row r="1782" spans="1:2" x14ac:dyDescent="0.25">
      <c r="A1782" s="2">
        <v>1777</v>
      </c>
      <c r="B1782" s="11" t="str">
        <f>"00115568"</f>
        <v>00115568</v>
      </c>
    </row>
    <row r="1783" spans="1:2" x14ac:dyDescent="0.25">
      <c r="A1783" s="2">
        <v>1778</v>
      </c>
      <c r="B1783" s="11" t="str">
        <f>"00115569"</f>
        <v>00115569</v>
      </c>
    </row>
    <row r="1784" spans="1:2" x14ac:dyDescent="0.25">
      <c r="A1784" s="2">
        <v>1779</v>
      </c>
      <c r="B1784" s="11" t="str">
        <f>"00115578"</f>
        <v>00115578</v>
      </c>
    </row>
    <row r="1785" spans="1:2" x14ac:dyDescent="0.25">
      <c r="A1785" s="2">
        <v>1780</v>
      </c>
      <c r="B1785" s="11" t="str">
        <f>"00115667"</f>
        <v>00115667</v>
      </c>
    </row>
    <row r="1786" spans="1:2" x14ac:dyDescent="0.25">
      <c r="A1786" s="2">
        <v>1781</v>
      </c>
      <c r="B1786" s="11" t="str">
        <f>"00115741"</f>
        <v>00115741</v>
      </c>
    </row>
    <row r="1787" spans="1:2" x14ac:dyDescent="0.25">
      <c r="A1787" s="2">
        <v>1782</v>
      </c>
      <c r="B1787" s="11" t="str">
        <f>"00115902"</f>
        <v>00115902</v>
      </c>
    </row>
    <row r="1788" spans="1:2" x14ac:dyDescent="0.25">
      <c r="A1788" s="2">
        <v>1783</v>
      </c>
      <c r="B1788" s="11" t="str">
        <f>"00115945"</f>
        <v>00115945</v>
      </c>
    </row>
    <row r="1789" spans="1:2" x14ac:dyDescent="0.25">
      <c r="A1789" s="2">
        <v>1784</v>
      </c>
      <c r="B1789" s="11" t="str">
        <f>"00115975"</f>
        <v>00115975</v>
      </c>
    </row>
    <row r="1790" spans="1:2" x14ac:dyDescent="0.25">
      <c r="A1790" s="2">
        <v>1785</v>
      </c>
      <c r="B1790" s="11" t="str">
        <f>"00116047"</f>
        <v>00116047</v>
      </c>
    </row>
    <row r="1791" spans="1:2" x14ac:dyDescent="0.25">
      <c r="A1791" s="2">
        <v>1786</v>
      </c>
      <c r="B1791" s="11" t="str">
        <f>"00116059"</f>
        <v>00116059</v>
      </c>
    </row>
    <row r="1792" spans="1:2" x14ac:dyDescent="0.25">
      <c r="A1792" s="2">
        <v>1787</v>
      </c>
      <c r="B1792" s="11" t="str">
        <f>"00116144"</f>
        <v>00116144</v>
      </c>
    </row>
    <row r="1793" spans="1:2" x14ac:dyDescent="0.25">
      <c r="A1793" s="2">
        <v>1788</v>
      </c>
      <c r="B1793" s="11" t="str">
        <f>"00116179"</f>
        <v>00116179</v>
      </c>
    </row>
    <row r="1794" spans="1:2" x14ac:dyDescent="0.25">
      <c r="A1794" s="2">
        <v>1789</v>
      </c>
      <c r="B1794" s="11" t="str">
        <f>"00116196"</f>
        <v>00116196</v>
      </c>
    </row>
    <row r="1795" spans="1:2" x14ac:dyDescent="0.25">
      <c r="A1795" s="2">
        <v>1790</v>
      </c>
      <c r="B1795" s="11" t="str">
        <f>"00116215"</f>
        <v>00116215</v>
      </c>
    </row>
    <row r="1796" spans="1:2" x14ac:dyDescent="0.25">
      <c r="A1796" s="2">
        <v>1791</v>
      </c>
      <c r="B1796" s="11" t="str">
        <f>"00116270"</f>
        <v>00116270</v>
      </c>
    </row>
    <row r="1797" spans="1:2" x14ac:dyDescent="0.25">
      <c r="A1797" s="2">
        <v>1792</v>
      </c>
      <c r="B1797" s="11" t="str">
        <f>"00116383"</f>
        <v>00116383</v>
      </c>
    </row>
    <row r="1798" spans="1:2" x14ac:dyDescent="0.25">
      <c r="A1798" s="2">
        <v>1793</v>
      </c>
      <c r="B1798" s="11" t="str">
        <f>"00116387"</f>
        <v>00116387</v>
      </c>
    </row>
    <row r="1799" spans="1:2" x14ac:dyDescent="0.25">
      <c r="A1799" s="2">
        <v>1794</v>
      </c>
      <c r="B1799" s="11" t="str">
        <f>"00116408"</f>
        <v>00116408</v>
      </c>
    </row>
    <row r="1800" spans="1:2" x14ac:dyDescent="0.25">
      <c r="A1800" s="2">
        <v>1795</v>
      </c>
      <c r="B1800" s="11" t="str">
        <f>"00116412"</f>
        <v>00116412</v>
      </c>
    </row>
    <row r="1801" spans="1:2" x14ac:dyDescent="0.25">
      <c r="A1801" s="2">
        <v>1796</v>
      </c>
      <c r="B1801" s="11" t="str">
        <f>"00116454"</f>
        <v>00116454</v>
      </c>
    </row>
    <row r="1802" spans="1:2" x14ac:dyDescent="0.25">
      <c r="A1802" s="2">
        <v>1797</v>
      </c>
      <c r="B1802" s="11" t="str">
        <f>"00116504"</f>
        <v>00116504</v>
      </c>
    </row>
    <row r="1803" spans="1:2" x14ac:dyDescent="0.25">
      <c r="A1803" s="2">
        <v>1798</v>
      </c>
      <c r="B1803" s="11" t="str">
        <f>"00116531"</f>
        <v>00116531</v>
      </c>
    </row>
    <row r="1804" spans="1:2" x14ac:dyDescent="0.25">
      <c r="A1804" s="2">
        <v>1799</v>
      </c>
      <c r="B1804" s="11" t="str">
        <f>"00116535"</f>
        <v>00116535</v>
      </c>
    </row>
    <row r="1805" spans="1:2" x14ac:dyDescent="0.25">
      <c r="A1805" s="2">
        <v>1800</v>
      </c>
      <c r="B1805" s="11" t="str">
        <f>"00116548"</f>
        <v>00116548</v>
      </c>
    </row>
    <row r="1806" spans="1:2" x14ac:dyDescent="0.25">
      <c r="A1806" s="2">
        <v>1801</v>
      </c>
      <c r="B1806" s="11" t="str">
        <f>"00116575"</f>
        <v>00116575</v>
      </c>
    </row>
    <row r="1807" spans="1:2" x14ac:dyDescent="0.25">
      <c r="A1807" s="2">
        <v>1802</v>
      </c>
      <c r="B1807" s="11" t="str">
        <f>"00116595"</f>
        <v>00116595</v>
      </c>
    </row>
    <row r="1808" spans="1:2" x14ac:dyDescent="0.25">
      <c r="A1808" s="2">
        <v>1803</v>
      </c>
      <c r="B1808" s="11" t="str">
        <f>"00116630"</f>
        <v>00116630</v>
      </c>
    </row>
    <row r="1809" spans="1:2" x14ac:dyDescent="0.25">
      <c r="A1809" s="2">
        <v>1804</v>
      </c>
      <c r="B1809" s="11" t="str">
        <f>"00116729"</f>
        <v>00116729</v>
      </c>
    </row>
    <row r="1810" spans="1:2" x14ac:dyDescent="0.25">
      <c r="A1810" s="2">
        <v>1805</v>
      </c>
      <c r="B1810" s="11" t="str">
        <f>"00116731"</f>
        <v>00116731</v>
      </c>
    </row>
    <row r="1811" spans="1:2" x14ac:dyDescent="0.25">
      <c r="A1811" s="2">
        <v>1806</v>
      </c>
      <c r="B1811" s="11" t="str">
        <f>"00116740"</f>
        <v>00116740</v>
      </c>
    </row>
    <row r="1812" spans="1:2" x14ac:dyDescent="0.25">
      <c r="A1812" s="2">
        <v>1807</v>
      </c>
      <c r="B1812" s="11" t="str">
        <f>"00116777"</f>
        <v>00116777</v>
      </c>
    </row>
    <row r="1813" spans="1:2" x14ac:dyDescent="0.25">
      <c r="A1813" s="2">
        <v>1808</v>
      </c>
      <c r="B1813" s="11" t="str">
        <f>"00116789"</f>
        <v>00116789</v>
      </c>
    </row>
    <row r="1814" spans="1:2" x14ac:dyDescent="0.25">
      <c r="A1814" s="2">
        <v>1809</v>
      </c>
      <c r="B1814" s="11" t="str">
        <f>"00116836"</f>
        <v>00116836</v>
      </c>
    </row>
    <row r="1815" spans="1:2" x14ac:dyDescent="0.25">
      <c r="A1815" s="2">
        <v>1810</v>
      </c>
      <c r="B1815" s="11" t="str">
        <f>"00116857"</f>
        <v>00116857</v>
      </c>
    </row>
    <row r="1816" spans="1:2" x14ac:dyDescent="0.25">
      <c r="A1816" s="2">
        <v>1811</v>
      </c>
      <c r="B1816" s="11" t="str">
        <f>"00116861"</f>
        <v>00116861</v>
      </c>
    </row>
    <row r="1817" spans="1:2" x14ac:dyDescent="0.25">
      <c r="A1817" s="2">
        <v>1812</v>
      </c>
      <c r="B1817" s="11" t="str">
        <f>"00116888"</f>
        <v>00116888</v>
      </c>
    </row>
    <row r="1818" spans="1:2" x14ac:dyDescent="0.25">
      <c r="A1818" s="2">
        <v>1813</v>
      </c>
      <c r="B1818" s="11" t="str">
        <f>"00116907"</f>
        <v>00116907</v>
      </c>
    </row>
    <row r="1819" spans="1:2" x14ac:dyDescent="0.25">
      <c r="A1819" s="2">
        <v>1814</v>
      </c>
      <c r="B1819" s="11" t="str">
        <f>"00116957"</f>
        <v>00116957</v>
      </c>
    </row>
    <row r="1820" spans="1:2" x14ac:dyDescent="0.25">
      <c r="A1820" s="2">
        <v>1815</v>
      </c>
      <c r="B1820" s="11" t="str">
        <f>"00116971"</f>
        <v>00116971</v>
      </c>
    </row>
    <row r="1821" spans="1:2" x14ac:dyDescent="0.25">
      <c r="A1821" s="2">
        <v>1816</v>
      </c>
      <c r="B1821" s="11" t="str">
        <f>"00117017"</f>
        <v>00117017</v>
      </c>
    </row>
    <row r="1822" spans="1:2" x14ac:dyDescent="0.25">
      <c r="A1822" s="2">
        <v>1817</v>
      </c>
      <c r="B1822" s="11" t="str">
        <f>"00117091"</f>
        <v>00117091</v>
      </c>
    </row>
    <row r="1823" spans="1:2" x14ac:dyDescent="0.25">
      <c r="A1823" s="2">
        <v>1818</v>
      </c>
      <c r="B1823" s="11" t="str">
        <f>"00117092"</f>
        <v>00117092</v>
      </c>
    </row>
    <row r="1824" spans="1:2" x14ac:dyDescent="0.25">
      <c r="A1824" s="2">
        <v>1819</v>
      </c>
      <c r="B1824" s="11" t="str">
        <f>"00117151"</f>
        <v>00117151</v>
      </c>
    </row>
    <row r="1825" spans="1:2" x14ac:dyDescent="0.25">
      <c r="A1825" s="2">
        <v>1820</v>
      </c>
      <c r="B1825" s="11" t="str">
        <f>"00117159"</f>
        <v>00117159</v>
      </c>
    </row>
    <row r="1826" spans="1:2" x14ac:dyDescent="0.25">
      <c r="A1826" s="2">
        <v>1821</v>
      </c>
      <c r="B1826" s="11" t="str">
        <f>"00117224"</f>
        <v>00117224</v>
      </c>
    </row>
    <row r="1827" spans="1:2" x14ac:dyDescent="0.25">
      <c r="A1827" s="2">
        <v>1822</v>
      </c>
      <c r="B1827" s="11" t="str">
        <f>"00117240"</f>
        <v>00117240</v>
      </c>
    </row>
    <row r="1828" spans="1:2" x14ac:dyDescent="0.25">
      <c r="A1828" s="2">
        <v>1823</v>
      </c>
      <c r="B1828" s="11" t="str">
        <f>"00117244"</f>
        <v>00117244</v>
      </c>
    </row>
    <row r="1829" spans="1:2" x14ac:dyDescent="0.25">
      <c r="A1829" s="2">
        <v>1824</v>
      </c>
      <c r="B1829" s="11" t="str">
        <f>"00117248"</f>
        <v>00117248</v>
      </c>
    </row>
    <row r="1830" spans="1:2" x14ac:dyDescent="0.25">
      <c r="A1830" s="2">
        <v>1825</v>
      </c>
      <c r="B1830" s="11" t="str">
        <f>"00117290"</f>
        <v>00117290</v>
      </c>
    </row>
    <row r="1831" spans="1:2" x14ac:dyDescent="0.25">
      <c r="A1831" s="2">
        <v>1826</v>
      </c>
      <c r="B1831" s="11" t="str">
        <f>"00117322"</f>
        <v>00117322</v>
      </c>
    </row>
    <row r="1832" spans="1:2" x14ac:dyDescent="0.25">
      <c r="A1832" s="2">
        <v>1827</v>
      </c>
      <c r="B1832" s="11" t="str">
        <f>"00117374"</f>
        <v>00117374</v>
      </c>
    </row>
    <row r="1833" spans="1:2" x14ac:dyDescent="0.25">
      <c r="A1833" s="2">
        <v>1828</v>
      </c>
      <c r="B1833" s="11" t="str">
        <f>"00117380"</f>
        <v>00117380</v>
      </c>
    </row>
    <row r="1834" spans="1:2" x14ac:dyDescent="0.25">
      <c r="A1834" s="2">
        <v>1829</v>
      </c>
      <c r="B1834" s="11" t="str">
        <f>"00117389"</f>
        <v>00117389</v>
      </c>
    </row>
    <row r="1835" spans="1:2" x14ac:dyDescent="0.25">
      <c r="A1835" s="2">
        <v>1830</v>
      </c>
      <c r="B1835" s="11" t="str">
        <f>"00117415"</f>
        <v>00117415</v>
      </c>
    </row>
    <row r="1836" spans="1:2" x14ac:dyDescent="0.25">
      <c r="A1836" s="2">
        <v>1831</v>
      </c>
      <c r="B1836" s="11" t="str">
        <f>"00117439"</f>
        <v>00117439</v>
      </c>
    </row>
    <row r="1837" spans="1:2" x14ac:dyDescent="0.25">
      <c r="A1837" s="2">
        <v>1832</v>
      </c>
      <c r="B1837" s="11" t="str">
        <f>"00117440"</f>
        <v>00117440</v>
      </c>
    </row>
    <row r="1838" spans="1:2" x14ac:dyDescent="0.25">
      <c r="A1838" s="2">
        <v>1833</v>
      </c>
      <c r="B1838" s="11" t="str">
        <f>"00117475"</f>
        <v>00117475</v>
      </c>
    </row>
    <row r="1839" spans="1:2" x14ac:dyDescent="0.25">
      <c r="A1839" s="2">
        <v>1834</v>
      </c>
      <c r="B1839" s="11" t="str">
        <f>"00117479"</f>
        <v>00117479</v>
      </c>
    </row>
    <row r="1840" spans="1:2" x14ac:dyDescent="0.25">
      <c r="A1840" s="2">
        <v>1835</v>
      </c>
      <c r="B1840" s="11" t="str">
        <f>"00117501"</f>
        <v>00117501</v>
      </c>
    </row>
    <row r="1841" spans="1:2" x14ac:dyDescent="0.25">
      <c r="A1841" s="2">
        <v>1836</v>
      </c>
      <c r="B1841" s="11" t="str">
        <f>"00117522"</f>
        <v>00117522</v>
      </c>
    </row>
    <row r="1842" spans="1:2" x14ac:dyDescent="0.25">
      <c r="A1842" s="2">
        <v>1837</v>
      </c>
      <c r="B1842" s="11" t="str">
        <f>"00117530"</f>
        <v>00117530</v>
      </c>
    </row>
    <row r="1843" spans="1:2" x14ac:dyDescent="0.25">
      <c r="A1843" s="2">
        <v>1838</v>
      </c>
      <c r="B1843" s="11" t="str">
        <f>"00117535"</f>
        <v>00117535</v>
      </c>
    </row>
    <row r="1844" spans="1:2" x14ac:dyDescent="0.25">
      <c r="A1844" s="2">
        <v>1839</v>
      </c>
      <c r="B1844" s="11" t="str">
        <f>"00117536"</f>
        <v>00117536</v>
      </c>
    </row>
    <row r="1845" spans="1:2" x14ac:dyDescent="0.25">
      <c r="A1845" s="2">
        <v>1840</v>
      </c>
      <c r="B1845" s="11" t="str">
        <f>"00117602"</f>
        <v>00117602</v>
      </c>
    </row>
    <row r="1846" spans="1:2" x14ac:dyDescent="0.25">
      <c r="A1846" s="2">
        <v>1841</v>
      </c>
      <c r="B1846" s="11" t="str">
        <f>"00117604"</f>
        <v>00117604</v>
      </c>
    </row>
    <row r="1847" spans="1:2" x14ac:dyDescent="0.25">
      <c r="A1847" s="2">
        <v>1842</v>
      </c>
      <c r="B1847" s="11" t="str">
        <f>"00117617"</f>
        <v>00117617</v>
      </c>
    </row>
    <row r="1848" spans="1:2" x14ac:dyDescent="0.25">
      <c r="A1848" s="2">
        <v>1843</v>
      </c>
      <c r="B1848" s="11" t="str">
        <f>"00117640"</f>
        <v>00117640</v>
      </c>
    </row>
    <row r="1849" spans="1:2" x14ac:dyDescent="0.25">
      <c r="A1849" s="2">
        <v>1844</v>
      </c>
      <c r="B1849" s="11" t="str">
        <f>"00117678"</f>
        <v>00117678</v>
      </c>
    </row>
    <row r="1850" spans="1:2" x14ac:dyDescent="0.25">
      <c r="A1850" s="2">
        <v>1845</v>
      </c>
      <c r="B1850" s="11" t="str">
        <f>"00117683"</f>
        <v>00117683</v>
      </c>
    </row>
    <row r="1851" spans="1:2" x14ac:dyDescent="0.25">
      <c r="A1851" s="2">
        <v>1846</v>
      </c>
      <c r="B1851" s="11" t="str">
        <f>"00117693"</f>
        <v>00117693</v>
      </c>
    </row>
    <row r="1852" spans="1:2" x14ac:dyDescent="0.25">
      <c r="A1852" s="2">
        <v>1847</v>
      </c>
      <c r="B1852" s="11" t="str">
        <f>"00117722"</f>
        <v>00117722</v>
      </c>
    </row>
    <row r="1853" spans="1:2" x14ac:dyDescent="0.25">
      <c r="A1853" s="2">
        <v>1848</v>
      </c>
      <c r="B1853" s="11" t="str">
        <f>"00117740"</f>
        <v>00117740</v>
      </c>
    </row>
    <row r="1854" spans="1:2" x14ac:dyDescent="0.25">
      <c r="A1854" s="2">
        <v>1849</v>
      </c>
      <c r="B1854" s="11" t="str">
        <f>"00117790"</f>
        <v>00117790</v>
      </c>
    </row>
    <row r="1855" spans="1:2" x14ac:dyDescent="0.25">
      <c r="A1855" s="2">
        <v>1850</v>
      </c>
      <c r="B1855" s="11" t="str">
        <f>"00117864"</f>
        <v>00117864</v>
      </c>
    </row>
    <row r="1856" spans="1:2" x14ac:dyDescent="0.25">
      <c r="A1856" s="2">
        <v>1851</v>
      </c>
      <c r="B1856" s="11" t="str">
        <f>"00117936"</f>
        <v>00117936</v>
      </c>
    </row>
    <row r="1857" spans="1:2" x14ac:dyDescent="0.25">
      <c r="A1857" s="2">
        <v>1852</v>
      </c>
      <c r="B1857" s="11" t="str">
        <f>"00117962"</f>
        <v>00117962</v>
      </c>
    </row>
    <row r="1858" spans="1:2" x14ac:dyDescent="0.25">
      <c r="A1858" s="2">
        <v>1853</v>
      </c>
      <c r="B1858" s="11" t="str">
        <f>"00117964"</f>
        <v>00117964</v>
      </c>
    </row>
    <row r="1859" spans="1:2" x14ac:dyDescent="0.25">
      <c r="A1859" s="2">
        <v>1854</v>
      </c>
      <c r="B1859" s="11" t="str">
        <f>"00118013"</f>
        <v>00118013</v>
      </c>
    </row>
    <row r="1860" spans="1:2" x14ac:dyDescent="0.25">
      <c r="A1860" s="2">
        <v>1855</v>
      </c>
      <c r="B1860" s="11" t="str">
        <f>"00118047"</f>
        <v>00118047</v>
      </c>
    </row>
    <row r="1861" spans="1:2" x14ac:dyDescent="0.25">
      <c r="A1861" s="2">
        <v>1856</v>
      </c>
      <c r="B1861" s="11" t="str">
        <f>"00118049"</f>
        <v>00118049</v>
      </c>
    </row>
    <row r="1862" spans="1:2" x14ac:dyDescent="0.25">
      <c r="A1862" s="2">
        <v>1857</v>
      </c>
      <c r="B1862" s="11" t="str">
        <f>"00118071"</f>
        <v>00118071</v>
      </c>
    </row>
    <row r="1863" spans="1:2" x14ac:dyDescent="0.25">
      <c r="A1863" s="2">
        <v>1858</v>
      </c>
      <c r="B1863" s="11" t="str">
        <f>"00118083"</f>
        <v>00118083</v>
      </c>
    </row>
    <row r="1864" spans="1:2" x14ac:dyDescent="0.25">
      <c r="A1864" s="2">
        <v>1859</v>
      </c>
      <c r="B1864" s="11" t="str">
        <f>"00118121"</f>
        <v>00118121</v>
      </c>
    </row>
    <row r="1865" spans="1:2" x14ac:dyDescent="0.25">
      <c r="A1865" s="2">
        <v>1860</v>
      </c>
      <c r="B1865" s="11" t="str">
        <f>"00118147"</f>
        <v>00118147</v>
      </c>
    </row>
    <row r="1866" spans="1:2" x14ac:dyDescent="0.25">
      <c r="A1866" s="2">
        <v>1861</v>
      </c>
      <c r="B1866" s="11" t="str">
        <f>"00118231"</f>
        <v>00118231</v>
      </c>
    </row>
    <row r="1867" spans="1:2" x14ac:dyDescent="0.25">
      <c r="A1867" s="2">
        <v>1862</v>
      </c>
      <c r="B1867" s="11" t="str">
        <f>"00118270"</f>
        <v>00118270</v>
      </c>
    </row>
    <row r="1868" spans="1:2" x14ac:dyDescent="0.25">
      <c r="A1868" s="2">
        <v>1863</v>
      </c>
      <c r="B1868" s="11" t="str">
        <f>"00118293"</f>
        <v>00118293</v>
      </c>
    </row>
    <row r="1869" spans="1:2" x14ac:dyDescent="0.25">
      <c r="A1869" s="2">
        <v>1864</v>
      </c>
      <c r="B1869" s="11" t="str">
        <f>"00118305"</f>
        <v>00118305</v>
      </c>
    </row>
    <row r="1870" spans="1:2" x14ac:dyDescent="0.25">
      <c r="A1870" s="2">
        <v>1865</v>
      </c>
      <c r="B1870" s="11" t="str">
        <f>"00118343"</f>
        <v>00118343</v>
      </c>
    </row>
    <row r="1871" spans="1:2" x14ac:dyDescent="0.25">
      <c r="A1871" s="2">
        <v>1866</v>
      </c>
      <c r="B1871" s="11" t="str">
        <f>"00118357"</f>
        <v>00118357</v>
      </c>
    </row>
    <row r="1872" spans="1:2" x14ac:dyDescent="0.25">
      <c r="A1872" s="2">
        <v>1867</v>
      </c>
      <c r="B1872" s="11" t="str">
        <f>"00118380"</f>
        <v>00118380</v>
      </c>
    </row>
    <row r="1873" spans="1:2" x14ac:dyDescent="0.25">
      <c r="A1873" s="2">
        <v>1868</v>
      </c>
      <c r="B1873" s="11" t="str">
        <f>"00118455"</f>
        <v>00118455</v>
      </c>
    </row>
    <row r="1874" spans="1:2" x14ac:dyDescent="0.25">
      <c r="A1874" s="2">
        <v>1869</v>
      </c>
      <c r="B1874" s="11" t="str">
        <f>"00118486"</f>
        <v>00118486</v>
      </c>
    </row>
    <row r="1875" spans="1:2" x14ac:dyDescent="0.25">
      <c r="A1875" s="2">
        <v>1870</v>
      </c>
      <c r="B1875" s="11" t="str">
        <f>"00118487"</f>
        <v>00118487</v>
      </c>
    </row>
    <row r="1876" spans="1:2" x14ac:dyDescent="0.25">
      <c r="A1876" s="2">
        <v>1871</v>
      </c>
      <c r="B1876" s="11" t="str">
        <f>"00118547"</f>
        <v>00118547</v>
      </c>
    </row>
    <row r="1877" spans="1:2" x14ac:dyDescent="0.25">
      <c r="A1877" s="2">
        <v>1872</v>
      </c>
      <c r="B1877" s="11" t="str">
        <f>"00118560"</f>
        <v>00118560</v>
      </c>
    </row>
    <row r="1878" spans="1:2" x14ac:dyDescent="0.25">
      <c r="A1878" s="2">
        <v>1873</v>
      </c>
      <c r="B1878" s="11" t="str">
        <f>"00118568"</f>
        <v>00118568</v>
      </c>
    </row>
    <row r="1879" spans="1:2" x14ac:dyDescent="0.25">
      <c r="A1879" s="2">
        <v>1874</v>
      </c>
      <c r="B1879" s="11" t="str">
        <f>"00118723"</f>
        <v>00118723</v>
      </c>
    </row>
    <row r="1880" spans="1:2" x14ac:dyDescent="0.25">
      <c r="A1880" s="2">
        <v>1875</v>
      </c>
      <c r="B1880" s="11" t="str">
        <f>"00118736"</f>
        <v>00118736</v>
      </c>
    </row>
    <row r="1881" spans="1:2" x14ac:dyDescent="0.25">
      <c r="A1881" s="2">
        <v>1876</v>
      </c>
      <c r="B1881" s="11" t="str">
        <f>"00118868"</f>
        <v>00118868</v>
      </c>
    </row>
    <row r="1882" spans="1:2" x14ac:dyDescent="0.25">
      <c r="A1882" s="2">
        <v>1877</v>
      </c>
      <c r="B1882" s="11" t="str">
        <f>"00118870"</f>
        <v>00118870</v>
      </c>
    </row>
    <row r="1883" spans="1:2" x14ac:dyDescent="0.25">
      <c r="A1883" s="2">
        <v>1878</v>
      </c>
      <c r="B1883" s="11" t="str">
        <f>"00118871"</f>
        <v>00118871</v>
      </c>
    </row>
    <row r="1884" spans="1:2" x14ac:dyDescent="0.25">
      <c r="A1884" s="2">
        <v>1879</v>
      </c>
      <c r="B1884" s="11" t="str">
        <f>"00118908"</f>
        <v>00118908</v>
      </c>
    </row>
    <row r="1885" spans="1:2" x14ac:dyDescent="0.25">
      <c r="A1885" s="2">
        <v>1880</v>
      </c>
      <c r="B1885" s="11" t="str">
        <f>"00118918"</f>
        <v>00118918</v>
      </c>
    </row>
    <row r="1886" spans="1:2" x14ac:dyDescent="0.25">
      <c r="A1886" s="2">
        <v>1881</v>
      </c>
      <c r="B1886" s="11" t="str">
        <f>"00118946"</f>
        <v>00118946</v>
      </c>
    </row>
    <row r="1887" spans="1:2" x14ac:dyDescent="0.25">
      <c r="A1887" s="2">
        <v>1882</v>
      </c>
      <c r="B1887" s="11" t="str">
        <f>"00118956"</f>
        <v>00118956</v>
      </c>
    </row>
    <row r="1888" spans="1:2" x14ac:dyDescent="0.25">
      <c r="A1888" s="2">
        <v>1883</v>
      </c>
      <c r="B1888" s="11" t="str">
        <f>"00119028"</f>
        <v>00119028</v>
      </c>
    </row>
    <row r="1889" spans="1:2" x14ac:dyDescent="0.25">
      <c r="A1889" s="2">
        <v>1884</v>
      </c>
      <c r="B1889" s="11" t="str">
        <f>"00119047"</f>
        <v>00119047</v>
      </c>
    </row>
    <row r="1890" spans="1:2" x14ac:dyDescent="0.25">
      <c r="A1890" s="2">
        <v>1885</v>
      </c>
      <c r="B1890" s="11" t="str">
        <f>"00119096"</f>
        <v>00119096</v>
      </c>
    </row>
    <row r="1891" spans="1:2" x14ac:dyDescent="0.25">
      <c r="A1891" s="2">
        <v>1886</v>
      </c>
      <c r="B1891" s="11" t="str">
        <f>"00119120"</f>
        <v>00119120</v>
      </c>
    </row>
    <row r="1892" spans="1:2" x14ac:dyDescent="0.25">
      <c r="A1892" s="2">
        <v>1887</v>
      </c>
      <c r="B1892" s="11" t="str">
        <f>"00119123"</f>
        <v>00119123</v>
      </c>
    </row>
    <row r="1893" spans="1:2" x14ac:dyDescent="0.25">
      <c r="A1893" s="2">
        <v>1888</v>
      </c>
      <c r="B1893" s="11" t="str">
        <f>"00119226"</f>
        <v>00119226</v>
      </c>
    </row>
    <row r="1894" spans="1:2" x14ac:dyDescent="0.25">
      <c r="A1894" s="2">
        <v>1889</v>
      </c>
      <c r="B1894" s="11" t="str">
        <f>"00119273"</f>
        <v>00119273</v>
      </c>
    </row>
    <row r="1895" spans="1:2" x14ac:dyDescent="0.25">
      <c r="A1895" s="2">
        <v>1890</v>
      </c>
      <c r="B1895" s="11" t="str">
        <f>"00119360"</f>
        <v>00119360</v>
      </c>
    </row>
    <row r="1896" spans="1:2" x14ac:dyDescent="0.25">
      <c r="A1896" s="2">
        <v>1891</v>
      </c>
      <c r="B1896" s="11" t="str">
        <f>"00119369"</f>
        <v>00119369</v>
      </c>
    </row>
    <row r="1897" spans="1:2" x14ac:dyDescent="0.25">
      <c r="A1897" s="2">
        <v>1892</v>
      </c>
      <c r="B1897" s="11" t="str">
        <f>"00119390"</f>
        <v>00119390</v>
      </c>
    </row>
    <row r="1898" spans="1:2" x14ac:dyDescent="0.25">
      <c r="A1898" s="2">
        <v>1893</v>
      </c>
      <c r="B1898" s="11" t="str">
        <f>"00119437"</f>
        <v>00119437</v>
      </c>
    </row>
    <row r="1899" spans="1:2" x14ac:dyDescent="0.25">
      <c r="A1899" s="2">
        <v>1894</v>
      </c>
      <c r="B1899" s="11" t="str">
        <f>"00119457"</f>
        <v>00119457</v>
      </c>
    </row>
    <row r="1900" spans="1:2" x14ac:dyDescent="0.25">
      <c r="A1900" s="2">
        <v>1895</v>
      </c>
      <c r="B1900" s="11" t="str">
        <f>"00119476"</f>
        <v>00119476</v>
      </c>
    </row>
    <row r="1901" spans="1:2" x14ac:dyDescent="0.25">
      <c r="A1901" s="2">
        <v>1896</v>
      </c>
      <c r="B1901" s="11" t="str">
        <f>"00119507"</f>
        <v>00119507</v>
      </c>
    </row>
    <row r="1902" spans="1:2" x14ac:dyDescent="0.25">
      <c r="A1902" s="2">
        <v>1897</v>
      </c>
      <c r="B1902" s="11" t="str">
        <f>"00119522"</f>
        <v>00119522</v>
      </c>
    </row>
    <row r="1903" spans="1:2" x14ac:dyDescent="0.25">
      <c r="A1903" s="2">
        <v>1898</v>
      </c>
      <c r="B1903" s="11" t="str">
        <f>"00119540"</f>
        <v>00119540</v>
      </c>
    </row>
    <row r="1904" spans="1:2" x14ac:dyDescent="0.25">
      <c r="A1904" s="2">
        <v>1899</v>
      </c>
      <c r="B1904" s="11" t="str">
        <f>"00119570"</f>
        <v>00119570</v>
      </c>
    </row>
    <row r="1905" spans="1:2" x14ac:dyDescent="0.25">
      <c r="A1905" s="2">
        <v>1900</v>
      </c>
      <c r="B1905" s="11" t="str">
        <f>"00119642"</f>
        <v>00119642</v>
      </c>
    </row>
    <row r="1906" spans="1:2" x14ac:dyDescent="0.25">
      <c r="A1906" s="2">
        <v>1901</v>
      </c>
      <c r="B1906" s="11" t="str">
        <f>"00119658"</f>
        <v>00119658</v>
      </c>
    </row>
    <row r="1907" spans="1:2" x14ac:dyDescent="0.25">
      <c r="A1907" s="2">
        <v>1902</v>
      </c>
      <c r="B1907" s="11" t="str">
        <f>"00119723"</f>
        <v>00119723</v>
      </c>
    </row>
    <row r="1908" spans="1:2" x14ac:dyDescent="0.25">
      <c r="A1908" s="2">
        <v>1903</v>
      </c>
      <c r="B1908" s="11" t="str">
        <f>"00119845"</f>
        <v>00119845</v>
      </c>
    </row>
    <row r="1909" spans="1:2" x14ac:dyDescent="0.25">
      <c r="A1909" s="2">
        <v>1904</v>
      </c>
      <c r="B1909" s="11" t="str">
        <f>"00119878"</f>
        <v>00119878</v>
      </c>
    </row>
    <row r="1910" spans="1:2" x14ac:dyDescent="0.25">
      <c r="A1910" s="2">
        <v>1905</v>
      </c>
      <c r="B1910" s="11" t="str">
        <f>"00119948"</f>
        <v>00119948</v>
      </c>
    </row>
    <row r="1911" spans="1:2" x14ac:dyDescent="0.25">
      <c r="A1911" s="2">
        <v>1906</v>
      </c>
      <c r="B1911" s="11" t="str">
        <f>"00119997"</f>
        <v>00119997</v>
      </c>
    </row>
    <row r="1912" spans="1:2" x14ac:dyDescent="0.25">
      <c r="A1912" s="2">
        <v>1907</v>
      </c>
      <c r="B1912" s="11" t="str">
        <f>"00120119"</f>
        <v>00120119</v>
      </c>
    </row>
    <row r="1913" spans="1:2" x14ac:dyDescent="0.25">
      <c r="A1913" s="2">
        <v>1908</v>
      </c>
      <c r="B1913" s="11" t="str">
        <f>"00120132"</f>
        <v>00120132</v>
      </c>
    </row>
    <row r="1914" spans="1:2" x14ac:dyDescent="0.25">
      <c r="A1914" s="2">
        <v>1909</v>
      </c>
      <c r="B1914" s="11" t="str">
        <f>"00120138"</f>
        <v>00120138</v>
      </c>
    </row>
    <row r="1915" spans="1:2" x14ac:dyDescent="0.25">
      <c r="A1915" s="2">
        <v>1910</v>
      </c>
      <c r="B1915" s="11" t="str">
        <f>"00120217"</f>
        <v>00120217</v>
      </c>
    </row>
    <row r="1916" spans="1:2" x14ac:dyDescent="0.25">
      <c r="A1916" s="2">
        <v>1911</v>
      </c>
      <c r="B1916" s="11" t="str">
        <f>"00120219"</f>
        <v>00120219</v>
      </c>
    </row>
    <row r="1917" spans="1:2" x14ac:dyDescent="0.25">
      <c r="A1917" s="2">
        <v>1912</v>
      </c>
      <c r="B1917" s="11" t="str">
        <f>"00120241"</f>
        <v>00120241</v>
      </c>
    </row>
    <row r="1918" spans="1:2" x14ac:dyDescent="0.25">
      <c r="A1918" s="2">
        <v>1913</v>
      </c>
      <c r="B1918" s="11" t="str">
        <f>"00120243"</f>
        <v>00120243</v>
      </c>
    </row>
    <row r="1919" spans="1:2" x14ac:dyDescent="0.25">
      <c r="A1919" s="2">
        <v>1914</v>
      </c>
      <c r="B1919" s="11" t="str">
        <f>"00120246"</f>
        <v>00120246</v>
      </c>
    </row>
    <row r="1920" spans="1:2" x14ac:dyDescent="0.25">
      <c r="A1920" s="2">
        <v>1915</v>
      </c>
      <c r="B1920" s="11" t="str">
        <f>"00120251"</f>
        <v>00120251</v>
      </c>
    </row>
    <row r="1921" spans="1:2" x14ac:dyDescent="0.25">
      <c r="A1921" s="2">
        <v>1916</v>
      </c>
      <c r="B1921" s="11" t="str">
        <f>"00120291"</f>
        <v>00120291</v>
      </c>
    </row>
    <row r="1922" spans="1:2" x14ac:dyDescent="0.25">
      <c r="A1922" s="2">
        <v>1917</v>
      </c>
      <c r="B1922" s="11" t="str">
        <f>"00120342"</f>
        <v>00120342</v>
      </c>
    </row>
    <row r="1923" spans="1:2" x14ac:dyDescent="0.25">
      <c r="A1923" s="2">
        <v>1918</v>
      </c>
      <c r="B1923" s="11" t="str">
        <f>"00120361"</f>
        <v>00120361</v>
      </c>
    </row>
    <row r="1924" spans="1:2" x14ac:dyDescent="0.25">
      <c r="A1924" s="2">
        <v>1919</v>
      </c>
      <c r="B1924" s="11" t="str">
        <f>"00120370"</f>
        <v>00120370</v>
      </c>
    </row>
    <row r="1925" spans="1:2" x14ac:dyDescent="0.25">
      <c r="A1925" s="2">
        <v>1920</v>
      </c>
      <c r="B1925" s="11" t="str">
        <f>"00120378"</f>
        <v>00120378</v>
      </c>
    </row>
    <row r="1926" spans="1:2" x14ac:dyDescent="0.25">
      <c r="A1926" s="2">
        <v>1921</v>
      </c>
      <c r="B1926" s="11" t="str">
        <f>"00120394"</f>
        <v>00120394</v>
      </c>
    </row>
    <row r="1927" spans="1:2" x14ac:dyDescent="0.25">
      <c r="A1927" s="2">
        <v>1922</v>
      </c>
      <c r="B1927" s="11" t="str">
        <f>"00120426"</f>
        <v>00120426</v>
      </c>
    </row>
    <row r="1928" spans="1:2" x14ac:dyDescent="0.25">
      <c r="A1928" s="2">
        <v>1923</v>
      </c>
      <c r="B1928" s="11" t="str">
        <f>"00120449"</f>
        <v>00120449</v>
      </c>
    </row>
    <row r="1929" spans="1:2" x14ac:dyDescent="0.25">
      <c r="A1929" s="2">
        <v>1924</v>
      </c>
      <c r="B1929" s="11" t="str">
        <f>"00120451"</f>
        <v>00120451</v>
      </c>
    </row>
    <row r="1930" spans="1:2" x14ac:dyDescent="0.25">
      <c r="A1930" s="2">
        <v>1925</v>
      </c>
      <c r="B1930" s="11" t="str">
        <f>"00120515"</f>
        <v>00120515</v>
      </c>
    </row>
    <row r="1931" spans="1:2" x14ac:dyDescent="0.25">
      <c r="A1931" s="2">
        <v>1926</v>
      </c>
      <c r="B1931" s="11" t="str">
        <f>"00120538"</f>
        <v>00120538</v>
      </c>
    </row>
    <row r="1932" spans="1:2" x14ac:dyDescent="0.25">
      <c r="A1932" s="2">
        <v>1927</v>
      </c>
      <c r="B1932" s="11" t="str">
        <f>"00120562"</f>
        <v>00120562</v>
      </c>
    </row>
    <row r="1933" spans="1:2" x14ac:dyDescent="0.25">
      <c r="A1933" s="2">
        <v>1928</v>
      </c>
      <c r="B1933" s="11" t="str">
        <f>"00120563"</f>
        <v>00120563</v>
      </c>
    </row>
    <row r="1934" spans="1:2" x14ac:dyDescent="0.25">
      <c r="A1934" s="2">
        <v>1929</v>
      </c>
      <c r="B1934" s="11" t="str">
        <f>"00120584"</f>
        <v>00120584</v>
      </c>
    </row>
    <row r="1935" spans="1:2" x14ac:dyDescent="0.25">
      <c r="A1935" s="2">
        <v>1930</v>
      </c>
      <c r="B1935" s="11" t="str">
        <f>"00120646"</f>
        <v>00120646</v>
      </c>
    </row>
    <row r="1936" spans="1:2" x14ac:dyDescent="0.25">
      <c r="A1936" s="2">
        <v>1931</v>
      </c>
      <c r="B1936" s="11" t="str">
        <f>"00120673"</f>
        <v>00120673</v>
      </c>
    </row>
    <row r="1937" spans="1:2" x14ac:dyDescent="0.25">
      <c r="A1937" s="2">
        <v>1932</v>
      </c>
      <c r="B1937" s="11" t="str">
        <f>"00120690"</f>
        <v>00120690</v>
      </c>
    </row>
    <row r="1938" spans="1:2" x14ac:dyDescent="0.25">
      <c r="A1938" s="2">
        <v>1933</v>
      </c>
      <c r="B1938" s="11" t="str">
        <f>"00120728"</f>
        <v>00120728</v>
      </c>
    </row>
    <row r="1939" spans="1:2" x14ac:dyDescent="0.25">
      <c r="A1939" s="2">
        <v>1934</v>
      </c>
      <c r="B1939" s="11" t="str">
        <f>"00120762"</f>
        <v>00120762</v>
      </c>
    </row>
    <row r="1940" spans="1:2" x14ac:dyDescent="0.25">
      <c r="A1940" s="2">
        <v>1935</v>
      </c>
      <c r="B1940" s="11" t="str">
        <f>"00120788"</f>
        <v>00120788</v>
      </c>
    </row>
    <row r="1941" spans="1:2" x14ac:dyDescent="0.25">
      <c r="A1941" s="2">
        <v>1936</v>
      </c>
      <c r="B1941" s="11" t="str">
        <f>"00120841"</f>
        <v>00120841</v>
      </c>
    </row>
    <row r="1942" spans="1:2" x14ac:dyDescent="0.25">
      <c r="A1942" s="2">
        <v>1937</v>
      </c>
      <c r="B1942" s="11" t="str">
        <f>"00120879"</f>
        <v>00120879</v>
      </c>
    </row>
    <row r="1943" spans="1:2" x14ac:dyDescent="0.25">
      <c r="A1943" s="2">
        <v>1938</v>
      </c>
      <c r="B1943" s="11" t="str">
        <f>"00120900"</f>
        <v>00120900</v>
      </c>
    </row>
    <row r="1944" spans="1:2" x14ac:dyDescent="0.25">
      <c r="A1944" s="2">
        <v>1939</v>
      </c>
      <c r="B1944" s="11" t="str">
        <f>"00120911"</f>
        <v>00120911</v>
      </c>
    </row>
    <row r="1945" spans="1:2" x14ac:dyDescent="0.25">
      <c r="A1945" s="2">
        <v>1940</v>
      </c>
      <c r="B1945" s="11" t="str">
        <f>"00120913"</f>
        <v>00120913</v>
      </c>
    </row>
    <row r="1946" spans="1:2" x14ac:dyDescent="0.25">
      <c r="A1946" s="2">
        <v>1941</v>
      </c>
      <c r="B1946" s="11" t="str">
        <f>"00120914"</f>
        <v>00120914</v>
      </c>
    </row>
    <row r="1947" spans="1:2" x14ac:dyDescent="0.25">
      <c r="A1947" s="2">
        <v>1942</v>
      </c>
      <c r="B1947" s="11" t="str">
        <f>"00120928"</f>
        <v>00120928</v>
      </c>
    </row>
    <row r="1948" spans="1:2" x14ac:dyDescent="0.25">
      <c r="A1948" s="2">
        <v>1943</v>
      </c>
      <c r="B1948" s="11" t="str">
        <f>"00120957"</f>
        <v>00120957</v>
      </c>
    </row>
    <row r="1949" spans="1:2" x14ac:dyDescent="0.25">
      <c r="A1949" s="2">
        <v>1944</v>
      </c>
      <c r="B1949" s="11" t="str">
        <f>"00120968"</f>
        <v>00120968</v>
      </c>
    </row>
    <row r="1950" spans="1:2" x14ac:dyDescent="0.25">
      <c r="A1950" s="2">
        <v>1945</v>
      </c>
      <c r="B1950" s="11" t="str">
        <f>"00121034"</f>
        <v>00121034</v>
      </c>
    </row>
    <row r="1951" spans="1:2" x14ac:dyDescent="0.25">
      <c r="A1951" s="2">
        <v>1946</v>
      </c>
      <c r="B1951" s="11" t="str">
        <f>"00121059"</f>
        <v>00121059</v>
      </c>
    </row>
    <row r="1952" spans="1:2" x14ac:dyDescent="0.25">
      <c r="A1952" s="2">
        <v>1947</v>
      </c>
      <c r="B1952" s="11" t="str">
        <f>"00121065"</f>
        <v>00121065</v>
      </c>
    </row>
    <row r="1953" spans="1:2" x14ac:dyDescent="0.25">
      <c r="A1953" s="2">
        <v>1948</v>
      </c>
      <c r="B1953" s="11" t="str">
        <f>"00121165"</f>
        <v>00121165</v>
      </c>
    </row>
    <row r="1954" spans="1:2" x14ac:dyDescent="0.25">
      <c r="A1954" s="2">
        <v>1949</v>
      </c>
      <c r="B1954" s="11" t="str">
        <f>"00121279"</f>
        <v>00121279</v>
      </c>
    </row>
    <row r="1955" spans="1:2" x14ac:dyDescent="0.25">
      <c r="A1955" s="2">
        <v>1950</v>
      </c>
      <c r="B1955" s="11" t="str">
        <f>"00121323"</f>
        <v>00121323</v>
      </c>
    </row>
    <row r="1956" spans="1:2" x14ac:dyDescent="0.25">
      <c r="A1956" s="2">
        <v>1951</v>
      </c>
      <c r="B1956" s="11" t="str">
        <f>"00121400"</f>
        <v>00121400</v>
      </c>
    </row>
    <row r="1957" spans="1:2" x14ac:dyDescent="0.25">
      <c r="A1957" s="2">
        <v>1952</v>
      </c>
      <c r="B1957" s="11" t="str">
        <f>"00121444"</f>
        <v>00121444</v>
      </c>
    </row>
    <row r="1958" spans="1:2" x14ac:dyDescent="0.25">
      <c r="A1958" s="2">
        <v>1953</v>
      </c>
      <c r="B1958" s="11" t="str">
        <f>"00121513"</f>
        <v>00121513</v>
      </c>
    </row>
    <row r="1959" spans="1:2" x14ac:dyDescent="0.25">
      <c r="A1959" s="2">
        <v>1954</v>
      </c>
      <c r="B1959" s="11" t="str">
        <f>"00121523"</f>
        <v>00121523</v>
      </c>
    </row>
    <row r="1960" spans="1:2" x14ac:dyDescent="0.25">
      <c r="A1960" s="2">
        <v>1955</v>
      </c>
      <c r="B1960" s="11" t="str">
        <f>"00121566"</f>
        <v>00121566</v>
      </c>
    </row>
    <row r="1961" spans="1:2" x14ac:dyDescent="0.25">
      <c r="A1961" s="2">
        <v>1956</v>
      </c>
      <c r="B1961" s="11" t="str">
        <f>"00121589"</f>
        <v>00121589</v>
      </c>
    </row>
    <row r="1962" spans="1:2" x14ac:dyDescent="0.25">
      <c r="A1962" s="2">
        <v>1957</v>
      </c>
      <c r="B1962" s="11" t="str">
        <f>"00121685"</f>
        <v>00121685</v>
      </c>
    </row>
    <row r="1963" spans="1:2" x14ac:dyDescent="0.25">
      <c r="A1963" s="2">
        <v>1958</v>
      </c>
      <c r="B1963" s="11" t="str">
        <f>"00121686"</f>
        <v>00121686</v>
      </c>
    </row>
    <row r="1964" spans="1:2" x14ac:dyDescent="0.25">
      <c r="A1964" s="2">
        <v>1959</v>
      </c>
      <c r="B1964" s="11" t="str">
        <f>"00121863"</f>
        <v>00121863</v>
      </c>
    </row>
    <row r="1965" spans="1:2" x14ac:dyDescent="0.25">
      <c r="A1965" s="2">
        <v>1960</v>
      </c>
      <c r="B1965" s="11" t="str">
        <f>"00121916"</f>
        <v>00121916</v>
      </c>
    </row>
    <row r="1966" spans="1:2" x14ac:dyDescent="0.25">
      <c r="A1966" s="2">
        <v>1961</v>
      </c>
      <c r="B1966" s="11" t="str">
        <f>"00121969"</f>
        <v>00121969</v>
      </c>
    </row>
    <row r="1967" spans="1:2" x14ac:dyDescent="0.25">
      <c r="A1967" s="2">
        <v>1962</v>
      </c>
      <c r="B1967" s="11" t="str">
        <f>"00121971"</f>
        <v>00121971</v>
      </c>
    </row>
    <row r="1968" spans="1:2" x14ac:dyDescent="0.25">
      <c r="A1968" s="2">
        <v>1963</v>
      </c>
      <c r="B1968" s="11" t="str">
        <f>"00122056"</f>
        <v>00122056</v>
      </c>
    </row>
    <row r="1969" spans="1:2" x14ac:dyDescent="0.25">
      <c r="A1969" s="2">
        <v>1964</v>
      </c>
      <c r="B1969" s="11" t="str">
        <f>"00122095"</f>
        <v>00122095</v>
      </c>
    </row>
    <row r="1970" spans="1:2" x14ac:dyDescent="0.25">
      <c r="A1970" s="2">
        <v>1965</v>
      </c>
      <c r="B1970" s="11" t="str">
        <f>"00122148"</f>
        <v>00122148</v>
      </c>
    </row>
    <row r="1971" spans="1:2" x14ac:dyDescent="0.25">
      <c r="A1971" s="2">
        <v>1966</v>
      </c>
      <c r="B1971" s="11" t="str">
        <f>"00122242"</f>
        <v>00122242</v>
      </c>
    </row>
    <row r="1972" spans="1:2" x14ac:dyDescent="0.25">
      <c r="A1972" s="2">
        <v>1967</v>
      </c>
      <c r="B1972" s="11" t="str">
        <f>"00122310"</f>
        <v>00122310</v>
      </c>
    </row>
    <row r="1973" spans="1:2" x14ac:dyDescent="0.25">
      <c r="A1973" s="2">
        <v>1968</v>
      </c>
      <c r="B1973" s="11" t="str">
        <f>"00122356"</f>
        <v>00122356</v>
      </c>
    </row>
    <row r="1974" spans="1:2" x14ac:dyDescent="0.25">
      <c r="A1974" s="2">
        <v>1969</v>
      </c>
      <c r="B1974" s="11" t="str">
        <f>"00122393"</f>
        <v>00122393</v>
      </c>
    </row>
    <row r="1975" spans="1:2" x14ac:dyDescent="0.25">
      <c r="A1975" s="2">
        <v>1970</v>
      </c>
      <c r="B1975" s="11" t="str">
        <f>"00122438"</f>
        <v>00122438</v>
      </c>
    </row>
    <row r="1976" spans="1:2" x14ac:dyDescent="0.25">
      <c r="A1976" s="2">
        <v>1971</v>
      </c>
      <c r="B1976" s="11" t="str">
        <f>"00122487"</f>
        <v>00122487</v>
      </c>
    </row>
    <row r="1977" spans="1:2" x14ac:dyDescent="0.25">
      <c r="A1977" s="2">
        <v>1972</v>
      </c>
      <c r="B1977" s="11" t="str">
        <f>"00122492"</f>
        <v>00122492</v>
      </c>
    </row>
    <row r="1978" spans="1:2" x14ac:dyDescent="0.25">
      <c r="A1978" s="2">
        <v>1973</v>
      </c>
      <c r="B1978" s="11" t="str">
        <f>"00122495"</f>
        <v>00122495</v>
      </c>
    </row>
    <row r="1979" spans="1:2" x14ac:dyDescent="0.25">
      <c r="A1979" s="2">
        <v>1974</v>
      </c>
      <c r="B1979" s="11" t="str">
        <f>"00122543"</f>
        <v>00122543</v>
      </c>
    </row>
    <row r="1980" spans="1:2" x14ac:dyDescent="0.25">
      <c r="A1980" s="2">
        <v>1975</v>
      </c>
      <c r="B1980" s="11" t="str">
        <f>"00122567"</f>
        <v>00122567</v>
      </c>
    </row>
    <row r="1981" spans="1:2" x14ac:dyDescent="0.25">
      <c r="A1981" s="2">
        <v>1976</v>
      </c>
      <c r="B1981" s="11" t="str">
        <f>"00122572"</f>
        <v>00122572</v>
      </c>
    </row>
    <row r="1982" spans="1:2" x14ac:dyDescent="0.25">
      <c r="A1982" s="2">
        <v>1977</v>
      </c>
      <c r="B1982" s="11" t="str">
        <f>"00122579"</f>
        <v>00122579</v>
      </c>
    </row>
    <row r="1983" spans="1:2" x14ac:dyDescent="0.25">
      <c r="A1983" s="2">
        <v>1978</v>
      </c>
      <c r="B1983" s="11" t="str">
        <f>"00122591"</f>
        <v>00122591</v>
      </c>
    </row>
    <row r="1984" spans="1:2" x14ac:dyDescent="0.25">
      <c r="A1984" s="2">
        <v>1979</v>
      </c>
      <c r="B1984" s="11" t="str">
        <f>"00122592"</f>
        <v>00122592</v>
      </c>
    </row>
    <row r="1985" spans="1:2" x14ac:dyDescent="0.25">
      <c r="A1985" s="2">
        <v>1980</v>
      </c>
      <c r="B1985" s="11" t="str">
        <f>"00122608"</f>
        <v>00122608</v>
      </c>
    </row>
    <row r="1986" spans="1:2" x14ac:dyDescent="0.25">
      <c r="A1986" s="2">
        <v>1981</v>
      </c>
      <c r="B1986" s="11" t="str">
        <f>"00122624"</f>
        <v>00122624</v>
      </c>
    </row>
    <row r="1987" spans="1:2" x14ac:dyDescent="0.25">
      <c r="A1987" s="2">
        <v>1982</v>
      </c>
      <c r="B1987" s="11" t="str">
        <f>"00122626"</f>
        <v>00122626</v>
      </c>
    </row>
    <row r="1988" spans="1:2" x14ac:dyDescent="0.25">
      <c r="A1988" s="2">
        <v>1983</v>
      </c>
      <c r="B1988" s="11" t="str">
        <f>"00122628"</f>
        <v>00122628</v>
      </c>
    </row>
    <row r="1989" spans="1:2" x14ac:dyDescent="0.25">
      <c r="A1989" s="2">
        <v>1984</v>
      </c>
      <c r="B1989" s="11" t="str">
        <f>"00122638"</f>
        <v>00122638</v>
      </c>
    </row>
    <row r="1990" spans="1:2" x14ac:dyDescent="0.25">
      <c r="A1990" s="2">
        <v>1985</v>
      </c>
      <c r="B1990" s="11" t="str">
        <f>"00122694"</f>
        <v>00122694</v>
      </c>
    </row>
    <row r="1991" spans="1:2" x14ac:dyDescent="0.25">
      <c r="A1991" s="2">
        <v>1986</v>
      </c>
      <c r="B1991" s="11" t="str">
        <f>"00122710"</f>
        <v>00122710</v>
      </c>
    </row>
    <row r="1992" spans="1:2" x14ac:dyDescent="0.25">
      <c r="A1992" s="2">
        <v>1987</v>
      </c>
      <c r="B1992" s="11" t="str">
        <f>"00122755"</f>
        <v>00122755</v>
      </c>
    </row>
    <row r="1993" spans="1:2" x14ac:dyDescent="0.25">
      <c r="A1993" s="2">
        <v>1988</v>
      </c>
      <c r="B1993" s="11" t="str">
        <f>"00122759"</f>
        <v>00122759</v>
      </c>
    </row>
    <row r="1994" spans="1:2" x14ac:dyDescent="0.25">
      <c r="A1994" s="2">
        <v>1989</v>
      </c>
      <c r="B1994" s="11" t="str">
        <f>"00122760"</f>
        <v>00122760</v>
      </c>
    </row>
    <row r="1995" spans="1:2" x14ac:dyDescent="0.25">
      <c r="A1995" s="2">
        <v>1990</v>
      </c>
      <c r="B1995" s="11" t="str">
        <f>"00122792"</f>
        <v>00122792</v>
      </c>
    </row>
    <row r="1996" spans="1:2" x14ac:dyDescent="0.25">
      <c r="A1996" s="2">
        <v>1991</v>
      </c>
      <c r="B1996" s="11" t="str">
        <f>"00122793"</f>
        <v>00122793</v>
      </c>
    </row>
    <row r="1997" spans="1:2" x14ac:dyDescent="0.25">
      <c r="A1997" s="2">
        <v>1992</v>
      </c>
      <c r="B1997" s="11" t="str">
        <f>"00122885"</f>
        <v>00122885</v>
      </c>
    </row>
    <row r="1998" spans="1:2" x14ac:dyDescent="0.25">
      <c r="A1998" s="2">
        <v>1993</v>
      </c>
      <c r="B1998" s="11" t="str">
        <f>"00122959"</f>
        <v>00122959</v>
      </c>
    </row>
    <row r="1999" spans="1:2" x14ac:dyDescent="0.25">
      <c r="A1999" s="2">
        <v>1994</v>
      </c>
      <c r="B1999" s="11" t="str">
        <f>"00122967"</f>
        <v>00122967</v>
      </c>
    </row>
    <row r="2000" spans="1:2" x14ac:dyDescent="0.25">
      <c r="A2000" s="2">
        <v>1995</v>
      </c>
      <c r="B2000" s="11" t="str">
        <f>"00122972"</f>
        <v>00122972</v>
      </c>
    </row>
    <row r="2001" spans="1:2" x14ac:dyDescent="0.25">
      <c r="A2001" s="2">
        <v>1996</v>
      </c>
      <c r="B2001" s="11" t="str">
        <f>"00123060"</f>
        <v>00123060</v>
      </c>
    </row>
    <row r="2002" spans="1:2" x14ac:dyDescent="0.25">
      <c r="A2002" s="2">
        <v>1997</v>
      </c>
      <c r="B2002" s="11" t="str">
        <f>"00123151"</f>
        <v>00123151</v>
      </c>
    </row>
    <row r="2003" spans="1:2" x14ac:dyDescent="0.25">
      <c r="A2003" s="2">
        <v>1998</v>
      </c>
      <c r="B2003" s="11" t="str">
        <f>"00123203"</f>
        <v>00123203</v>
      </c>
    </row>
    <row r="2004" spans="1:2" x14ac:dyDescent="0.25">
      <c r="A2004" s="2">
        <v>1999</v>
      </c>
      <c r="B2004" s="11" t="str">
        <f>"00123211"</f>
        <v>00123211</v>
      </c>
    </row>
    <row r="2005" spans="1:2" x14ac:dyDescent="0.25">
      <c r="A2005" s="2">
        <v>2000</v>
      </c>
      <c r="B2005" s="11" t="str">
        <f>"00123320"</f>
        <v>00123320</v>
      </c>
    </row>
    <row r="2006" spans="1:2" x14ac:dyDescent="0.25">
      <c r="A2006" s="2">
        <v>2001</v>
      </c>
      <c r="B2006" s="11" t="str">
        <f>"00123413"</f>
        <v>00123413</v>
      </c>
    </row>
    <row r="2007" spans="1:2" x14ac:dyDescent="0.25">
      <c r="A2007" s="2">
        <v>2002</v>
      </c>
      <c r="B2007" s="11" t="str">
        <f>"00123429"</f>
        <v>00123429</v>
      </c>
    </row>
    <row r="2008" spans="1:2" x14ac:dyDescent="0.25">
      <c r="A2008" s="2">
        <v>2003</v>
      </c>
      <c r="B2008" s="11" t="str">
        <f>"00123438"</f>
        <v>00123438</v>
      </c>
    </row>
    <row r="2009" spans="1:2" x14ac:dyDescent="0.25">
      <c r="A2009" s="2">
        <v>2004</v>
      </c>
      <c r="B2009" s="11" t="str">
        <f>"00123526"</f>
        <v>00123526</v>
      </c>
    </row>
    <row r="2010" spans="1:2" x14ac:dyDescent="0.25">
      <c r="A2010" s="2">
        <v>2005</v>
      </c>
      <c r="B2010" s="11" t="str">
        <f>"00123546"</f>
        <v>00123546</v>
      </c>
    </row>
    <row r="2011" spans="1:2" x14ac:dyDescent="0.25">
      <c r="A2011" s="2">
        <v>2006</v>
      </c>
      <c r="B2011" s="11" t="str">
        <f>"00123565"</f>
        <v>00123565</v>
      </c>
    </row>
    <row r="2012" spans="1:2" x14ac:dyDescent="0.25">
      <c r="A2012" s="2">
        <v>2007</v>
      </c>
      <c r="B2012" s="11" t="str">
        <f>"00123623"</f>
        <v>00123623</v>
      </c>
    </row>
    <row r="2013" spans="1:2" x14ac:dyDescent="0.25">
      <c r="A2013" s="2">
        <v>2008</v>
      </c>
      <c r="B2013" s="11" t="str">
        <f>"00123740"</f>
        <v>00123740</v>
      </c>
    </row>
    <row r="2014" spans="1:2" x14ac:dyDescent="0.25">
      <c r="A2014" s="2">
        <v>2009</v>
      </c>
      <c r="B2014" s="11" t="str">
        <f>"00123752"</f>
        <v>00123752</v>
      </c>
    </row>
    <row r="2015" spans="1:2" x14ac:dyDescent="0.25">
      <c r="A2015" s="2">
        <v>2010</v>
      </c>
      <c r="B2015" s="11" t="str">
        <f>"00123765"</f>
        <v>00123765</v>
      </c>
    </row>
    <row r="2016" spans="1:2" x14ac:dyDescent="0.25">
      <c r="A2016" s="2">
        <v>2011</v>
      </c>
      <c r="B2016" s="11" t="str">
        <f>"00123785"</f>
        <v>00123785</v>
      </c>
    </row>
    <row r="2017" spans="1:2" x14ac:dyDescent="0.25">
      <c r="A2017" s="2">
        <v>2012</v>
      </c>
      <c r="B2017" s="11" t="str">
        <f>"00123815"</f>
        <v>00123815</v>
      </c>
    </row>
    <row r="2018" spans="1:2" x14ac:dyDescent="0.25">
      <c r="A2018" s="2">
        <v>2013</v>
      </c>
      <c r="B2018" s="11" t="str">
        <f>"00123832"</f>
        <v>00123832</v>
      </c>
    </row>
    <row r="2019" spans="1:2" x14ac:dyDescent="0.25">
      <c r="A2019" s="2">
        <v>2014</v>
      </c>
      <c r="B2019" s="11" t="str">
        <f>"00123867"</f>
        <v>00123867</v>
      </c>
    </row>
    <row r="2020" spans="1:2" x14ac:dyDescent="0.25">
      <c r="A2020" s="2">
        <v>2015</v>
      </c>
      <c r="B2020" s="11" t="str">
        <f>"00123896"</f>
        <v>00123896</v>
      </c>
    </row>
    <row r="2021" spans="1:2" x14ac:dyDescent="0.25">
      <c r="A2021" s="2">
        <v>2016</v>
      </c>
      <c r="B2021" s="11" t="str">
        <f>"00123904"</f>
        <v>00123904</v>
      </c>
    </row>
    <row r="2022" spans="1:2" x14ac:dyDescent="0.25">
      <c r="A2022" s="2">
        <v>2017</v>
      </c>
      <c r="B2022" s="11" t="str">
        <f>"00123929"</f>
        <v>00123929</v>
      </c>
    </row>
    <row r="2023" spans="1:2" x14ac:dyDescent="0.25">
      <c r="A2023" s="2">
        <v>2018</v>
      </c>
      <c r="B2023" s="11" t="str">
        <f>"00123997"</f>
        <v>00123997</v>
      </c>
    </row>
    <row r="2024" spans="1:2" x14ac:dyDescent="0.25">
      <c r="A2024" s="2">
        <v>2019</v>
      </c>
      <c r="B2024" s="11" t="str">
        <f>"00124025"</f>
        <v>00124025</v>
      </c>
    </row>
    <row r="2025" spans="1:2" x14ac:dyDescent="0.25">
      <c r="A2025" s="2">
        <v>2020</v>
      </c>
      <c r="B2025" s="11" t="str">
        <f>"00124086"</f>
        <v>00124086</v>
      </c>
    </row>
    <row r="2026" spans="1:2" x14ac:dyDescent="0.25">
      <c r="A2026" s="2">
        <v>2021</v>
      </c>
      <c r="B2026" s="11" t="str">
        <f>"00124094"</f>
        <v>00124094</v>
      </c>
    </row>
    <row r="2027" spans="1:2" x14ac:dyDescent="0.25">
      <c r="A2027" s="2">
        <v>2022</v>
      </c>
      <c r="B2027" s="11" t="str">
        <f>"00124103"</f>
        <v>00124103</v>
      </c>
    </row>
    <row r="2028" spans="1:2" x14ac:dyDescent="0.25">
      <c r="A2028" s="2">
        <v>2023</v>
      </c>
      <c r="B2028" s="11" t="str">
        <f>"00124122"</f>
        <v>00124122</v>
      </c>
    </row>
    <row r="2029" spans="1:2" x14ac:dyDescent="0.25">
      <c r="A2029" s="2">
        <v>2024</v>
      </c>
      <c r="B2029" s="11" t="str">
        <f>"00124156"</f>
        <v>00124156</v>
      </c>
    </row>
    <row r="2030" spans="1:2" x14ac:dyDescent="0.25">
      <c r="A2030" s="2">
        <v>2025</v>
      </c>
      <c r="B2030" s="11" t="str">
        <f>"00124203"</f>
        <v>00124203</v>
      </c>
    </row>
    <row r="2031" spans="1:2" x14ac:dyDescent="0.25">
      <c r="A2031" s="2">
        <v>2026</v>
      </c>
      <c r="B2031" s="11" t="str">
        <f>"00124242"</f>
        <v>00124242</v>
      </c>
    </row>
    <row r="2032" spans="1:2" x14ac:dyDescent="0.25">
      <c r="A2032" s="2">
        <v>2027</v>
      </c>
      <c r="B2032" s="11" t="str">
        <f>"00124277"</f>
        <v>00124277</v>
      </c>
    </row>
    <row r="2033" spans="1:2" x14ac:dyDescent="0.25">
      <c r="A2033" s="2">
        <v>2028</v>
      </c>
      <c r="B2033" s="11" t="str">
        <f>"00124305"</f>
        <v>00124305</v>
      </c>
    </row>
    <row r="2034" spans="1:2" x14ac:dyDescent="0.25">
      <c r="A2034" s="2">
        <v>2029</v>
      </c>
      <c r="B2034" s="11" t="str">
        <f>"00124382"</f>
        <v>00124382</v>
      </c>
    </row>
    <row r="2035" spans="1:2" x14ac:dyDescent="0.25">
      <c r="A2035" s="2">
        <v>2030</v>
      </c>
      <c r="B2035" s="11" t="str">
        <f>"00124397"</f>
        <v>00124397</v>
      </c>
    </row>
    <row r="2036" spans="1:2" x14ac:dyDescent="0.25">
      <c r="A2036" s="2">
        <v>2031</v>
      </c>
      <c r="B2036" s="11" t="str">
        <f>"00124404"</f>
        <v>00124404</v>
      </c>
    </row>
    <row r="2037" spans="1:2" x14ac:dyDescent="0.25">
      <c r="A2037" s="2">
        <v>2032</v>
      </c>
      <c r="B2037" s="11" t="str">
        <f>"00124456"</f>
        <v>00124456</v>
      </c>
    </row>
    <row r="2038" spans="1:2" x14ac:dyDescent="0.25">
      <c r="A2038" s="2">
        <v>2033</v>
      </c>
      <c r="B2038" s="11" t="str">
        <f>"00124472"</f>
        <v>00124472</v>
      </c>
    </row>
    <row r="2039" spans="1:2" x14ac:dyDescent="0.25">
      <c r="A2039" s="2">
        <v>2034</v>
      </c>
      <c r="B2039" s="11" t="str">
        <f>"00124507"</f>
        <v>00124507</v>
      </c>
    </row>
    <row r="2040" spans="1:2" x14ac:dyDescent="0.25">
      <c r="A2040" s="2">
        <v>2035</v>
      </c>
      <c r="B2040" s="11" t="str">
        <f>"00124602"</f>
        <v>00124602</v>
      </c>
    </row>
    <row r="2041" spans="1:2" x14ac:dyDescent="0.25">
      <c r="A2041" s="2">
        <v>2036</v>
      </c>
      <c r="B2041" s="11" t="str">
        <f>"00124607"</f>
        <v>00124607</v>
      </c>
    </row>
    <row r="2042" spans="1:2" x14ac:dyDescent="0.25">
      <c r="A2042" s="2">
        <v>2037</v>
      </c>
      <c r="B2042" s="11" t="str">
        <f>"00124621"</f>
        <v>00124621</v>
      </c>
    </row>
    <row r="2043" spans="1:2" x14ac:dyDescent="0.25">
      <c r="A2043" s="2">
        <v>2038</v>
      </c>
      <c r="B2043" s="11" t="str">
        <f>"00124636"</f>
        <v>00124636</v>
      </c>
    </row>
    <row r="2044" spans="1:2" x14ac:dyDescent="0.25">
      <c r="A2044" s="2">
        <v>2039</v>
      </c>
      <c r="B2044" s="11" t="str">
        <f>"00124695"</f>
        <v>00124695</v>
      </c>
    </row>
    <row r="2045" spans="1:2" x14ac:dyDescent="0.25">
      <c r="A2045" s="2">
        <v>2040</v>
      </c>
      <c r="B2045" s="11" t="str">
        <f>"00124816"</f>
        <v>00124816</v>
      </c>
    </row>
    <row r="2046" spans="1:2" x14ac:dyDescent="0.25">
      <c r="A2046" s="2">
        <v>2041</v>
      </c>
      <c r="B2046" s="11" t="str">
        <f>"00124882"</f>
        <v>00124882</v>
      </c>
    </row>
    <row r="2047" spans="1:2" x14ac:dyDescent="0.25">
      <c r="A2047" s="2">
        <v>2042</v>
      </c>
      <c r="B2047" s="11" t="str">
        <f>"00124962"</f>
        <v>00124962</v>
      </c>
    </row>
    <row r="2048" spans="1:2" x14ac:dyDescent="0.25">
      <c r="A2048" s="2">
        <v>2043</v>
      </c>
      <c r="B2048" s="11" t="str">
        <f>"00124996"</f>
        <v>00124996</v>
      </c>
    </row>
    <row r="2049" spans="1:2" x14ac:dyDescent="0.25">
      <c r="A2049" s="2">
        <v>2044</v>
      </c>
      <c r="B2049" s="11" t="str">
        <f>"00124997"</f>
        <v>00124997</v>
      </c>
    </row>
    <row r="2050" spans="1:2" x14ac:dyDescent="0.25">
      <c r="A2050" s="2">
        <v>2045</v>
      </c>
      <c r="B2050" s="11" t="str">
        <f>"00125008"</f>
        <v>00125008</v>
      </c>
    </row>
    <row r="2051" spans="1:2" x14ac:dyDescent="0.25">
      <c r="A2051" s="2">
        <v>2046</v>
      </c>
      <c r="B2051" s="11" t="str">
        <f>"00125102"</f>
        <v>00125102</v>
      </c>
    </row>
    <row r="2052" spans="1:2" x14ac:dyDescent="0.25">
      <c r="A2052" s="2">
        <v>2047</v>
      </c>
      <c r="B2052" s="11" t="str">
        <f>"00125165"</f>
        <v>00125165</v>
      </c>
    </row>
    <row r="2053" spans="1:2" x14ac:dyDescent="0.25">
      <c r="A2053" s="2">
        <v>2048</v>
      </c>
      <c r="B2053" s="11" t="str">
        <f>"00125172"</f>
        <v>00125172</v>
      </c>
    </row>
    <row r="2054" spans="1:2" x14ac:dyDescent="0.25">
      <c r="A2054" s="2">
        <v>2049</v>
      </c>
      <c r="B2054" s="11" t="str">
        <f>"00125179"</f>
        <v>00125179</v>
      </c>
    </row>
    <row r="2055" spans="1:2" x14ac:dyDescent="0.25">
      <c r="A2055" s="2">
        <v>2050</v>
      </c>
      <c r="B2055" s="11" t="str">
        <f>"00125189"</f>
        <v>00125189</v>
      </c>
    </row>
    <row r="2056" spans="1:2" x14ac:dyDescent="0.25">
      <c r="A2056" s="2">
        <v>2051</v>
      </c>
      <c r="B2056" s="11" t="str">
        <f>"00125235"</f>
        <v>00125235</v>
      </c>
    </row>
    <row r="2057" spans="1:2" x14ac:dyDescent="0.25">
      <c r="A2057" s="2">
        <v>2052</v>
      </c>
      <c r="B2057" s="11" t="str">
        <f>"00125276"</f>
        <v>00125276</v>
      </c>
    </row>
    <row r="2058" spans="1:2" x14ac:dyDescent="0.25">
      <c r="A2058" s="2">
        <v>2053</v>
      </c>
      <c r="B2058" s="11" t="str">
        <f>"00125288"</f>
        <v>00125288</v>
      </c>
    </row>
    <row r="2059" spans="1:2" x14ac:dyDescent="0.25">
      <c r="A2059" s="2">
        <v>2054</v>
      </c>
      <c r="B2059" s="11" t="str">
        <f>"00125355"</f>
        <v>00125355</v>
      </c>
    </row>
    <row r="2060" spans="1:2" x14ac:dyDescent="0.25">
      <c r="A2060" s="2">
        <v>2055</v>
      </c>
      <c r="B2060" s="11" t="str">
        <f>"00125370"</f>
        <v>00125370</v>
      </c>
    </row>
    <row r="2061" spans="1:2" x14ac:dyDescent="0.25">
      <c r="A2061" s="2">
        <v>2056</v>
      </c>
      <c r="B2061" s="11" t="str">
        <f>"00125440"</f>
        <v>00125440</v>
      </c>
    </row>
    <row r="2062" spans="1:2" x14ac:dyDescent="0.25">
      <c r="A2062" s="2">
        <v>2057</v>
      </c>
      <c r="B2062" s="11" t="str">
        <f>"00125489"</f>
        <v>00125489</v>
      </c>
    </row>
    <row r="2063" spans="1:2" x14ac:dyDescent="0.25">
      <c r="A2063" s="2">
        <v>2058</v>
      </c>
      <c r="B2063" s="11" t="str">
        <f>"00125500"</f>
        <v>00125500</v>
      </c>
    </row>
    <row r="2064" spans="1:2" x14ac:dyDescent="0.25">
      <c r="A2064" s="2">
        <v>2059</v>
      </c>
      <c r="B2064" s="11" t="str">
        <f>"00125529"</f>
        <v>00125529</v>
      </c>
    </row>
    <row r="2065" spans="1:2" x14ac:dyDescent="0.25">
      <c r="A2065" s="2">
        <v>2060</v>
      </c>
      <c r="B2065" s="11" t="str">
        <f>"00125566"</f>
        <v>00125566</v>
      </c>
    </row>
    <row r="2066" spans="1:2" x14ac:dyDescent="0.25">
      <c r="A2066" s="2">
        <v>2061</v>
      </c>
      <c r="B2066" s="11" t="str">
        <f>"00125569"</f>
        <v>00125569</v>
      </c>
    </row>
    <row r="2067" spans="1:2" x14ac:dyDescent="0.25">
      <c r="A2067" s="2">
        <v>2062</v>
      </c>
      <c r="B2067" s="11" t="str">
        <f>"00125586"</f>
        <v>00125586</v>
      </c>
    </row>
    <row r="2068" spans="1:2" x14ac:dyDescent="0.25">
      <c r="A2068" s="2">
        <v>2063</v>
      </c>
      <c r="B2068" s="11" t="str">
        <f>"00125602"</f>
        <v>00125602</v>
      </c>
    </row>
    <row r="2069" spans="1:2" x14ac:dyDescent="0.25">
      <c r="A2069" s="2">
        <v>2064</v>
      </c>
      <c r="B2069" s="11" t="str">
        <f>"00125677"</f>
        <v>00125677</v>
      </c>
    </row>
    <row r="2070" spans="1:2" x14ac:dyDescent="0.25">
      <c r="A2070" s="2">
        <v>2065</v>
      </c>
      <c r="B2070" s="11" t="str">
        <f>"00125766"</f>
        <v>00125766</v>
      </c>
    </row>
    <row r="2071" spans="1:2" x14ac:dyDescent="0.25">
      <c r="A2071" s="2">
        <v>2066</v>
      </c>
      <c r="B2071" s="11" t="str">
        <f>"00125780"</f>
        <v>00125780</v>
      </c>
    </row>
    <row r="2072" spans="1:2" x14ac:dyDescent="0.25">
      <c r="A2072" s="2">
        <v>2067</v>
      </c>
      <c r="B2072" s="11" t="str">
        <f>"00125900"</f>
        <v>00125900</v>
      </c>
    </row>
    <row r="2073" spans="1:2" x14ac:dyDescent="0.25">
      <c r="A2073" s="2">
        <v>2068</v>
      </c>
      <c r="B2073" s="11" t="str">
        <f>"00125972"</f>
        <v>00125972</v>
      </c>
    </row>
    <row r="2074" spans="1:2" x14ac:dyDescent="0.25">
      <c r="A2074" s="2">
        <v>2069</v>
      </c>
      <c r="B2074" s="11" t="str">
        <f>"00126008"</f>
        <v>00126008</v>
      </c>
    </row>
    <row r="2075" spans="1:2" x14ac:dyDescent="0.25">
      <c r="A2075" s="2">
        <v>2070</v>
      </c>
      <c r="B2075" s="11" t="str">
        <f>"00126015"</f>
        <v>00126015</v>
      </c>
    </row>
    <row r="2076" spans="1:2" x14ac:dyDescent="0.25">
      <c r="A2076" s="2">
        <v>2071</v>
      </c>
      <c r="B2076" s="11" t="str">
        <f>"00126053"</f>
        <v>00126053</v>
      </c>
    </row>
    <row r="2077" spans="1:2" x14ac:dyDescent="0.25">
      <c r="A2077" s="2">
        <v>2072</v>
      </c>
      <c r="B2077" s="11" t="str">
        <f>"00126067"</f>
        <v>00126067</v>
      </c>
    </row>
    <row r="2078" spans="1:2" x14ac:dyDescent="0.25">
      <c r="A2078" s="2">
        <v>2073</v>
      </c>
      <c r="B2078" s="11" t="str">
        <f>"00126081"</f>
        <v>00126081</v>
      </c>
    </row>
    <row r="2079" spans="1:2" x14ac:dyDescent="0.25">
      <c r="A2079" s="2">
        <v>2074</v>
      </c>
      <c r="B2079" s="11" t="str">
        <f>"00126099"</f>
        <v>00126099</v>
      </c>
    </row>
    <row r="2080" spans="1:2" x14ac:dyDescent="0.25">
      <c r="A2080" s="2">
        <v>2075</v>
      </c>
      <c r="B2080" s="11" t="str">
        <f>"00126100"</f>
        <v>00126100</v>
      </c>
    </row>
    <row r="2081" spans="1:2" x14ac:dyDescent="0.25">
      <c r="A2081" s="2">
        <v>2076</v>
      </c>
      <c r="B2081" s="11" t="str">
        <f>"00126168"</f>
        <v>00126168</v>
      </c>
    </row>
    <row r="2082" spans="1:2" x14ac:dyDescent="0.25">
      <c r="A2082" s="2">
        <v>2077</v>
      </c>
      <c r="B2082" s="11" t="str">
        <f>"00126188"</f>
        <v>00126188</v>
      </c>
    </row>
    <row r="2083" spans="1:2" x14ac:dyDescent="0.25">
      <c r="A2083" s="2">
        <v>2078</v>
      </c>
      <c r="B2083" s="11" t="str">
        <f>"00126290"</f>
        <v>00126290</v>
      </c>
    </row>
    <row r="2084" spans="1:2" x14ac:dyDescent="0.25">
      <c r="A2084" s="2">
        <v>2079</v>
      </c>
      <c r="B2084" s="11" t="str">
        <f>"00126319"</f>
        <v>00126319</v>
      </c>
    </row>
    <row r="2085" spans="1:2" x14ac:dyDescent="0.25">
      <c r="A2085" s="2">
        <v>2080</v>
      </c>
      <c r="B2085" s="11" t="str">
        <f>"00126339"</f>
        <v>00126339</v>
      </c>
    </row>
    <row r="2086" spans="1:2" x14ac:dyDescent="0.25">
      <c r="A2086" s="2">
        <v>2081</v>
      </c>
      <c r="B2086" s="11" t="str">
        <f>"00126345"</f>
        <v>00126345</v>
      </c>
    </row>
    <row r="2087" spans="1:2" x14ac:dyDescent="0.25">
      <c r="A2087" s="2">
        <v>2082</v>
      </c>
      <c r="B2087" s="11" t="str">
        <f>"00126357"</f>
        <v>00126357</v>
      </c>
    </row>
    <row r="2088" spans="1:2" x14ac:dyDescent="0.25">
      <c r="A2088" s="2">
        <v>2083</v>
      </c>
      <c r="B2088" s="11" t="str">
        <f>"00126383"</f>
        <v>00126383</v>
      </c>
    </row>
    <row r="2089" spans="1:2" x14ac:dyDescent="0.25">
      <c r="A2089" s="2">
        <v>2084</v>
      </c>
      <c r="B2089" s="11" t="str">
        <f>"00126414"</f>
        <v>00126414</v>
      </c>
    </row>
    <row r="2090" spans="1:2" x14ac:dyDescent="0.25">
      <c r="A2090" s="2">
        <v>2085</v>
      </c>
      <c r="B2090" s="11" t="str">
        <f>"00126526"</f>
        <v>00126526</v>
      </c>
    </row>
    <row r="2091" spans="1:2" x14ac:dyDescent="0.25">
      <c r="A2091" s="2">
        <v>2086</v>
      </c>
      <c r="B2091" s="11" t="str">
        <f>"00126537"</f>
        <v>00126537</v>
      </c>
    </row>
    <row r="2092" spans="1:2" x14ac:dyDescent="0.25">
      <c r="A2092" s="2">
        <v>2087</v>
      </c>
      <c r="B2092" s="11" t="str">
        <f>"00126558"</f>
        <v>00126558</v>
      </c>
    </row>
    <row r="2093" spans="1:2" x14ac:dyDescent="0.25">
      <c r="A2093" s="2">
        <v>2088</v>
      </c>
      <c r="B2093" s="11" t="str">
        <f>"00126563"</f>
        <v>00126563</v>
      </c>
    </row>
    <row r="2094" spans="1:2" x14ac:dyDescent="0.25">
      <c r="A2094" s="2">
        <v>2089</v>
      </c>
      <c r="B2094" s="11" t="str">
        <f>"00126584"</f>
        <v>00126584</v>
      </c>
    </row>
    <row r="2095" spans="1:2" x14ac:dyDescent="0.25">
      <c r="A2095" s="2">
        <v>2090</v>
      </c>
      <c r="B2095" s="11" t="str">
        <f>"00126622"</f>
        <v>00126622</v>
      </c>
    </row>
    <row r="2096" spans="1:2" x14ac:dyDescent="0.25">
      <c r="A2096" s="2">
        <v>2091</v>
      </c>
      <c r="B2096" s="11" t="str">
        <f>"00126636"</f>
        <v>00126636</v>
      </c>
    </row>
    <row r="2097" spans="1:2" x14ac:dyDescent="0.25">
      <c r="A2097" s="2">
        <v>2092</v>
      </c>
      <c r="B2097" s="11" t="str">
        <f>"00126664"</f>
        <v>00126664</v>
      </c>
    </row>
    <row r="2098" spans="1:2" x14ac:dyDescent="0.25">
      <c r="A2098" s="2">
        <v>2093</v>
      </c>
      <c r="B2098" s="11" t="str">
        <f>"00126706"</f>
        <v>00126706</v>
      </c>
    </row>
    <row r="2099" spans="1:2" x14ac:dyDescent="0.25">
      <c r="A2099" s="2">
        <v>2094</v>
      </c>
      <c r="B2099" s="11" t="str">
        <f>"00126739"</f>
        <v>00126739</v>
      </c>
    </row>
    <row r="2100" spans="1:2" x14ac:dyDescent="0.25">
      <c r="A2100" s="2">
        <v>2095</v>
      </c>
      <c r="B2100" s="11" t="str">
        <f>"00126764"</f>
        <v>00126764</v>
      </c>
    </row>
    <row r="2101" spans="1:2" x14ac:dyDescent="0.25">
      <c r="A2101" s="2">
        <v>2096</v>
      </c>
      <c r="B2101" s="11" t="str">
        <f>"00126900"</f>
        <v>00126900</v>
      </c>
    </row>
    <row r="2102" spans="1:2" x14ac:dyDescent="0.25">
      <c r="A2102" s="2">
        <v>2097</v>
      </c>
      <c r="B2102" s="11" t="str">
        <f>"00126935"</f>
        <v>00126935</v>
      </c>
    </row>
    <row r="2103" spans="1:2" x14ac:dyDescent="0.25">
      <c r="A2103" s="2">
        <v>2098</v>
      </c>
      <c r="B2103" s="11" t="str">
        <f>"00126962"</f>
        <v>00126962</v>
      </c>
    </row>
    <row r="2104" spans="1:2" x14ac:dyDescent="0.25">
      <c r="A2104" s="2">
        <v>2099</v>
      </c>
      <c r="B2104" s="11" t="str">
        <f>"00126999"</f>
        <v>00126999</v>
      </c>
    </row>
    <row r="2105" spans="1:2" x14ac:dyDescent="0.25">
      <c r="A2105" s="2">
        <v>2100</v>
      </c>
      <c r="B2105" s="11" t="str">
        <f>"00127024"</f>
        <v>00127024</v>
      </c>
    </row>
    <row r="2106" spans="1:2" x14ac:dyDescent="0.25">
      <c r="A2106" s="2">
        <v>2101</v>
      </c>
      <c r="B2106" s="11" t="str">
        <f>"00127040"</f>
        <v>00127040</v>
      </c>
    </row>
    <row r="2107" spans="1:2" x14ac:dyDescent="0.25">
      <c r="A2107" s="2">
        <v>2102</v>
      </c>
      <c r="B2107" s="11" t="str">
        <f>"00127053"</f>
        <v>00127053</v>
      </c>
    </row>
    <row r="2108" spans="1:2" x14ac:dyDescent="0.25">
      <c r="A2108" s="2">
        <v>2103</v>
      </c>
      <c r="B2108" s="11" t="str">
        <f>"00127089"</f>
        <v>00127089</v>
      </c>
    </row>
    <row r="2109" spans="1:2" x14ac:dyDescent="0.25">
      <c r="A2109" s="2">
        <v>2104</v>
      </c>
      <c r="B2109" s="11" t="str">
        <f>"00127098"</f>
        <v>00127098</v>
      </c>
    </row>
    <row r="2110" spans="1:2" x14ac:dyDescent="0.25">
      <c r="A2110" s="2">
        <v>2105</v>
      </c>
      <c r="B2110" s="11" t="str">
        <f>"00127168"</f>
        <v>00127168</v>
      </c>
    </row>
    <row r="2111" spans="1:2" x14ac:dyDescent="0.25">
      <c r="A2111" s="2">
        <v>2106</v>
      </c>
      <c r="B2111" s="11" t="str">
        <f>"00127213"</f>
        <v>00127213</v>
      </c>
    </row>
    <row r="2112" spans="1:2" x14ac:dyDescent="0.25">
      <c r="A2112" s="2">
        <v>2107</v>
      </c>
      <c r="B2112" s="11" t="str">
        <f>"00127226"</f>
        <v>00127226</v>
      </c>
    </row>
    <row r="2113" spans="1:2" x14ac:dyDescent="0.25">
      <c r="A2113" s="2">
        <v>2108</v>
      </c>
      <c r="B2113" s="11" t="str">
        <f>"00127245"</f>
        <v>00127245</v>
      </c>
    </row>
    <row r="2114" spans="1:2" x14ac:dyDescent="0.25">
      <c r="A2114" s="2">
        <v>2109</v>
      </c>
      <c r="B2114" s="11" t="str">
        <f>"00127401"</f>
        <v>00127401</v>
      </c>
    </row>
    <row r="2115" spans="1:2" x14ac:dyDescent="0.25">
      <c r="A2115" s="2">
        <v>2110</v>
      </c>
      <c r="B2115" s="11" t="str">
        <f>"00127451"</f>
        <v>00127451</v>
      </c>
    </row>
    <row r="2116" spans="1:2" x14ac:dyDescent="0.25">
      <c r="A2116" s="2">
        <v>2111</v>
      </c>
      <c r="B2116" s="11" t="str">
        <f>"00127522"</f>
        <v>00127522</v>
      </c>
    </row>
    <row r="2117" spans="1:2" x14ac:dyDescent="0.25">
      <c r="A2117" s="2">
        <v>2112</v>
      </c>
      <c r="B2117" s="11" t="str">
        <f>"00127613"</f>
        <v>00127613</v>
      </c>
    </row>
    <row r="2118" spans="1:2" x14ac:dyDescent="0.25">
      <c r="A2118" s="2">
        <v>2113</v>
      </c>
      <c r="B2118" s="11" t="str">
        <f>"00127627"</f>
        <v>00127627</v>
      </c>
    </row>
    <row r="2119" spans="1:2" x14ac:dyDescent="0.25">
      <c r="A2119" s="2">
        <v>2114</v>
      </c>
      <c r="B2119" s="11" t="str">
        <f>"00127665"</f>
        <v>00127665</v>
      </c>
    </row>
    <row r="2120" spans="1:2" x14ac:dyDescent="0.25">
      <c r="A2120" s="2">
        <v>2115</v>
      </c>
      <c r="B2120" s="11" t="str">
        <f>"00127811"</f>
        <v>00127811</v>
      </c>
    </row>
    <row r="2121" spans="1:2" x14ac:dyDescent="0.25">
      <c r="A2121" s="2">
        <v>2116</v>
      </c>
      <c r="B2121" s="11" t="str">
        <f>"00127870"</f>
        <v>00127870</v>
      </c>
    </row>
    <row r="2122" spans="1:2" x14ac:dyDescent="0.25">
      <c r="A2122" s="2">
        <v>2117</v>
      </c>
      <c r="B2122" s="11" t="str">
        <f>"00127873"</f>
        <v>00127873</v>
      </c>
    </row>
    <row r="2123" spans="1:2" x14ac:dyDescent="0.25">
      <c r="A2123" s="2">
        <v>2118</v>
      </c>
      <c r="B2123" s="11" t="str">
        <f>"00127880"</f>
        <v>00127880</v>
      </c>
    </row>
    <row r="2124" spans="1:2" x14ac:dyDescent="0.25">
      <c r="A2124" s="2">
        <v>2119</v>
      </c>
      <c r="B2124" s="11" t="str">
        <f>"00127926"</f>
        <v>00127926</v>
      </c>
    </row>
    <row r="2125" spans="1:2" x14ac:dyDescent="0.25">
      <c r="A2125" s="2">
        <v>2120</v>
      </c>
      <c r="B2125" s="11" t="str">
        <f>"00127937"</f>
        <v>00127937</v>
      </c>
    </row>
    <row r="2126" spans="1:2" x14ac:dyDescent="0.25">
      <c r="A2126" s="2">
        <v>2121</v>
      </c>
      <c r="B2126" s="11" t="str">
        <f>"00128020"</f>
        <v>00128020</v>
      </c>
    </row>
    <row r="2127" spans="1:2" x14ac:dyDescent="0.25">
      <c r="A2127" s="2">
        <v>2122</v>
      </c>
      <c r="B2127" s="11" t="str">
        <f>"00128044"</f>
        <v>00128044</v>
      </c>
    </row>
    <row r="2128" spans="1:2" x14ac:dyDescent="0.25">
      <c r="A2128" s="2">
        <v>2123</v>
      </c>
      <c r="B2128" s="11" t="str">
        <f>"00128053"</f>
        <v>00128053</v>
      </c>
    </row>
    <row r="2129" spans="1:2" x14ac:dyDescent="0.25">
      <c r="A2129" s="2">
        <v>2124</v>
      </c>
      <c r="B2129" s="11" t="str">
        <f>"00128104"</f>
        <v>00128104</v>
      </c>
    </row>
    <row r="2130" spans="1:2" x14ac:dyDescent="0.25">
      <c r="A2130" s="2">
        <v>2125</v>
      </c>
      <c r="B2130" s="11" t="str">
        <f>"00128108"</f>
        <v>00128108</v>
      </c>
    </row>
    <row r="2131" spans="1:2" x14ac:dyDescent="0.25">
      <c r="A2131" s="2">
        <v>2126</v>
      </c>
      <c r="B2131" s="11" t="str">
        <f>"00128137"</f>
        <v>00128137</v>
      </c>
    </row>
    <row r="2132" spans="1:2" x14ac:dyDescent="0.25">
      <c r="A2132" s="2">
        <v>2127</v>
      </c>
      <c r="B2132" s="11" t="str">
        <f>"00128172"</f>
        <v>00128172</v>
      </c>
    </row>
    <row r="2133" spans="1:2" x14ac:dyDescent="0.25">
      <c r="A2133" s="2">
        <v>2128</v>
      </c>
      <c r="B2133" s="11" t="str">
        <f>"00128208"</f>
        <v>00128208</v>
      </c>
    </row>
    <row r="2134" spans="1:2" x14ac:dyDescent="0.25">
      <c r="A2134" s="2">
        <v>2129</v>
      </c>
      <c r="B2134" s="11" t="str">
        <f>"00128258"</f>
        <v>00128258</v>
      </c>
    </row>
    <row r="2135" spans="1:2" x14ac:dyDescent="0.25">
      <c r="A2135" s="2">
        <v>2130</v>
      </c>
      <c r="B2135" s="11" t="str">
        <f>"00128419"</f>
        <v>00128419</v>
      </c>
    </row>
    <row r="2136" spans="1:2" x14ac:dyDescent="0.25">
      <c r="A2136" s="2">
        <v>2131</v>
      </c>
      <c r="B2136" s="11" t="str">
        <f>"00128458"</f>
        <v>00128458</v>
      </c>
    </row>
    <row r="2137" spans="1:2" x14ac:dyDescent="0.25">
      <c r="A2137" s="2">
        <v>2132</v>
      </c>
      <c r="B2137" s="11" t="str">
        <f>"00128490"</f>
        <v>00128490</v>
      </c>
    </row>
    <row r="2138" spans="1:2" x14ac:dyDescent="0.25">
      <c r="A2138" s="2">
        <v>2133</v>
      </c>
      <c r="B2138" s="11" t="str">
        <f>"00128522"</f>
        <v>00128522</v>
      </c>
    </row>
    <row r="2139" spans="1:2" x14ac:dyDescent="0.25">
      <c r="A2139" s="2">
        <v>2134</v>
      </c>
      <c r="B2139" s="11" t="str">
        <f>"00128625"</f>
        <v>00128625</v>
      </c>
    </row>
    <row r="2140" spans="1:2" x14ac:dyDescent="0.25">
      <c r="A2140" s="2">
        <v>2135</v>
      </c>
      <c r="B2140" s="11" t="str">
        <f>"00128650"</f>
        <v>00128650</v>
      </c>
    </row>
    <row r="2141" spans="1:2" x14ac:dyDescent="0.25">
      <c r="A2141" s="2">
        <v>2136</v>
      </c>
      <c r="B2141" s="11" t="str">
        <f>"00128673"</f>
        <v>00128673</v>
      </c>
    </row>
    <row r="2142" spans="1:2" x14ac:dyDescent="0.25">
      <c r="A2142" s="2">
        <v>2137</v>
      </c>
      <c r="B2142" s="11" t="str">
        <f>"00128690"</f>
        <v>00128690</v>
      </c>
    </row>
    <row r="2143" spans="1:2" x14ac:dyDescent="0.25">
      <c r="A2143" s="2">
        <v>2138</v>
      </c>
      <c r="B2143" s="11" t="str">
        <f>"00128704"</f>
        <v>00128704</v>
      </c>
    </row>
    <row r="2144" spans="1:2" x14ac:dyDescent="0.25">
      <c r="A2144" s="2">
        <v>2139</v>
      </c>
      <c r="B2144" s="11" t="str">
        <f>"00128717"</f>
        <v>00128717</v>
      </c>
    </row>
    <row r="2145" spans="1:2" x14ac:dyDescent="0.25">
      <c r="A2145" s="2">
        <v>2140</v>
      </c>
      <c r="B2145" s="11" t="str">
        <f>"00128784"</f>
        <v>00128784</v>
      </c>
    </row>
    <row r="2146" spans="1:2" x14ac:dyDescent="0.25">
      <c r="A2146" s="2">
        <v>2141</v>
      </c>
      <c r="B2146" s="11" t="str">
        <f>"00128833"</f>
        <v>00128833</v>
      </c>
    </row>
    <row r="2147" spans="1:2" x14ac:dyDescent="0.25">
      <c r="A2147" s="2">
        <v>2142</v>
      </c>
      <c r="B2147" s="11" t="str">
        <f>"00128936"</f>
        <v>00128936</v>
      </c>
    </row>
    <row r="2148" spans="1:2" x14ac:dyDescent="0.25">
      <c r="A2148" s="2">
        <v>2143</v>
      </c>
      <c r="B2148" s="11" t="str">
        <f>"00128938"</f>
        <v>00128938</v>
      </c>
    </row>
    <row r="2149" spans="1:2" x14ac:dyDescent="0.25">
      <c r="A2149" s="2">
        <v>2144</v>
      </c>
      <c r="B2149" s="11" t="str">
        <f>"00128942"</f>
        <v>00128942</v>
      </c>
    </row>
    <row r="2150" spans="1:2" x14ac:dyDescent="0.25">
      <c r="A2150" s="2">
        <v>2145</v>
      </c>
      <c r="B2150" s="11" t="str">
        <f>"00128961"</f>
        <v>00128961</v>
      </c>
    </row>
    <row r="2151" spans="1:2" x14ac:dyDescent="0.25">
      <c r="A2151" s="2">
        <v>2146</v>
      </c>
      <c r="B2151" s="11" t="str">
        <f>"00128983"</f>
        <v>00128983</v>
      </c>
    </row>
    <row r="2152" spans="1:2" x14ac:dyDescent="0.25">
      <c r="A2152" s="2">
        <v>2147</v>
      </c>
      <c r="B2152" s="11" t="str">
        <f>"00128987"</f>
        <v>00128987</v>
      </c>
    </row>
    <row r="2153" spans="1:2" x14ac:dyDescent="0.25">
      <c r="A2153" s="2">
        <v>2148</v>
      </c>
      <c r="B2153" s="11" t="str">
        <f>"00129023"</f>
        <v>00129023</v>
      </c>
    </row>
    <row r="2154" spans="1:2" x14ac:dyDescent="0.25">
      <c r="A2154" s="2">
        <v>2149</v>
      </c>
      <c r="B2154" s="11" t="str">
        <f>"00129118"</f>
        <v>00129118</v>
      </c>
    </row>
    <row r="2155" spans="1:2" x14ac:dyDescent="0.25">
      <c r="A2155" s="2">
        <v>2150</v>
      </c>
      <c r="B2155" s="11" t="str">
        <f>"00129143"</f>
        <v>00129143</v>
      </c>
    </row>
    <row r="2156" spans="1:2" x14ac:dyDescent="0.25">
      <c r="A2156" s="2">
        <v>2151</v>
      </c>
      <c r="B2156" s="11" t="str">
        <f>"00129332"</f>
        <v>00129332</v>
      </c>
    </row>
    <row r="2157" spans="1:2" x14ac:dyDescent="0.25">
      <c r="A2157" s="2">
        <v>2152</v>
      </c>
      <c r="B2157" s="11" t="str">
        <f>"00129333"</f>
        <v>00129333</v>
      </c>
    </row>
    <row r="2158" spans="1:2" x14ac:dyDescent="0.25">
      <c r="A2158" s="2">
        <v>2153</v>
      </c>
      <c r="B2158" s="11" t="str">
        <f>"00129345"</f>
        <v>00129345</v>
      </c>
    </row>
    <row r="2159" spans="1:2" x14ac:dyDescent="0.25">
      <c r="A2159" s="2">
        <v>2154</v>
      </c>
      <c r="B2159" s="11" t="str">
        <f>"00129346"</f>
        <v>00129346</v>
      </c>
    </row>
    <row r="2160" spans="1:2" x14ac:dyDescent="0.25">
      <c r="A2160" s="2">
        <v>2155</v>
      </c>
      <c r="B2160" s="11" t="str">
        <f>"00129422"</f>
        <v>00129422</v>
      </c>
    </row>
    <row r="2161" spans="1:2" x14ac:dyDescent="0.25">
      <c r="A2161" s="2">
        <v>2156</v>
      </c>
      <c r="B2161" s="11" t="str">
        <f>"00129455"</f>
        <v>00129455</v>
      </c>
    </row>
    <row r="2162" spans="1:2" x14ac:dyDescent="0.25">
      <c r="A2162" s="2">
        <v>2157</v>
      </c>
      <c r="B2162" s="11" t="str">
        <f>"00129463"</f>
        <v>00129463</v>
      </c>
    </row>
    <row r="2163" spans="1:2" x14ac:dyDescent="0.25">
      <c r="A2163" s="2">
        <v>2158</v>
      </c>
      <c r="B2163" s="11" t="str">
        <f>"00129487"</f>
        <v>00129487</v>
      </c>
    </row>
    <row r="2164" spans="1:2" x14ac:dyDescent="0.25">
      <c r="A2164" s="2">
        <v>2159</v>
      </c>
      <c r="B2164" s="11" t="str">
        <f>"00129572"</f>
        <v>00129572</v>
      </c>
    </row>
    <row r="2165" spans="1:2" x14ac:dyDescent="0.25">
      <c r="A2165" s="2">
        <v>2160</v>
      </c>
      <c r="B2165" s="11" t="str">
        <f>"00129693"</f>
        <v>00129693</v>
      </c>
    </row>
    <row r="2166" spans="1:2" x14ac:dyDescent="0.25">
      <c r="A2166" s="2">
        <v>2161</v>
      </c>
      <c r="B2166" s="11" t="str">
        <f>"00129702"</f>
        <v>00129702</v>
      </c>
    </row>
    <row r="2167" spans="1:2" x14ac:dyDescent="0.25">
      <c r="A2167" s="2">
        <v>2162</v>
      </c>
      <c r="B2167" s="11" t="str">
        <f>"00129727"</f>
        <v>00129727</v>
      </c>
    </row>
    <row r="2168" spans="1:2" x14ac:dyDescent="0.25">
      <c r="A2168" s="2">
        <v>2163</v>
      </c>
      <c r="B2168" s="11" t="str">
        <f>"00129769"</f>
        <v>00129769</v>
      </c>
    </row>
    <row r="2169" spans="1:2" x14ac:dyDescent="0.25">
      <c r="A2169" s="2">
        <v>2164</v>
      </c>
      <c r="B2169" s="11" t="str">
        <f>"00129805"</f>
        <v>00129805</v>
      </c>
    </row>
    <row r="2170" spans="1:2" x14ac:dyDescent="0.25">
      <c r="A2170" s="2">
        <v>2165</v>
      </c>
      <c r="B2170" s="11" t="str">
        <f>"00129825"</f>
        <v>00129825</v>
      </c>
    </row>
    <row r="2171" spans="1:2" x14ac:dyDescent="0.25">
      <c r="A2171" s="2">
        <v>2166</v>
      </c>
      <c r="B2171" s="11" t="str">
        <f>"00129874"</f>
        <v>00129874</v>
      </c>
    </row>
    <row r="2172" spans="1:2" x14ac:dyDescent="0.25">
      <c r="A2172" s="2">
        <v>2167</v>
      </c>
      <c r="B2172" s="11" t="str">
        <f>"00129882"</f>
        <v>00129882</v>
      </c>
    </row>
    <row r="2173" spans="1:2" x14ac:dyDescent="0.25">
      <c r="A2173" s="2">
        <v>2168</v>
      </c>
      <c r="B2173" s="11" t="str">
        <f>"00129920"</f>
        <v>00129920</v>
      </c>
    </row>
    <row r="2174" spans="1:2" x14ac:dyDescent="0.25">
      <c r="A2174" s="2">
        <v>2169</v>
      </c>
      <c r="B2174" s="11" t="str">
        <f>"00129947"</f>
        <v>00129947</v>
      </c>
    </row>
    <row r="2175" spans="1:2" x14ac:dyDescent="0.25">
      <c r="A2175" s="2">
        <v>2170</v>
      </c>
      <c r="B2175" s="11" t="str">
        <f>"00130020"</f>
        <v>00130020</v>
      </c>
    </row>
    <row r="2176" spans="1:2" x14ac:dyDescent="0.25">
      <c r="A2176" s="2">
        <v>2171</v>
      </c>
      <c r="B2176" s="11" t="str">
        <f>"00130073"</f>
        <v>00130073</v>
      </c>
    </row>
    <row r="2177" spans="1:2" x14ac:dyDescent="0.25">
      <c r="A2177" s="2">
        <v>2172</v>
      </c>
      <c r="B2177" s="11" t="str">
        <f>"00130085"</f>
        <v>00130085</v>
      </c>
    </row>
    <row r="2178" spans="1:2" x14ac:dyDescent="0.25">
      <c r="A2178" s="2">
        <v>2173</v>
      </c>
      <c r="B2178" s="11" t="str">
        <f>"00130140"</f>
        <v>00130140</v>
      </c>
    </row>
    <row r="2179" spans="1:2" x14ac:dyDescent="0.25">
      <c r="A2179" s="2">
        <v>2174</v>
      </c>
      <c r="B2179" s="11" t="str">
        <f>"00130172"</f>
        <v>00130172</v>
      </c>
    </row>
    <row r="2180" spans="1:2" x14ac:dyDescent="0.25">
      <c r="A2180" s="2">
        <v>2175</v>
      </c>
      <c r="B2180" s="11" t="str">
        <f>"00130182"</f>
        <v>00130182</v>
      </c>
    </row>
    <row r="2181" spans="1:2" x14ac:dyDescent="0.25">
      <c r="A2181" s="2">
        <v>2176</v>
      </c>
      <c r="B2181" s="11" t="str">
        <f>"00130216"</f>
        <v>00130216</v>
      </c>
    </row>
    <row r="2182" spans="1:2" x14ac:dyDescent="0.25">
      <c r="A2182" s="2">
        <v>2177</v>
      </c>
      <c r="B2182" s="11" t="str">
        <f>"00130285"</f>
        <v>00130285</v>
      </c>
    </row>
    <row r="2183" spans="1:2" x14ac:dyDescent="0.25">
      <c r="A2183" s="2">
        <v>2178</v>
      </c>
      <c r="B2183" s="11" t="str">
        <f>"00130312"</f>
        <v>00130312</v>
      </c>
    </row>
    <row r="2184" spans="1:2" x14ac:dyDescent="0.25">
      <c r="A2184" s="2">
        <v>2179</v>
      </c>
      <c r="B2184" s="11" t="str">
        <f>"00130328"</f>
        <v>00130328</v>
      </c>
    </row>
    <row r="2185" spans="1:2" x14ac:dyDescent="0.25">
      <c r="A2185" s="2">
        <v>2180</v>
      </c>
      <c r="B2185" s="11" t="str">
        <f>"00130390"</f>
        <v>00130390</v>
      </c>
    </row>
    <row r="2186" spans="1:2" x14ac:dyDescent="0.25">
      <c r="A2186" s="2">
        <v>2181</v>
      </c>
      <c r="B2186" s="11" t="str">
        <f>"00130402"</f>
        <v>00130402</v>
      </c>
    </row>
    <row r="2187" spans="1:2" x14ac:dyDescent="0.25">
      <c r="A2187" s="2">
        <v>2182</v>
      </c>
      <c r="B2187" s="11" t="str">
        <f>"00130413"</f>
        <v>00130413</v>
      </c>
    </row>
    <row r="2188" spans="1:2" x14ac:dyDescent="0.25">
      <c r="A2188" s="2">
        <v>2183</v>
      </c>
      <c r="B2188" s="11" t="str">
        <f>"00130415"</f>
        <v>00130415</v>
      </c>
    </row>
    <row r="2189" spans="1:2" x14ac:dyDescent="0.25">
      <c r="A2189" s="2">
        <v>2184</v>
      </c>
      <c r="B2189" s="11" t="str">
        <f>"00130433"</f>
        <v>00130433</v>
      </c>
    </row>
    <row r="2190" spans="1:2" x14ac:dyDescent="0.25">
      <c r="A2190" s="2">
        <v>2185</v>
      </c>
      <c r="B2190" s="11" t="str">
        <f>"00130435"</f>
        <v>00130435</v>
      </c>
    </row>
    <row r="2191" spans="1:2" x14ac:dyDescent="0.25">
      <c r="A2191" s="2">
        <v>2186</v>
      </c>
      <c r="B2191" s="11" t="str">
        <f>"00130477"</f>
        <v>00130477</v>
      </c>
    </row>
    <row r="2192" spans="1:2" x14ac:dyDescent="0.25">
      <c r="A2192" s="2">
        <v>2187</v>
      </c>
      <c r="B2192" s="11" t="str">
        <f>"00130492"</f>
        <v>00130492</v>
      </c>
    </row>
    <row r="2193" spans="1:2" x14ac:dyDescent="0.25">
      <c r="A2193" s="2">
        <v>2188</v>
      </c>
      <c r="B2193" s="11" t="str">
        <f>"00130502"</f>
        <v>00130502</v>
      </c>
    </row>
    <row r="2194" spans="1:2" x14ac:dyDescent="0.25">
      <c r="A2194" s="2">
        <v>2189</v>
      </c>
      <c r="B2194" s="11" t="str">
        <f>"00130573"</f>
        <v>00130573</v>
      </c>
    </row>
    <row r="2195" spans="1:2" x14ac:dyDescent="0.25">
      <c r="A2195" s="2">
        <v>2190</v>
      </c>
      <c r="B2195" s="11" t="str">
        <f>"00130576"</f>
        <v>00130576</v>
      </c>
    </row>
    <row r="2196" spans="1:2" x14ac:dyDescent="0.25">
      <c r="A2196" s="2">
        <v>2191</v>
      </c>
      <c r="B2196" s="11" t="str">
        <f>"00130649"</f>
        <v>00130649</v>
      </c>
    </row>
    <row r="2197" spans="1:2" x14ac:dyDescent="0.25">
      <c r="A2197" s="2">
        <v>2192</v>
      </c>
      <c r="B2197" s="11" t="str">
        <f>"00130692"</f>
        <v>00130692</v>
      </c>
    </row>
    <row r="2198" spans="1:2" x14ac:dyDescent="0.25">
      <c r="A2198" s="2">
        <v>2193</v>
      </c>
      <c r="B2198" s="11" t="str">
        <f>"00130755"</f>
        <v>00130755</v>
      </c>
    </row>
    <row r="2199" spans="1:2" x14ac:dyDescent="0.25">
      <c r="A2199" s="2">
        <v>2194</v>
      </c>
      <c r="B2199" s="11" t="str">
        <f>"00130763"</f>
        <v>00130763</v>
      </c>
    </row>
    <row r="2200" spans="1:2" x14ac:dyDescent="0.25">
      <c r="A2200" s="2">
        <v>2195</v>
      </c>
      <c r="B2200" s="11" t="str">
        <f>"00130837"</f>
        <v>00130837</v>
      </c>
    </row>
    <row r="2201" spans="1:2" x14ac:dyDescent="0.25">
      <c r="A2201" s="2">
        <v>2196</v>
      </c>
      <c r="B2201" s="11" t="str">
        <f>"00130863"</f>
        <v>00130863</v>
      </c>
    </row>
    <row r="2202" spans="1:2" x14ac:dyDescent="0.25">
      <c r="A2202" s="2">
        <v>2197</v>
      </c>
      <c r="B2202" s="11" t="str">
        <f>"00130876"</f>
        <v>00130876</v>
      </c>
    </row>
    <row r="2203" spans="1:2" x14ac:dyDescent="0.25">
      <c r="A2203" s="2">
        <v>2198</v>
      </c>
      <c r="B2203" s="11" t="str">
        <f>"00130934"</f>
        <v>00130934</v>
      </c>
    </row>
    <row r="2204" spans="1:2" x14ac:dyDescent="0.25">
      <c r="A2204" s="2">
        <v>2199</v>
      </c>
      <c r="B2204" s="11" t="str">
        <f>"00131024"</f>
        <v>00131024</v>
      </c>
    </row>
    <row r="2205" spans="1:2" x14ac:dyDescent="0.25">
      <c r="A2205" s="2">
        <v>2200</v>
      </c>
      <c r="B2205" s="11" t="str">
        <f>"00131031"</f>
        <v>00131031</v>
      </c>
    </row>
    <row r="2206" spans="1:2" x14ac:dyDescent="0.25">
      <c r="A2206" s="2">
        <v>2201</v>
      </c>
      <c r="B2206" s="11" t="str">
        <f>"00131086"</f>
        <v>00131086</v>
      </c>
    </row>
    <row r="2207" spans="1:2" x14ac:dyDescent="0.25">
      <c r="A2207" s="2">
        <v>2202</v>
      </c>
      <c r="B2207" s="11" t="str">
        <f>"00131146"</f>
        <v>00131146</v>
      </c>
    </row>
    <row r="2208" spans="1:2" x14ac:dyDescent="0.25">
      <c r="A2208" s="2">
        <v>2203</v>
      </c>
      <c r="B2208" s="11" t="str">
        <f>"00131164"</f>
        <v>00131164</v>
      </c>
    </row>
    <row r="2209" spans="1:2" x14ac:dyDescent="0.25">
      <c r="A2209" s="2">
        <v>2204</v>
      </c>
      <c r="B2209" s="11" t="str">
        <f>"00131192"</f>
        <v>00131192</v>
      </c>
    </row>
    <row r="2210" spans="1:2" x14ac:dyDescent="0.25">
      <c r="A2210" s="2">
        <v>2205</v>
      </c>
      <c r="B2210" s="11" t="str">
        <f>"00131283"</f>
        <v>00131283</v>
      </c>
    </row>
    <row r="2211" spans="1:2" x14ac:dyDescent="0.25">
      <c r="A2211" s="2">
        <v>2206</v>
      </c>
      <c r="B2211" s="11" t="str">
        <f>"00131333"</f>
        <v>00131333</v>
      </c>
    </row>
    <row r="2212" spans="1:2" x14ac:dyDescent="0.25">
      <c r="A2212" s="2">
        <v>2207</v>
      </c>
      <c r="B2212" s="11" t="str">
        <f>"00131414"</f>
        <v>00131414</v>
      </c>
    </row>
    <row r="2213" spans="1:2" x14ac:dyDescent="0.25">
      <c r="A2213" s="2">
        <v>2208</v>
      </c>
      <c r="B2213" s="11" t="str">
        <f>"00131439"</f>
        <v>00131439</v>
      </c>
    </row>
    <row r="2214" spans="1:2" x14ac:dyDescent="0.25">
      <c r="A2214" s="2">
        <v>2209</v>
      </c>
      <c r="B2214" s="11" t="str">
        <f>"00131449"</f>
        <v>00131449</v>
      </c>
    </row>
    <row r="2215" spans="1:2" x14ac:dyDescent="0.25">
      <c r="A2215" s="2">
        <v>2210</v>
      </c>
      <c r="B2215" s="11" t="str">
        <f>"00131453"</f>
        <v>00131453</v>
      </c>
    </row>
    <row r="2216" spans="1:2" x14ac:dyDescent="0.25">
      <c r="A2216" s="2">
        <v>2211</v>
      </c>
      <c r="B2216" s="11" t="str">
        <f>"00131574"</f>
        <v>00131574</v>
      </c>
    </row>
    <row r="2217" spans="1:2" x14ac:dyDescent="0.25">
      <c r="A2217" s="2">
        <v>2212</v>
      </c>
      <c r="B2217" s="11" t="str">
        <f>"00131600"</f>
        <v>00131600</v>
      </c>
    </row>
    <row r="2218" spans="1:2" x14ac:dyDescent="0.25">
      <c r="A2218" s="2">
        <v>2213</v>
      </c>
      <c r="B2218" s="11" t="str">
        <f>"00131754"</f>
        <v>00131754</v>
      </c>
    </row>
    <row r="2219" spans="1:2" x14ac:dyDescent="0.25">
      <c r="A2219" s="2">
        <v>2214</v>
      </c>
      <c r="B2219" s="11" t="str">
        <f>"00131771"</f>
        <v>00131771</v>
      </c>
    </row>
    <row r="2220" spans="1:2" x14ac:dyDescent="0.25">
      <c r="A2220" s="2">
        <v>2215</v>
      </c>
      <c r="B2220" s="11" t="str">
        <f>"00131783"</f>
        <v>00131783</v>
      </c>
    </row>
    <row r="2221" spans="1:2" x14ac:dyDescent="0.25">
      <c r="A2221" s="2">
        <v>2216</v>
      </c>
      <c r="B2221" s="11" t="str">
        <f>"00131828"</f>
        <v>00131828</v>
      </c>
    </row>
    <row r="2222" spans="1:2" x14ac:dyDescent="0.25">
      <c r="A2222" s="2">
        <v>2217</v>
      </c>
      <c r="B2222" s="11" t="str">
        <f>"00131879"</f>
        <v>00131879</v>
      </c>
    </row>
    <row r="2223" spans="1:2" x14ac:dyDescent="0.25">
      <c r="A2223" s="2">
        <v>2218</v>
      </c>
      <c r="B2223" s="11" t="str">
        <f>"00131909"</f>
        <v>00131909</v>
      </c>
    </row>
    <row r="2224" spans="1:2" x14ac:dyDescent="0.25">
      <c r="A2224" s="2">
        <v>2219</v>
      </c>
      <c r="B2224" s="11" t="str">
        <f>"00131936"</f>
        <v>00131936</v>
      </c>
    </row>
    <row r="2225" spans="1:2" x14ac:dyDescent="0.25">
      <c r="A2225" s="2">
        <v>2220</v>
      </c>
      <c r="B2225" s="11" t="str">
        <f>"00132030"</f>
        <v>00132030</v>
      </c>
    </row>
    <row r="2226" spans="1:2" x14ac:dyDescent="0.25">
      <c r="A2226" s="2">
        <v>2221</v>
      </c>
      <c r="B2226" s="11" t="str">
        <f>"00132033"</f>
        <v>00132033</v>
      </c>
    </row>
    <row r="2227" spans="1:2" x14ac:dyDescent="0.25">
      <c r="A2227" s="2">
        <v>2222</v>
      </c>
      <c r="B2227" s="11" t="str">
        <f>"00132319"</f>
        <v>00132319</v>
      </c>
    </row>
    <row r="2228" spans="1:2" x14ac:dyDescent="0.25">
      <c r="A2228" s="2">
        <v>2223</v>
      </c>
      <c r="B2228" s="11" t="str">
        <f>"00132342"</f>
        <v>00132342</v>
      </c>
    </row>
    <row r="2229" spans="1:2" x14ac:dyDescent="0.25">
      <c r="A2229" s="2">
        <v>2224</v>
      </c>
      <c r="B2229" s="11" t="str">
        <f>"00132465"</f>
        <v>00132465</v>
      </c>
    </row>
    <row r="2230" spans="1:2" x14ac:dyDescent="0.25">
      <c r="A2230" s="2">
        <v>2225</v>
      </c>
      <c r="B2230" s="11" t="str">
        <f>"00132475"</f>
        <v>00132475</v>
      </c>
    </row>
    <row r="2231" spans="1:2" x14ac:dyDescent="0.25">
      <c r="A2231" s="2">
        <v>2226</v>
      </c>
      <c r="B2231" s="11" t="str">
        <f>"00132510"</f>
        <v>00132510</v>
      </c>
    </row>
    <row r="2232" spans="1:2" x14ac:dyDescent="0.25">
      <c r="A2232" s="2">
        <v>2227</v>
      </c>
      <c r="B2232" s="11" t="str">
        <f>"00132633"</f>
        <v>00132633</v>
      </c>
    </row>
    <row r="2233" spans="1:2" x14ac:dyDescent="0.25">
      <c r="A2233" s="2">
        <v>2228</v>
      </c>
      <c r="B2233" s="11" t="str">
        <f>"00132732"</f>
        <v>00132732</v>
      </c>
    </row>
    <row r="2234" spans="1:2" x14ac:dyDescent="0.25">
      <c r="A2234" s="2">
        <v>2229</v>
      </c>
      <c r="B2234" s="11" t="str">
        <f>"00132735"</f>
        <v>00132735</v>
      </c>
    </row>
    <row r="2235" spans="1:2" x14ac:dyDescent="0.25">
      <c r="A2235" s="2">
        <v>2230</v>
      </c>
      <c r="B2235" s="11" t="str">
        <f>"00132773"</f>
        <v>00132773</v>
      </c>
    </row>
    <row r="2236" spans="1:2" x14ac:dyDescent="0.25">
      <c r="A2236" s="2">
        <v>2231</v>
      </c>
      <c r="B2236" s="11" t="str">
        <f>"00132797"</f>
        <v>00132797</v>
      </c>
    </row>
    <row r="2237" spans="1:2" x14ac:dyDescent="0.25">
      <c r="A2237" s="2">
        <v>2232</v>
      </c>
      <c r="B2237" s="11" t="str">
        <f>"00132848"</f>
        <v>00132848</v>
      </c>
    </row>
    <row r="2238" spans="1:2" x14ac:dyDescent="0.25">
      <c r="A2238" s="2">
        <v>2233</v>
      </c>
      <c r="B2238" s="11" t="str">
        <f>"00132872"</f>
        <v>00132872</v>
      </c>
    </row>
    <row r="2239" spans="1:2" x14ac:dyDescent="0.25">
      <c r="A2239" s="2">
        <v>2234</v>
      </c>
      <c r="B2239" s="11" t="str">
        <f>"00133004"</f>
        <v>00133004</v>
      </c>
    </row>
    <row r="2240" spans="1:2" x14ac:dyDescent="0.25">
      <c r="A2240" s="2">
        <v>2235</v>
      </c>
      <c r="B2240" s="11" t="str">
        <f>"00133009"</f>
        <v>00133009</v>
      </c>
    </row>
    <row r="2241" spans="1:2" x14ac:dyDescent="0.25">
      <c r="A2241" s="2">
        <v>2236</v>
      </c>
      <c r="B2241" s="11" t="str">
        <f>"00133063"</f>
        <v>00133063</v>
      </c>
    </row>
    <row r="2242" spans="1:2" x14ac:dyDescent="0.25">
      <c r="A2242" s="2">
        <v>2237</v>
      </c>
      <c r="B2242" s="11" t="str">
        <f>"00133082"</f>
        <v>00133082</v>
      </c>
    </row>
    <row r="2243" spans="1:2" x14ac:dyDescent="0.25">
      <c r="A2243" s="2">
        <v>2238</v>
      </c>
      <c r="B2243" s="11" t="str">
        <f>"00133147"</f>
        <v>00133147</v>
      </c>
    </row>
    <row r="2244" spans="1:2" x14ac:dyDescent="0.25">
      <c r="A2244" s="2">
        <v>2239</v>
      </c>
      <c r="B2244" s="11" t="str">
        <f>"00133243"</f>
        <v>00133243</v>
      </c>
    </row>
    <row r="2245" spans="1:2" x14ac:dyDescent="0.25">
      <c r="A2245" s="2">
        <v>2240</v>
      </c>
      <c r="B2245" s="11" t="str">
        <f>"00133253"</f>
        <v>00133253</v>
      </c>
    </row>
    <row r="2246" spans="1:2" x14ac:dyDescent="0.25">
      <c r="A2246" s="2">
        <v>2241</v>
      </c>
      <c r="B2246" s="11" t="str">
        <f>"00134555"</f>
        <v>00134555</v>
      </c>
    </row>
    <row r="2247" spans="1:2" x14ac:dyDescent="0.25">
      <c r="A2247" s="2">
        <v>2242</v>
      </c>
      <c r="B2247" s="11" t="str">
        <f>"00134633"</f>
        <v>00134633</v>
      </c>
    </row>
    <row r="2248" spans="1:2" x14ac:dyDescent="0.25">
      <c r="A2248" s="2">
        <v>2243</v>
      </c>
      <c r="B2248" s="11" t="str">
        <f>"00134634"</f>
        <v>00134634</v>
      </c>
    </row>
    <row r="2249" spans="1:2" x14ac:dyDescent="0.25">
      <c r="A2249" s="2">
        <v>2244</v>
      </c>
      <c r="B2249" s="11" t="str">
        <f>"00134727"</f>
        <v>00134727</v>
      </c>
    </row>
    <row r="2250" spans="1:2" x14ac:dyDescent="0.25">
      <c r="A2250" s="2">
        <v>2245</v>
      </c>
      <c r="B2250" s="11" t="str">
        <f>"00134728"</f>
        <v>00134728</v>
      </c>
    </row>
    <row r="2251" spans="1:2" x14ac:dyDescent="0.25">
      <c r="A2251" s="2">
        <v>2246</v>
      </c>
      <c r="B2251" s="11" t="str">
        <f>"00134732"</f>
        <v>00134732</v>
      </c>
    </row>
    <row r="2252" spans="1:2" x14ac:dyDescent="0.25">
      <c r="A2252" s="2">
        <v>2247</v>
      </c>
      <c r="B2252" s="11" t="str">
        <f>"00134738"</f>
        <v>00134738</v>
      </c>
    </row>
    <row r="2253" spans="1:2" x14ac:dyDescent="0.25">
      <c r="A2253" s="2">
        <v>2248</v>
      </c>
      <c r="B2253" s="11" t="str">
        <f>"00134758"</f>
        <v>00134758</v>
      </c>
    </row>
    <row r="2254" spans="1:2" x14ac:dyDescent="0.25">
      <c r="A2254" s="2">
        <v>2249</v>
      </c>
      <c r="B2254" s="11" t="str">
        <f>"00134769"</f>
        <v>00134769</v>
      </c>
    </row>
    <row r="2255" spans="1:2" x14ac:dyDescent="0.25">
      <c r="A2255" s="2">
        <v>2250</v>
      </c>
      <c r="B2255" s="11" t="str">
        <f>"00134857"</f>
        <v>00134857</v>
      </c>
    </row>
    <row r="2256" spans="1:2" x14ac:dyDescent="0.25">
      <c r="A2256" s="2">
        <v>2251</v>
      </c>
      <c r="B2256" s="11" t="str">
        <f>"00134903"</f>
        <v>00134903</v>
      </c>
    </row>
    <row r="2257" spans="1:2" x14ac:dyDescent="0.25">
      <c r="A2257" s="2">
        <v>2252</v>
      </c>
      <c r="B2257" s="11" t="str">
        <f>"00134913"</f>
        <v>00134913</v>
      </c>
    </row>
    <row r="2258" spans="1:2" x14ac:dyDescent="0.25">
      <c r="A2258" s="2">
        <v>2253</v>
      </c>
      <c r="B2258" s="11" t="str">
        <f>"00134941"</f>
        <v>00134941</v>
      </c>
    </row>
    <row r="2259" spans="1:2" x14ac:dyDescent="0.25">
      <c r="A2259" s="2">
        <v>2254</v>
      </c>
      <c r="B2259" s="11" t="str">
        <f>"00135026"</f>
        <v>00135026</v>
      </c>
    </row>
    <row r="2260" spans="1:2" x14ac:dyDescent="0.25">
      <c r="A2260" s="2">
        <v>2255</v>
      </c>
      <c r="B2260" s="11" t="str">
        <f>"00135047"</f>
        <v>00135047</v>
      </c>
    </row>
    <row r="2261" spans="1:2" x14ac:dyDescent="0.25">
      <c r="A2261" s="2">
        <v>2256</v>
      </c>
      <c r="B2261" s="11" t="str">
        <f>"00135091"</f>
        <v>00135091</v>
      </c>
    </row>
    <row r="2262" spans="1:2" x14ac:dyDescent="0.25">
      <c r="A2262" s="2">
        <v>2257</v>
      </c>
      <c r="B2262" s="11" t="str">
        <f>"00135170"</f>
        <v>00135170</v>
      </c>
    </row>
    <row r="2263" spans="1:2" x14ac:dyDescent="0.25">
      <c r="A2263" s="2">
        <v>2258</v>
      </c>
      <c r="B2263" s="11" t="str">
        <f>"00135186"</f>
        <v>00135186</v>
      </c>
    </row>
    <row r="2264" spans="1:2" x14ac:dyDescent="0.25">
      <c r="A2264" s="2">
        <v>2259</v>
      </c>
      <c r="B2264" s="11" t="str">
        <f>"00135208"</f>
        <v>00135208</v>
      </c>
    </row>
    <row r="2265" spans="1:2" x14ac:dyDescent="0.25">
      <c r="A2265" s="2">
        <v>2260</v>
      </c>
      <c r="B2265" s="11" t="str">
        <f>"00135217"</f>
        <v>00135217</v>
      </c>
    </row>
    <row r="2266" spans="1:2" x14ac:dyDescent="0.25">
      <c r="A2266" s="2">
        <v>2261</v>
      </c>
      <c r="B2266" s="11" t="str">
        <f>"00135223"</f>
        <v>00135223</v>
      </c>
    </row>
    <row r="2267" spans="1:2" x14ac:dyDescent="0.25">
      <c r="A2267" s="2">
        <v>2262</v>
      </c>
      <c r="B2267" s="11" t="str">
        <f>"00135224"</f>
        <v>00135224</v>
      </c>
    </row>
    <row r="2268" spans="1:2" x14ac:dyDescent="0.25">
      <c r="A2268" s="2">
        <v>2263</v>
      </c>
      <c r="B2268" s="11" t="str">
        <f>"00135283"</f>
        <v>00135283</v>
      </c>
    </row>
    <row r="2269" spans="1:2" x14ac:dyDescent="0.25">
      <c r="A2269" s="2">
        <v>2264</v>
      </c>
      <c r="B2269" s="11" t="str">
        <f>"00135377"</f>
        <v>00135377</v>
      </c>
    </row>
    <row r="2270" spans="1:2" x14ac:dyDescent="0.25">
      <c r="A2270" s="2">
        <v>2265</v>
      </c>
      <c r="B2270" s="11" t="str">
        <f>"00135475"</f>
        <v>00135475</v>
      </c>
    </row>
    <row r="2271" spans="1:2" x14ac:dyDescent="0.25">
      <c r="A2271" s="2">
        <v>2266</v>
      </c>
      <c r="B2271" s="11" t="str">
        <f>"00135522"</f>
        <v>00135522</v>
      </c>
    </row>
    <row r="2272" spans="1:2" x14ac:dyDescent="0.25">
      <c r="A2272" s="2">
        <v>2267</v>
      </c>
      <c r="B2272" s="11" t="str">
        <f>"00136837"</f>
        <v>00136837</v>
      </c>
    </row>
    <row r="2273" spans="1:2" x14ac:dyDescent="0.25">
      <c r="A2273" s="2">
        <v>2268</v>
      </c>
      <c r="B2273" s="11" t="str">
        <f>"00136849"</f>
        <v>00136849</v>
      </c>
    </row>
    <row r="2274" spans="1:2" x14ac:dyDescent="0.25">
      <c r="A2274" s="2">
        <v>2269</v>
      </c>
      <c r="B2274" s="11" t="str">
        <f>"00136856"</f>
        <v>00136856</v>
      </c>
    </row>
    <row r="2275" spans="1:2" x14ac:dyDescent="0.25">
      <c r="A2275" s="2">
        <v>2270</v>
      </c>
      <c r="B2275" s="11" t="str">
        <f>"00136899"</f>
        <v>00136899</v>
      </c>
    </row>
    <row r="2276" spans="1:2" x14ac:dyDescent="0.25">
      <c r="A2276" s="2">
        <v>2271</v>
      </c>
      <c r="B2276" s="11" t="str">
        <f>"00136942"</f>
        <v>00136942</v>
      </c>
    </row>
    <row r="2277" spans="1:2" x14ac:dyDescent="0.25">
      <c r="A2277" s="2">
        <v>2272</v>
      </c>
      <c r="B2277" s="11" t="str">
        <f>"00136965"</f>
        <v>00136965</v>
      </c>
    </row>
    <row r="2278" spans="1:2" x14ac:dyDescent="0.25">
      <c r="A2278" s="2">
        <v>2273</v>
      </c>
      <c r="B2278" s="11" t="str">
        <f>"00136992"</f>
        <v>00136992</v>
      </c>
    </row>
    <row r="2279" spans="1:2" x14ac:dyDescent="0.25">
      <c r="A2279" s="2">
        <v>2274</v>
      </c>
      <c r="B2279" s="11" t="str">
        <f>"00137022"</f>
        <v>00137022</v>
      </c>
    </row>
    <row r="2280" spans="1:2" x14ac:dyDescent="0.25">
      <c r="A2280" s="2">
        <v>2275</v>
      </c>
      <c r="B2280" s="11" t="str">
        <f>"00137132"</f>
        <v>00137132</v>
      </c>
    </row>
    <row r="2281" spans="1:2" x14ac:dyDescent="0.25">
      <c r="A2281" s="2">
        <v>2276</v>
      </c>
      <c r="B2281" s="11" t="str">
        <f>"00137189"</f>
        <v>00137189</v>
      </c>
    </row>
    <row r="2282" spans="1:2" x14ac:dyDescent="0.25">
      <c r="A2282" s="2">
        <v>2277</v>
      </c>
      <c r="B2282" s="11" t="str">
        <f>"00137216"</f>
        <v>00137216</v>
      </c>
    </row>
    <row r="2283" spans="1:2" x14ac:dyDescent="0.25">
      <c r="A2283" s="2">
        <v>2278</v>
      </c>
      <c r="B2283" s="11" t="str">
        <f>"00137236"</f>
        <v>00137236</v>
      </c>
    </row>
    <row r="2284" spans="1:2" x14ac:dyDescent="0.25">
      <c r="A2284" s="2">
        <v>2279</v>
      </c>
      <c r="B2284" s="11" t="str">
        <f>"00137242"</f>
        <v>00137242</v>
      </c>
    </row>
    <row r="2285" spans="1:2" x14ac:dyDescent="0.25">
      <c r="A2285" s="2">
        <v>2280</v>
      </c>
      <c r="B2285" s="11" t="str">
        <f>"00137369"</f>
        <v>00137369</v>
      </c>
    </row>
    <row r="2286" spans="1:2" x14ac:dyDescent="0.25">
      <c r="A2286" s="2">
        <v>2281</v>
      </c>
      <c r="B2286" s="11" t="str">
        <f>"00137371"</f>
        <v>00137371</v>
      </c>
    </row>
    <row r="2287" spans="1:2" x14ac:dyDescent="0.25">
      <c r="A2287" s="2">
        <v>2282</v>
      </c>
      <c r="B2287" s="11" t="str">
        <f>"00137441"</f>
        <v>00137441</v>
      </c>
    </row>
    <row r="2288" spans="1:2" x14ac:dyDescent="0.25">
      <c r="A2288" s="2">
        <v>2283</v>
      </c>
      <c r="B2288" s="11" t="str">
        <f>"00137448"</f>
        <v>00137448</v>
      </c>
    </row>
    <row r="2289" spans="1:2" x14ac:dyDescent="0.25">
      <c r="A2289" s="2">
        <v>2284</v>
      </c>
      <c r="B2289" s="11" t="str">
        <f>"00137455"</f>
        <v>00137455</v>
      </c>
    </row>
    <row r="2290" spans="1:2" x14ac:dyDescent="0.25">
      <c r="A2290" s="2">
        <v>2285</v>
      </c>
      <c r="B2290" s="11" t="str">
        <f>"00137487"</f>
        <v>00137487</v>
      </c>
    </row>
    <row r="2291" spans="1:2" x14ac:dyDescent="0.25">
      <c r="A2291" s="2">
        <v>2286</v>
      </c>
      <c r="B2291" s="11" t="str">
        <f>"00137488"</f>
        <v>00137488</v>
      </c>
    </row>
    <row r="2292" spans="1:2" x14ac:dyDescent="0.25">
      <c r="A2292" s="2">
        <v>2287</v>
      </c>
      <c r="B2292" s="11" t="str">
        <f>"00137512"</f>
        <v>00137512</v>
      </c>
    </row>
    <row r="2293" spans="1:2" x14ac:dyDescent="0.25">
      <c r="A2293" s="2">
        <v>2288</v>
      </c>
      <c r="B2293" s="11" t="str">
        <f>"00137526"</f>
        <v>00137526</v>
      </c>
    </row>
    <row r="2294" spans="1:2" x14ac:dyDescent="0.25">
      <c r="A2294" s="2">
        <v>2289</v>
      </c>
      <c r="B2294" s="11" t="str">
        <f>"00137535"</f>
        <v>00137535</v>
      </c>
    </row>
    <row r="2295" spans="1:2" x14ac:dyDescent="0.25">
      <c r="A2295" s="2">
        <v>2290</v>
      </c>
      <c r="B2295" s="11" t="str">
        <f>"00137588"</f>
        <v>00137588</v>
      </c>
    </row>
    <row r="2296" spans="1:2" x14ac:dyDescent="0.25">
      <c r="A2296" s="2">
        <v>2291</v>
      </c>
      <c r="B2296" s="11" t="str">
        <f>"00137636"</f>
        <v>00137636</v>
      </c>
    </row>
    <row r="2297" spans="1:2" x14ac:dyDescent="0.25">
      <c r="A2297" s="2">
        <v>2292</v>
      </c>
      <c r="B2297" s="11" t="str">
        <f>"00137637"</f>
        <v>00137637</v>
      </c>
    </row>
    <row r="2298" spans="1:2" x14ac:dyDescent="0.25">
      <c r="A2298" s="2">
        <v>2293</v>
      </c>
      <c r="B2298" s="11" t="str">
        <f>"00137736"</f>
        <v>00137736</v>
      </c>
    </row>
    <row r="2299" spans="1:2" x14ac:dyDescent="0.25">
      <c r="A2299" s="2">
        <v>2294</v>
      </c>
      <c r="B2299" s="11" t="str">
        <f>"00137744"</f>
        <v>00137744</v>
      </c>
    </row>
    <row r="2300" spans="1:2" x14ac:dyDescent="0.25">
      <c r="A2300" s="2">
        <v>2295</v>
      </c>
      <c r="B2300" s="11" t="str">
        <f>"00137930"</f>
        <v>00137930</v>
      </c>
    </row>
    <row r="2301" spans="1:2" x14ac:dyDescent="0.25">
      <c r="A2301" s="2">
        <v>2296</v>
      </c>
      <c r="B2301" s="11" t="str">
        <f>"00138059"</f>
        <v>00138059</v>
      </c>
    </row>
    <row r="2302" spans="1:2" x14ac:dyDescent="0.25">
      <c r="A2302" s="2">
        <v>2297</v>
      </c>
      <c r="B2302" s="11" t="str">
        <f>"00138117"</f>
        <v>00138117</v>
      </c>
    </row>
    <row r="2303" spans="1:2" x14ac:dyDescent="0.25">
      <c r="A2303" s="2">
        <v>2298</v>
      </c>
      <c r="B2303" s="11" t="str">
        <f>"00138182"</f>
        <v>00138182</v>
      </c>
    </row>
    <row r="2304" spans="1:2" x14ac:dyDescent="0.25">
      <c r="A2304" s="2">
        <v>2299</v>
      </c>
      <c r="B2304" s="11" t="str">
        <f>"00138187"</f>
        <v>00138187</v>
      </c>
    </row>
    <row r="2305" spans="1:2" x14ac:dyDescent="0.25">
      <c r="A2305" s="2">
        <v>2300</v>
      </c>
      <c r="B2305" s="11" t="str">
        <f>"00138205"</f>
        <v>00138205</v>
      </c>
    </row>
    <row r="2306" spans="1:2" x14ac:dyDescent="0.25">
      <c r="A2306" s="2">
        <v>2301</v>
      </c>
      <c r="B2306" s="11" t="str">
        <f>"00138221"</f>
        <v>00138221</v>
      </c>
    </row>
    <row r="2307" spans="1:2" x14ac:dyDescent="0.25">
      <c r="A2307" s="2">
        <v>2302</v>
      </c>
      <c r="B2307" s="11" t="str">
        <f>"00138259"</f>
        <v>00138259</v>
      </c>
    </row>
    <row r="2308" spans="1:2" x14ac:dyDescent="0.25">
      <c r="A2308" s="2">
        <v>2303</v>
      </c>
      <c r="B2308" s="11" t="str">
        <f>"00138352"</f>
        <v>00138352</v>
      </c>
    </row>
    <row r="2309" spans="1:2" x14ac:dyDescent="0.25">
      <c r="A2309" s="2">
        <v>2304</v>
      </c>
      <c r="B2309" s="11" t="str">
        <f>"00138401"</f>
        <v>00138401</v>
      </c>
    </row>
    <row r="2310" spans="1:2" x14ac:dyDescent="0.25">
      <c r="A2310" s="2">
        <v>2305</v>
      </c>
      <c r="B2310" s="11" t="str">
        <f>"00138449"</f>
        <v>00138449</v>
      </c>
    </row>
    <row r="2311" spans="1:2" x14ac:dyDescent="0.25">
      <c r="A2311" s="2">
        <v>2306</v>
      </c>
      <c r="B2311" s="11" t="str">
        <f>"00138506"</f>
        <v>00138506</v>
      </c>
    </row>
    <row r="2312" spans="1:2" x14ac:dyDescent="0.25">
      <c r="A2312" s="2">
        <v>2307</v>
      </c>
      <c r="B2312" s="11" t="str">
        <f>"00138513"</f>
        <v>00138513</v>
      </c>
    </row>
    <row r="2313" spans="1:2" x14ac:dyDescent="0.25">
      <c r="A2313" s="2">
        <v>2308</v>
      </c>
      <c r="B2313" s="11" t="str">
        <f>"00138591"</f>
        <v>00138591</v>
      </c>
    </row>
    <row r="2314" spans="1:2" x14ac:dyDescent="0.25">
      <c r="A2314" s="2">
        <v>2309</v>
      </c>
      <c r="B2314" s="11" t="str">
        <f>"00138636"</f>
        <v>00138636</v>
      </c>
    </row>
    <row r="2315" spans="1:2" x14ac:dyDescent="0.25">
      <c r="A2315" s="2">
        <v>2310</v>
      </c>
      <c r="B2315" s="11" t="str">
        <f>"00138640"</f>
        <v>00138640</v>
      </c>
    </row>
    <row r="2316" spans="1:2" x14ac:dyDescent="0.25">
      <c r="A2316" s="2">
        <v>2311</v>
      </c>
      <c r="B2316" s="11" t="str">
        <f>"00138649"</f>
        <v>00138649</v>
      </c>
    </row>
    <row r="2317" spans="1:2" x14ac:dyDescent="0.25">
      <c r="A2317" s="2">
        <v>2312</v>
      </c>
      <c r="B2317" s="11" t="str">
        <f>"00138651"</f>
        <v>00138651</v>
      </c>
    </row>
    <row r="2318" spans="1:2" x14ac:dyDescent="0.25">
      <c r="A2318" s="2">
        <v>2313</v>
      </c>
      <c r="B2318" s="11" t="str">
        <f>"00139309"</f>
        <v>00139309</v>
      </c>
    </row>
    <row r="2319" spans="1:2" x14ac:dyDescent="0.25">
      <c r="A2319" s="2">
        <v>2314</v>
      </c>
      <c r="B2319" s="11" t="str">
        <f>"00139311"</f>
        <v>00139311</v>
      </c>
    </row>
    <row r="2320" spans="1:2" x14ac:dyDescent="0.25">
      <c r="A2320" s="2">
        <v>2315</v>
      </c>
      <c r="B2320" s="11" t="str">
        <f>"00139313"</f>
        <v>00139313</v>
      </c>
    </row>
    <row r="2321" spans="1:2" x14ac:dyDescent="0.25">
      <c r="A2321" s="2">
        <v>2316</v>
      </c>
      <c r="B2321" s="11" t="str">
        <f>"00139381"</f>
        <v>00139381</v>
      </c>
    </row>
    <row r="2322" spans="1:2" x14ac:dyDescent="0.25">
      <c r="A2322" s="2">
        <v>2317</v>
      </c>
      <c r="B2322" s="11" t="str">
        <f>"00139391"</f>
        <v>00139391</v>
      </c>
    </row>
    <row r="2323" spans="1:2" x14ac:dyDescent="0.25">
      <c r="A2323" s="2">
        <v>2318</v>
      </c>
      <c r="B2323" s="11" t="str">
        <f>"00139404"</f>
        <v>00139404</v>
      </c>
    </row>
    <row r="2324" spans="1:2" x14ac:dyDescent="0.25">
      <c r="A2324" s="2">
        <v>2319</v>
      </c>
      <c r="B2324" s="11" t="str">
        <f>"00139487"</f>
        <v>00139487</v>
      </c>
    </row>
    <row r="2325" spans="1:2" x14ac:dyDescent="0.25">
      <c r="A2325" s="2">
        <v>2320</v>
      </c>
      <c r="B2325" s="11" t="str">
        <f>"00139495"</f>
        <v>00139495</v>
      </c>
    </row>
    <row r="2326" spans="1:2" x14ac:dyDescent="0.25">
      <c r="A2326" s="2">
        <v>2321</v>
      </c>
      <c r="B2326" s="11" t="str">
        <f>"00139526"</f>
        <v>00139526</v>
      </c>
    </row>
    <row r="2327" spans="1:2" x14ac:dyDescent="0.25">
      <c r="A2327" s="2">
        <v>2322</v>
      </c>
      <c r="B2327" s="11" t="str">
        <f>"00139588"</f>
        <v>00139588</v>
      </c>
    </row>
    <row r="2328" spans="1:2" x14ac:dyDescent="0.25">
      <c r="A2328" s="2">
        <v>2323</v>
      </c>
      <c r="B2328" s="11" t="str">
        <f>"00139621"</f>
        <v>00139621</v>
      </c>
    </row>
    <row r="2329" spans="1:2" x14ac:dyDescent="0.25">
      <c r="A2329" s="2">
        <v>2324</v>
      </c>
      <c r="B2329" s="11" t="str">
        <f>"00139666"</f>
        <v>00139666</v>
      </c>
    </row>
    <row r="2330" spans="1:2" x14ac:dyDescent="0.25">
      <c r="A2330" s="2">
        <v>2325</v>
      </c>
      <c r="B2330" s="11" t="str">
        <f>"00139777"</f>
        <v>00139777</v>
      </c>
    </row>
    <row r="2331" spans="1:2" x14ac:dyDescent="0.25">
      <c r="A2331" s="2">
        <v>2326</v>
      </c>
      <c r="B2331" s="11" t="str">
        <f>"00139784"</f>
        <v>00139784</v>
      </c>
    </row>
    <row r="2332" spans="1:2" x14ac:dyDescent="0.25">
      <c r="A2332" s="2">
        <v>2327</v>
      </c>
      <c r="B2332" s="11" t="str">
        <f>"00139797"</f>
        <v>00139797</v>
      </c>
    </row>
    <row r="2333" spans="1:2" x14ac:dyDescent="0.25">
      <c r="A2333" s="2">
        <v>2328</v>
      </c>
      <c r="B2333" s="11" t="str">
        <f>"00139798"</f>
        <v>00139798</v>
      </c>
    </row>
    <row r="2334" spans="1:2" x14ac:dyDescent="0.25">
      <c r="A2334" s="2">
        <v>2329</v>
      </c>
      <c r="B2334" s="11" t="str">
        <f>"00139814"</f>
        <v>00139814</v>
      </c>
    </row>
    <row r="2335" spans="1:2" x14ac:dyDescent="0.25">
      <c r="A2335" s="2">
        <v>2330</v>
      </c>
      <c r="B2335" s="11" t="str">
        <f>"00139844"</f>
        <v>00139844</v>
      </c>
    </row>
    <row r="2336" spans="1:2" x14ac:dyDescent="0.25">
      <c r="A2336" s="2">
        <v>2331</v>
      </c>
      <c r="B2336" s="11" t="str">
        <f>"00139888"</f>
        <v>00139888</v>
      </c>
    </row>
    <row r="2337" spans="1:2" x14ac:dyDescent="0.25">
      <c r="A2337" s="2">
        <v>2332</v>
      </c>
      <c r="B2337" s="11" t="str">
        <f>"00139889"</f>
        <v>00139889</v>
      </c>
    </row>
    <row r="2338" spans="1:2" x14ac:dyDescent="0.25">
      <c r="A2338" s="2">
        <v>2333</v>
      </c>
      <c r="B2338" s="11" t="str">
        <f>"00139896"</f>
        <v>00139896</v>
      </c>
    </row>
    <row r="2339" spans="1:2" x14ac:dyDescent="0.25">
      <c r="A2339" s="2">
        <v>2334</v>
      </c>
      <c r="B2339" s="11" t="str">
        <f>"00139952"</f>
        <v>00139952</v>
      </c>
    </row>
    <row r="2340" spans="1:2" x14ac:dyDescent="0.25">
      <c r="A2340" s="2">
        <v>2335</v>
      </c>
      <c r="B2340" s="11" t="str">
        <f>"00139975"</f>
        <v>00139975</v>
      </c>
    </row>
    <row r="2341" spans="1:2" x14ac:dyDescent="0.25">
      <c r="A2341" s="2">
        <v>2336</v>
      </c>
      <c r="B2341" s="11" t="str">
        <f>"00139998"</f>
        <v>00139998</v>
      </c>
    </row>
    <row r="2342" spans="1:2" x14ac:dyDescent="0.25">
      <c r="A2342" s="2">
        <v>2337</v>
      </c>
      <c r="B2342" s="11" t="str">
        <f>"00140118"</f>
        <v>00140118</v>
      </c>
    </row>
    <row r="2343" spans="1:2" x14ac:dyDescent="0.25">
      <c r="A2343" s="2">
        <v>2338</v>
      </c>
      <c r="B2343" s="11" t="str">
        <f>"00140136"</f>
        <v>00140136</v>
      </c>
    </row>
    <row r="2344" spans="1:2" x14ac:dyDescent="0.25">
      <c r="A2344" s="2">
        <v>2339</v>
      </c>
      <c r="B2344" s="11" t="str">
        <f>"00140251"</f>
        <v>00140251</v>
      </c>
    </row>
    <row r="2345" spans="1:2" x14ac:dyDescent="0.25">
      <c r="A2345" s="2">
        <v>2340</v>
      </c>
      <c r="B2345" s="11" t="str">
        <f>"00140259"</f>
        <v>00140259</v>
      </c>
    </row>
    <row r="2346" spans="1:2" x14ac:dyDescent="0.25">
      <c r="A2346" s="2">
        <v>2341</v>
      </c>
      <c r="B2346" s="11" t="str">
        <f>"00140304"</f>
        <v>00140304</v>
      </c>
    </row>
    <row r="2347" spans="1:2" x14ac:dyDescent="0.25">
      <c r="A2347" s="2">
        <v>2342</v>
      </c>
      <c r="B2347" s="11" t="str">
        <f>"00140337"</f>
        <v>00140337</v>
      </c>
    </row>
    <row r="2348" spans="1:2" x14ac:dyDescent="0.25">
      <c r="A2348" s="2">
        <v>2343</v>
      </c>
      <c r="B2348" s="11" t="str">
        <f>"00140341"</f>
        <v>00140341</v>
      </c>
    </row>
    <row r="2349" spans="1:2" x14ac:dyDescent="0.25">
      <c r="A2349" s="2">
        <v>2344</v>
      </c>
      <c r="B2349" s="11" t="str">
        <f>"00140459"</f>
        <v>00140459</v>
      </c>
    </row>
    <row r="2350" spans="1:2" x14ac:dyDescent="0.25">
      <c r="A2350" s="2">
        <v>2345</v>
      </c>
      <c r="B2350" s="11" t="str">
        <f>"00140473"</f>
        <v>00140473</v>
      </c>
    </row>
    <row r="2351" spans="1:2" x14ac:dyDescent="0.25">
      <c r="A2351" s="2">
        <v>2346</v>
      </c>
      <c r="B2351" s="11" t="str">
        <f>"00140513"</f>
        <v>00140513</v>
      </c>
    </row>
    <row r="2352" spans="1:2" x14ac:dyDescent="0.25">
      <c r="A2352" s="2">
        <v>2347</v>
      </c>
      <c r="B2352" s="11" t="str">
        <f>"00140543"</f>
        <v>00140543</v>
      </c>
    </row>
    <row r="2353" spans="1:2" x14ac:dyDescent="0.25">
      <c r="A2353" s="2">
        <v>2348</v>
      </c>
      <c r="B2353" s="11" t="str">
        <f>"00140568"</f>
        <v>00140568</v>
      </c>
    </row>
    <row r="2354" spans="1:2" x14ac:dyDescent="0.25">
      <c r="A2354" s="2">
        <v>2349</v>
      </c>
      <c r="B2354" s="11" t="str">
        <f>"00140602"</f>
        <v>00140602</v>
      </c>
    </row>
    <row r="2355" spans="1:2" x14ac:dyDescent="0.25">
      <c r="A2355" s="2">
        <v>2350</v>
      </c>
      <c r="B2355" s="11" t="str">
        <f>"00140613"</f>
        <v>00140613</v>
      </c>
    </row>
    <row r="2356" spans="1:2" x14ac:dyDescent="0.25">
      <c r="A2356" s="2">
        <v>2351</v>
      </c>
      <c r="B2356" s="11" t="str">
        <f>"00140624"</f>
        <v>00140624</v>
      </c>
    </row>
    <row r="2357" spans="1:2" x14ac:dyDescent="0.25">
      <c r="A2357" s="2">
        <v>2352</v>
      </c>
      <c r="B2357" s="11" t="str">
        <f>"00140637"</f>
        <v>00140637</v>
      </c>
    </row>
    <row r="2358" spans="1:2" x14ac:dyDescent="0.25">
      <c r="A2358" s="2">
        <v>2353</v>
      </c>
      <c r="B2358" s="11" t="str">
        <f>"00140638"</f>
        <v>00140638</v>
      </c>
    </row>
    <row r="2359" spans="1:2" x14ac:dyDescent="0.25">
      <c r="A2359" s="2">
        <v>2354</v>
      </c>
      <c r="B2359" s="11" t="str">
        <f>"00140808"</f>
        <v>00140808</v>
      </c>
    </row>
    <row r="2360" spans="1:2" x14ac:dyDescent="0.25">
      <c r="A2360" s="2">
        <v>2355</v>
      </c>
      <c r="B2360" s="11" t="str">
        <f>"00140819"</f>
        <v>00140819</v>
      </c>
    </row>
    <row r="2361" spans="1:2" x14ac:dyDescent="0.25">
      <c r="A2361" s="2">
        <v>2356</v>
      </c>
      <c r="B2361" s="11" t="str">
        <f>"00140824"</f>
        <v>00140824</v>
      </c>
    </row>
    <row r="2362" spans="1:2" x14ac:dyDescent="0.25">
      <c r="A2362" s="2">
        <v>2357</v>
      </c>
      <c r="B2362" s="11" t="str">
        <f>"00140831"</f>
        <v>00140831</v>
      </c>
    </row>
    <row r="2363" spans="1:2" x14ac:dyDescent="0.25">
      <c r="A2363" s="2">
        <v>2358</v>
      </c>
      <c r="B2363" s="11" t="str">
        <f>"00140874"</f>
        <v>00140874</v>
      </c>
    </row>
    <row r="2364" spans="1:2" x14ac:dyDescent="0.25">
      <c r="A2364" s="2">
        <v>2359</v>
      </c>
      <c r="B2364" s="11" t="str">
        <f>"00140891"</f>
        <v>00140891</v>
      </c>
    </row>
    <row r="2365" spans="1:2" x14ac:dyDescent="0.25">
      <c r="A2365" s="2">
        <v>2360</v>
      </c>
      <c r="B2365" s="11" t="str">
        <f>"00140900"</f>
        <v>00140900</v>
      </c>
    </row>
    <row r="2366" spans="1:2" x14ac:dyDescent="0.25">
      <c r="A2366" s="2">
        <v>2361</v>
      </c>
      <c r="B2366" s="11" t="str">
        <f>"00140927"</f>
        <v>00140927</v>
      </c>
    </row>
    <row r="2367" spans="1:2" x14ac:dyDescent="0.25">
      <c r="A2367" s="2">
        <v>2362</v>
      </c>
      <c r="B2367" s="11" t="str">
        <f>"00140932"</f>
        <v>00140932</v>
      </c>
    </row>
    <row r="2368" spans="1:2" x14ac:dyDescent="0.25">
      <c r="A2368" s="2">
        <v>2363</v>
      </c>
      <c r="B2368" s="11" t="str">
        <f>"00140957"</f>
        <v>00140957</v>
      </c>
    </row>
    <row r="2369" spans="1:2" x14ac:dyDescent="0.25">
      <c r="A2369" s="2">
        <v>2364</v>
      </c>
      <c r="B2369" s="11" t="str">
        <f>"00140987"</f>
        <v>00140987</v>
      </c>
    </row>
    <row r="2370" spans="1:2" x14ac:dyDescent="0.25">
      <c r="A2370" s="2">
        <v>2365</v>
      </c>
      <c r="B2370" s="11" t="str">
        <f>"00141004"</f>
        <v>00141004</v>
      </c>
    </row>
    <row r="2371" spans="1:2" x14ac:dyDescent="0.25">
      <c r="A2371" s="2">
        <v>2366</v>
      </c>
      <c r="B2371" s="11" t="str">
        <f>"00141060"</f>
        <v>00141060</v>
      </c>
    </row>
    <row r="2372" spans="1:2" x14ac:dyDescent="0.25">
      <c r="A2372" s="2">
        <v>2367</v>
      </c>
      <c r="B2372" s="11" t="str">
        <f>"00141075"</f>
        <v>00141075</v>
      </c>
    </row>
    <row r="2373" spans="1:2" x14ac:dyDescent="0.25">
      <c r="A2373" s="2">
        <v>2368</v>
      </c>
      <c r="B2373" s="11" t="str">
        <f>"00141153"</f>
        <v>00141153</v>
      </c>
    </row>
    <row r="2374" spans="1:2" x14ac:dyDescent="0.25">
      <c r="A2374" s="2">
        <v>2369</v>
      </c>
      <c r="B2374" s="11" t="str">
        <f>"00141169"</f>
        <v>00141169</v>
      </c>
    </row>
    <row r="2375" spans="1:2" x14ac:dyDescent="0.25">
      <c r="A2375" s="2">
        <v>2370</v>
      </c>
      <c r="B2375" s="11" t="str">
        <f>"00141174"</f>
        <v>00141174</v>
      </c>
    </row>
    <row r="2376" spans="1:2" x14ac:dyDescent="0.25">
      <c r="A2376" s="2">
        <v>2371</v>
      </c>
      <c r="B2376" s="11" t="str">
        <f>"00141257"</f>
        <v>00141257</v>
      </c>
    </row>
    <row r="2377" spans="1:2" x14ac:dyDescent="0.25">
      <c r="A2377" s="2">
        <v>2372</v>
      </c>
      <c r="B2377" s="11" t="str">
        <f>"00141336"</f>
        <v>00141336</v>
      </c>
    </row>
    <row r="2378" spans="1:2" x14ac:dyDescent="0.25">
      <c r="A2378" s="2">
        <v>2373</v>
      </c>
      <c r="B2378" s="11" t="str">
        <f>"00141348"</f>
        <v>00141348</v>
      </c>
    </row>
    <row r="2379" spans="1:2" x14ac:dyDescent="0.25">
      <c r="A2379" s="2">
        <v>2374</v>
      </c>
      <c r="B2379" s="11" t="str">
        <f>"00141395"</f>
        <v>00141395</v>
      </c>
    </row>
    <row r="2380" spans="1:2" x14ac:dyDescent="0.25">
      <c r="A2380" s="2">
        <v>2375</v>
      </c>
      <c r="B2380" s="11" t="str">
        <f>"00141435"</f>
        <v>00141435</v>
      </c>
    </row>
    <row r="2381" spans="1:2" x14ac:dyDescent="0.25">
      <c r="A2381" s="2">
        <v>2376</v>
      </c>
      <c r="B2381" s="11" t="str">
        <f>"00141446"</f>
        <v>00141446</v>
      </c>
    </row>
    <row r="2382" spans="1:2" x14ac:dyDescent="0.25">
      <c r="A2382" s="2">
        <v>2377</v>
      </c>
      <c r="B2382" s="11" t="str">
        <f>"00141488"</f>
        <v>00141488</v>
      </c>
    </row>
    <row r="2383" spans="1:2" x14ac:dyDescent="0.25">
      <c r="A2383" s="2">
        <v>2378</v>
      </c>
      <c r="B2383" s="11" t="str">
        <f>"00141493"</f>
        <v>00141493</v>
      </c>
    </row>
    <row r="2384" spans="1:2" x14ac:dyDescent="0.25">
      <c r="A2384" s="2">
        <v>2379</v>
      </c>
      <c r="B2384" s="11" t="str">
        <f>"00141494"</f>
        <v>00141494</v>
      </c>
    </row>
    <row r="2385" spans="1:2" x14ac:dyDescent="0.25">
      <c r="A2385" s="2">
        <v>2380</v>
      </c>
      <c r="B2385" s="11" t="str">
        <f>"00141508"</f>
        <v>00141508</v>
      </c>
    </row>
    <row r="2386" spans="1:2" x14ac:dyDescent="0.25">
      <c r="A2386" s="2">
        <v>2381</v>
      </c>
      <c r="B2386" s="11" t="str">
        <f>"00141527"</f>
        <v>00141527</v>
      </c>
    </row>
    <row r="2387" spans="1:2" x14ac:dyDescent="0.25">
      <c r="A2387" s="2">
        <v>2382</v>
      </c>
      <c r="B2387" s="11" t="str">
        <f>"00141564"</f>
        <v>00141564</v>
      </c>
    </row>
    <row r="2388" spans="1:2" x14ac:dyDescent="0.25">
      <c r="A2388" s="2">
        <v>2383</v>
      </c>
      <c r="B2388" s="11" t="str">
        <f>"00141572"</f>
        <v>00141572</v>
      </c>
    </row>
    <row r="2389" spans="1:2" x14ac:dyDescent="0.25">
      <c r="A2389" s="2">
        <v>2384</v>
      </c>
      <c r="B2389" s="11" t="str">
        <f>"00141585"</f>
        <v>00141585</v>
      </c>
    </row>
    <row r="2390" spans="1:2" x14ac:dyDescent="0.25">
      <c r="A2390" s="2">
        <v>2385</v>
      </c>
      <c r="B2390" s="11" t="str">
        <f>"00141603"</f>
        <v>00141603</v>
      </c>
    </row>
    <row r="2391" spans="1:2" x14ac:dyDescent="0.25">
      <c r="A2391" s="2">
        <v>2386</v>
      </c>
      <c r="B2391" s="11" t="str">
        <f>"00141626"</f>
        <v>00141626</v>
      </c>
    </row>
    <row r="2392" spans="1:2" x14ac:dyDescent="0.25">
      <c r="A2392" s="2">
        <v>2387</v>
      </c>
      <c r="B2392" s="11" t="str">
        <f>"00141649"</f>
        <v>00141649</v>
      </c>
    </row>
    <row r="2393" spans="1:2" x14ac:dyDescent="0.25">
      <c r="A2393" s="2">
        <v>2388</v>
      </c>
      <c r="B2393" s="11" t="str">
        <f>"00141650"</f>
        <v>00141650</v>
      </c>
    </row>
    <row r="2394" spans="1:2" x14ac:dyDescent="0.25">
      <c r="A2394" s="2">
        <v>2389</v>
      </c>
      <c r="B2394" s="11" t="str">
        <f>"00141656"</f>
        <v>00141656</v>
      </c>
    </row>
    <row r="2395" spans="1:2" x14ac:dyDescent="0.25">
      <c r="A2395" s="2">
        <v>2390</v>
      </c>
      <c r="B2395" s="11" t="str">
        <f>"00141672"</f>
        <v>00141672</v>
      </c>
    </row>
    <row r="2396" spans="1:2" x14ac:dyDescent="0.25">
      <c r="A2396" s="2">
        <v>2391</v>
      </c>
      <c r="B2396" s="11" t="str">
        <f>"00141768"</f>
        <v>00141768</v>
      </c>
    </row>
    <row r="2397" spans="1:2" x14ac:dyDescent="0.25">
      <c r="A2397" s="2">
        <v>2392</v>
      </c>
      <c r="B2397" s="11" t="str">
        <f>"00141818"</f>
        <v>00141818</v>
      </c>
    </row>
    <row r="2398" spans="1:2" x14ac:dyDescent="0.25">
      <c r="A2398" s="2">
        <v>2393</v>
      </c>
      <c r="B2398" s="11" t="str">
        <f>"00141858"</f>
        <v>00141858</v>
      </c>
    </row>
    <row r="2399" spans="1:2" x14ac:dyDescent="0.25">
      <c r="A2399" s="2">
        <v>2394</v>
      </c>
      <c r="B2399" s="11" t="str">
        <f>"00141874"</f>
        <v>00141874</v>
      </c>
    </row>
    <row r="2400" spans="1:2" x14ac:dyDescent="0.25">
      <c r="A2400" s="2">
        <v>2395</v>
      </c>
      <c r="B2400" s="11" t="str">
        <f>"00141919"</f>
        <v>00141919</v>
      </c>
    </row>
    <row r="2401" spans="1:2" x14ac:dyDescent="0.25">
      <c r="A2401" s="2">
        <v>2396</v>
      </c>
      <c r="B2401" s="11" t="str">
        <f>"00142022"</f>
        <v>00142022</v>
      </c>
    </row>
    <row r="2402" spans="1:2" x14ac:dyDescent="0.25">
      <c r="A2402" s="2">
        <v>2397</v>
      </c>
      <c r="B2402" s="11" t="str">
        <f>"00142028"</f>
        <v>00142028</v>
      </c>
    </row>
    <row r="2403" spans="1:2" x14ac:dyDescent="0.25">
      <c r="A2403" s="2">
        <v>2398</v>
      </c>
      <c r="B2403" s="11" t="str">
        <f>"00142044"</f>
        <v>00142044</v>
      </c>
    </row>
    <row r="2404" spans="1:2" x14ac:dyDescent="0.25">
      <c r="A2404" s="2">
        <v>2399</v>
      </c>
      <c r="B2404" s="11" t="str">
        <f>"00142045"</f>
        <v>00142045</v>
      </c>
    </row>
    <row r="2405" spans="1:2" x14ac:dyDescent="0.25">
      <c r="A2405" s="2">
        <v>2400</v>
      </c>
      <c r="B2405" s="11" t="str">
        <f>"00142170"</f>
        <v>00142170</v>
      </c>
    </row>
    <row r="2406" spans="1:2" x14ac:dyDescent="0.25">
      <c r="A2406" s="2">
        <v>2401</v>
      </c>
      <c r="B2406" s="11" t="str">
        <f>"00142191"</f>
        <v>00142191</v>
      </c>
    </row>
    <row r="2407" spans="1:2" x14ac:dyDescent="0.25">
      <c r="A2407" s="2">
        <v>2402</v>
      </c>
      <c r="B2407" s="11" t="str">
        <f>"00142209"</f>
        <v>00142209</v>
      </c>
    </row>
    <row r="2408" spans="1:2" x14ac:dyDescent="0.25">
      <c r="A2408" s="2">
        <v>2403</v>
      </c>
      <c r="B2408" s="11" t="str">
        <f>"00142210"</f>
        <v>00142210</v>
      </c>
    </row>
    <row r="2409" spans="1:2" x14ac:dyDescent="0.25">
      <c r="A2409" s="2">
        <v>2404</v>
      </c>
      <c r="B2409" s="11" t="str">
        <f>"00142230"</f>
        <v>00142230</v>
      </c>
    </row>
    <row r="2410" spans="1:2" x14ac:dyDescent="0.25">
      <c r="A2410" s="2">
        <v>2405</v>
      </c>
      <c r="B2410" s="11" t="str">
        <f>"00142266"</f>
        <v>00142266</v>
      </c>
    </row>
    <row r="2411" spans="1:2" x14ac:dyDescent="0.25">
      <c r="A2411" s="2">
        <v>2406</v>
      </c>
      <c r="B2411" s="11" t="str">
        <f>"00142285"</f>
        <v>00142285</v>
      </c>
    </row>
    <row r="2412" spans="1:2" x14ac:dyDescent="0.25">
      <c r="A2412" s="2">
        <v>2407</v>
      </c>
      <c r="B2412" s="11" t="str">
        <f>"00142331"</f>
        <v>00142331</v>
      </c>
    </row>
    <row r="2413" spans="1:2" x14ac:dyDescent="0.25">
      <c r="A2413" s="2">
        <v>2408</v>
      </c>
      <c r="B2413" s="11" t="str">
        <f>"00142402"</f>
        <v>00142402</v>
      </c>
    </row>
    <row r="2414" spans="1:2" x14ac:dyDescent="0.25">
      <c r="A2414" s="2">
        <v>2409</v>
      </c>
      <c r="B2414" s="11" t="str">
        <f>"00142420"</f>
        <v>00142420</v>
      </c>
    </row>
    <row r="2415" spans="1:2" x14ac:dyDescent="0.25">
      <c r="A2415" s="2">
        <v>2410</v>
      </c>
      <c r="B2415" s="11" t="str">
        <f>"00142430"</f>
        <v>00142430</v>
      </c>
    </row>
    <row r="2416" spans="1:2" x14ac:dyDescent="0.25">
      <c r="A2416" s="2">
        <v>2411</v>
      </c>
      <c r="B2416" s="11" t="str">
        <f>"00142448"</f>
        <v>00142448</v>
      </c>
    </row>
    <row r="2417" spans="1:2" x14ac:dyDescent="0.25">
      <c r="A2417" s="2">
        <v>2412</v>
      </c>
      <c r="B2417" s="11" t="str">
        <f>"00142467"</f>
        <v>00142467</v>
      </c>
    </row>
    <row r="2418" spans="1:2" x14ac:dyDescent="0.25">
      <c r="A2418" s="2">
        <v>2413</v>
      </c>
      <c r="B2418" s="11" t="str">
        <f>"00142511"</f>
        <v>00142511</v>
      </c>
    </row>
    <row r="2419" spans="1:2" x14ac:dyDescent="0.25">
      <c r="A2419" s="2">
        <v>2414</v>
      </c>
      <c r="B2419" s="11" t="str">
        <f>"00142536"</f>
        <v>00142536</v>
      </c>
    </row>
    <row r="2420" spans="1:2" x14ac:dyDescent="0.25">
      <c r="A2420" s="2">
        <v>2415</v>
      </c>
      <c r="B2420" s="11" t="str">
        <f>"00142545"</f>
        <v>00142545</v>
      </c>
    </row>
    <row r="2421" spans="1:2" x14ac:dyDescent="0.25">
      <c r="A2421" s="2">
        <v>2416</v>
      </c>
      <c r="B2421" s="11" t="str">
        <f>"00142615"</f>
        <v>00142615</v>
      </c>
    </row>
    <row r="2422" spans="1:2" x14ac:dyDescent="0.25">
      <c r="A2422" s="2">
        <v>2417</v>
      </c>
      <c r="B2422" s="11" t="str">
        <f>"00142628"</f>
        <v>00142628</v>
      </c>
    </row>
    <row r="2423" spans="1:2" x14ac:dyDescent="0.25">
      <c r="A2423" s="2">
        <v>2418</v>
      </c>
      <c r="B2423" s="11" t="str">
        <f>"00142657"</f>
        <v>00142657</v>
      </c>
    </row>
    <row r="2424" spans="1:2" x14ac:dyDescent="0.25">
      <c r="A2424" s="2">
        <v>2419</v>
      </c>
      <c r="B2424" s="11" t="str">
        <f>"00142672"</f>
        <v>00142672</v>
      </c>
    </row>
    <row r="2425" spans="1:2" x14ac:dyDescent="0.25">
      <c r="A2425" s="2">
        <v>2420</v>
      </c>
      <c r="B2425" s="11" t="str">
        <f>"00142725"</f>
        <v>00142725</v>
      </c>
    </row>
    <row r="2426" spans="1:2" x14ac:dyDescent="0.25">
      <c r="A2426" s="2">
        <v>2421</v>
      </c>
      <c r="B2426" s="11" t="str">
        <f>"00142791"</f>
        <v>00142791</v>
      </c>
    </row>
    <row r="2427" spans="1:2" x14ac:dyDescent="0.25">
      <c r="A2427" s="2">
        <v>2422</v>
      </c>
      <c r="B2427" s="11" t="str">
        <f>"00142806"</f>
        <v>00142806</v>
      </c>
    </row>
    <row r="2428" spans="1:2" x14ac:dyDescent="0.25">
      <c r="A2428" s="2">
        <v>2423</v>
      </c>
      <c r="B2428" s="11" t="str">
        <f>"00142808"</f>
        <v>00142808</v>
      </c>
    </row>
    <row r="2429" spans="1:2" x14ac:dyDescent="0.25">
      <c r="A2429" s="2">
        <v>2424</v>
      </c>
      <c r="B2429" s="11" t="str">
        <f>"00142812"</f>
        <v>00142812</v>
      </c>
    </row>
    <row r="2430" spans="1:2" x14ac:dyDescent="0.25">
      <c r="A2430" s="2">
        <v>2425</v>
      </c>
      <c r="B2430" s="11" t="str">
        <f>"00142837"</f>
        <v>00142837</v>
      </c>
    </row>
    <row r="2431" spans="1:2" x14ac:dyDescent="0.25">
      <c r="A2431" s="2">
        <v>2426</v>
      </c>
      <c r="B2431" s="11" t="str">
        <f>"00142873"</f>
        <v>00142873</v>
      </c>
    </row>
    <row r="2432" spans="1:2" x14ac:dyDescent="0.25">
      <c r="A2432" s="2">
        <v>2427</v>
      </c>
      <c r="B2432" s="11" t="str">
        <f>"00142878"</f>
        <v>00142878</v>
      </c>
    </row>
    <row r="2433" spans="1:2" x14ac:dyDescent="0.25">
      <c r="A2433" s="2">
        <v>2428</v>
      </c>
      <c r="B2433" s="11" t="str">
        <f>"00142977"</f>
        <v>00142977</v>
      </c>
    </row>
    <row r="2434" spans="1:2" x14ac:dyDescent="0.25">
      <c r="A2434" s="2">
        <v>2429</v>
      </c>
      <c r="B2434" s="11" t="str">
        <f>"00143032"</f>
        <v>00143032</v>
      </c>
    </row>
    <row r="2435" spans="1:2" x14ac:dyDescent="0.25">
      <c r="A2435" s="2">
        <v>2430</v>
      </c>
      <c r="B2435" s="11" t="str">
        <f>"00143041"</f>
        <v>00143041</v>
      </c>
    </row>
    <row r="2436" spans="1:2" x14ac:dyDescent="0.25">
      <c r="A2436" s="2">
        <v>2431</v>
      </c>
      <c r="B2436" s="11" t="str">
        <f>"00143056"</f>
        <v>00143056</v>
      </c>
    </row>
    <row r="2437" spans="1:2" x14ac:dyDescent="0.25">
      <c r="A2437" s="2">
        <v>2432</v>
      </c>
      <c r="B2437" s="11" t="str">
        <f>"00143076"</f>
        <v>00143076</v>
      </c>
    </row>
    <row r="2438" spans="1:2" x14ac:dyDescent="0.25">
      <c r="A2438" s="2">
        <v>2433</v>
      </c>
      <c r="B2438" s="11" t="str">
        <f>"00143091"</f>
        <v>00143091</v>
      </c>
    </row>
    <row r="2439" spans="1:2" x14ac:dyDescent="0.25">
      <c r="A2439" s="2">
        <v>2434</v>
      </c>
      <c r="B2439" s="11" t="str">
        <f>"00143111"</f>
        <v>00143111</v>
      </c>
    </row>
    <row r="2440" spans="1:2" x14ac:dyDescent="0.25">
      <c r="A2440" s="2">
        <v>2435</v>
      </c>
      <c r="B2440" s="11" t="str">
        <f>"00143204"</f>
        <v>00143204</v>
      </c>
    </row>
    <row r="2441" spans="1:2" x14ac:dyDescent="0.25">
      <c r="A2441" s="2">
        <v>2436</v>
      </c>
      <c r="B2441" s="11" t="str">
        <f>"00143207"</f>
        <v>00143207</v>
      </c>
    </row>
    <row r="2442" spans="1:2" x14ac:dyDescent="0.25">
      <c r="A2442" s="2">
        <v>2437</v>
      </c>
      <c r="B2442" s="11" t="str">
        <f>"00143213"</f>
        <v>00143213</v>
      </c>
    </row>
    <row r="2443" spans="1:2" x14ac:dyDescent="0.25">
      <c r="A2443" s="2">
        <v>2438</v>
      </c>
      <c r="B2443" s="11" t="str">
        <f>"00143237"</f>
        <v>00143237</v>
      </c>
    </row>
    <row r="2444" spans="1:2" x14ac:dyDescent="0.25">
      <c r="A2444" s="2">
        <v>2439</v>
      </c>
      <c r="B2444" s="11" t="str">
        <f>"00143260"</f>
        <v>00143260</v>
      </c>
    </row>
    <row r="2445" spans="1:2" x14ac:dyDescent="0.25">
      <c r="A2445" s="2">
        <v>2440</v>
      </c>
      <c r="B2445" s="11" t="str">
        <f>"00143345"</f>
        <v>00143345</v>
      </c>
    </row>
    <row r="2446" spans="1:2" x14ac:dyDescent="0.25">
      <c r="A2446" s="2">
        <v>2441</v>
      </c>
      <c r="B2446" s="11" t="str">
        <f>"00143364"</f>
        <v>00143364</v>
      </c>
    </row>
    <row r="2447" spans="1:2" x14ac:dyDescent="0.25">
      <c r="A2447" s="2">
        <v>2442</v>
      </c>
      <c r="B2447" s="11" t="str">
        <f>"00143406"</f>
        <v>00143406</v>
      </c>
    </row>
    <row r="2448" spans="1:2" x14ac:dyDescent="0.25">
      <c r="A2448" s="2">
        <v>2443</v>
      </c>
      <c r="B2448" s="11" t="str">
        <f>"00143439"</f>
        <v>00143439</v>
      </c>
    </row>
    <row r="2449" spans="1:2" x14ac:dyDescent="0.25">
      <c r="A2449" s="2">
        <v>2444</v>
      </c>
      <c r="B2449" s="11" t="str">
        <f>"00143560"</f>
        <v>00143560</v>
      </c>
    </row>
    <row r="2450" spans="1:2" x14ac:dyDescent="0.25">
      <c r="A2450" s="2">
        <v>2445</v>
      </c>
      <c r="B2450" s="11" t="str">
        <f>"00143657"</f>
        <v>00143657</v>
      </c>
    </row>
    <row r="2451" spans="1:2" x14ac:dyDescent="0.25">
      <c r="A2451" s="2">
        <v>2446</v>
      </c>
      <c r="B2451" s="11" t="str">
        <f>"00143768"</f>
        <v>00143768</v>
      </c>
    </row>
    <row r="2452" spans="1:2" x14ac:dyDescent="0.25">
      <c r="A2452" s="2">
        <v>2447</v>
      </c>
      <c r="B2452" s="11" t="str">
        <f>"00143791"</f>
        <v>00143791</v>
      </c>
    </row>
    <row r="2453" spans="1:2" x14ac:dyDescent="0.25">
      <c r="A2453" s="2">
        <v>2448</v>
      </c>
      <c r="B2453" s="11" t="str">
        <f>"00143801"</f>
        <v>00143801</v>
      </c>
    </row>
    <row r="2454" spans="1:2" x14ac:dyDescent="0.25">
      <c r="A2454" s="2">
        <v>2449</v>
      </c>
      <c r="B2454" s="11" t="str">
        <f>"00143810"</f>
        <v>00143810</v>
      </c>
    </row>
    <row r="2455" spans="1:2" x14ac:dyDescent="0.25">
      <c r="A2455" s="2">
        <v>2450</v>
      </c>
      <c r="B2455" s="11" t="str">
        <f>"00143812"</f>
        <v>00143812</v>
      </c>
    </row>
    <row r="2456" spans="1:2" x14ac:dyDescent="0.25">
      <c r="A2456" s="2">
        <v>2451</v>
      </c>
      <c r="B2456" s="11" t="str">
        <f>"00143849"</f>
        <v>00143849</v>
      </c>
    </row>
    <row r="2457" spans="1:2" x14ac:dyDescent="0.25">
      <c r="A2457" s="2">
        <v>2452</v>
      </c>
      <c r="B2457" s="11" t="str">
        <f>"00143877"</f>
        <v>00143877</v>
      </c>
    </row>
    <row r="2458" spans="1:2" x14ac:dyDescent="0.25">
      <c r="A2458" s="2">
        <v>2453</v>
      </c>
      <c r="B2458" s="11" t="str">
        <f>"00143885"</f>
        <v>00143885</v>
      </c>
    </row>
    <row r="2459" spans="1:2" x14ac:dyDescent="0.25">
      <c r="A2459" s="2">
        <v>2454</v>
      </c>
      <c r="B2459" s="11" t="str">
        <f>"00143920"</f>
        <v>00143920</v>
      </c>
    </row>
    <row r="2460" spans="1:2" x14ac:dyDescent="0.25">
      <c r="A2460" s="2">
        <v>2455</v>
      </c>
      <c r="B2460" s="11" t="str">
        <f>"00143987"</f>
        <v>00143987</v>
      </c>
    </row>
    <row r="2461" spans="1:2" x14ac:dyDescent="0.25">
      <c r="A2461" s="2">
        <v>2456</v>
      </c>
      <c r="B2461" s="11" t="str">
        <f>"00143988"</f>
        <v>00143988</v>
      </c>
    </row>
    <row r="2462" spans="1:2" x14ac:dyDescent="0.25">
      <c r="A2462" s="2">
        <v>2457</v>
      </c>
      <c r="B2462" s="11" t="str">
        <f>"00144001"</f>
        <v>00144001</v>
      </c>
    </row>
    <row r="2463" spans="1:2" x14ac:dyDescent="0.25">
      <c r="A2463" s="2">
        <v>2458</v>
      </c>
      <c r="B2463" s="11" t="str">
        <f>"00144195"</f>
        <v>00144195</v>
      </c>
    </row>
    <row r="2464" spans="1:2" x14ac:dyDescent="0.25">
      <c r="A2464" s="2">
        <v>2459</v>
      </c>
      <c r="B2464" s="11" t="str">
        <f>"00144216"</f>
        <v>00144216</v>
      </c>
    </row>
    <row r="2465" spans="1:2" x14ac:dyDescent="0.25">
      <c r="A2465" s="2">
        <v>2460</v>
      </c>
      <c r="B2465" s="11" t="str">
        <f>"00144219"</f>
        <v>00144219</v>
      </c>
    </row>
    <row r="2466" spans="1:2" x14ac:dyDescent="0.25">
      <c r="A2466" s="2">
        <v>2461</v>
      </c>
      <c r="B2466" s="11" t="str">
        <f>"00144247"</f>
        <v>00144247</v>
      </c>
    </row>
    <row r="2467" spans="1:2" x14ac:dyDescent="0.25">
      <c r="A2467" s="2">
        <v>2462</v>
      </c>
      <c r="B2467" s="11" t="str">
        <f>"00144267"</f>
        <v>00144267</v>
      </c>
    </row>
    <row r="2468" spans="1:2" x14ac:dyDescent="0.25">
      <c r="A2468" s="2">
        <v>2463</v>
      </c>
      <c r="B2468" s="11" t="str">
        <f>"00144276"</f>
        <v>00144276</v>
      </c>
    </row>
    <row r="2469" spans="1:2" x14ac:dyDescent="0.25">
      <c r="A2469" s="2">
        <v>2464</v>
      </c>
      <c r="B2469" s="11" t="str">
        <f>"00144367"</f>
        <v>00144367</v>
      </c>
    </row>
    <row r="2470" spans="1:2" x14ac:dyDescent="0.25">
      <c r="A2470" s="2">
        <v>2465</v>
      </c>
      <c r="B2470" s="11" t="str">
        <f>"00144432"</f>
        <v>00144432</v>
      </c>
    </row>
    <row r="2471" spans="1:2" x14ac:dyDescent="0.25">
      <c r="A2471" s="2">
        <v>2466</v>
      </c>
      <c r="B2471" s="11" t="str">
        <f>"00144471"</f>
        <v>00144471</v>
      </c>
    </row>
    <row r="2472" spans="1:2" x14ac:dyDescent="0.25">
      <c r="A2472" s="2">
        <v>2467</v>
      </c>
      <c r="B2472" s="11" t="str">
        <f>"00144475"</f>
        <v>00144475</v>
      </c>
    </row>
    <row r="2473" spans="1:2" x14ac:dyDescent="0.25">
      <c r="A2473" s="2">
        <v>2468</v>
      </c>
      <c r="B2473" s="11" t="str">
        <f>"00144491"</f>
        <v>00144491</v>
      </c>
    </row>
    <row r="2474" spans="1:2" x14ac:dyDescent="0.25">
      <c r="A2474" s="2">
        <v>2469</v>
      </c>
      <c r="B2474" s="11" t="str">
        <f>"00144526"</f>
        <v>00144526</v>
      </c>
    </row>
    <row r="2475" spans="1:2" x14ac:dyDescent="0.25">
      <c r="A2475" s="2">
        <v>2470</v>
      </c>
      <c r="B2475" s="11" t="str">
        <f>"00144558"</f>
        <v>00144558</v>
      </c>
    </row>
    <row r="2476" spans="1:2" x14ac:dyDescent="0.25">
      <c r="A2476" s="2">
        <v>2471</v>
      </c>
      <c r="B2476" s="11" t="str">
        <f>"00144671"</f>
        <v>00144671</v>
      </c>
    </row>
    <row r="2477" spans="1:2" x14ac:dyDescent="0.25">
      <c r="A2477" s="2">
        <v>2472</v>
      </c>
      <c r="B2477" s="11" t="str">
        <f>"00144692"</f>
        <v>00144692</v>
      </c>
    </row>
    <row r="2478" spans="1:2" x14ac:dyDescent="0.25">
      <c r="A2478" s="2">
        <v>2473</v>
      </c>
      <c r="B2478" s="11" t="str">
        <f>"00144737"</f>
        <v>00144737</v>
      </c>
    </row>
    <row r="2479" spans="1:2" x14ac:dyDescent="0.25">
      <c r="A2479" s="2">
        <v>2474</v>
      </c>
      <c r="B2479" s="11" t="str">
        <f>"00144773"</f>
        <v>00144773</v>
      </c>
    </row>
    <row r="2480" spans="1:2" x14ac:dyDescent="0.25">
      <c r="A2480" s="2">
        <v>2475</v>
      </c>
      <c r="B2480" s="11" t="str">
        <f>"00144872"</f>
        <v>00144872</v>
      </c>
    </row>
    <row r="2481" spans="1:2" x14ac:dyDescent="0.25">
      <c r="A2481" s="2">
        <v>2476</v>
      </c>
      <c r="B2481" s="11" t="str">
        <f>"00144916"</f>
        <v>00144916</v>
      </c>
    </row>
    <row r="2482" spans="1:2" x14ac:dyDescent="0.25">
      <c r="A2482" s="2">
        <v>2477</v>
      </c>
      <c r="B2482" s="11" t="str">
        <f>"00144977"</f>
        <v>00144977</v>
      </c>
    </row>
    <row r="2483" spans="1:2" x14ac:dyDescent="0.25">
      <c r="A2483" s="2">
        <v>2478</v>
      </c>
      <c r="B2483" s="11" t="str">
        <f>"00145012"</f>
        <v>00145012</v>
      </c>
    </row>
    <row r="2484" spans="1:2" x14ac:dyDescent="0.25">
      <c r="A2484" s="2">
        <v>2479</v>
      </c>
      <c r="B2484" s="11" t="str">
        <f>"00145046"</f>
        <v>00145046</v>
      </c>
    </row>
    <row r="2485" spans="1:2" x14ac:dyDescent="0.25">
      <c r="A2485" s="2">
        <v>2480</v>
      </c>
      <c r="B2485" s="11" t="str">
        <f>"00145133"</f>
        <v>00145133</v>
      </c>
    </row>
    <row r="2486" spans="1:2" x14ac:dyDescent="0.25">
      <c r="A2486" s="2">
        <v>2481</v>
      </c>
      <c r="B2486" s="11" t="str">
        <f>"00145161"</f>
        <v>00145161</v>
      </c>
    </row>
    <row r="2487" spans="1:2" x14ac:dyDescent="0.25">
      <c r="A2487" s="2">
        <v>2482</v>
      </c>
      <c r="B2487" s="11" t="str">
        <f>"00145186"</f>
        <v>00145186</v>
      </c>
    </row>
    <row r="2488" spans="1:2" x14ac:dyDescent="0.25">
      <c r="A2488" s="2">
        <v>2483</v>
      </c>
      <c r="B2488" s="11" t="str">
        <f>"00145207"</f>
        <v>00145207</v>
      </c>
    </row>
    <row r="2489" spans="1:2" x14ac:dyDescent="0.25">
      <c r="A2489" s="2">
        <v>2484</v>
      </c>
      <c r="B2489" s="11" t="str">
        <f>"00145224"</f>
        <v>00145224</v>
      </c>
    </row>
    <row r="2490" spans="1:2" x14ac:dyDescent="0.25">
      <c r="A2490" s="2">
        <v>2485</v>
      </c>
      <c r="B2490" s="11" t="str">
        <f>"00145242"</f>
        <v>00145242</v>
      </c>
    </row>
    <row r="2491" spans="1:2" x14ac:dyDescent="0.25">
      <c r="A2491" s="2">
        <v>2486</v>
      </c>
      <c r="B2491" s="11" t="str">
        <f>"00145250"</f>
        <v>00145250</v>
      </c>
    </row>
    <row r="2492" spans="1:2" x14ac:dyDescent="0.25">
      <c r="A2492" s="2">
        <v>2487</v>
      </c>
      <c r="B2492" s="11" t="str">
        <f>"00145293"</f>
        <v>00145293</v>
      </c>
    </row>
    <row r="2493" spans="1:2" x14ac:dyDescent="0.25">
      <c r="A2493" s="2">
        <v>2488</v>
      </c>
      <c r="B2493" s="11" t="str">
        <f>"00145304"</f>
        <v>00145304</v>
      </c>
    </row>
    <row r="2494" spans="1:2" x14ac:dyDescent="0.25">
      <c r="A2494" s="2">
        <v>2489</v>
      </c>
      <c r="B2494" s="11" t="str">
        <f>"00145309"</f>
        <v>00145309</v>
      </c>
    </row>
    <row r="2495" spans="1:2" x14ac:dyDescent="0.25">
      <c r="A2495" s="2">
        <v>2490</v>
      </c>
      <c r="B2495" s="11" t="str">
        <f>"00145312"</f>
        <v>00145312</v>
      </c>
    </row>
    <row r="2496" spans="1:2" x14ac:dyDescent="0.25">
      <c r="A2496" s="2">
        <v>2491</v>
      </c>
      <c r="B2496" s="11" t="str">
        <f>"00145355"</f>
        <v>00145355</v>
      </c>
    </row>
    <row r="2497" spans="1:2" x14ac:dyDescent="0.25">
      <c r="A2497" s="2">
        <v>2492</v>
      </c>
      <c r="B2497" s="11" t="str">
        <f>"00145356"</f>
        <v>00145356</v>
      </c>
    </row>
    <row r="2498" spans="1:2" x14ac:dyDescent="0.25">
      <c r="A2498" s="2">
        <v>2493</v>
      </c>
      <c r="B2498" s="11" t="str">
        <f>"00145362"</f>
        <v>00145362</v>
      </c>
    </row>
    <row r="2499" spans="1:2" x14ac:dyDescent="0.25">
      <c r="A2499" s="2">
        <v>2494</v>
      </c>
      <c r="B2499" s="11" t="str">
        <f>"00145377"</f>
        <v>00145377</v>
      </c>
    </row>
    <row r="2500" spans="1:2" x14ac:dyDescent="0.25">
      <c r="A2500" s="2">
        <v>2495</v>
      </c>
      <c r="B2500" s="11" t="str">
        <f>"00145400"</f>
        <v>00145400</v>
      </c>
    </row>
    <row r="2501" spans="1:2" x14ac:dyDescent="0.25">
      <c r="A2501" s="2">
        <v>2496</v>
      </c>
      <c r="B2501" s="11" t="str">
        <f>"00145464"</f>
        <v>00145464</v>
      </c>
    </row>
    <row r="2502" spans="1:2" x14ac:dyDescent="0.25">
      <c r="A2502" s="2">
        <v>2497</v>
      </c>
      <c r="B2502" s="11" t="str">
        <f>"00145481"</f>
        <v>00145481</v>
      </c>
    </row>
    <row r="2503" spans="1:2" x14ac:dyDescent="0.25">
      <c r="A2503" s="2">
        <v>2498</v>
      </c>
      <c r="B2503" s="11" t="str">
        <f>"00145495"</f>
        <v>00145495</v>
      </c>
    </row>
    <row r="2504" spans="1:2" x14ac:dyDescent="0.25">
      <c r="A2504" s="2">
        <v>2499</v>
      </c>
      <c r="B2504" s="11" t="str">
        <f>"00145513"</f>
        <v>00145513</v>
      </c>
    </row>
    <row r="2505" spans="1:2" x14ac:dyDescent="0.25">
      <c r="A2505" s="2">
        <v>2500</v>
      </c>
      <c r="B2505" s="11" t="str">
        <f>"00145552"</f>
        <v>00145552</v>
      </c>
    </row>
    <row r="2506" spans="1:2" x14ac:dyDescent="0.25">
      <c r="A2506" s="2">
        <v>2501</v>
      </c>
      <c r="B2506" s="11" t="str">
        <f>"00145559"</f>
        <v>00145559</v>
      </c>
    </row>
    <row r="2507" spans="1:2" x14ac:dyDescent="0.25">
      <c r="A2507" s="2">
        <v>2502</v>
      </c>
      <c r="B2507" s="11" t="str">
        <f>"00145643"</f>
        <v>00145643</v>
      </c>
    </row>
    <row r="2508" spans="1:2" x14ac:dyDescent="0.25">
      <c r="A2508" s="2">
        <v>2503</v>
      </c>
      <c r="B2508" s="11" t="str">
        <f>"00145702"</f>
        <v>00145702</v>
      </c>
    </row>
    <row r="2509" spans="1:2" x14ac:dyDescent="0.25">
      <c r="A2509" s="2">
        <v>2504</v>
      </c>
      <c r="B2509" s="11" t="str">
        <f>"00145730"</f>
        <v>00145730</v>
      </c>
    </row>
    <row r="2510" spans="1:2" x14ac:dyDescent="0.25">
      <c r="A2510" s="2">
        <v>2505</v>
      </c>
      <c r="B2510" s="11" t="str">
        <f>"00145741"</f>
        <v>00145741</v>
      </c>
    </row>
    <row r="2511" spans="1:2" x14ac:dyDescent="0.25">
      <c r="A2511" s="2">
        <v>2506</v>
      </c>
      <c r="B2511" s="11" t="str">
        <f>"00145758"</f>
        <v>00145758</v>
      </c>
    </row>
    <row r="2512" spans="1:2" x14ac:dyDescent="0.25">
      <c r="A2512" s="2">
        <v>2507</v>
      </c>
      <c r="B2512" s="11" t="str">
        <f>"00145896"</f>
        <v>00145896</v>
      </c>
    </row>
    <row r="2513" spans="1:2" x14ac:dyDescent="0.25">
      <c r="A2513" s="2">
        <v>2508</v>
      </c>
      <c r="B2513" s="11" t="str">
        <f>"00145952"</f>
        <v>00145952</v>
      </c>
    </row>
    <row r="2514" spans="1:2" x14ac:dyDescent="0.25">
      <c r="A2514" s="2">
        <v>2509</v>
      </c>
      <c r="B2514" s="11" t="str">
        <f>"00145968"</f>
        <v>00145968</v>
      </c>
    </row>
    <row r="2515" spans="1:2" x14ac:dyDescent="0.25">
      <c r="A2515" s="2">
        <v>2510</v>
      </c>
      <c r="B2515" s="11" t="str">
        <f>"00146026"</f>
        <v>00146026</v>
      </c>
    </row>
    <row r="2516" spans="1:2" x14ac:dyDescent="0.25">
      <c r="A2516" s="2">
        <v>2511</v>
      </c>
      <c r="B2516" s="11" t="str">
        <f>"00146032"</f>
        <v>00146032</v>
      </c>
    </row>
    <row r="2517" spans="1:2" x14ac:dyDescent="0.25">
      <c r="A2517" s="2">
        <v>2512</v>
      </c>
      <c r="B2517" s="11" t="str">
        <f>"00146067"</f>
        <v>00146067</v>
      </c>
    </row>
    <row r="2518" spans="1:2" x14ac:dyDescent="0.25">
      <c r="A2518" s="2">
        <v>2513</v>
      </c>
      <c r="B2518" s="11" t="str">
        <f>"00146075"</f>
        <v>00146075</v>
      </c>
    </row>
    <row r="2519" spans="1:2" x14ac:dyDescent="0.25">
      <c r="A2519" s="2">
        <v>2514</v>
      </c>
      <c r="B2519" s="11" t="str">
        <f>"00146097"</f>
        <v>00146097</v>
      </c>
    </row>
    <row r="2520" spans="1:2" x14ac:dyDescent="0.25">
      <c r="A2520" s="2">
        <v>2515</v>
      </c>
      <c r="B2520" s="11" t="str">
        <f>"00146138"</f>
        <v>00146138</v>
      </c>
    </row>
    <row r="2521" spans="1:2" x14ac:dyDescent="0.25">
      <c r="A2521" s="2">
        <v>2516</v>
      </c>
      <c r="B2521" s="11" t="str">
        <f>"00146182"</f>
        <v>00146182</v>
      </c>
    </row>
    <row r="2522" spans="1:2" x14ac:dyDescent="0.25">
      <c r="A2522" s="2">
        <v>2517</v>
      </c>
      <c r="B2522" s="11" t="str">
        <f>"00146214"</f>
        <v>00146214</v>
      </c>
    </row>
    <row r="2523" spans="1:2" x14ac:dyDescent="0.25">
      <c r="A2523" s="2">
        <v>2518</v>
      </c>
      <c r="B2523" s="11" t="str">
        <f>"00146240"</f>
        <v>00146240</v>
      </c>
    </row>
    <row r="2524" spans="1:2" x14ac:dyDescent="0.25">
      <c r="A2524" s="2">
        <v>2519</v>
      </c>
      <c r="B2524" s="11" t="str">
        <f>"00146301"</f>
        <v>00146301</v>
      </c>
    </row>
    <row r="2525" spans="1:2" x14ac:dyDescent="0.25">
      <c r="A2525" s="2">
        <v>2520</v>
      </c>
      <c r="B2525" s="11" t="str">
        <f>"00146316"</f>
        <v>00146316</v>
      </c>
    </row>
    <row r="2526" spans="1:2" x14ac:dyDescent="0.25">
      <c r="A2526" s="2">
        <v>2521</v>
      </c>
      <c r="B2526" s="11" t="str">
        <f>"00146321"</f>
        <v>00146321</v>
      </c>
    </row>
    <row r="2527" spans="1:2" x14ac:dyDescent="0.25">
      <c r="A2527" s="2">
        <v>2522</v>
      </c>
      <c r="B2527" s="11" t="str">
        <f>"00146374"</f>
        <v>00146374</v>
      </c>
    </row>
    <row r="2528" spans="1:2" x14ac:dyDescent="0.25">
      <c r="A2528" s="2">
        <v>2523</v>
      </c>
      <c r="B2528" s="11" t="str">
        <f>"00146392"</f>
        <v>00146392</v>
      </c>
    </row>
    <row r="2529" spans="1:2" x14ac:dyDescent="0.25">
      <c r="A2529" s="2">
        <v>2524</v>
      </c>
      <c r="B2529" s="11" t="str">
        <f>"00146432"</f>
        <v>00146432</v>
      </c>
    </row>
    <row r="2530" spans="1:2" x14ac:dyDescent="0.25">
      <c r="A2530" s="2">
        <v>2525</v>
      </c>
      <c r="B2530" s="11" t="str">
        <f>"00146472"</f>
        <v>00146472</v>
      </c>
    </row>
    <row r="2531" spans="1:2" x14ac:dyDescent="0.25">
      <c r="A2531" s="2">
        <v>2526</v>
      </c>
      <c r="B2531" s="11" t="str">
        <f>"00146497"</f>
        <v>00146497</v>
      </c>
    </row>
    <row r="2532" spans="1:2" x14ac:dyDescent="0.25">
      <c r="A2532" s="2">
        <v>2527</v>
      </c>
      <c r="B2532" s="11" t="str">
        <f>"00146543"</f>
        <v>00146543</v>
      </c>
    </row>
    <row r="2533" spans="1:2" x14ac:dyDescent="0.25">
      <c r="A2533" s="2">
        <v>2528</v>
      </c>
      <c r="B2533" s="11" t="str">
        <f>"00146549"</f>
        <v>00146549</v>
      </c>
    </row>
    <row r="2534" spans="1:2" x14ac:dyDescent="0.25">
      <c r="A2534" s="2">
        <v>2529</v>
      </c>
      <c r="B2534" s="11" t="str">
        <f>"00146563"</f>
        <v>00146563</v>
      </c>
    </row>
    <row r="2535" spans="1:2" x14ac:dyDescent="0.25">
      <c r="A2535" s="2">
        <v>2530</v>
      </c>
      <c r="B2535" s="11" t="str">
        <f>"00146621"</f>
        <v>00146621</v>
      </c>
    </row>
    <row r="2536" spans="1:2" x14ac:dyDescent="0.25">
      <c r="A2536" s="2">
        <v>2531</v>
      </c>
      <c r="B2536" s="11" t="str">
        <f>"00146624"</f>
        <v>00146624</v>
      </c>
    </row>
    <row r="2537" spans="1:2" x14ac:dyDescent="0.25">
      <c r="A2537" s="2">
        <v>2532</v>
      </c>
      <c r="B2537" s="11" t="str">
        <f>"00146707"</f>
        <v>00146707</v>
      </c>
    </row>
    <row r="2538" spans="1:2" x14ac:dyDescent="0.25">
      <c r="A2538" s="2">
        <v>2533</v>
      </c>
      <c r="B2538" s="11" t="str">
        <f>"00146712"</f>
        <v>00146712</v>
      </c>
    </row>
    <row r="2539" spans="1:2" x14ac:dyDescent="0.25">
      <c r="A2539" s="2">
        <v>2534</v>
      </c>
      <c r="B2539" s="11" t="str">
        <f>"00146786"</f>
        <v>00146786</v>
      </c>
    </row>
    <row r="2540" spans="1:2" x14ac:dyDescent="0.25">
      <c r="A2540" s="2">
        <v>2535</v>
      </c>
      <c r="B2540" s="11" t="str">
        <f>"00146792"</f>
        <v>00146792</v>
      </c>
    </row>
    <row r="2541" spans="1:2" x14ac:dyDescent="0.25">
      <c r="A2541" s="2">
        <v>2536</v>
      </c>
      <c r="B2541" s="11" t="str">
        <f>"00146794"</f>
        <v>00146794</v>
      </c>
    </row>
    <row r="2542" spans="1:2" x14ac:dyDescent="0.25">
      <c r="A2542" s="2">
        <v>2537</v>
      </c>
      <c r="B2542" s="11" t="str">
        <f>"00146836"</f>
        <v>00146836</v>
      </c>
    </row>
    <row r="2543" spans="1:2" x14ac:dyDescent="0.25">
      <c r="A2543" s="2">
        <v>2538</v>
      </c>
      <c r="B2543" s="11" t="str">
        <f>"00146847"</f>
        <v>00146847</v>
      </c>
    </row>
    <row r="2544" spans="1:2" x14ac:dyDescent="0.25">
      <c r="A2544" s="2">
        <v>2539</v>
      </c>
      <c r="B2544" s="11" t="str">
        <f>"00146934"</f>
        <v>00146934</v>
      </c>
    </row>
    <row r="2545" spans="1:2" x14ac:dyDescent="0.25">
      <c r="A2545" s="2">
        <v>2540</v>
      </c>
      <c r="B2545" s="11" t="str">
        <f>"00146970"</f>
        <v>00146970</v>
      </c>
    </row>
    <row r="2546" spans="1:2" x14ac:dyDescent="0.25">
      <c r="A2546" s="2">
        <v>2541</v>
      </c>
      <c r="B2546" s="11" t="str">
        <f>"00146973"</f>
        <v>00146973</v>
      </c>
    </row>
    <row r="2547" spans="1:2" x14ac:dyDescent="0.25">
      <c r="A2547" s="2">
        <v>2542</v>
      </c>
      <c r="B2547" s="11" t="str">
        <f>"00146975"</f>
        <v>00146975</v>
      </c>
    </row>
    <row r="2548" spans="1:2" x14ac:dyDescent="0.25">
      <c r="A2548" s="2">
        <v>2543</v>
      </c>
      <c r="B2548" s="11" t="str">
        <f>"00147024"</f>
        <v>00147024</v>
      </c>
    </row>
    <row r="2549" spans="1:2" x14ac:dyDescent="0.25">
      <c r="A2549" s="2">
        <v>2544</v>
      </c>
      <c r="B2549" s="11" t="str">
        <f>"00147055"</f>
        <v>00147055</v>
      </c>
    </row>
    <row r="2550" spans="1:2" x14ac:dyDescent="0.25">
      <c r="A2550" s="2">
        <v>2545</v>
      </c>
      <c r="B2550" s="11" t="str">
        <f>"00147083"</f>
        <v>00147083</v>
      </c>
    </row>
    <row r="2551" spans="1:2" x14ac:dyDescent="0.25">
      <c r="A2551" s="2">
        <v>2546</v>
      </c>
      <c r="B2551" s="11" t="str">
        <f>"00147113"</f>
        <v>00147113</v>
      </c>
    </row>
    <row r="2552" spans="1:2" x14ac:dyDescent="0.25">
      <c r="A2552" s="2">
        <v>2547</v>
      </c>
      <c r="B2552" s="11" t="str">
        <f>"00147173"</f>
        <v>00147173</v>
      </c>
    </row>
    <row r="2553" spans="1:2" x14ac:dyDescent="0.25">
      <c r="A2553" s="2">
        <v>2548</v>
      </c>
      <c r="B2553" s="11" t="str">
        <f>"00147183"</f>
        <v>00147183</v>
      </c>
    </row>
    <row r="2554" spans="1:2" x14ac:dyDescent="0.25">
      <c r="A2554" s="2">
        <v>2549</v>
      </c>
      <c r="B2554" s="11" t="str">
        <f>"00147194"</f>
        <v>00147194</v>
      </c>
    </row>
    <row r="2555" spans="1:2" x14ac:dyDescent="0.25">
      <c r="A2555" s="2">
        <v>2550</v>
      </c>
      <c r="B2555" s="11" t="str">
        <f>"00147233"</f>
        <v>00147233</v>
      </c>
    </row>
    <row r="2556" spans="1:2" x14ac:dyDescent="0.25">
      <c r="A2556" s="2">
        <v>2551</v>
      </c>
      <c r="B2556" s="11" t="str">
        <f>"00147236"</f>
        <v>00147236</v>
      </c>
    </row>
    <row r="2557" spans="1:2" x14ac:dyDescent="0.25">
      <c r="A2557" s="2">
        <v>2552</v>
      </c>
      <c r="B2557" s="11" t="str">
        <f>"00147237"</f>
        <v>00147237</v>
      </c>
    </row>
    <row r="2558" spans="1:2" x14ac:dyDescent="0.25">
      <c r="A2558" s="2">
        <v>2553</v>
      </c>
      <c r="B2558" s="11" t="str">
        <f>"00147256"</f>
        <v>00147256</v>
      </c>
    </row>
    <row r="2559" spans="1:2" x14ac:dyDescent="0.25">
      <c r="A2559" s="2">
        <v>2554</v>
      </c>
      <c r="B2559" s="11" t="str">
        <f>"00147275"</f>
        <v>00147275</v>
      </c>
    </row>
    <row r="2560" spans="1:2" x14ac:dyDescent="0.25">
      <c r="A2560" s="2">
        <v>2555</v>
      </c>
      <c r="B2560" s="11" t="str">
        <f>"00147287"</f>
        <v>00147287</v>
      </c>
    </row>
    <row r="2561" spans="1:2" x14ac:dyDescent="0.25">
      <c r="A2561" s="2">
        <v>2556</v>
      </c>
      <c r="B2561" s="11" t="str">
        <f>"00147293"</f>
        <v>00147293</v>
      </c>
    </row>
    <row r="2562" spans="1:2" x14ac:dyDescent="0.25">
      <c r="A2562" s="2">
        <v>2557</v>
      </c>
      <c r="B2562" s="11" t="str">
        <f>"00147333"</f>
        <v>00147333</v>
      </c>
    </row>
    <row r="2563" spans="1:2" x14ac:dyDescent="0.25">
      <c r="A2563" s="2">
        <v>2558</v>
      </c>
      <c r="B2563" s="11" t="str">
        <f>"00147369"</f>
        <v>00147369</v>
      </c>
    </row>
    <row r="2564" spans="1:2" x14ac:dyDescent="0.25">
      <c r="A2564" s="2">
        <v>2559</v>
      </c>
      <c r="B2564" s="11" t="str">
        <f>"00147409"</f>
        <v>00147409</v>
      </c>
    </row>
    <row r="2565" spans="1:2" x14ac:dyDescent="0.25">
      <c r="A2565" s="2">
        <v>2560</v>
      </c>
      <c r="B2565" s="11" t="str">
        <f>"00147414"</f>
        <v>00147414</v>
      </c>
    </row>
    <row r="2566" spans="1:2" x14ac:dyDescent="0.25">
      <c r="A2566" s="2">
        <v>2561</v>
      </c>
      <c r="B2566" s="11" t="str">
        <f>"00147470"</f>
        <v>00147470</v>
      </c>
    </row>
    <row r="2567" spans="1:2" x14ac:dyDescent="0.25">
      <c r="A2567" s="2">
        <v>2562</v>
      </c>
      <c r="B2567" s="11" t="str">
        <f>"00147531"</f>
        <v>00147531</v>
      </c>
    </row>
    <row r="2568" spans="1:2" x14ac:dyDescent="0.25">
      <c r="A2568" s="2">
        <v>2563</v>
      </c>
      <c r="B2568" s="11" t="str">
        <f>"00147545"</f>
        <v>00147545</v>
      </c>
    </row>
    <row r="2569" spans="1:2" x14ac:dyDescent="0.25">
      <c r="A2569" s="2">
        <v>2564</v>
      </c>
      <c r="B2569" s="11" t="str">
        <f>"00147549"</f>
        <v>00147549</v>
      </c>
    </row>
    <row r="2570" spans="1:2" x14ac:dyDescent="0.25">
      <c r="A2570" s="2">
        <v>2565</v>
      </c>
      <c r="B2570" s="11" t="str">
        <f>"00147565"</f>
        <v>00147565</v>
      </c>
    </row>
    <row r="2571" spans="1:2" x14ac:dyDescent="0.25">
      <c r="A2571" s="2">
        <v>2566</v>
      </c>
      <c r="B2571" s="11" t="str">
        <f>"00147600"</f>
        <v>00147600</v>
      </c>
    </row>
    <row r="2572" spans="1:2" x14ac:dyDescent="0.25">
      <c r="A2572" s="2">
        <v>2567</v>
      </c>
      <c r="B2572" s="11" t="str">
        <f>"00147628"</f>
        <v>00147628</v>
      </c>
    </row>
    <row r="2573" spans="1:2" x14ac:dyDescent="0.25">
      <c r="A2573" s="2">
        <v>2568</v>
      </c>
      <c r="B2573" s="11" t="str">
        <f>"00147682"</f>
        <v>00147682</v>
      </c>
    </row>
    <row r="2574" spans="1:2" x14ac:dyDescent="0.25">
      <c r="A2574" s="2">
        <v>2569</v>
      </c>
      <c r="B2574" s="11" t="str">
        <f>"00147696"</f>
        <v>00147696</v>
      </c>
    </row>
    <row r="2575" spans="1:2" x14ac:dyDescent="0.25">
      <c r="A2575" s="2">
        <v>2570</v>
      </c>
      <c r="B2575" s="11" t="str">
        <f>"00147703"</f>
        <v>00147703</v>
      </c>
    </row>
    <row r="2576" spans="1:2" x14ac:dyDescent="0.25">
      <c r="A2576" s="2">
        <v>2571</v>
      </c>
      <c r="B2576" s="11" t="str">
        <f>"00147738"</f>
        <v>00147738</v>
      </c>
    </row>
    <row r="2577" spans="1:2" x14ac:dyDescent="0.25">
      <c r="A2577" s="2">
        <v>2572</v>
      </c>
      <c r="B2577" s="11" t="str">
        <f>"00147778"</f>
        <v>00147778</v>
      </c>
    </row>
    <row r="2578" spans="1:2" x14ac:dyDescent="0.25">
      <c r="A2578" s="2">
        <v>2573</v>
      </c>
      <c r="B2578" s="11" t="str">
        <f>"00147779"</f>
        <v>00147779</v>
      </c>
    </row>
    <row r="2579" spans="1:2" x14ac:dyDescent="0.25">
      <c r="A2579" s="2">
        <v>2574</v>
      </c>
      <c r="B2579" s="11" t="str">
        <f>"00147782"</f>
        <v>00147782</v>
      </c>
    </row>
    <row r="2580" spans="1:2" x14ac:dyDescent="0.25">
      <c r="A2580" s="2">
        <v>2575</v>
      </c>
      <c r="B2580" s="11" t="str">
        <f>"00147788"</f>
        <v>00147788</v>
      </c>
    </row>
    <row r="2581" spans="1:2" x14ac:dyDescent="0.25">
      <c r="A2581" s="2">
        <v>2576</v>
      </c>
      <c r="B2581" s="11" t="str">
        <f>"00147821"</f>
        <v>00147821</v>
      </c>
    </row>
    <row r="2582" spans="1:2" x14ac:dyDescent="0.25">
      <c r="A2582" s="2">
        <v>2577</v>
      </c>
      <c r="B2582" s="11" t="str">
        <f>"00147824"</f>
        <v>00147824</v>
      </c>
    </row>
    <row r="2583" spans="1:2" x14ac:dyDescent="0.25">
      <c r="A2583" s="2">
        <v>2578</v>
      </c>
      <c r="B2583" s="11" t="str">
        <f>"00147834"</f>
        <v>00147834</v>
      </c>
    </row>
    <row r="2584" spans="1:2" x14ac:dyDescent="0.25">
      <c r="A2584" s="2">
        <v>2579</v>
      </c>
      <c r="B2584" s="11" t="str">
        <f>"00147889"</f>
        <v>00147889</v>
      </c>
    </row>
    <row r="2585" spans="1:2" x14ac:dyDescent="0.25">
      <c r="A2585" s="2">
        <v>2580</v>
      </c>
      <c r="B2585" s="11" t="str">
        <f>"00147896"</f>
        <v>00147896</v>
      </c>
    </row>
    <row r="2586" spans="1:2" x14ac:dyDescent="0.25">
      <c r="A2586" s="2">
        <v>2581</v>
      </c>
      <c r="B2586" s="11" t="str">
        <f>"00147907"</f>
        <v>00147907</v>
      </c>
    </row>
    <row r="2587" spans="1:2" x14ac:dyDescent="0.25">
      <c r="A2587" s="2">
        <v>2582</v>
      </c>
      <c r="B2587" s="11" t="str">
        <f>"00147917"</f>
        <v>00147917</v>
      </c>
    </row>
    <row r="2588" spans="1:2" x14ac:dyDescent="0.25">
      <c r="A2588" s="2">
        <v>2583</v>
      </c>
      <c r="B2588" s="11" t="str">
        <f>"00147939"</f>
        <v>00147939</v>
      </c>
    </row>
    <row r="2589" spans="1:2" x14ac:dyDescent="0.25">
      <c r="A2589" s="2">
        <v>2584</v>
      </c>
      <c r="B2589" s="11" t="str">
        <f>"00147954"</f>
        <v>00147954</v>
      </c>
    </row>
    <row r="2590" spans="1:2" x14ac:dyDescent="0.25">
      <c r="A2590" s="2">
        <v>2585</v>
      </c>
      <c r="B2590" s="11" t="str">
        <f>"00147970"</f>
        <v>00147970</v>
      </c>
    </row>
    <row r="2591" spans="1:2" x14ac:dyDescent="0.25">
      <c r="A2591" s="2">
        <v>2586</v>
      </c>
      <c r="B2591" s="11" t="str">
        <f>"00148047"</f>
        <v>00148047</v>
      </c>
    </row>
    <row r="2592" spans="1:2" x14ac:dyDescent="0.25">
      <c r="A2592" s="2">
        <v>2587</v>
      </c>
      <c r="B2592" s="11" t="str">
        <f>"00148082"</f>
        <v>00148082</v>
      </c>
    </row>
    <row r="2593" spans="1:2" x14ac:dyDescent="0.25">
      <c r="A2593" s="2">
        <v>2588</v>
      </c>
      <c r="B2593" s="11" t="str">
        <f>"00148118"</f>
        <v>00148118</v>
      </c>
    </row>
    <row r="2594" spans="1:2" x14ac:dyDescent="0.25">
      <c r="A2594" s="2">
        <v>2589</v>
      </c>
      <c r="B2594" s="11" t="str">
        <f>"00148145"</f>
        <v>00148145</v>
      </c>
    </row>
    <row r="2595" spans="1:2" x14ac:dyDescent="0.25">
      <c r="A2595" s="2">
        <v>2590</v>
      </c>
      <c r="B2595" s="11" t="str">
        <f>"00148146"</f>
        <v>00148146</v>
      </c>
    </row>
    <row r="2596" spans="1:2" x14ac:dyDescent="0.25">
      <c r="A2596" s="2">
        <v>2591</v>
      </c>
      <c r="B2596" s="11" t="str">
        <f>"00148175"</f>
        <v>00148175</v>
      </c>
    </row>
    <row r="2597" spans="1:2" x14ac:dyDescent="0.25">
      <c r="A2597" s="2">
        <v>2592</v>
      </c>
      <c r="B2597" s="11" t="str">
        <f>"00148205"</f>
        <v>00148205</v>
      </c>
    </row>
    <row r="2598" spans="1:2" x14ac:dyDescent="0.25">
      <c r="A2598" s="2">
        <v>2593</v>
      </c>
      <c r="B2598" s="11" t="str">
        <f>"00148206"</f>
        <v>00148206</v>
      </c>
    </row>
    <row r="2599" spans="1:2" x14ac:dyDescent="0.25">
      <c r="A2599" s="2">
        <v>2594</v>
      </c>
      <c r="B2599" s="11" t="str">
        <f>"00148211"</f>
        <v>00148211</v>
      </c>
    </row>
    <row r="2600" spans="1:2" x14ac:dyDescent="0.25">
      <c r="A2600" s="2">
        <v>2595</v>
      </c>
      <c r="B2600" s="11" t="str">
        <f>"00148224"</f>
        <v>00148224</v>
      </c>
    </row>
    <row r="2601" spans="1:2" x14ac:dyDescent="0.25">
      <c r="A2601" s="2">
        <v>2596</v>
      </c>
      <c r="B2601" s="11" t="str">
        <f>"00148254"</f>
        <v>00148254</v>
      </c>
    </row>
    <row r="2602" spans="1:2" x14ac:dyDescent="0.25">
      <c r="A2602" s="2">
        <v>2597</v>
      </c>
      <c r="B2602" s="11" t="str">
        <f>"00148260"</f>
        <v>00148260</v>
      </c>
    </row>
    <row r="2603" spans="1:2" x14ac:dyDescent="0.25">
      <c r="A2603" s="2">
        <v>2598</v>
      </c>
      <c r="B2603" s="11" t="str">
        <f>"00148283"</f>
        <v>00148283</v>
      </c>
    </row>
    <row r="2604" spans="1:2" x14ac:dyDescent="0.25">
      <c r="A2604" s="2">
        <v>2599</v>
      </c>
      <c r="B2604" s="11" t="str">
        <f>"00148312"</f>
        <v>00148312</v>
      </c>
    </row>
    <row r="2605" spans="1:2" x14ac:dyDescent="0.25">
      <c r="A2605" s="2">
        <v>2600</v>
      </c>
      <c r="B2605" s="11" t="str">
        <f>"00148315"</f>
        <v>00148315</v>
      </c>
    </row>
    <row r="2606" spans="1:2" x14ac:dyDescent="0.25">
      <c r="A2606" s="2">
        <v>2601</v>
      </c>
      <c r="B2606" s="11" t="str">
        <f>"00148331"</f>
        <v>00148331</v>
      </c>
    </row>
    <row r="2607" spans="1:2" x14ac:dyDescent="0.25">
      <c r="A2607" s="2">
        <v>2602</v>
      </c>
      <c r="B2607" s="11" t="str">
        <f>"00148386"</f>
        <v>00148386</v>
      </c>
    </row>
    <row r="2608" spans="1:2" x14ac:dyDescent="0.25">
      <c r="A2608" s="2">
        <v>2603</v>
      </c>
      <c r="B2608" s="11" t="str">
        <f>"00148394"</f>
        <v>00148394</v>
      </c>
    </row>
    <row r="2609" spans="1:2" x14ac:dyDescent="0.25">
      <c r="A2609" s="2">
        <v>2604</v>
      </c>
      <c r="B2609" s="11" t="str">
        <f>"00148398"</f>
        <v>00148398</v>
      </c>
    </row>
    <row r="2610" spans="1:2" x14ac:dyDescent="0.25">
      <c r="A2610" s="2">
        <v>2605</v>
      </c>
      <c r="B2610" s="11" t="str">
        <f>"00148399"</f>
        <v>00148399</v>
      </c>
    </row>
    <row r="2611" spans="1:2" x14ac:dyDescent="0.25">
      <c r="A2611" s="2">
        <v>2606</v>
      </c>
      <c r="B2611" s="11" t="str">
        <f>"00148403"</f>
        <v>00148403</v>
      </c>
    </row>
    <row r="2612" spans="1:2" x14ac:dyDescent="0.25">
      <c r="A2612" s="2">
        <v>2607</v>
      </c>
      <c r="B2612" s="11" t="str">
        <f>"00148415"</f>
        <v>00148415</v>
      </c>
    </row>
    <row r="2613" spans="1:2" x14ac:dyDescent="0.25">
      <c r="A2613" s="2">
        <v>2608</v>
      </c>
      <c r="B2613" s="11" t="str">
        <f>"00148440"</f>
        <v>00148440</v>
      </c>
    </row>
    <row r="2614" spans="1:2" x14ac:dyDescent="0.25">
      <c r="A2614" s="2">
        <v>2609</v>
      </c>
      <c r="B2614" s="11" t="str">
        <f>"00148453"</f>
        <v>00148453</v>
      </c>
    </row>
    <row r="2615" spans="1:2" x14ac:dyDescent="0.25">
      <c r="A2615" s="2">
        <v>2610</v>
      </c>
      <c r="B2615" s="11" t="str">
        <f>"00148455"</f>
        <v>00148455</v>
      </c>
    </row>
    <row r="2616" spans="1:2" x14ac:dyDescent="0.25">
      <c r="A2616" s="2">
        <v>2611</v>
      </c>
      <c r="B2616" s="11" t="str">
        <f>"00148460"</f>
        <v>00148460</v>
      </c>
    </row>
    <row r="2617" spans="1:2" x14ac:dyDescent="0.25">
      <c r="A2617" s="2">
        <v>2612</v>
      </c>
      <c r="B2617" s="11" t="str">
        <f>"00148575"</f>
        <v>00148575</v>
      </c>
    </row>
    <row r="2618" spans="1:2" x14ac:dyDescent="0.25">
      <c r="A2618" s="2">
        <v>2613</v>
      </c>
      <c r="B2618" s="11" t="str">
        <f>"00148580"</f>
        <v>00148580</v>
      </c>
    </row>
    <row r="2619" spans="1:2" x14ac:dyDescent="0.25">
      <c r="A2619" s="2">
        <v>2614</v>
      </c>
      <c r="B2619" s="11" t="str">
        <f>"00148581"</f>
        <v>00148581</v>
      </c>
    </row>
    <row r="2620" spans="1:2" x14ac:dyDescent="0.25">
      <c r="A2620" s="2">
        <v>2615</v>
      </c>
      <c r="B2620" s="11" t="str">
        <f>"00148585"</f>
        <v>00148585</v>
      </c>
    </row>
    <row r="2621" spans="1:2" x14ac:dyDescent="0.25">
      <c r="A2621" s="2">
        <v>2616</v>
      </c>
      <c r="B2621" s="11" t="str">
        <f>"00148609"</f>
        <v>00148609</v>
      </c>
    </row>
    <row r="2622" spans="1:2" x14ac:dyDescent="0.25">
      <c r="A2622" s="2">
        <v>2617</v>
      </c>
      <c r="B2622" s="11" t="str">
        <f>"00148680"</f>
        <v>00148680</v>
      </c>
    </row>
    <row r="2623" spans="1:2" x14ac:dyDescent="0.25">
      <c r="A2623" s="2">
        <v>2618</v>
      </c>
      <c r="B2623" s="11" t="str">
        <f>"00148692"</f>
        <v>00148692</v>
      </c>
    </row>
    <row r="2624" spans="1:2" x14ac:dyDescent="0.25">
      <c r="A2624" s="2">
        <v>2619</v>
      </c>
      <c r="B2624" s="11" t="str">
        <f>"00148694"</f>
        <v>00148694</v>
      </c>
    </row>
    <row r="2625" spans="1:2" x14ac:dyDescent="0.25">
      <c r="A2625" s="2">
        <v>2620</v>
      </c>
      <c r="B2625" s="11" t="str">
        <f>"00148699"</f>
        <v>00148699</v>
      </c>
    </row>
    <row r="2626" spans="1:2" x14ac:dyDescent="0.25">
      <c r="A2626" s="2">
        <v>2621</v>
      </c>
      <c r="B2626" s="11" t="str">
        <f>"00148728"</f>
        <v>00148728</v>
      </c>
    </row>
    <row r="2627" spans="1:2" x14ac:dyDescent="0.25">
      <c r="A2627" s="2">
        <v>2622</v>
      </c>
      <c r="B2627" s="11" t="str">
        <f>"00148742"</f>
        <v>00148742</v>
      </c>
    </row>
    <row r="2628" spans="1:2" x14ac:dyDescent="0.25">
      <c r="A2628" s="2">
        <v>2623</v>
      </c>
      <c r="B2628" s="11" t="str">
        <f>"00148775"</f>
        <v>00148775</v>
      </c>
    </row>
    <row r="2629" spans="1:2" x14ac:dyDescent="0.25">
      <c r="A2629" s="2">
        <v>2624</v>
      </c>
      <c r="B2629" s="11" t="str">
        <f>"00148790"</f>
        <v>00148790</v>
      </c>
    </row>
    <row r="2630" spans="1:2" x14ac:dyDescent="0.25">
      <c r="A2630" s="2">
        <v>2625</v>
      </c>
      <c r="B2630" s="11" t="str">
        <f>"00148873"</f>
        <v>00148873</v>
      </c>
    </row>
    <row r="2631" spans="1:2" x14ac:dyDescent="0.25">
      <c r="A2631" s="2">
        <v>2626</v>
      </c>
      <c r="B2631" s="11" t="str">
        <f>"00148893"</f>
        <v>00148893</v>
      </c>
    </row>
    <row r="2632" spans="1:2" x14ac:dyDescent="0.25">
      <c r="A2632" s="2">
        <v>2627</v>
      </c>
      <c r="B2632" s="11" t="str">
        <f>"00148916"</f>
        <v>00148916</v>
      </c>
    </row>
    <row r="2633" spans="1:2" x14ac:dyDescent="0.25">
      <c r="A2633" s="2">
        <v>2628</v>
      </c>
      <c r="B2633" s="11" t="str">
        <f>"00148970"</f>
        <v>00148970</v>
      </c>
    </row>
    <row r="2634" spans="1:2" x14ac:dyDescent="0.25">
      <c r="A2634" s="2">
        <v>2629</v>
      </c>
      <c r="B2634" s="11" t="str">
        <f>"00148988"</f>
        <v>00148988</v>
      </c>
    </row>
    <row r="2635" spans="1:2" x14ac:dyDescent="0.25">
      <c r="A2635" s="2">
        <v>2630</v>
      </c>
      <c r="B2635" s="11" t="str">
        <f>"00148990"</f>
        <v>00148990</v>
      </c>
    </row>
    <row r="2636" spans="1:2" x14ac:dyDescent="0.25">
      <c r="A2636" s="2">
        <v>2631</v>
      </c>
      <c r="B2636" s="11" t="str">
        <f>"00149057"</f>
        <v>00149057</v>
      </c>
    </row>
    <row r="2637" spans="1:2" x14ac:dyDescent="0.25">
      <c r="A2637" s="2">
        <v>2632</v>
      </c>
      <c r="B2637" s="11" t="str">
        <f>"00149066"</f>
        <v>00149066</v>
      </c>
    </row>
    <row r="2638" spans="1:2" x14ac:dyDescent="0.25">
      <c r="A2638" s="2">
        <v>2633</v>
      </c>
      <c r="B2638" s="11" t="str">
        <f>"00149122"</f>
        <v>00149122</v>
      </c>
    </row>
    <row r="2639" spans="1:2" x14ac:dyDescent="0.25">
      <c r="A2639" s="2">
        <v>2634</v>
      </c>
      <c r="B2639" s="11" t="str">
        <f>"00149197"</f>
        <v>00149197</v>
      </c>
    </row>
    <row r="2640" spans="1:2" x14ac:dyDescent="0.25">
      <c r="A2640" s="2">
        <v>2635</v>
      </c>
      <c r="B2640" s="11" t="str">
        <f>"00149222"</f>
        <v>00149222</v>
      </c>
    </row>
    <row r="2641" spans="1:2" x14ac:dyDescent="0.25">
      <c r="A2641" s="2">
        <v>2636</v>
      </c>
      <c r="B2641" s="11" t="str">
        <f>"00149258"</f>
        <v>00149258</v>
      </c>
    </row>
    <row r="2642" spans="1:2" x14ac:dyDescent="0.25">
      <c r="A2642" s="2">
        <v>2637</v>
      </c>
      <c r="B2642" s="11" t="str">
        <f>"00149284"</f>
        <v>00149284</v>
      </c>
    </row>
    <row r="2643" spans="1:2" x14ac:dyDescent="0.25">
      <c r="A2643" s="2">
        <v>2638</v>
      </c>
      <c r="B2643" s="11" t="str">
        <f>"00149311"</f>
        <v>00149311</v>
      </c>
    </row>
    <row r="2644" spans="1:2" x14ac:dyDescent="0.25">
      <c r="A2644" s="2">
        <v>2639</v>
      </c>
      <c r="B2644" s="11" t="str">
        <f>"00149325"</f>
        <v>00149325</v>
      </c>
    </row>
    <row r="2645" spans="1:2" x14ac:dyDescent="0.25">
      <c r="A2645" s="2">
        <v>2640</v>
      </c>
      <c r="B2645" s="11" t="str">
        <f>"00149327"</f>
        <v>00149327</v>
      </c>
    </row>
    <row r="2646" spans="1:2" x14ac:dyDescent="0.25">
      <c r="A2646" s="2">
        <v>2641</v>
      </c>
      <c r="B2646" s="11" t="str">
        <f>"00149383"</f>
        <v>00149383</v>
      </c>
    </row>
    <row r="2647" spans="1:2" x14ac:dyDescent="0.25">
      <c r="A2647" s="2">
        <v>2642</v>
      </c>
      <c r="B2647" s="11" t="str">
        <f>"00149395"</f>
        <v>00149395</v>
      </c>
    </row>
    <row r="2648" spans="1:2" x14ac:dyDescent="0.25">
      <c r="A2648" s="2">
        <v>2643</v>
      </c>
      <c r="B2648" s="11" t="str">
        <f>"00149528"</f>
        <v>00149528</v>
      </c>
    </row>
    <row r="2649" spans="1:2" x14ac:dyDescent="0.25">
      <c r="A2649" s="2">
        <v>2644</v>
      </c>
      <c r="B2649" s="11" t="str">
        <f>"00149546"</f>
        <v>00149546</v>
      </c>
    </row>
    <row r="2650" spans="1:2" x14ac:dyDescent="0.25">
      <c r="A2650" s="2">
        <v>2645</v>
      </c>
      <c r="B2650" s="11" t="str">
        <f>"00149570"</f>
        <v>00149570</v>
      </c>
    </row>
    <row r="2651" spans="1:2" x14ac:dyDescent="0.25">
      <c r="A2651" s="2">
        <v>2646</v>
      </c>
      <c r="B2651" s="11" t="str">
        <f>"00149572"</f>
        <v>00149572</v>
      </c>
    </row>
    <row r="2652" spans="1:2" x14ac:dyDescent="0.25">
      <c r="A2652" s="2">
        <v>2647</v>
      </c>
      <c r="B2652" s="11" t="str">
        <f>"00149637"</f>
        <v>00149637</v>
      </c>
    </row>
    <row r="2653" spans="1:2" x14ac:dyDescent="0.25">
      <c r="A2653" s="2">
        <v>2648</v>
      </c>
      <c r="B2653" s="11" t="str">
        <f>"00149692"</f>
        <v>00149692</v>
      </c>
    </row>
    <row r="2654" spans="1:2" x14ac:dyDescent="0.25">
      <c r="A2654" s="2">
        <v>2649</v>
      </c>
      <c r="B2654" s="11" t="str">
        <f>"00149708"</f>
        <v>00149708</v>
      </c>
    </row>
    <row r="2655" spans="1:2" x14ac:dyDescent="0.25">
      <c r="A2655" s="2">
        <v>2650</v>
      </c>
      <c r="B2655" s="11" t="str">
        <f>"00149727"</f>
        <v>00149727</v>
      </c>
    </row>
    <row r="2656" spans="1:2" x14ac:dyDescent="0.25">
      <c r="A2656" s="2">
        <v>2651</v>
      </c>
      <c r="B2656" s="11" t="str">
        <f>"00149732"</f>
        <v>00149732</v>
      </c>
    </row>
    <row r="2657" spans="1:2" x14ac:dyDescent="0.25">
      <c r="A2657" s="2">
        <v>2652</v>
      </c>
      <c r="B2657" s="11" t="str">
        <f>"00149739"</f>
        <v>00149739</v>
      </c>
    </row>
    <row r="2658" spans="1:2" x14ac:dyDescent="0.25">
      <c r="A2658" s="2">
        <v>2653</v>
      </c>
      <c r="B2658" s="11" t="str">
        <f>"00149748"</f>
        <v>00149748</v>
      </c>
    </row>
    <row r="2659" spans="1:2" x14ac:dyDescent="0.25">
      <c r="A2659" s="2">
        <v>2654</v>
      </c>
      <c r="B2659" s="11" t="str">
        <f>"00149753"</f>
        <v>00149753</v>
      </c>
    </row>
    <row r="2660" spans="1:2" x14ac:dyDescent="0.25">
      <c r="A2660" s="2">
        <v>2655</v>
      </c>
      <c r="B2660" s="11" t="str">
        <f>"00149774"</f>
        <v>00149774</v>
      </c>
    </row>
    <row r="2661" spans="1:2" x14ac:dyDescent="0.25">
      <c r="A2661" s="2">
        <v>2656</v>
      </c>
      <c r="B2661" s="11" t="str">
        <f>"00149778"</f>
        <v>00149778</v>
      </c>
    </row>
    <row r="2662" spans="1:2" x14ac:dyDescent="0.25">
      <c r="A2662" s="2">
        <v>2657</v>
      </c>
      <c r="B2662" s="11" t="str">
        <f>"00149801"</f>
        <v>00149801</v>
      </c>
    </row>
    <row r="2663" spans="1:2" x14ac:dyDescent="0.25">
      <c r="A2663" s="2">
        <v>2658</v>
      </c>
      <c r="B2663" s="11" t="str">
        <f>"00149815"</f>
        <v>00149815</v>
      </c>
    </row>
    <row r="2664" spans="1:2" x14ac:dyDescent="0.25">
      <c r="A2664" s="2">
        <v>2659</v>
      </c>
      <c r="B2664" s="11" t="str">
        <f>"00149870"</f>
        <v>00149870</v>
      </c>
    </row>
    <row r="2665" spans="1:2" x14ac:dyDescent="0.25">
      <c r="A2665" s="2">
        <v>2660</v>
      </c>
      <c r="B2665" s="11" t="str">
        <f>"00149880"</f>
        <v>00149880</v>
      </c>
    </row>
    <row r="2666" spans="1:2" x14ac:dyDescent="0.25">
      <c r="A2666" s="2">
        <v>2661</v>
      </c>
      <c r="B2666" s="11" t="str">
        <f>"00149920"</f>
        <v>00149920</v>
      </c>
    </row>
    <row r="2667" spans="1:2" x14ac:dyDescent="0.25">
      <c r="A2667" s="2">
        <v>2662</v>
      </c>
      <c r="B2667" s="11" t="str">
        <f>"00149932"</f>
        <v>00149932</v>
      </c>
    </row>
    <row r="2668" spans="1:2" x14ac:dyDescent="0.25">
      <c r="A2668" s="2">
        <v>2663</v>
      </c>
      <c r="B2668" s="11" t="str">
        <f>"00149946"</f>
        <v>00149946</v>
      </c>
    </row>
    <row r="2669" spans="1:2" x14ac:dyDescent="0.25">
      <c r="A2669" s="2">
        <v>2664</v>
      </c>
      <c r="B2669" s="11" t="str">
        <f>"00149952"</f>
        <v>00149952</v>
      </c>
    </row>
    <row r="2670" spans="1:2" x14ac:dyDescent="0.25">
      <c r="A2670" s="2">
        <v>2665</v>
      </c>
      <c r="B2670" s="11" t="str">
        <f>"00150013"</f>
        <v>00150013</v>
      </c>
    </row>
    <row r="2671" spans="1:2" x14ac:dyDescent="0.25">
      <c r="A2671" s="2">
        <v>2666</v>
      </c>
      <c r="B2671" s="11" t="str">
        <f>"00150017"</f>
        <v>00150017</v>
      </c>
    </row>
    <row r="2672" spans="1:2" x14ac:dyDescent="0.25">
      <c r="A2672" s="2">
        <v>2667</v>
      </c>
      <c r="B2672" s="11" t="str">
        <f>"00150051"</f>
        <v>00150051</v>
      </c>
    </row>
    <row r="2673" spans="1:2" x14ac:dyDescent="0.25">
      <c r="A2673" s="2">
        <v>2668</v>
      </c>
      <c r="B2673" s="11" t="str">
        <f>"00150127"</f>
        <v>00150127</v>
      </c>
    </row>
    <row r="2674" spans="1:2" x14ac:dyDescent="0.25">
      <c r="A2674" s="2">
        <v>2669</v>
      </c>
      <c r="B2674" s="11" t="str">
        <f>"00150129"</f>
        <v>00150129</v>
      </c>
    </row>
    <row r="2675" spans="1:2" x14ac:dyDescent="0.25">
      <c r="A2675" s="2">
        <v>2670</v>
      </c>
      <c r="B2675" s="11" t="str">
        <f>"00150141"</f>
        <v>00150141</v>
      </c>
    </row>
    <row r="2676" spans="1:2" x14ac:dyDescent="0.25">
      <c r="A2676" s="2">
        <v>2671</v>
      </c>
      <c r="B2676" s="11" t="str">
        <f>"00150162"</f>
        <v>00150162</v>
      </c>
    </row>
    <row r="2677" spans="1:2" x14ac:dyDescent="0.25">
      <c r="A2677" s="2">
        <v>2672</v>
      </c>
      <c r="B2677" s="11" t="str">
        <f>"00150167"</f>
        <v>00150167</v>
      </c>
    </row>
    <row r="2678" spans="1:2" x14ac:dyDescent="0.25">
      <c r="A2678" s="2">
        <v>2673</v>
      </c>
      <c r="B2678" s="11" t="str">
        <f>"00150170"</f>
        <v>00150170</v>
      </c>
    </row>
    <row r="2679" spans="1:2" x14ac:dyDescent="0.25">
      <c r="A2679" s="2">
        <v>2674</v>
      </c>
      <c r="B2679" s="11" t="str">
        <f>"00150250"</f>
        <v>00150250</v>
      </c>
    </row>
    <row r="2680" spans="1:2" x14ac:dyDescent="0.25">
      <c r="A2680" s="2">
        <v>2675</v>
      </c>
      <c r="B2680" s="11" t="str">
        <f>"00150285"</f>
        <v>00150285</v>
      </c>
    </row>
    <row r="2681" spans="1:2" x14ac:dyDescent="0.25">
      <c r="A2681" s="2">
        <v>2676</v>
      </c>
      <c r="B2681" s="11" t="str">
        <f>"00150299"</f>
        <v>00150299</v>
      </c>
    </row>
    <row r="2682" spans="1:2" x14ac:dyDescent="0.25">
      <c r="A2682" s="2">
        <v>2677</v>
      </c>
      <c r="B2682" s="11" t="str">
        <f>"00150341"</f>
        <v>00150341</v>
      </c>
    </row>
    <row r="2683" spans="1:2" x14ac:dyDescent="0.25">
      <c r="A2683" s="2">
        <v>2678</v>
      </c>
      <c r="B2683" s="11" t="str">
        <f>"00150358"</f>
        <v>00150358</v>
      </c>
    </row>
    <row r="2684" spans="1:2" x14ac:dyDescent="0.25">
      <c r="A2684" s="2">
        <v>2679</v>
      </c>
      <c r="B2684" s="11" t="str">
        <f>"00150402"</f>
        <v>00150402</v>
      </c>
    </row>
    <row r="2685" spans="1:2" x14ac:dyDescent="0.25">
      <c r="A2685" s="2">
        <v>2680</v>
      </c>
      <c r="B2685" s="11" t="str">
        <f>"00150411"</f>
        <v>00150411</v>
      </c>
    </row>
    <row r="2686" spans="1:2" x14ac:dyDescent="0.25">
      <c r="A2686" s="2">
        <v>2681</v>
      </c>
      <c r="B2686" s="11" t="str">
        <f>"00150446"</f>
        <v>00150446</v>
      </c>
    </row>
    <row r="2687" spans="1:2" x14ac:dyDescent="0.25">
      <c r="A2687" s="2">
        <v>2682</v>
      </c>
      <c r="B2687" s="11" t="str">
        <f>"00150453"</f>
        <v>00150453</v>
      </c>
    </row>
    <row r="2688" spans="1:2" x14ac:dyDescent="0.25">
      <c r="A2688" s="2">
        <v>2683</v>
      </c>
      <c r="B2688" s="11" t="str">
        <f>"00150457"</f>
        <v>00150457</v>
      </c>
    </row>
    <row r="2689" spans="1:2" x14ac:dyDescent="0.25">
      <c r="A2689" s="2">
        <v>2684</v>
      </c>
      <c r="B2689" s="11" t="str">
        <f>"00150467"</f>
        <v>00150467</v>
      </c>
    </row>
    <row r="2690" spans="1:2" x14ac:dyDescent="0.25">
      <c r="A2690" s="2">
        <v>2685</v>
      </c>
      <c r="B2690" s="11" t="str">
        <f>"00150468"</f>
        <v>00150468</v>
      </c>
    </row>
    <row r="2691" spans="1:2" x14ac:dyDescent="0.25">
      <c r="A2691" s="2">
        <v>2686</v>
      </c>
      <c r="B2691" s="11" t="str">
        <f>"00150533"</f>
        <v>00150533</v>
      </c>
    </row>
    <row r="2692" spans="1:2" x14ac:dyDescent="0.25">
      <c r="A2692" s="2">
        <v>2687</v>
      </c>
      <c r="B2692" s="11" t="str">
        <f>"00150544"</f>
        <v>00150544</v>
      </c>
    </row>
    <row r="2693" spans="1:2" x14ac:dyDescent="0.25">
      <c r="A2693" s="2">
        <v>2688</v>
      </c>
      <c r="B2693" s="11" t="str">
        <f>"00150574"</f>
        <v>00150574</v>
      </c>
    </row>
    <row r="2694" spans="1:2" x14ac:dyDescent="0.25">
      <c r="A2694" s="2">
        <v>2689</v>
      </c>
      <c r="B2694" s="11" t="str">
        <f>"00150593"</f>
        <v>00150593</v>
      </c>
    </row>
    <row r="2695" spans="1:2" x14ac:dyDescent="0.25">
      <c r="A2695" s="2">
        <v>2690</v>
      </c>
      <c r="B2695" s="11" t="str">
        <f>"00150603"</f>
        <v>00150603</v>
      </c>
    </row>
    <row r="2696" spans="1:2" x14ac:dyDescent="0.25">
      <c r="A2696" s="2">
        <v>2691</v>
      </c>
      <c r="B2696" s="11" t="str">
        <f>"00150620"</f>
        <v>00150620</v>
      </c>
    </row>
    <row r="2697" spans="1:2" x14ac:dyDescent="0.25">
      <c r="A2697" s="2">
        <v>2692</v>
      </c>
      <c r="B2697" s="11" t="str">
        <f>"00150636"</f>
        <v>00150636</v>
      </c>
    </row>
    <row r="2698" spans="1:2" x14ac:dyDescent="0.25">
      <c r="A2698" s="2">
        <v>2693</v>
      </c>
      <c r="B2698" s="11" t="str">
        <f>"00150639"</f>
        <v>00150639</v>
      </c>
    </row>
    <row r="2699" spans="1:2" x14ac:dyDescent="0.25">
      <c r="A2699" s="2">
        <v>2694</v>
      </c>
      <c r="B2699" s="11" t="str">
        <f>"00150672"</f>
        <v>00150672</v>
      </c>
    </row>
    <row r="2700" spans="1:2" x14ac:dyDescent="0.25">
      <c r="A2700" s="2">
        <v>2695</v>
      </c>
      <c r="B2700" s="11" t="str">
        <f>"00150680"</f>
        <v>00150680</v>
      </c>
    </row>
    <row r="2701" spans="1:2" x14ac:dyDescent="0.25">
      <c r="A2701" s="2">
        <v>2696</v>
      </c>
      <c r="B2701" s="11" t="str">
        <f>"00150681"</f>
        <v>00150681</v>
      </c>
    </row>
    <row r="2702" spans="1:2" x14ac:dyDescent="0.25">
      <c r="A2702" s="2">
        <v>2697</v>
      </c>
      <c r="B2702" s="11" t="str">
        <f>"00150712"</f>
        <v>00150712</v>
      </c>
    </row>
    <row r="2703" spans="1:2" x14ac:dyDescent="0.25">
      <c r="A2703" s="2">
        <v>2698</v>
      </c>
      <c r="B2703" s="11" t="str">
        <f>"00150733"</f>
        <v>00150733</v>
      </c>
    </row>
    <row r="2704" spans="1:2" x14ac:dyDescent="0.25">
      <c r="A2704" s="2">
        <v>2699</v>
      </c>
      <c r="B2704" s="11" t="str">
        <f>"00150754"</f>
        <v>00150754</v>
      </c>
    </row>
    <row r="2705" spans="1:2" x14ac:dyDescent="0.25">
      <c r="A2705" s="2">
        <v>2700</v>
      </c>
      <c r="B2705" s="11" t="str">
        <f>"00150803"</f>
        <v>00150803</v>
      </c>
    </row>
    <row r="2706" spans="1:2" x14ac:dyDescent="0.25">
      <c r="A2706" s="2">
        <v>2701</v>
      </c>
      <c r="B2706" s="11" t="str">
        <f>"00150806"</f>
        <v>00150806</v>
      </c>
    </row>
    <row r="2707" spans="1:2" x14ac:dyDescent="0.25">
      <c r="A2707" s="2">
        <v>2702</v>
      </c>
      <c r="B2707" s="11" t="str">
        <f>"00150811"</f>
        <v>00150811</v>
      </c>
    </row>
    <row r="2708" spans="1:2" x14ac:dyDescent="0.25">
      <c r="A2708" s="2">
        <v>2703</v>
      </c>
      <c r="B2708" s="11" t="str">
        <f>"00150814"</f>
        <v>00150814</v>
      </c>
    </row>
    <row r="2709" spans="1:2" x14ac:dyDescent="0.25">
      <c r="A2709" s="2">
        <v>2704</v>
      </c>
      <c r="B2709" s="11" t="str">
        <f>"00150817"</f>
        <v>00150817</v>
      </c>
    </row>
    <row r="2710" spans="1:2" x14ac:dyDescent="0.25">
      <c r="A2710" s="2">
        <v>2705</v>
      </c>
      <c r="B2710" s="11" t="str">
        <f>"00150827"</f>
        <v>00150827</v>
      </c>
    </row>
    <row r="2711" spans="1:2" x14ac:dyDescent="0.25">
      <c r="A2711" s="2">
        <v>2706</v>
      </c>
      <c r="B2711" s="11" t="str">
        <f>"00150839"</f>
        <v>00150839</v>
      </c>
    </row>
    <row r="2712" spans="1:2" x14ac:dyDescent="0.25">
      <c r="A2712" s="2">
        <v>2707</v>
      </c>
      <c r="B2712" s="11" t="str">
        <f>"00150901"</f>
        <v>00150901</v>
      </c>
    </row>
    <row r="2713" spans="1:2" x14ac:dyDescent="0.25">
      <c r="A2713" s="2">
        <v>2708</v>
      </c>
      <c r="B2713" s="11" t="str">
        <f>"00150913"</f>
        <v>00150913</v>
      </c>
    </row>
    <row r="2714" spans="1:2" x14ac:dyDescent="0.25">
      <c r="A2714" s="2">
        <v>2709</v>
      </c>
      <c r="B2714" s="11" t="str">
        <f>"00150922"</f>
        <v>00150922</v>
      </c>
    </row>
    <row r="2715" spans="1:2" x14ac:dyDescent="0.25">
      <c r="A2715" s="2">
        <v>2710</v>
      </c>
      <c r="B2715" s="11" t="str">
        <f>"00150972"</f>
        <v>00150972</v>
      </c>
    </row>
    <row r="2716" spans="1:2" x14ac:dyDescent="0.25">
      <c r="A2716" s="2">
        <v>2711</v>
      </c>
      <c r="B2716" s="11" t="str">
        <f>"00151050"</f>
        <v>00151050</v>
      </c>
    </row>
    <row r="2717" spans="1:2" x14ac:dyDescent="0.25">
      <c r="A2717" s="2">
        <v>2712</v>
      </c>
      <c r="B2717" s="11" t="str">
        <f>"00151126"</f>
        <v>00151126</v>
      </c>
    </row>
    <row r="2718" spans="1:2" x14ac:dyDescent="0.25">
      <c r="A2718" s="2">
        <v>2713</v>
      </c>
      <c r="B2718" s="11" t="str">
        <f>"00151129"</f>
        <v>00151129</v>
      </c>
    </row>
    <row r="2719" spans="1:2" x14ac:dyDescent="0.25">
      <c r="A2719" s="2">
        <v>2714</v>
      </c>
      <c r="B2719" s="11" t="str">
        <f>"00151131"</f>
        <v>00151131</v>
      </c>
    </row>
    <row r="2720" spans="1:2" x14ac:dyDescent="0.25">
      <c r="A2720" s="2">
        <v>2715</v>
      </c>
      <c r="B2720" s="11" t="str">
        <f>"00151166"</f>
        <v>00151166</v>
      </c>
    </row>
    <row r="2721" spans="1:2" x14ac:dyDescent="0.25">
      <c r="A2721" s="2">
        <v>2716</v>
      </c>
      <c r="B2721" s="11" t="str">
        <f>"00151191"</f>
        <v>00151191</v>
      </c>
    </row>
    <row r="2722" spans="1:2" x14ac:dyDescent="0.25">
      <c r="A2722" s="2">
        <v>2717</v>
      </c>
      <c r="B2722" s="11" t="str">
        <f>"00151196"</f>
        <v>00151196</v>
      </c>
    </row>
    <row r="2723" spans="1:2" x14ac:dyDescent="0.25">
      <c r="A2723" s="2">
        <v>2718</v>
      </c>
      <c r="B2723" s="11" t="str">
        <f>"00151199"</f>
        <v>00151199</v>
      </c>
    </row>
    <row r="2724" spans="1:2" x14ac:dyDescent="0.25">
      <c r="A2724" s="2">
        <v>2719</v>
      </c>
      <c r="B2724" s="11" t="str">
        <f>"00151252"</f>
        <v>00151252</v>
      </c>
    </row>
    <row r="2725" spans="1:2" x14ac:dyDescent="0.25">
      <c r="A2725" s="2">
        <v>2720</v>
      </c>
      <c r="B2725" s="11" t="str">
        <f>"00151277"</f>
        <v>00151277</v>
      </c>
    </row>
    <row r="2726" spans="1:2" x14ac:dyDescent="0.25">
      <c r="A2726" s="2">
        <v>2721</v>
      </c>
      <c r="B2726" s="11" t="str">
        <f>"00151317"</f>
        <v>00151317</v>
      </c>
    </row>
    <row r="2727" spans="1:2" x14ac:dyDescent="0.25">
      <c r="A2727" s="2">
        <v>2722</v>
      </c>
      <c r="B2727" s="11" t="str">
        <f>"00151394"</f>
        <v>00151394</v>
      </c>
    </row>
    <row r="2728" spans="1:2" x14ac:dyDescent="0.25">
      <c r="A2728" s="2">
        <v>2723</v>
      </c>
      <c r="B2728" s="11" t="str">
        <f>"00151433"</f>
        <v>00151433</v>
      </c>
    </row>
    <row r="2729" spans="1:2" x14ac:dyDescent="0.25">
      <c r="A2729" s="2">
        <v>2724</v>
      </c>
      <c r="B2729" s="11" t="str">
        <f>"00151491"</f>
        <v>00151491</v>
      </c>
    </row>
    <row r="2730" spans="1:2" x14ac:dyDescent="0.25">
      <c r="A2730" s="2">
        <v>2725</v>
      </c>
      <c r="B2730" s="11" t="str">
        <f>"00151525"</f>
        <v>00151525</v>
      </c>
    </row>
    <row r="2731" spans="1:2" x14ac:dyDescent="0.25">
      <c r="A2731" s="2">
        <v>2726</v>
      </c>
      <c r="B2731" s="11" t="str">
        <f>"00151539"</f>
        <v>00151539</v>
      </c>
    </row>
    <row r="2732" spans="1:2" x14ac:dyDescent="0.25">
      <c r="A2732" s="2">
        <v>2727</v>
      </c>
      <c r="B2732" s="11" t="str">
        <f>"00151559"</f>
        <v>00151559</v>
      </c>
    </row>
    <row r="2733" spans="1:2" x14ac:dyDescent="0.25">
      <c r="A2733" s="2">
        <v>2728</v>
      </c>
      <c r="B2733" s="11" t="str">
        <f>"00151579"</f>
        <v>00151579</v>
      </c>
    </row>
    <row r="2734" spans="1:2" x14ac:dyDescent="0.25">
      <c r="A2734" s="2">
        <v>2729</v>
      </c>
      <c r="B2734" s="11" t="str">
        <f>"00151580"</f>
        <v>00151580</v>
      </c>
    </row>
    <row r="2735" spans="1:2" x14ac:dyDescent="0.25">
      <c r="A2735" s="2">
        <v>2730</v>
      </c>
      <c r="B2735" s="11" t="str">
        <f>"00151591"</f>
        <v>00151591</v>
      </c>
    </row>
    <row r="2736" spans="1:2" x14ac:dyDescent="0.25">
      <c r="A2736" s="2">
        <v>2731</v>
      </c>
      <c r="B2736" s="11" t="str">
        <f>"00151622"</f>
        <v>00151622</v>
      </c>
    </row>
    <row r="2737" spans="1:2" x14ac:dyDescent="0.25">
      <c r="A2737" s="2">
        <v>2732</v>
      </c>
      <c r="B2737" s="11" t="str">
        <f>"00151651"</f>
        <v>00151651</v>
      </c>
    </row>
    <row r="2738" spans="1:2" x14ac:dyDescent="0.25">
      <c r="A2738" s="2">
        <v>2733</v>
      </c>
      <c r="B2738" s="11" t="str">
        <f>"00151692"</f>
        <v>00151692</v>
      </c>
    </row>
    <row r="2739" spans="1:2" x14ac:dyDescent="0.25">
      <c r="A2739" s="2">
        <v>2734</v>
      </c>
      <c r="B2739" s="11" t="str">
        <f>"00151701"</f>
        <v>00151701</v>
      </c>
    </row>
    <row r="2740" spans="1:2" x14ac:dyDescent="0.25">
      <c r="A2740" s="2">
        <v>2735</v>
      </c>
      <c r="B2740" s="11" t="str">
        <f>"00151705"</f>
        <v>00151705</v>
      </c>
    </row>
    <row r="2741" spans="1:2" x14ac:dyDescent="0.25">
      <c r="A2741" s="2">
        <v>2736</v>
      </c>
      <c r="B2741" s="11" t="str">
        <f>"00151708"</f>
        <v>00151708</v>
      </c>
    </row>
    <row r="2742" spans="1:2" x14ac:dyDescent="0.25">
      <c r="A2742" s="2">
        <v>2737</v>
      </c>
      <c r="B2742" s="11" t="str">
        <f>"00151720"</f>
        <v>00151720</v>
      </c>
    </row>
    <row r="2743" spans="1:2" x14ac:dyDescent="0.25">
      <c r="A2743" s="2">
        <v>2738</v>
      </c>
      <c r="B2743" s="11" t="str">
        <f>"00151732"</f>
        <v>00151732</v>
      </c>
    </row>
    <row r="2744" spans="1:2" x14ac:dyDescent="0.25">
      <c r="A2744" s="2">
        <v>2739</v>
      </c>
      <c r="B2744" s="11" t="str">
        <f>"00151751"</f>
        <v>00151751</v>
      </c>
    </row>
    <row r="2745" spans="1:2" x14ac:dyDescent="0.25">
      <c r="A2745" s="2">
        <v>2740</v>
      </c>
      <c r="B2745" s="11" t="str">
        <f>"00151789"</f>
        <v>00151789</v>
      </c>
    </row>
    <row r="2746" spans="1:2" x14ac:dyDescent="0.25">
      <c r="A2746" s="2">
        <v>2741</v>
      </c>
      <c r="B2746" s="11" t="str">
        <f>"00151791"</f>
        <v>00151791</v>
      </c>
    </row>
    <row r="2747" spans="1:2" x14ac:dyDescent="0.25">
      <c r="A2747" s="2">
        <v>2742</v>
      </c>
      <c r="B2747" s="11" t="str">
        <f>"00151802"</f>
        <v>00151802</v>
      </c>
    </row>
    <row r="2748" spans="1:2" x14ac:dyDescent="0.25">
      <c r="A2748" s="2">
        <v>2743</v>
      </c>
      <c r="B2748" s="11" t="str">
        <f>"00151858"</f>
        <v>00151858</v>
      </c>
    </row>
    <row r="2749" spans="1:2" x14ac:dyDescent="0.25">
      <c r="A2749" s="2">
        <v>2744</v>
      </c>
      <c r="B2749" s="11" t="str">
        <f>"00151884"</f>
        <v>00151884</v>
      </c>
    </row>
    <row r="2750" spans="1:2" x14ac:dyDescent="0.25">
      <c r="A2750" s="2">
        <v>2745</v>
      </c>
      <c r="B2750" s="11" t="str">
        <f>"00151897"</f>
        <v>00151897</v>
      </c>
    </row>
    <row r="2751" spans="1:2" x14ac:dyDescent="0.25">
      <c r="A2751" s="2">
        <v>2746</v>
      </c>
      <c r="B2751" s="11" t="str">
        <f>"00151945"</f>
        <v>00151945</v>
      </c>
    </row>
    <row r="2752" spans="1:2" x14ac:dyDescent="0.25">
      <c r="A2752" s="2">
        <v>2747</v>
      </c>
      <c r="B2752" s="11" t="str">
        <f>"00151986"</f>
        <v>00151986</v>
      </c>
    </row>
    <row r="2753" spans="1:2" x14ac:dyDescent="0.25">
      <c r="A2753" s="2">
        <v>2748</v>
      </c>
      <c r="B2753" s="11" t="str">
        <f>"00152024"</f>
        <v>00152024</v>
      </c>
    </row>
    <row r="2754" spans="1:2" x14ac:dyDescent="0.25">
      <c r="A2754" s="2">
        <v>2749</v>
      </c>
      <c r="B2754" s="11" t="str">
        <f>"00152028"</f>
        <v>00152028</v>
      </c>
    </row>
    <row r="2755" spans="1:2" x14ac:dyDescent="0.25">
      <c r="A2755" s="2">
        <v>2750</v>
      </c>
      <c r="B2755" s="11" t="str">
        <f>"00152032"</f>
        <v>00152032</v>
      </c>
    </row>
    <row r="2756" spans="1:2" x14ac:dyDescent="0.25">
      <c r="A2756" s="2">
        <v>2751</v>
      </c>
      <c r="B2756" s="11" t="str">
        <f>"00152038"</f>
        <v>00152038</v>
      </c>
    </row>
    <row r="2757" spans="1:2" x14ac:dyDescent="0.25">
      <c r="A2757" s="2">
        <v>2752</v>
      </c>
      <c r="B2757" s="11" t="str">
        <f>"00152051"</f>
        <v>00152051</v>
      </c>
    </row>
    <row r="2758" spans="1:2" x14ac:dyDescent="0.25">
      <c r="A2758" s="2">
        <v>2753</v>
      </c>
      <c r="B2758" s="11" t="str">
        <f>"00152053"</f>
        <v>00152053</v>
      </c>
    </row>
    <row r="2759" spans="1:2" x14ac:dyDescent="0.25">
      <c r="A2759" s="2">
        <v>2754</v>
      </c>
      <c r="B2759" s="11" t="str">
        <f>"00152072"</f>
        <v>00152072</v>
      </c>
    </row>
    <row r="2760" spans="1:2" x14ac:dyDescent="0.25">
      <c r="A2760" s="2">
        <v>2755</v>
      </c>
      <c r="B2760" s="11" t="str">
        <f>"00152073"</f>
        <v>00152073</v>
      </c>
    </row>
    <row r="2761" spans="1:2" x14ac:dyDescent="0.25">
      <c r="A2761" s="2">
        <v>2756</v>
      </c>
      <c r="B2761" s="11" t="str">
        <f>"00152075"</f>
        <v>00152075</v>
      </c>
    </row>
    <row r="2762" spans="1:2" x14ac:dyDescent="0.25">
      <c r="A2762" s="2">
        <v>2757</v>
      </c>
      <c r="B2762" s="11" t="str">
        <f>"00152108"</f>
        <v>00152108</v>
      </c>
    </row>
    <row r="2763" spans="1:2" x14ac:dyDescent="0.25">
      <c r="A2763" s="2">
        <v>2758</v>
      </c>
      <c r="B2763" s="11" t="str">
        <f>"00152117"</f>
        <v>00152117</v>
      </c>
    </row>
    <row r="2764" spans="1:2" x14ac:dyDescent="0.25">
      <c r="A2764" s="2">
        <v>2759</v>
      </c>
      <c r="B2764" s="11" t="str">
        <f>"00152126"</f>
        <v>00152126</v>
      </c>
    </row>
    <row r="2765" spans="1:2" x14ac:dyDescent="0.25">
      <c r="A2765" s="2">
        <v>2760</v>
      </c>
      <c r="B2765" s="11" t="str">
        <f>"00152128"</f>
        <v>00152128</v>
      </c>
    </row>
    <row r="2766" spans="1:2" x14ac:dyDescent="0.25">
      <c r="A2766" s="2">
        <v>2761</v>
      </c>
      <c r="B2766" s="11" t="str">
        <f>"00152214"</f>
        <v>00152214</v>
      </c>
    </row>
    <row r="2767" spans="1:2" x14ac:dyDescent="0.25">
      <c r="A2767" s="2">
        <v>2762</v>
      </c>
      <c r="B2767" s="11" t="str">
        <f>"00152226"</f>
        <v>00152226</v>
      </c>
    </row>
    <row r="2768" spans="1:2" x14ac:dyDescent="0.25">
      <c r="A2768" s="2">
        <v>2763</v>
      </c>
      <c r="B2768" s="11" t="str">
        <f>"00152317"</f>
        <v>00152317</v>
      </c>
    </row>
    <row r="2769" spans="1:2" x14ac:dyDescent="0.25">
      <c r="A2769" s="2">
        <v>2764</v>
      </c>
      <c r="B2769" s="11" t="str">
        <f>"00152319"</f>
        <v>00152319</v>
      </c>
    </row>
    <row r="2770" spans="1:2" x14ac:dyDescent="0.25">
      <c r="A2770" s="2">
        <v>2765</v>
      </c>
      <c r="B2770" s="11" t="str">
        <f>"00152320"</f>
        <v>00152320</v>
      </c>
    </row>
    <row r="2771" spans="1:2" x14ac:dyDescent="0.25">
      <c r="A2771" s="2">
        <v>2766</v>
      </c>
      <c r="B2771" s="11" t="str">
        <f>"00152325"</f>
        <v>00152325</v>
      </c>
    </row>
    <row r="2772" spans="1:2" x14ac:dyDescent="0.25">
      <c r="A2772" s="2">
        <v>2767</v>
      </c>
      <c r="B2772" s="11" t="str">
        <f>"00152336"</f>
        <v>00152336</v>
      </c>
    </row>
    <row r="2773" spans="1:2" x14ac:dyDescent="0.25">
      <c r="A2773" s="2">
        <v>2768</v>
      </c>
      <c r="B2773" s="11" t="str">
        <f>"00152369"</f>
        <v>00152369</v>
      </c>
    </row>
    <row r="2774" spans="1:2" x14ac:dyDescent="0.25">
      <c r="A2774" s="2">
        <v>2769</v>
      </c>
      <c r="B2774" s="11" t="str">
        <f>"00152453"</f>
        <v>00152453</v>
      </c>
    </row>
    <row r="2775" spans="1:2" x14ac:dyDescent="0.25">
      <c r="A2775" s="2">
        <v>2770</v>
      </c>
      <c r="B2775" s="11" t="str">
        <f>"00152454"</f>
        <v>00152454</v>
      </c>
    </row>
    <row r="2776" spans="1:2" x14ac:dyDescent="0.25">
      <c r="A2776" s="2">
        <v>2771</v>
      </c>
      <c r="B2776" s="11" t="str">
        <f>"00152460"</f>
        <v>00152460</v>
      </c>
    </row>
    <row r="2777" spans="1:2" x14ac:dyDescent="0.25">
      <c r="A2777" s="2">
        <v>2772</v>
      </c>
      <c r="B2777" s="11" t="str">
        <f>"00152542"</f>
        <v>00152542</v>
      </c>
    </row>
    <row r="2778" spans="1:2" x14ac:dyDescent="0.25">
      <c r="A2778" s="2">
        <v>2773</v>
      </c>
      <c r="B2778" s="11" t="str">
        <f>"00152649"</f>
        <v>00152649</v>
      </c>
    </row>
    <row r="2779" spans="1:2" x14ac:dyDescent="0.25">
      <c r="A2779" s="2">
        <v>2774</v>
      </c>
      <c r="B2779" s="11" t="str">
        <f>"00152666"</f>
        <v>00152666</v>
      </c>
    </row>
    <row r="2780" spans="1:2" x14ac:dyDescent="0.25">
      <c r="A2780" s="2">
        <v>2775</v>
      </c>
      <c r="B2780" s="11" t="str">
        <f>"00152723"</f>
        <v>00152723</v>
      </c>
    </row>
    <row r="2781" spans="1:2" x14ac:dyDescent="0.25">
      <c r="A2781" s="2">
        <v>2776</v>
      </c>
      <c r="B2781" s="11" t="str">
        <f>"00152857"</f>
        <v>00152857</v>
      </c>
    </row>
    <row r="2782" spans="1:2" x14ac:dyDescent="0.25">
      <c r="A2782" s="2">
        <v>2777</v>
      </c>
      <c r="B2782" s="11" t="str">
        <f>"00152865"</f>
        <v>00152865</v>
      </c>
    </row>
    <row r="2783" spans="1:2" x14ac:dyDescent="0.25">
      <c r="A2783" s="2">
        <v>2778</v>
      </c>
      <c r="B2783" s="11" t="str">
        <f>"00152884"</f>
        <v>00152884</v>
      </c>
    </row>
    <row r="2784" spans="1:2" x14ac:dyDescent="0.25">
      <c r="A2784" s="2">
        <v>2779</v>
      </c>
      <c r="B2784" s="11" t="str">
        <f>"00152885"</f>
        <v>00152885</v>
      </c>
    </row>
    <row r="2785" spans="1:2" x14ac:dyDescent="0.25">
      <c r="A2785" s="2">
        <v>2780</v>
      </c>
      <c r="B2785" s="11" t="str">
        <f>"00152890"</f>
        <v>00152890</v>
      </c>
    </row>
    <row r="2786" spans="1:2" x14ac:dyDescent="0.25">
      <c r="A2786" s="2">
        <v>2781</v>
      </c>
      <c r="B2786" s="11" t="str">
        <f>"00152927"</f>
        <v>00152927</v>
      </c>
    </row>
    <row r="2787" spans="1:2" x14ac:dyDescent="0.25">
      <c r="A2787" s="2">
        <v>2782</v>
      </c>
      <c r="B2787" s="11" t="str">
        <f>"00152949"</f>
        <v>00152949</v>
      </c>
    </row>
    <row r="2788" spans="1:2" x14ac:dyDescent="0.25">
      <c r="A2788" s="2">
        <v>2783</v>
      </c>
      <c r="B2788" s="11" t="str">
        <f>"00152974"</f>
        <v>00152974</v>
      </c>
    </row>
    <row r="2789" spans="1:2" x14ac:dyDescent="0.25">
      <c r="A2789" s="2">
        <v>2784</v>
      </c>
      <c r="B2789" s="11" t="str">
        <f>"00152996"</f>
        <v>00152996</v>
      </c>
    </row>
    <row r="2790" spans="1:2" x14ac:dyDescent="0.25">
      <c r="A2790" s="2">
        <v>2785</v>
      </c>
      <c r="B2790" s="11" t="str">
        <f>"00153014"</f>
        <v>00153014</v>
      </c>
    </row>
    <row r="2791" spans="1:2" x14ac:dyDescent="0.25">
      <c r="A2791" s="2">
        <v>2786</v>
      </c>
      <c r="B2791" s="11" t="str">
        <f>"00153015"</f>
        <v>00153015</v>
      </c>
    </row>
    <row r="2792" spans="1:2" x14ac:dyDescent="0.25">
      <c r="A2792" s="2">
        <v>2787</v>
      </c>
      <c r="B2792" s="11" t="str">
        <f>"00153052"</f>
        <v>00153052</v>
      </c>
    </row>
    <row r="2793" spans="1:2" x14ac:dyDescent="0.25">
      <c r="A2793" s="2">
        <v>2788</v>
      </c>
      <c r="B2793" s="11" t="str">
        <f>"00153078"</f>
        <v>00153078</v>
      </c>
    </row>
    <row r="2794" spans="1:2" x14ac:dyDescent="0.25">
      <c r="A2794" s="2">
        <v>2789</v>
      </c>
      <c r="B2794" s="11" t="str">
        <f>"00153082"</f>
        <v>00153082</v>
      </c>
    </row>
    <row r="2795" spans="1:2" x14ac:dyDescent="0.25">
      <c r="A2795" s="2">
        <v>2790</v>
      </c>
      <c r="B2795" s="11" t="str">
        <f>"00153091"</f>
        <v>00153091</v>
      </c>
    </row>
    <row r="2796" spans="1:2" x14ac:dyDescent="0.25">
      <c r="A2796" s="2">
        <v>2791</v>
      </c>
      <c r="B2796" s="11" t="str">
        <f>"00153094"</f>
        <v>00153094</v>
      </c>
    </row>
    <row r="2797" spans="1:2" x14ac:dyDescent="0.25">
      <c r="A2797" s="2">
        <v>2792</v>
      </c>
      <c r="B2797" s="11" t="str">
        <f>"00153181"</f>
        <v>00153181</v>
      </c>
    </row>
    <row r="2798" spans="1:2" x14ac:dyDescent="0.25">
      <c r="A2798" s="2">
        <v>2793</v>
      </c>
      <c r="B2798" s="11" t="str">
        <f>"00153220"</f>
        <v>00153220</v>
      </c>
    </row>
    <row r="2799" spans="1:2" x14ac:dyDescent="0.25">
      <c r="A2799" s="2">
        <v>2794</v>
      </c>
      <c r="B2799" s="11" t="str">
        <f>"00153224"</f>
        <v>00153224</v>
      </c>
    </row>
    <row r="2800" spans="1:2" x14ac:dyDescent="0.25">
      <c r="A2800" s="2">
        <v>2795</v>
      </c>
      <c r="B2800" s="11" t="str">
        <f>"00153238"</f>
        <v>00153238</v>
      </c>
    </row>
    <row r="2801" spans="1:2" x14ac:dyDescent="0.25">
      <c r="A2801" s="2">
        <v>2796</v>
      </c>
      <c r="B2801" s="11" t="str">
        <f>"00153294"</f>
        <v>00153294</v>
      </c>
    </row>
    <row r="2802" spans="1:2" x14ac:dyDescent="0.25">
      <c r="A2802" s="2">
        <v>2797</v>
      </c>
      <c r="B2802" s="11" t="str">
        <f>"00153397"</f>
        <v>00153397</v>
      </c>
    </row>
    <row r="2803" spans="1:2" x14ac:dyDescent="0.25">
      <c r="A2803" s="2">
        <v>2798</v>
      </c>
      <c r="B2803" s="11" t="str">
        <f>"00153410"</f>
        <v>00153410</v>
      </c>
    </row>
    <row r="2804" spans="1:2" x14ac:dyDescent="0.25">
      <c r="A2804" s="2">
        <v>2799</v>
      </c>
      <c r="B2804" s="11" t="str">
        <f>"00153475"</f>
        <v>00153475</v>
      </c>
    </row>
    <row r="2805" spans="1:2" x14ac:dyDescent="0.25">
      <c r="A2805" s="2">
        <v>2800</v>
      </c>
      <c r="B2805" s="11" t="str">
        <f>"00153515"</f>
        <v>00153515</v>
      </c>
    </row>
    <row r="2806" spans="1:2" x14ac:dyDescent="0.25">
      <c r="A2806" s="2">
        <v>2801</v>
      </c>
      <c r="B2806" s="11" t="str">
        <f>"00153541"</f>
        <v>00153541</v>
      </c>
    </row>
    <row r="2807" spans="1:2" x14ac:dyDescent="0.25">
      <c r="A2807" s="2">
        <v>2802</v>
      </c>
      <c r="B2807" s="11" t="str">
        <f>"00153575"</f>
        <v>00153575</v>
      </c>
    </row>
    <row r="2808" spans="1:2" x14ac:dyDescent="0.25">
      <c r="A2808" s="2">
        <v>2803</v>
      </c>
      <c r="B2808" s="11" t="str">
        <f>"00153579"</f>
        <v>00153579</v>
      </c>
    </row>
    <row r="2809" spans="1:2" x14ac:dyDescent="0.25">
      <c r="A2809" s="2">
        <v>2804</v>
      </c>
      <c r="B2809" s="11" t="str">
        <f>"00153588"</f>
        <v>00153588</v>
      </c>
    </row>
    <row r="2810" spans="1:2" x14ac:dyDescent="0.25">
      <c r="A2810" s="2">
        <v>2805</v>
      </c>
      <c r="B2810" s="11" t="str">
        <f>"00153616"</f>
        <v>00153616</v>
      </c>
    </row>
    <row r="2811" spans="1:2" x14ac:dyDescent="0.25">
      <c r="A2811" s="2">
        <v>2806</v>
      </c>
      <c r="B2811" s="11" t="str">
        <f>"00153621"</f>
        <v>00153621</v>
      </c>
    </row>
    <row r="2812" spans="1:2" x14ac:dyDescent="0.25">
      <c r="A2812" s="2">
        <v>2807</v>
      </c>
      <c r="B2812" s="11" t="str">
        <f>"00153645"</f>
        <v>00153645</v>
      </c>
    </row>
    <row r="2813" spans="1:2" x14ac:dyDescent="0.25">
      <c r="A2813" s="2">
        <v>2808</v>
      </c>
      <c r="B2813" s="11" t="str">
        <f>"00153683"</f>
        <v>00153683</v>
      </c>
    </row>
    <row r="2814" spans="1:2" x14ac:dyDescent="0.25">
      <c r="A2814" s="2">
        <v>2809</v>
      </c>
      <c r="B2814" s="11" t="str">
        <f>"00153699"</f>
        <v>00153699</v>
      </c>
    </row>
    <row r="2815" spans="1:2" x14ac:dyDescent="0.25">
      <c r="A2815" s="2">
        <v>2810</v>
      </c>
      <c r="B2815" s="11" t="str">
        <f>"00153846"</f>
        <v>00153846</v>
      </c>
    </row>
    <row r="2816" spans="1:2" x14ac:dyDescent="0.25">
      <c r="A2816" s="2">
        <v>2811</v>
      </c>
      <c r="B2816" s="11" t="str">
        <f>"00153865"</f>
        <v>00153865</v>
      </c>
    </row>
    <row r="2817" spans="1:2" x14ac:dyDescent="0.25">
      <c r="A2817" s="2">
        <v>2812</v>
      </c>
      <c r="B2817" s="11" t="str">
        <f>"00153894"</f>
        <v>00153894</v>
      </c>
    </row>
    <row r="2818" spans="1:2" x14ac:dyDescent="0.25">
      <c r="A2818" s="2">
        <v>2813</v>
      </c>
      <c r="B2818" s="11" t="str">
        <f>"00153930"</f>
        <v>00153930</v>
      </c>
    </row>
    <row r="2819" spans="1:2" x14ac:dyDescent="0.25">
      <c r="A2819" s="2">
        <v>2814</v>
      </c>
      <c r="B2819" s="11" t="str">
        <f>"00153970"</f>
        <v>00153970</v>
      </c>
    </row>
    <row r="2820" spans="1:2" x14ac:dyDescent="0.25">
      <c r="A2820" s="2">
        <v>2815</v>
      </c>
      <c r="B2820" s="11" t="str">
        <f>"00154011"</f>
        <v>00154011</v>
      </c>
    </row>
    <row r="2821" spans="1:2" x14ac:dyDescent="0.25">
      <c r="A2821" s="2">
        <v>2816</v>
      </c>
      <c r="B2821" s="11" t="str">
        <f>"00154034"</f>
        <v>00154034</v>
      </c>
    </row>
    <row r="2822" spans="1:2" x14ac:dyDescent="0.25">
      <c r="A2822" s="2">
        <v>2817</v>
      </c>
      <c r="B2822" s="11" t="str">
        <f>"00154058"</f>
        <v>00154058</v>
      </c>
    </row>
    <row r="2823" spans="1:2" x14ac:dyDescent="0.25">
      <c r="A2823" s="2">
        <v>2818</v>
      </c>
      <c r="B2823" s="11" t="str">
        <f>"00154134"</f>
        <v>00154134</v>
      </c>
    </row>
    <row r="2824" spans="1:2" x14ac:dyDescent="0.25">
      <c r="A2824" s="2">
        <v>2819</v>
      </c>
      <c r="B2824" s="11" t="str">
        <f>"00154157"</f>
        <v>00154157</v>
      </c>
    </row>
    <row r="2825" spans="1:2" x14ac:dyDescent="0.25">
      <c r="A2825" s="2">
        <v>2820</v>
      </c>
      <c r="B2825" s="11" t="str">
        <f>"00154162"</f>
        <v>00154162</v>
      </c>
    </row>
    <row r="2826" spans="1:2" x14ac:dyDescent="0.25">
      <c r="A2826" s="2">
        <v>2821</v>
      </c>
      <c r="B2826" s="11" t="str">
        <f>"00154204"</f>
        <v>00154204</v>
      </c>
    </row>
    <row r="2827" spans="1:2" x14ac:dyDescent="0.25">
      <c r="A2827" s="2">
        <v>2822</v>
      </c>
      <c r="B2827" s="11" t="str">
        <f>"00154237"</f>
        <v>00154237</v>
      </c>
    </row>
    <row r="2828" spans="1:2" x14ac:dyDescent="0.25">
      <c r="A2828" s="2">
        <v>2823</v>
      </c>
      <c r="B2828" s="11" t="str">
        <f>"00154248"</f>
        <v>00154248</v>
      </c>
    </row>
    <row r="2829" spans="1:2" x14ac:dyDescent="0.25">
      <c r="A2829" s="2">
        <v>2824</v>
      </c>
      <c r="B2829" s="11" t="str">
        <f>"00154279"</f>
        <v>00154279</v>
      </c>
    </row>
    <row r="2830" spans="1:2" x14ac:dyDescent="0.25">
      <c r="A2830" s="2">
        <v>2825</v>
      </c>
      <c r="B2830" s="11" t="str">
        <f>"00154328"</f>
        <v>00154328</v>
      </c>
    </row>
    <row r="2831" spans="1:2" x14ac:dyDescent="0.25">
      <c r="A2831" s="2">
        <v>2826</v>
      </c>
      <c r="B2831" s="11" t="str">
        <f>"00154342"</f>
        <v>00154342</v>
      </c>
    </row>
    <row r="2832" spans="1:2" x14ac:dyDescent="0.25">
      <c r="A2832" s="2">
        <v>2827</v>
      </c>
      <c r="B2832" s="11" t="str">
        <f>"00154354"</f>
        <v>00154354</v>
      </c>
    </row>
    <row r="2833" spans="1:2" x14ac:dyDescent="0.25">
      <c r="A2833" s="2">
        <v>2828</v>
      </c>
      <c r="B2833" s="11" t="str">
        <f>"00154423"</f>
        <v>00154423</v>
      </c>
    </row>
    <row r="2834" spans="1:2" x14ac:dyDescent="0.25">
      <c r="A2834" s="2">
        <v>2829</v>
      </c>
      <c r="B2834" s="11" t="str">
        <f>"00154425"</f>
        <v>00154425</v>
      </c>
    </row>
    <row r="2835" spans="1:2" x14ac:dyDescent="0.25">
      <c r="A2835" s="2">
        <v>2830</v>
      </c>
      <c r="B2835" s="11" t="str">
        <f>"00154427"</f>
        <v>00154427</v>
      </c>
    </row>
    <row r="2836" spans="1:2" x14ac:dyDescent="0.25">
      <c r="A2836" s="2">
        <v>2831</v>
      </c>
      <c r="B2836" s="11" t="str">
        <f>"00154435"</f>
        <v>00154435</v>
      </c>
    </row>
    <row r="2837" spans="1:2" x14ac:dyDescent="0.25">
      <c r="A2837" s="2">
        <v>2832</v>
      </c>
      <c r="B2837" s="11" t="str">
        <f>"00154476"</f>
        <v>00154476</v>
      </c>
    </row>
    <row r="2838" spans="1:2" x14ac:dyDescent="0.25">
      <c r="A2838" s="2">
        <v>2833</v>
      </c>
      <c r="B2838" s="11" t="str">
        <f>"00154548"</f>
        <v>00154548</v>
      </c>
    </row>
    <row r="2839" spans="1:2" x14ac:dyDescent="0.25">
      <c r="A2839" s="2">
        <v>2834</v>
      </c>
      <c r="B2839" s="11" t="str">
        <f>"00154572"</f>
        <v>00154572</v>
      </c>
    </row>
    <row r="2840" spans="1:2" x14ac:dyDescent="0.25">
      <c r="A2840" s="2">
        <v>2835</v>
      </c>
      <c r="B2840" s="11" t="str">
        <f>"00154592"</f>
        <v>00154592</v>
      </c>
    </row>
    <row r="2841" spans="1:2" x14ac:dyDescent="0.25">
      <c r="A2841" s="2">
        <v>2836</v>
      </c>
      <c r="B2841" s="11" t="str">
        <f>"00154594"</f>
        <v>00154594</v>
      </c>
    </row>
    <row r="2842" spans="1:2" x14ac:dyDescent="0.25">
      <c r="A2842" s="2">
        <v>2837</v>
      </c>
      <c r="B2842" s="11" t="str">
        <f>"00154664"</f>
        <v>00154664</v>
      </c>
    </row>
    <row r="2843" spans="1:2" x14ac:dyDescent="0.25">
      <c r="A2843" s="2">
        <v>2838</v>
      </c>
      <c r="B2843" s="11" t="str">
        <f>"00154682"</f>
        <v>00154682</v>
      </c>
    </row>
    <row r="2844" spans="1:2" x14ac:dyDescent="0.25">
      <c r="A2844" s="2">
        <v>2839</v>
      </c>
      <c r="B2844" s="11" t="str">
        <f>"00154691"</f>
        <v>00154691</v>
      </c>
    </row>
    <row r="2845" spans="1:2" x14ac:dyDescent="0.25">
      <c r="A2845" s="2">
        <v>2840</v>
      </c>
      <c r="B2845" s="11" t="str">
        <f>"00154705"</f>
        <v>00154705</v>
      </c>
    </row>
    <row r="2846" spans="1:2" x14ac:dyDescent="0.25">
      <c r="A2846" s="2">
        <v>2841</v>
      </c>
      <c r="B2846" s="11" t="str">
        <f>"00154722"</f>
        <v>00154722</v>
      </c>
    </row>
    <row r="2847" spans="1:2" x14ac:dyDescent="0.25">
      <c r="A2847" s="2">
        <v>2842</v>
      </c>
      <c r="B2847" s="11" t="str">
        <f>"00154757"</f>
        <v>00154757</v>
      </c>
    </row>
    <row r="2848" spans="1:2" x14ac:dyDescent="0.25">
      <c r="A2848" s="2">
        <v>2843</v>
      </c>
      <c r="B2848" s="11" t="str">
        <f>"00154769"</f>
        <v>00154769</v>
      </c>
    </row>
    <row r="2849" spans="1:2" x14ac:dyDescent="0.25">
      <c r="A2849" s="2">
        <v>2844</v>
      </c>
      <c r="B2849" s="11" t="str">
        <f>"00154812"</f>
        <v>00154812</v>
      </c>
    </row>
    <row r="2850" spans="1:2" x14ac:dyDescent="0.25">
      <c r="A2850" s="2">
        <v>2845</v>
      </c>
      <c r="B2850" s="11" t="str">
        <f>"00154891"</f>
        <v>00154891</v>
      </c>
    </row>
    <row r="2851" spans="1:2" x14ac:dyDescent="0.25">
      <c r="A2851" s="2">
        <v>2846</v>
      </c>
      <c r="B2851" s="11" t="str">
        <f>"00154919"</f>
        <v>00154919</v>
      </c>
    </row>
    <row r="2852" spans="1:2" x14ac:dyDescent="0.25">
      <c r="A2852" s="2">
        <v>2847</v>
      </c>
      <c r="B2852" s="11" t="str">
        <f>"00154946"</f>
        <v>00154946</v>
      </c>
    </row>
    <row r="2853" spans="1:2" x14ac:dyDescent="0.25">
      <c r="A2853" s="2">
        <v>2848</v>
      </c>
      <c r="B2853" s="11" t="str">
        <f>"00154982"</f>
        <v>00154982</v>
      </c>
    </row>
    <row r="2854" spans="1:2" x14ac:dyDescent="0.25">
      <c r="A2854" s="2">
        <v>2849</v>
      </c>
      <c r="B2854" s="11" t="str">
        <f>"00154994"</f>
        <v>00154994</v>
      </c>
    </row>
    <row r="2855" spans="1:2" x14ac:dyDescent="0.25">
      <c r="A2855" s="2">
        <v>2850</v>
      </c>
      <c r="B2855" s="11" t="str">
        <f>"00155030"</f>
        <v>00155030</v>
      </c>
    </row>
    <row r="2856" spans="1:2" x14ac:dyDescent="0.25">
      <c r="A2856" s="2">
        <v>2851</v>
      </c>
      <c r="B2856" s="11" t="str">
        <f>"00155048"</f>
        <v>00155048</v>
      </c>
    </row>
    <row r="2857" spans="1:2" x14ac:dyDescent="0.25">
      <c r="A2857" s="2">
        <v>2852</v>
      </c>
      <c r="B2857" s="11" t="str">
        <f>"00155057"</f>
        <v>00155057</v>
      </c>
    </row>
    <row r="2858" spans="1:2" x14ac:dyDescent="0.25">
      <c r="A2858" s="2">
        <v>2853</v>
      </c>
      <c r="B2858" s="11" t="str">
        <f>"00155075"</f>
        <v>00155075</v>
      </c>
    </row>
    <row r="2859" spans="1:2" x14ac:dyDescent="0.25">
      <c r="A2859" s="2">
        <v>2854</v>
      </c>
      <c r="B2859" s="11" t="str">
        <f>"00155077"</f>
        <v>00155077</v>
      </c>
    </row>
    <row r="2860" spans="1:2" x14ac:dyDescent="0.25">
      <c r="A2860" s="2">
        <v>2855</v>
      </c>
      <c r="B2860" s="11" t="str">
        <f>"00155107"</f>
        <v>00155107</v>
      </c>
    </row>
    <row r="2861" spans="1:2" x14ac:dyDescent="0.25">
      <c r="A2861" s="2">
        <v>2856</v>
      </c>
      <c r="B2861" s="11" t="str">
        <f>"00155199"</f>
        <v>00155199</v>
      </c>
    </row>
    <row r="2862" spans="1:2" x14ac:dyDescent="0.25">
      <c r="A2862" s="2">
        <v>2857</v>
      </c>
      <c r="B2862" s="11" t="str">
        <f>"00155227"</f>
        <v>00155227</v>
      </c>
    </row>
    <row r="2863" spans="1:2" x14ac:dyDescent="0.25">
      <c r="A2863" s="2">
        <v>2858</v>
      </c>
      <c r="B2863" s="11" t="str">
        <f>"00155269"</f>
        <v>00155269</v>
      </c>
    </row>
    <row r="2864" spans="1:2" x14ac:dyDescent="0.25">
      <c r="A2864" s="2">
        <v>2859</v>
      </c>
      <c r="B2864" s="11" t="str">
        <f>"00155285"</f>
        <v>00155285</v>
      </c>
    </row>
    <row r="2865" spans="1:2" x14ac:dyDescent="0.25">
      <c r="A2865" s="2">
        <v>2860</v>
      </c>
      <c r="B2865" s="11" t="str">
        <f>"00155304"</f>
        <v>00155304</v>
      </c>
    </row>
    <row r="2866" spans="1:2" x14ac:dyDescent="0.25">
      <c r="A2866" s="2">
        <v>2861</v>
      </c>
      <c r="B2866" s="11" t="str">
        <f>"00155331"</f>
        <v>00155331</v>
      </c>
    </row>
    <row r="2867" spans="1:2" x14ac:dyDescent="0.25">
      <c r="A2867" s="2">
        <v>2862</v>
      </c>
      <c r="B2867" s="11" t="str">
        <f>"00155376"</f>
        <v>00155376</v>
      </c>
    </row>
    <row r="2868" spans="1:2" x14ac:dyDescent="0.25">
      <c r="A2868" s="2">
        <v>2863</v>
      </c>
      <c r="B2868" s="11" t="str">
        <f>"00155418"</f>
        <v>00155418</v>
      </c>
    </row>
    <row r="2869" spans="1:2" x14ac:dyDescent="0.25">
      <c r="A2869" s="2">
        <v>2864</v>
      </c>
      <c r="B2869" s="11" t="str">
        <f>"00155421"</f>
        <v>00155421</v>
      </c>
    </row>
    <row r="2870" spans="1:2" x14ac:dyDescent="0.25">
      <c r="A2870" s="2">
        <v>2865</v>
      </c>
      <c r="B2870" s="11" t="str">
        <f>"00155432"</f>
        <v>00155432</v>
      </c>
    </row>
    <row r="2871" spans="1:2" x14ac:dyDescent="0.25">
      <c r="A2871" s="2">
        <v>2866</v>
      </c>
      <c r="B2871" s="11" t="str">
        <f>"00155468"</f>
        <v>00155468</v>
      </c>
    </row>
    <row r="2872" spans="1:2" x14ac:dyDescent="0.25">
      <c r="A2872" s="2">
        <v>2867</v>
      </c>
      <c r="B2872" s="11" t="str">
        <f>"00155476"</f>
        <v>00155476</v>
      </c>
    </row>
    <row r="2873" spans="1:2" x14ac:dyDescent="0.25">
      <c r="A2873" s="2">
        <v>2868</v>
      </c>
      <c r="B2873" s="11" t="str">
        <f>"00155506"</f>
        <v>00155506</v>
      </c>
    </row>
    <row r="2874" spans="1:2" x14ac:dyDescent="0.25">
      <c r="A2874" s="2">
        <v>2869</v>
      </c>
      <c r="B2874" s="11" t="str">
        <f>"00155534"</f>
        <v>00155534</v>
      </c>
    </row>
    <row r="2875" spans="1:2" x14ac:dyDescent="0.25">
      <c r="A2875" s="2">
        <v>2870</v>
      </c>
      <c r="B2875" s="11" t="str">
        <f>"00155544"</f>
        <v>00155544</v>
      </c>
    </row>
    <row r="2876" spans="1:2" x14ac:dyDescent="0.25">
      <c r="A2876" s="2">
        <v>2871</v>
      </c>
      <c r="B2876" s="11" t="str">
        <f>"00155552"</f>
        <v>00155552</v>
      </c>
    </row>
    <row r="2877" spans="1:2" x14ac:dyDescent="0.25">
      <c r="A2877" s="2">
        <v>2872</v>
      </c>
      <c r="B2877" s="11" t="str">
        <f>"00155601"</f>
        <v>00155601</v>
      </c>
    </row>
    <row r="2878" spans="1:2" x14ac:dyDescent="0.25">
      <c r="A2878" s="2">
        <v>2873</v>
      </c>
      <c r="B2878" s="11" t="str">
        <f>"00155651"</f>
        <v>00155651</v>
      </c>
    </row>
    <row r="2879" spans="1:2" x14ac:dyDescent="0.25">
      <c r="A2879" s="2">
        <v>2874</v>
      </c>
      <c r="B2879" s="11" t="str">
        <f>"00155696"</f>
        <v>00155696</v>
      </c>
    </row>
    <row r="2880" spans="1:2" x14ac:dyDescent="0.25">
      <c r="A2880" s="2">
        <v>2875</v>
      </c>
      <c r="B2880" s="11" t="str">
        <f>"00155702"</f>
        <v>00155702</v>
      </c>
    </row>
    <row r="2881" spans="1:2" x14ac:dyDescent="0.25">
      <c r="A2881" s="2">
        <v>2876</v>
      </c>
      <c r="B2881" s="11" t="str">
        <f>"00155717"</f>
        <v>00155717</v>
      </c>
    </row>
    <row r="2882" spans="1:2" x14ac:dyDescent="0.25">
      <c r="A2882" s="2">
        <v>2877</v>
      </c>
      <c r="B2882" s="11" t="str">
        <f>"00155734"</f>
        <v>00155734</v>
      </c>
    </row>
    <row r="2883" spans="1:2" x14ac:dyDescent="0.25">
      <c r="A2883" s="2">
        <v>2878</v>
      </c>
      <c r="B2883" s="11" t="str">
        <f>"00155747"</f>
        <v>00155747</v>
      </c>
    </row>
    <row r="2884" spans="1:2" x14ac:dyDescent="0.25">
      <c r="A2884" s="2">
        <v>2879</v>
      </c>
      <c r="B2884" s="11" t="str">
        <f>"00155766"</f>
        <v>00155766</v>
      </c>
    </row>
    <row r="2885" spans="1:2" x14ac:dyDescent="0.25">
      <c r="A2885" s="2">
        <v>2880</v>
      </c>
      <c r="B2885" s="11" t="str">
        <f>"00155776"</f>
        <v>00155776</v>
      </c>
    </row>
    <row r="2886" spans="1:2" x14ac:dyDescent="0.25">
      <c r="A2886" s="2">
        <v>2881</v>
      </c>
      <c r="B2886" s="11" t="str">
        <f>"00155837"</f>
        <v>00155837</v>
      </c>
    </row>
    <row r="2887" spans="1:2" x14ac:dyDescent="0.25">
      <c r="A2887" s="2">
        <v>2882</v>
      </c>
      <c r="B2887" s="11" t="str">
        <f>"00155892"</f>
        <v>00155892</v>
      </c>
    </row>
    <row r="2888" spans="1:2" x14ac:dyDescent="0.25">
      <c r="A2888" s="2">
        <v>2883</v>
      </c>
      <c r="B2888" s="11" t="str">
        <f>"00155907"</f>
        <v>00155907</v>
      </c>
    </row>
    <row r="2889" spans="1:2" x14ac:dyDescent="0.25">
      <c r="A2889" s="2">
        <v>2884</v>
      </c>
      <c r="B2889" s="11" t="str">
        <f>"00155918"</f>
        <v>00155918</v>
      </c>
    </row>
    <row r="2890" spans="1:2" x14ac:dyDescent="0.25">
      <c r="A2890" s="2">
        <v>2885</v>
      </c>
      <c r="B2890" s="11" t="str">
        <f>"00155923"</f>
        <v>00155923</v>
      </c>
    </row>
    <row r="2891" spans="1:2" x14ac:dyDescent="0.25">
      <c r="A2891" s="2">
        <v>2886</v>
      </c>
      <c r="B2891" s="11" t="str">
        <f>"00155924"</f>
        <v>00155924</v>
      </c>
    </row>
    <row r="2892" spans="1:2" x14ac:dyDescent="0.25">
      <c r="A2892" s="2">
        <v>2887</v>
      </c>
      <c r="B2892" s="11" t="str">
        <f>"00155933"</f>
        <v>00155933</v>
      </c>
    </row>
    <row r="2893" spans="1:2" x14ac:dyDescent="0.25">
      <c r="A2893" s="2">
        <v>2888</v>
      </c>
      <c r="B2893" s="11" t="str">
        <f>"00155950"</f>
        <v>00155950</v>
      </c>
    </row>
    <row r="2894" spans="1:2" x14ac:dyDescent="0.25">
      <c r="A2894" s="2">
        <v>2889</v>
      </c>
      <c r="B2894" s="11" t="str">
        <f>"00155960"</f>
        <v>00155960</v>
      </c>
    </row>
    <row r="2895" spans="1:2" x14ac:dyDescent="0.25">
      <c r="A2895" s="2">
        <v>2890</v>
      </c>
      <c r="B2895" s="11" t="str">
        <f>"00155976"</f>
        <v>00155976</v>
      </c>
    </row>
    <row r="2896" spans="1:2" x14ac:dyDescent="0.25">
      <c r="A2896" s="2">
        <v>2891</v>
      </c>
      <c r="B2896" s="11" t="str">
        <f>"00155990"</f>
        <v>00155990</v>
      </c>
    </row>
    <row r="2897" spans="1:2" x14ac:dyDescent="0.25">
      <c r="A2897" s="2">
        <v>2892</v>
      </c>
      <c r="B2897" s="11" t="str">
        <f>"00156097"</f>
        <v>00156097</v>
      </c>
    </row>
    <row r="2898" spans="1:2" x14ac:dyDescent="0.25">
      <c r="A2898" s="2">
        <v>2893</v>
      </c>
      <c r="B2898" s="11" t="str">
        <f>"00156109"</f>
        <v>00156109</v>
      </c>
    </row>
    <row r="2899" spans="1:2" x14ac:dyDescent="0.25">
      <c r="A2899" s="2">
        <v>2894</v>
      </c>
      <c r="B2899" s="11" t="str">
        <f>"00156138"</f>
        <v>00156138</v>
      </c>
    </row>
    <row r="2900" spans="1:2" x14ac:dyDescent="0.25">
      <c r="A2900" s="2">
        <v>2895</v>
      </c>
      <c r="B2900" s="11" t="str">
        <f>"00156160"</f>
        <v>00156160</v>
      </c>
    </row>
    <row r="2901" spans="1:2" x14ac:dyDescent="0.25">
      <c r="A2901" s="2">
        <v>2896</v>
      </c>
      <c r="B2901" s="11" t="str">
        <f>"00156167"</f>
        <v>00156167</v>
      </c>
    </row>
    <row r="2902" spans="1:2" x14ac:dyDescent="0.25">
      <c r="A2902" s="2">
        <v>2897</v>
      </c>
      <c r="B2902" s="11" t="str">
        <f>"00156173"</f>
        <v>00156173</v>
      </c>
    </row>
    <row r="2903" spans="1:2" x14ac:dyDescent="0.25">
      <c r="A2903" s="2">
        <v>2898</v>
      </c>
      <c r="B2903" s="11" t="str">
        <f>"00156176"</f>
        <v>00156176</v>
      </c>
    </row>
    <row r="2904" spans="1:2" x14ac:dyDescent="0.25">
      <c r="A2904" s="2">
        <v>2899</v>
      </c>
      <c r="B2904" s="11" t="str">
        <f>"00156189"</f>
        <v>00156189</v>
      </c>
    </row>
    <row r="2905" spans="1:2" x14ac:dyDescent="0.25">
      <c r="A2905" s="2">
        <v>2900</v>
      </c>
      <c r="B2905" s="11" t="str">
        <f>"00156197"</f>
        <v>00156197</v>
      </c>
    </row>
    <row r="2906" spans="1:2" x14ac:dyDescent="0.25">
      <c r="A2906" s="2">
        <v>2901</v>
      </c>
      <c r="B2906" s="11" t="str">
        <f>"00156201"</f>
        <v>00156201</v>
      </c>
    </row>
    <row r="2907" spans="1:2" x14ac:dyDescent="0.25">
      <c r="A2907" s="2">
        <v>2902</v>
      </c>
      <c r="B2907" s="11" t="str">
        <f>"00156216"</f>
        <v>00156216</v>
      </c>
    </row>
    <row r="2908" spans="1:2" x14ac:dyDescent="0.25">
      <c r="A2908" s="2">
        <v>2903</v>
      </c>
      <c r="B2908" s="11" t="str">
        <f>"00156217"</f>
        <v>00156217</v>
      </c>
    </row>
    <row r="2909" spans="1:2" x14ac:dyDescent="0.25">
      <c r="A2909" s="2">
        <v>2904</v>
      </c>
      <c r="B2909" s="11" t="str">
        <f>"00156242"</f>
        <v>00156242</v>
      </c>
    </row>
    <row r="2910" spans="1:2" x14ac:dyDescent="0.25">
      <c r="A2910" s="2">
        <v>2905</v>
      </c>
      <c r="B2910" s="11" t="str">
        <f>"00156245"</f>
        <v>00156245</v>
      </c>
    </row>
    <row r="2911" spans="1:2" x14ac:dyDescent="0.25">
      <c r="A2911" s="2">
        <v>2906</v>
      </c>
      <c r="B2911" s="11" t="str">
        <f>"00156324"</f>
        <v>00156324</v>
      </c>
    </row>
    <row r="2912" spans="1:2" x14ac:dyDescent="0.25">
      <c r="A2912" s="2">
        <v>2907</v>
      </c>
      <c r="B2912" s="11" t="str">
        <f>"00156329"</f>
        <v>00156329</v>
      </c>
    </row>
    <row r="2913" spans="1:2" x14ac:dyDescent="0.25">
      <c r="A2913" s="2">
        <v>2908</v>
      </c>
      <c r="B2913" s="11" t="str">
        <f>"00156345"</f>
        <v>00156345</v>
      </c>
    </row>
    <row r="2914" spans="1:2" x14ac:dyDescent="0.25">
      <c r="A2914" s="2">
        <v>2909</v>
      </c>
      <c r="B2914" s="11" t="str">
        <f>"00156359"</f>
        <v>00156359</v>
      </c>
    </row>
    <row r="2915" spans="1:2" x14ac:dyDescent="0.25">
      <c r="A2915" s="2">
        <v>2910</v>
      </c>
      <c r="B2915" s="11" t="str">
        <f>"00156450"</f>
        <v>00156450</v>
      </c>
    </row>
    <row r="2916" spans="1:2" x14ac:dyDescent="0.25">
      <c r="A2916" s="2">
        <v>2911</v>
      </c>
      <c r="B2916" s="11" t="str">
        <f>"00156515"</f>
        <v>00156515</v>
      </c>
    </row>
    <row r="2917" spans="1:2" x14ac:dyDescent="0.25">
      <c r="A2917" s="2">
        <v>2912</v>
      </c>
      <c r="B2917" s="11" t="str">
        <f>"00156526"</f>
        <v>00156526</v>
      </c>
    </row>
    <row r="2918" spans="1:2" x14ac:dyDescent="0.25">
      <c r="A2918" s="2">
        <v>2913</v>
      </c>
      <c r="B2918" s="11" t="str">
        <f>"00156609"</f>
        <v>00156609</v>
      </c>
    </row>
    <row r="2919" spans="1:2" x14ac:dyDescent="0.25">
      <c r="A2919" s="2">
        <v>2914</v>
      </c>
      <c r="B2919" s="11" t="str">
        <f>"00156625"</f>
        <v>00156625</v>
      </c>
    </row>
    <row r="2920" spans="1:2" x14ac:dyDescent="0.25">
      <c r="A2920" s="2">
        <v>2915</v>
      </c>
      <c r="B2920" s="11" t="str">
        <f>"00156636"</f>
        <v>00156636</v>
      </c>
    </row>
    <row r="2921" spans="1:2" x14ac:dyDescent="0.25">
      <c r="A2921" s="2">
        <v>2916</v>
      </c>
      <c r="B2921" s="11" t="str">
        <f>"00156658"</f>
        <v>00156658</v>
      </c>
    </row>
    <row r="2922" spans="1:2" x14ac:dyDescent="0.25">
      <c r="A2922" s="2">
        <v>2917</v>
      </c>
      <c r="B2922" s="11" t="str">
        <f>"00156668"</f>
        <v>00156668</v>
      </c>
    </row>
    <row r="2923" spans="1:2" x14ac:dyDescent="0.25">
      <c r="A2923" s="2">
        <v>2918</v>
      </c>
      <c r="B2923" s="11" t="str">
        <f>"00156724"</f>
        <v>00156724</v>
      </c>
    </row>
    <row r="2924" spans="1:2" x14ac:dyDescent="0.25">
      <c r="A2924" s="2">
        <v>2919</v>
      </c>
      <c r="B2924" s="11" t="str">
        <f>"00156762"</f>
        <v>00156762</v>
      </c>
    </row>
    <row r="2925" spans="1:2" x14ac:dyDescent="0.25">
      <c r="A2925" s="2">
        <v>2920</v>
      </c>
      <c r="B2925" s="11" t="str">
        <f>"00156776"</f>
        <v>00156776</v>
      </c>
    </row>
    <row r="2926" spans="1:2" x14ac:dyDescent="0.25">
      <c r="A2926" s="2">
        <v>2921</v>
      </c>
      <c r="B2926" s="11" t="str">
        <f>"00156807"</f>
        <v>00156807</v>
      </c>
    </row>
    <row r="2927" spans="1:2" x14ac:dyDescent="0.25">
      <c r="A2927" s="2">
        <v>2922</v>
      </c>
      <c r="B2927" s="11" t="str">
        <f>"00156810"</f>
        <v>00156810</v>
      </c>
    </row>
    <row r="2928" spans="1:2" x14ac:dyDescent="0.25">
      <c r="A2928" s="2">
        <v>2923</v>
      </c>
      <c r="B2928" s="11" t="str">
        <f>"00156813"</f>
        <v>00156813</v>
      </c>
    </row>
    <row r="2929" spans="1:2" x14ac:dyDescent="0.25">
      <c r="A2929" s="2">
        <v>2924</v>
      </c>
      <c r="B2929" s="11" t="str">
        <f>"00156819"</f>
        <v>00156819</v>
      </c>
    </row>
    <row r="2930" spans="1:2" x14ac:dyDescent="0.25">
      <c r="A2930" s="2">
        <v>2925</v>
      </c>
      <c r="B2930" s="11" t="str">
        <f>"00156884"</f>
        <v>00156884</v>
      </c>
    </row>
    <row r="2931" spans="1:2" x14ac:dyDescent="0.25">
      <c r="A2931" s="2">
        <v>2926</v>
      </c>
      <c r="B2931" s="11" t="str">
        <f>"00156894"</f>
        <v>00156894</v>
      </c>
    </row>
    <row r="2932" spans="1:2" x14ac:dyDescent="0.25">
      <c r="A2932" s="2">
        <v>2927</v>
      </c>
      <c r="B2932" s="11" t="str">
        <f>"00156900"</f>
        <v>00156900</v>
      </c>
    </row>
    <row r="2933" spans="1:2" x14ac:dyDescent="0.25">
      <c r="A2933" s="2">
        <v>2928</v>
      </c>
      <c r="B2933" s="11" t="str">
        <f>"00156912"</f>
        <v>00156912</v>
      </c>
    </row>
    <row r="2934" spans="1:2" x14ac:dyDescent="0.25">
      <c r="A2934" s="2">
        <v>2929</v>
      </c>
      <c r="B2934" s="11" t="str">
        <f>"00156937"</f>
        <v>00156937</v>
      </c>
    </row>
    <row r="2935" spans="1:2" x14ac:dyDescent="0.25">
      <c r="A2935" s="2">
        <v>2930</v>
      </c>
      <c r="B2935" s="11" t="str">
        <f>"00156939"</f>
        <v>00156939</v>
      </c>
    </row>
    <row r="2936" spans="1:2" x14ac:dyDescent="0.25">
      <c r="A2936" s="2">
        <v>2931</v>
      </c>
      <c r="B2936" s="11" t="str">
        <f>"00156967"</f>
        <v>00156967</v>
      </c>
    </row>
    <row r="2937" spans="1:2" x14ac:dyDescent="0.25">
      <c r="A2937" s="2">
        <v>2932</v>
      </c>
      <c r="B2937" s="11" t="str">
        <f>"00157008"</f>
        <v>00157008</v>
      </c>
    </row>
    <row r="2938" spans="1:2" x14ac:dyDescent="0.25">
      <c r="A2938" s="2">
        <v>2933</v>
      </c>
      <c r="B2938" s="11" t="str">
        <f>"00157013"</f>
        <v>00157013</v>
      </c>
    </row>
    <row r="2939" spans="1:2" x14ac:dyDescent="0.25">
      <c r="A2939" s="2">
        <v>2934</v>
      </c>
      <c r="B2939" s="11" t="str">
        <f>"00157046"</f>
        <v>00157046</v>
      </c>
    </row>
    <row r="2940" spans="1:2" x14ac:dyDescent="0.25">
      <c r="A2940" s="2">
        <v>2935</v>
      </c>
      <c r="B2940" s="11" t="str">
        <f>"00157085"</f>
        <v>00157085</v>
      </c>
    </row>
    <row r="2941" spans="1:2" x14ac:dyDescent="0.25">
      <c r="A2941" s="2">
        <v>2936</v>
      </c>
      <c r="B2941" s="11" t="str">
        <f>"00157096"</f>
        <v>00157096</v>
      </c>
    </row>
    <row r="2942" spans="1:2" x14ac:dyDescent="0.25">
      <c r="A2942" s="2">
        <v>2937</v>
      </c>
      <c r="B2942" s="11" t="str">
        <f>"00157122"</f>
        <v>00157122</v>
      </c>
    </row>
    <row r="2943" spans="1:2" x14ac:dyDescent="0.25">
      <c r="A2943" s="2">
        <v>2938</v>
      </c>
      <c r="B2943" s="11" t="str">
        <f>"00157133"</f>
        <v>00157133</v>
      </c>
    </row>
    <row r="2944" spans="1:2" x14ac:dyDescent="0.25">
      <c r="A2944" s="2">
        <v>2939</v>
      </c>
      <c r="B2944" s="11" t="str">
        <f>"00157158"</f>
        <v>00157158</v>
      </c>
    </row>
    <row r="2945" spans="1:2" x14ac:dyDescent="0.25">
      <c r="A2945" s="2">
        <v>2940</v>
      </c>
      <c r="B2945" s="11" t="str">
        <f>"00157168"</f>
        <v>00157168</v>
      </c>
    </row>
    <row r="2946" spans="1:2" x14ac:dyDescent="0.25">
      <c r="A2946" s="2">
        <v>2941</v>
      </c>
      <c r="B2946" s="11" t="str">
        <f>"00157215"</f>
        <v>00157215</v>
      </c>
    </row>
    <row r="2947" spans="1:2" x14ac:dyDescent="0.25">
      <c r="A2947" s="2">
        <v>2942</v>
      </c>
      <c r="B2947" s="11" t="str">
        <f>"00157216"</f>
        <v>00157216</v>
      </c>
    </row>
    <row r="2948" spans="1:2" x14ac:dyDescent="0.25">
      <c r="A2948" s="2">
        <v>2943</v>
      </c>
      <c r="B2948" s="11" t="str">
        <f>"00157282"</f>
        <v>00157282</v>
      </c>
    </row>
    <row r="2949" spans="1:2" x14ac:dyDescent="0.25">
      <c r="A2949" s="2">
        <v>2944</v>
      </c>
      <c r="B2949" s="11" t="str">
        <f>"00157311"</f>
        <v>00157311</v>
      </c>
    </row>
    <row r="2950" spans="1:2" x14ac:dyDescent="0.25">
      <c r="A2950" s="2">
        <v>2945</v>
      </c>
      <c r="B2950" s="11" t="str">
        <f>"00157354"</f>
        <v>00157354</v>
      </c>
    </row>
    <row r="2951" spans="1:2" x14ac:dyDescent="0.25">
      <c r="A2951" s="2">
        <v>2946</v>
      </c>
      <c r="B2951" s="11" t="str">
        <f>"00157466"</f>
        <v>00157466</v>
      </c>
    </row>
    <row r="2952" spans="1:2" x14ac:dyDescent="0.25">
      <c r="A2952" s="2">
        <v>2947</v>
      </c>
      <c r="B2952" s="11" t="str">
        <f>"00157512"</f>
        <v>00157512</v>
      </c>
    </row>
    <row r="2953" spans="1:2" x14ac:dyDescent="0.25">
      <c r="A2953" s="2">
        <v>2948</v>
      </c>
      <c r="B2953" s="11" t="str">
        <f>"00157522"</f>
        <v>00157522</v>
      </c>
    </row>
    <row r="2954" spans="1:2" x14ac:dyDescent="0.25">
      <c r="A2954" s="2">
        <v>2949</v>
      </c>
      <c r="B2954" s="11" t="str">
        <f>"00157526"</f>
        <v>00157526</v>
      </c>
    </row>
    <row r="2955" spans="1:2" x14ac:dyDescent="0.25">
      <c r="A2955" s="2">
        <v>2950</v>
      </c>
      <c r="B2955" s="11" t="str">
        <f>"00157530"</f>
        <v>00157530</v>
      </c>
    </row>
    <row r="2956" spans="1:2" x14ac:dyDescent="0.25">
      <c r="A2956" s="2">
        <v>2951</v>
      </c>
      <c r="B2956" s="11" t="str">
        <f>"00157565"</f>
        <v>00157565</v>
      </c>
    </row>
    <row r="2957" spans="1:2" x14ac:dyDescent="0.25">
      <c r="A2957" s="2">
        <v>2952</v>
      </c>
      <c r="B2957" s="11" t="str">
        <f>"00157571"</f>
        <v>00157571</v>
      </c>
    </row>
    <row r="2958" spans="1:2" x14ac:dyDescent="0.25">
      <c r="A2958" s="2">
        <v>2953</v>
      </c>
      <c r="B2958" s="11" t="str">
        <f>"00157573"</f>
        <v>00157573</v>
      </c>
    </row>
    <row r="2959" spans="1:2" x14ac:dyDescent="0.25">
      <c r="A2959" s="2">
        <v>2954</v>
      </c>
      <c r="B2959" s="11" t="str">
        <f>"00157586"</f>
        <v>00157586</v>
      </c>
    </row>
    <row r="2960" spans="1:2" x14ac:dyDescent="0.25">
      <c r="A2960" s="2">
        <v>2955</v>
      </c>
      <c r="B2960" s="11" t="str">
        <f>"00157593"</f>
        <v>00157593</v>
      </c>
    </row>
    <row r="2961" spans="1:2" x14ac:dyDescent="0.25">
      <c r="A2961" s="2">
        <v>2956</v>
      </c>
      <c r="B2961" s="11" t="str">
        <f>"00157594"</f>
        <v>00157594</v>
      </c>
    </row>
    <row r="2962" spans="1:2" x14ac:dyDescent="0.25">
      <c r="A2962" s="2">
        <v>2957</v>
      </c>
      <c r="B2962" s="11" t="str">
        <f>"00157607"</f>
        <v>00157607</v>
      </c>
    </row>
    <row r="2963" spans="1:2" x14ac:dyDescent="0.25">
      <c r="A2963" s="2">
        <v>2958</v>
      </c>
      <c r="B2963" s="11" t="str">
        <f>"00157638"</f>
        <v>00157638</v>
      </c>
    </row>
    <row r="2964" spans="1:2" x14ac:dyDescent="0.25">
      <c r="A2964" s="2">
        <v>2959</v>
      </c>
      <c r="B2964" s="11" t="str">
        <f>"00157675"</f>
        <v>00157675</v>
      </c>
    </row>
    <row r="2965" spans="1:2" x14ac:dyDescent="0.25">
      <c r="A2965" s="2">
        <v>2960</v>
      </c>
      <c r="B2965" s="11" t="str">
        <f>"00157676"</f>
        <v>00157676</v>
      </c>
    </row>
    <row r="2966" spans="1:2" x14ac:dyDescent="0.25">
      <c r="A2966" s="2">
        <v>2961</v>
      </c>
      <c r="B2966" s="11" t="str">
        <f>"00157696"</f>
        <v>00157696</v>
      </c>
    </row>
    <row r="2967" spans="1:2" x14ac:dyDescent="0.25">
      <c r="A2967" s="2">
        <v>2962</v>
      </c>
      <c r="B2967" s="11" t="str">
        <f>"00157724"</f>
        <v>00157724</v>
      </c>
    </row>
    <row r="2968" spans="1:2" x14ac:dyDescent="0.25">
      <c r="A2968" s="2">
        <v>2963</v>
      </c>
      <c r="B2968" s="11" t="str">
        <f>"00157763"</f>
        <v>00157763</v>
      </c>
    </row>
    <row r="2969" spans="1:2" x14ac:dyDescent="0.25">
      <c r="A2969" s="2">
        <v>2964</v>
      </c>
      <c r="B2969" s="11" t="str">
        <f>"00157771"</f>
        <v>00157771</v>
      </c>
    </row>
    <row r="2970" spans="1:2" x14ac:dyDescent="0.25">
      <c r="A2970" s="2">
        <v>2965</v>
      </c>
      <c r="B2970" s="11" t="str">
        <f>"00157799"</f>
        <v>00157799</v>
      </c>
    </row>
    <row r="2971" spans="1:2" x14ac:dyDescent="0.25">
      <c r="A2971" s="2">
        <v>2966</v>
      </c>
      <c r="B2971" s="11" t="str">
        <f>"00157811"</f>
        <v>00157811</v>
      </c>
    </row>
    <row r="2972" spans="1:2" x14ac:dyDescent="0.25">
      <c r="A2972" s="2">
        <v>2967</v>
      </c>
      <c r="B2972" s="11" t="str">
        <f>"00157844"</f>
        <v>00157844</v>
      </c>
    </row>
    <row r="2973" spans="1:2" x14ac:dyDescent="0.25">
      <c r="A2973" s="2">
        <v>2968</v>
      </c>
      <c r="B2973" s="11" t="str">
        <f>"00157933"</f>
        <v>00157933</v>
      </c>
    </row>
    <row r="2974" spans="1:2" x14ac:dyDescent="0.25">
      <c r="A2974" s="2">
        <v>2969</v>
      </c>
      <c r="B2974" s="11" t="str">
        <f>"00158043"</f>
        <v>00158043</v>
      </c>
    </row>
    <row r="2975" spans="1:2" x14ac:dyDescent="0.25">
      <c r="A2975" s="2">
        <v>2970</v>
      </c>
      <c r="B2975" s="11" t="str">
        <f>"00158114"</f>
        <v>00158114</v>
      </c>
    </row>
    <row r="2976" spans="1:2" x14ac:dyDescent="0.25">
      <c r="A2976" s="2">
        <v>2971</v>
      </c>
      <c r="B2976" s="11" t="str">
        <f>"00158170"</f>
        <v>00158170</v>
      </c>
    </row>
    <row r="2977" spans="1:2" x14ac:dyDescent="0.25">
      <c r="A2977" s="2">
        <v>2972</v>
      </c>
      <c r="B2977" s="11" t="str">
        <f>"00158236"</f>
        <v>00158236</v>
      </c>
    </row>
    <row r="2978" spans="1:2" x14ac:dyDescent="0.25">
      <c r="A2978" s="2">
        <v>2973</v>
      </c>
      <c r="B2978" s="11" t="str">
        <f>"00158357"</f>
        <v>00158357</v>
      </c>
    </row>
    <row r="2979" spans="1:2" x14ac:dyDescent="0.25">
      <c r="A2979" s="2">
        <v>2974</v>
      </c>
      <c r="B2979" s="11" t="str">
        <f>"00158377"</f>
        <v>00158377</v>
      </c>
    </row>
    <row r="2980" spans="1:2" x14ac:dyDescent="0.25">
      <c r="A2980" s="2">
        <v>2975</v>
      </c>
      <c r="B2980" s="11" t="str">
        <f>"00158378"</f>
        <v>00158378</v>
      </c>
    </row>
    <row r="2981" spans="1:2" x14ac:dyDescent="0.25">
      <c r="A2981" s="2">
        <v>2976</v>
      </c>
      <c r="B2981" s="11" t="str">
        <f>"00158471"</f>
        <v>00158471</v>
      </c>
    </row>
    <row r="2982" spans="1:2" x14ac:dyDescent="0.25">
      <c r="A2982" s="2">
        <v>2977</v>
      </c>
      <c r="B2982" s="11" t="str">
        <f>"00158474"</f>
        <v>00158474</v>
      </c>
    </row>
    <row r="2983" spans="1:2" x14ac:dyDescent="0.25">
      <c r="A2983" s="2">
        <v>2978</v>
      </c>
      <c r="B2983" s="11" t="str">
        <f>"00158485"</f>
        <v>00158485</v>
      </c>
    </row>
    <row r="2984" spans="1:2" x14ac:dyDescent="0.25">
      <c r="A2984" s="2">
        <v>2979</v>
      </c>
      <c r="B2984" s="11" t="str">
        <f>"00158498"</f>
        <v>00158498</v>
      </c>
    </row>
    <row r="2985" spans="1:2" x14ac:dyDescent="0.25">
      <c r="A2985" s="2">
        <v>2980</v>
      </c>
      <c r="B2985" s="11" t="str">
        <f>"00158501"</f>
        <v>00158501</v>
      </c>
    </row>
    <row r="2986" spans="1:2" x14ac:dyDescent="0.25">
      <c r="A2986" s="2">
        <v>2981</v>
      </c>
      <c r="B2986" s="11" t="str">
        <f>"00158507"</f>
        <v>00158507</v>
      </c>
    </row>
    <row r="2987" spans="1:2" x14ac:dyDescent="0.25">
      <c r="A2987" s="2">
        <v>2982</v>
      </c>
      <c r="B2987" s="11" t="str">
        <f>"00158522"</f>
        <v>00158522</v>
      </c>
    </row>
    <row r="2988" spans="1:2" x14ac:dyDescent="0.25">
      <c r="A2988" s="2">
        <v>2983</v>
      </c>
      <c r="B2988" s="11" t="str">
        <f>"00158533"</f>
        <v>00158533</v>
      </c>
    </row>
    <row r="2989" spans="1:2" x14ac:dyDescent="0.25">
      <c r="A2989" s="2">
        <v>2984</v>
      </c>
      <c r="B2989" s="11" t="str">
        <f>"00158603"</f>
        <v>00158603</v>
      </c>
    </row>
    <row r="2990" spans="1:2" x14ac:dyDescent="0.25">
      <c r="A2990" s="2">
        <v>2985</v>
      </c>
      <c r="B2990" s="11" t="str">
        <f>"00158607"</f>
        <v>00158607</v>
      </c>
    </row>
    <row r="2991" spans="1:2" x14ac:dyDescent="0.25">
      <c r="A2991" s="2">
        <v>2986</v>
      </c>
      <c r="B2991" s="11" t="str">
        <f>"00158609"</f>
        <v>00158609</v>
      </c>
    </row>
    <row r="2992" spans="1:2" x14ac:dyDescent="0.25">
      <c r="A2992" s="2">
        <v>2987</v>
      </c>
      <c r="B2992" s="11" t="str">
        <f>"00158616"</f>
        <v>00158616</v>
      </c>
    </row>
    <row r="2993" spans="1:2" x14ac:dyDescent="0.25">
      <c r="A2993" s="2">
        <v>2988</v>
      </c>
      <c r="B2993" s="11" t="str">
        <f>"00158633"</f>
        <v>00158633</v>
      </c>
    </row>
    <row r="2994" spans="1:2" x14ac:dyDescent="0.25">
      <c r="A2994" s="2">
        <v>2989</v>
      </c>
      <c r="B2994" s="11" t="str">
        <f>"00158641"</f>
        <v>00158641</v>
      </c>
    </row>
    <row r="2995" spans="1:2" x14ac:dyDescent="0.25">
      <c r="A2995" s="2">
        <v>2990</v>
      </c>
      <c r="B2995" s="11" t="str">
        <f>"00158661"</f>
        <v>00158661</v>
      </c>
    </row>
    <row r="2996" spans="1:2" x14ac:dyDescent="0.25">
      <c r="A2996" s="2">
        <v>2991</v>
      </c>
      <c r="B2996" s="11" t="str">
        <f>"00158675"</f>
        <v>00158675</v>
      </c>
    </row>
    <row r="2997" spans="1:2" x14ac:dyDescent="0.25">
      <c r="A2997" s="2">
        <v>2992</v>
      </c>
      <c r="B2997" s="11" t="str">
        <f>"00158676"</f>
        <v>00158676</v>
      </c>
    </row>
    <row r="2998" spans="1:2" x14ac:dyDescent="0.25">
      <c r="A2998" s="2">
        <v>2993</v>
      </c>
      <c r="B2998" s="11" t="str">
        <f>"00158691"</f>
        <v>00158691</v>
      </c>
    </row>
    <row r="2999" spans="1:2" x14ac:dyDescent="0.25">
      <c r="A2999" s="2">
        <v>2994</v>
      </c>
      <c r="B2999" s="11" t="str">
        <f>"00158807"</f>
        <v>00158807</v>
      </c>
    </row>
    <row r="3000" spans="1:2" x14ac:dyDescent="0.25">
      <c r="A3000" s="2">
        <v>2995</v>
      </c>
      <c r="B3000" s="11" t="str">
        <f>"00158812"</f>
        <v>00158812</v>
      </c>
    </row>
    <row r="3001" spans="1:2" x14ac:dyDescent="0.25">
      <c r="A3001" s="2">
        <v>2996</v>
      </c>
      <c r="B3001" s="11" t="str">
        <f>"00158815"</f>
        <v>00158815</v>
      </c>
    </row>
    <row r="3002" spans="1:2" x14ac:dyDescent="0.25">
      <c r="A3002" s="2">
        <v>2997</v>
      </c>
      <c r="B3002" s="11" t="str">
        <f>"00158820"</f>
        <v>00158820</v>
      </c>
    </row>
    <row r="3003" spans="1:2" x14ac:dyDescent="0.25">
      <c r="A3003" s="2">
        <v>2998</v>
      </c>
      <c r="B3003" s="11" t="str">
        <f>"00158847"</f>
        <v>00158847</v>
      </c>
    </row>
    <row r="3004" spans="1:2" x14ac:dyDescent="0.25">
      <c r="A3004" s="2">
        <v>2999</v>
      </c>
      <c r="B3004" s="11" t="str">
        <f>"00158867"</f>
        <v>00158867</v>
      </c>
    </row>
    <row r="3005" spans="1:2" x14ac:dyDescent="0.25">
      <c r="A3005" s="2">
        <v>3000</v>
      </c>
      <c r="B3005" s="11" t="str">
        <f>"00158884"</f>
        <v>00158884</v>
      </c>
    </row>
    <row r="3006" spans="1:2" x14ac:dyDescent="0.25">
      <c r="A3006" s="2">
        <v>3001</v>
      </c>
      <c r="B3006" s="11" t="str">
        <f>"00158892"</f>
        <v>00158892</v>
      </c>
    </row>
    <row r="3007" spans="1:2" x14ac:dyDescent="0.25">
      <c r="A3007" s="2">
        <v>3002</v>
      </c>
      <c r="B3007" s="11" t="str">
        <f>"00158939"</f>
        <v>00158939</v>
      </c>
    </row>
    <row r="3008" spans="1:2" x14ac:dyDescent="0.25">
      <c r="A3008" s="2">
        <v>3003</v>
      </c>
      <c r="B3008" s="11" t="str">
        <f>"00158991"</f>
        <v>00158991</v>
      </c>
    </row>
    <row r="3009" spans="1:2" x14ac:dyDescent="0.25">
      <c r="A3009" s="2">
        <v>3004</v>
      </c>
      <c r="B3009" s="11" t="str">
        <f>"00158999"</f>
        <v>00158999</v>
      </c>
    </row>
    <row r="3010" spans="1:2" x14ac:dyDescent="0.25">
      <c r="A3010" s="2">
        <v>3005</v>
      </c>
      <c r="B3010" s="11" t="str">
        <f>"00159007"</f>
        <v>00159007</v>
      </c>
    </row>
    <row r="3011" spans="1:2" x14ac:dyDescent="0.25">
      <c r="A3011" s="2">
        <v>3006</v>
      </c>
      <c r="B3011" s="11" t="str">
        <f>"00159020"</f>
        <v>00159020</v>
      </c>
    </row>
    <row r="3012" spans="1:2" x14ac:dyDescent="0.25">
      <c r="A3012" s="2">
        <v>3007</v>
      </c>
      <c r="B3012" s="11" t="str">
        <f>"00159028"</f>
        <v>00159028</v>
      </c>
    </row>
    <row r="3013" spans="1:2" x14ac:dyDescent="0.25">
      <c r="A3013" s="2">
        <v>3008</v>
      </c>
      <c r="B3013" s="11" t="str">
        <f>"00159033"</f>
        <v>00159033</v>
      </c>
    </row>
    <row r="3014" spans="1:2" x14ac:dyDescent="0.25">
      <c r="A3014" s="2">
        <v>3009</v>
      </c>
      <c r="B3014" s="11" t="str">
        <f>"00159087"</f>
        <v>00159087</v>
      </c>
    </row>
    <row r="3015" spans="1:2" x14ac:dyDescent="0.25">
      <c r="A3015" s="2">
        <v>3010</v>
      </c>
      <c r="B3015" s="11" t="str">
        <f>"00159159"</f>
        <v>00159159</v>
      </c>
    </row>
    <row r="3016" spans="1:2" x14ac:dyDescent="0.25">
      <c r="A3016" s="2">
        <v>3011</v>
      </c>
      <c r="B3016" s="11" t="str">
        <f>"00159172"</f>
        <v>00159172</v>
      </c>
    </row>
    <row r="3017" spans="1:2" x14ac:dyDescent="0.25">
      <c r="A3017" s="2">
        <v>3012</v>
      </c>
      <c r="B3017" s="11" t="str">
        <f>"00159180"</f>
        <v>00159180</v>
      </c>
    </row>
    <row r="3018" spans="1:2" x14ac:dyDescent="0.25">
      <c r="A3018" s="2">
        <v>3013</v>
      </c>
      <c r="B3018" s="11" t="str">
        <f>"00159194"</f>
        <v>00159194</v>
      </c>
    </row>
    <row r="3019" spans="1:2" x14ac:dyDescent="0.25">
      <c r="A3019" s="2">
        <v>3014</v>
      </c>
      <c r="B3019" s="11" t="str">
        <f>"00159247"</f>
        <v>00159247</v>
      </c>
    </row>
    <row r="3020" spans="1:2" x14ac:dyDescent="0.25">
      <c r="A3020" s="2">
        <v>3015</v>
      </c>
      <c r="B3020" s="11" t="str">
        <f>"00159268"</f>
        <v>00159268</v>
      </c>
    </row>
    <row r="3021" spans="1:2" x14ac:dyDescent="0.25">
      <c r="A3021" s="2">
        <v>3016</v>
      </c>
      <c r="B3021" s="11" t="str">
        <f>"00159271"</f>
        <v>00159271</v>
      </c>
    </row>
    <row r="3022" spans="1:2" x14ac:dyDescent="0.25">
      <c r="A3022" s="2">
        <v>3017</v>
      </c>
      <c r="B3022" s="11" t="str">
        <f>"00159274"</f>
        <v>00159274</v>
      </c>
    </row>
    <row r="3023" spans="1:2" x14ac:dyDescent="0.25">
      <c r="A3023" s="2">
        <v>3018</v>
      </c>
      <c r="B3023" s="11" t="str">
        <f>"00159732"</f>
        <v>00159732</v>
      </c>
    </row>
    <row r="3024" spans="1:2" x14ac:dyDescent="0.25">
      <c r="A3024" s="2">
        <v>3019</v>
      </c>
      <c r="B3024" s="11" t="str">
        <f>"00159733"</f>
        <v>00159733</v>
      </c>
    </row>
    <row r="3025" spans="1:2" x14ac:dyDescent="0.25">
      <c r="A3025" s="2">
        <v>3020</v>
      </c>
      <c r="B3025" s="11" t="str">
        <f>"00159737"</f>
        <v>00159737</v>
      </c>
    </row>
    <row r="3026" spans="1:2" x14ac:dyDescent="0.25">
      <c r="A3026" s="2">
        <v>3021</v>
      </c>
      <c r="B3026" s="11" t="str">
        <f>"00159752"</f>
        <v>00159752</v>
      </c>
    </row>
    <row r="3027" spans="1:2" x14ac:dyDescent="0.25">
      <c r="A3027" s="2">
        <v>3022</v>
      </c>
      <c r="B3027" s="11" t="str">
        <f>"00159760"</f>
        <v>00159760</v>
      </c>
    </row>
    <row r="3028" spans="1:2" x14ac:dyDescent="0.25">
      <c r="A3028" s="2">
        <v>3023</v>
      </c>
      <c r="B3028" s="11" t="str">
        <f>"00159765"</f>
        <v>00159765</v>
      </c>
    </row>
    <row r="3029" spans="1:2" x14ac:dyDescent="0.25">
      <c r="A3029" s="2">
        <v>3024</v>
      </c>
      <c r="B3029" s="11" t="str">
        <f>"00159776"</f>
        <v>00159776</v>
      </c>
    </row>
    <row r="3030" spans="1:2" x14ac:dyDescent="0.25">
      <c r="A3030" s="2">
        <v>3025</v>
      </c>
      <c r="B3030" s="11" t="str">
        <f>"00159859"</f>
        <v>00159859</v>
      </c>
    </row>
    <row r="3031" spans="1:2" x14ac:dyDescent="0.25">
      <c r="A3031" s="2">
        <v>3026</v>
      </c>
      <c r="B3031" s="11" t="str">
        <f>"00159864"</f>
        <v>00159864</v>
      </c>
    </row>
    <row r="3032" spans="1:2" x14ac:dyDescent="0.25">
      <c r="A3032" s="2">
        <v>3027</v>
      </c>
      <c r="B3032" s="11" t="str">
        <f>"00159871"</f>
        <v>00159871</v>
      </c>
    </row>
    <row r="3033" spans="1:2" x14ac:dyDescent="0.25">
      <c r="A3033" s="2">
        <v>3028</v>
      </c>
      <c r="B3033" s="11" t="str">
        <f>"00159887"</f>
        <v>00159887</v>
      </c>
    </row>
    <row r="3034" spans="1:2" x14ac:dyDescent="0.25">
      <c r="A3034" s="2">
        <v>3029</v>
      </c>
      <c r="B3034" s="11" t="str">
        <f>"00159892"</f>
        <v>00159892</v>
      </c>
    </row>
    <row r="3035" spans="1:2" x14ac:dyDescent="0.25">
      <c r="A3035" s="2">
        <v>3030</v>
      </c>
      <c r="B3035" s="11" t="str">
        <f>"00159903"</f>
        <v>00159903</v>
      </c>
    </row>
    <row r="3036" spans="1:2" x14ac:dyDescent="0.25">
      <c r="A3036" s="2">
        <v>3031</v>
      </c>
      <c r="B3036" s="11" t="str">
        <f>"00159919"</f>
        <v>00159919</v>
      </c>
    </row>
    <row r="3037" spans="1:2" x14ac:dyDescent="0.25">
      <c r="A3037" s="2">
        <v>3032</v>
      </c>
      <c r="B3037" s="11" t="str">
        <f>"00159952"</f>
        <v>00159952</v>
      </c>
    </row>
    <row r="3038" spans="1:2" x14ac:dyDescent="0.25">
      <c r="A3038" s="2">
        <v>3033</v>
      </c>
      <c r="B3038" s="11" t="str">
        <f>"00159957"</f>
        <v>00159957</v>
      </c>
    </row>
    <row r="3039" spans="1:2" x14ac:dyDescent="0.25">
      <c r="A3039" s="2">
        <v>3034</v>
      </c>
      <c r="B3039" s="11" t="str">
        <f>"00159968"</f>
        <v>00159968</v>
      </c>
    </row>
    <row r="3040" spans="1:2" x14ac:dyDescent="0.25">
      <c r="A3040" s="2">
        <v>3035</v>
      </c>
      <c r="B3040" s="11" t="str">
        <f>"00160003"</f>
        <v>00160003</v>
      </c>
    </row>
    <row r="3041" spans="1:2" x14ac:dyDescent="0.25">
      <c r="A3041" s="2">
        <v>3036</v>
      </c>
      <c r="B3041" s="11" t="str">
        <f>"00160043"</f>
        <v>00160043</v>
      </c>
    </row>
    <row r="3042" spans="1:2" x14ac:dyDescent="0.25">
      <c r="A3042" s="2">
        <v>3037</v>
      </c>
      <c r="B3042" s="11" t="str">
        <f>"00160251"</f>
        <v>00160251</v>
      </c>
    </row>
    <row r="3043" spans="1:2" x14ac:dyDescent="0.25">
      <c r="A3043" s="2">
        <v>3038</v>
      </c>
      <c r="B3043" s="11" t="str">
        <f>"00160260"</f>
        <v>00160260</v>
      </c>
    </row>
    <row r="3044" spans="1:2" x14ac:dyDescent="0.25">
      <c r="A3044" s="2">
        <v>3039</v>
      </c>
      <c r="B3044" s="11" t="str">
        <f>"00160314"</f>
        <v>00160314</v>
      </c>
    </row>
    <row r="3045" spans="1:2" x14ac:dyDescent="0.25">
      <c r="A3045" s="2">
        <v>3040</v>
      </c>
      <c r="B3045" s="11" t="str">
        <f>"00160340"</f>
        <v>00160340</v>
      </c>
    </row>
    <row r="3046" spans="1:2" x14ac:dyDescent="0.25">
      <c r="A3046" s="2">
        <v>3041</v>
      </c>
      <c r="B3046" s="11" t="str">
        <f>"00160402"</f>
        <v>00160402</v>
      </c>
    </row>
    <row r="3047" spans="1:2" x14ac:dyDescent="0.25">
      <c r="A3047" s="2">
        <v>3042</v>
      </c>
      <c r="B3047" s="11" t="str">
        <f>"00160445"</f>
        <v>00160445</v>
      </c>
    </row>
    <row r="3048" spans="1:2" x14ac:dyDescent="0.25">
      <c r="A3048" s="2">
        <v>3043</v>
      </c>
      <c r="B3048" s="11" t="str">
        <f>"00160447"</f>
        <v>00160447</v>
      </c>
    </row>
    <row r="3049" spans="1:2" x14ac:dyDescent="0.25">
      <c r="A3049" s="2">
        <v>3044</v>
      </c>
      <c r="B3049" s="11" t="str">
        <f>"00160502"</f>
        <v>00160502</v>
      </c>
    </row>
    <row r="3050" spans="1:2" x14ac:dyDescent="0.25">
      <c r="A3050" s="2">
        <v>3045</v>
      </c>
      <c r="B3050" s="11" t="str">
        <f>"00160509"</f>
        <v>00160509</v>
      </c>
    </row>
    <row r="3051" spans="1:2" x14ac:dyDescent="0.25">
      <c r="A3051" s="2">
        <v>3046</v>
      </c>
      <c r="B3051" s="11" t="str">
        <f>"00160588"</f>
        <v>00160588</v>
      </c>
    </row>
    <row r="3052" spans="1:2" x14ac:dyDescent="0.25">
      <c r="A3052" s="2">
        <v>3047</v>
      </c>
      <c r="B3052" s="11" t="str">
        <f>"00160625"</f>
        <v>00160625</v>
      </c>
    </row>
    <row r="3053" spans="1:2" x14ac:dyDescent="0.25">
      <c r="A3053" s="2">
        <v>3048</v>
      </c>
      <c r="B3053" s="11" t="str">
        <f>"00160630"</f>
        <v>00160630</v>
      </c>
    </row>
    <row r="3054" spans="1:2" x14ac:dyDescent="0.25">
      <c r="A3054" s="2">
        <v>3049</v>
      </c>
      <c r="B3054" s="11" t="str">
        <f>"00160652"</f>
        <v>00160652</v>
      </c>
    </row>
    <row r="3055" spans="1:2" x14ac:dyDescent="0.25">
      <c r="A3055" s="2">
        <v>3050</v>
      </c>
      <c r="B3055" s="11" t="str">
        <f>"00160665"</f>
        <v>00160665</v>
      </c>
    </row>
    <row r="3056" spans="1:2" x14ac:dyDescent="0.25">
      <c r="A3056" s="2">
        <v>3051</v>
      </c>
      <c r="B3056" s="11" t="str">
        <f>"00160676"</f>
        <v>00160676</v>
      </c>
    </row>
    <row r="3057" spans="1:2" x14ac:dyDescent="0.25">
      <c r="A3057" s="2">
        <v>3052</v>
      </c>
      <c r="B3057" s="11" t="str">
        <f>"00160702"</f>
        <v>00160702</v>
      </c>
    </row>
    <row r="3058" spans="1:2" x14ac:dyDescent="0.25">
      <c r="A3058" s="2">
        <v>3053</v>
      </c>
      <c r="B3058" s="11" t="str">
        <f>"00160749"</f>
        <v>00160749</v>
      </c>
    </row>
    <row r="3059" spans="1:2" x14ac:dyDescent="0.25">
      <c r="A3059" s="2">
        <v>3054</v>
      </c>
      <c r="B3059" s="11" t="str">
        <f>"00160754"</f>
        <v>00160754</v>
      </c>
    </row>
    <row r="3060" spans="1:2" x14ac:dyDescent="0.25">
      <c r="A3060" s="2">
        <v>3055</v>
      </c>
      <c r="B3060" s="11" t="str">
        <f>"00160770"</f>
        <v>00160770</v>
      </c>
    </row>
    <row r="3061" spans="1:2" x14ac:dyDescent="0.25">
      <c r="A3061" s="2">
        <v>3056</v>
      </c>
      <c r="B3061" s="11" t="str">
        <f>"00160780"</f>
        <v>00160780</v>
      </c>
    </row>
    <row r="3062" spans="1:2" x14ac:dyDescent="0.25">
      <c r="A3062" s="2">
        <v>3057</v>
      </c>
      <c r="B3062" s="11" t="str">
        <f>"00160785"</f>
        <v>00160785</v>
      </c>
    </row>
    <row r="3063" spans="1:2" x14ac:dyDescent="0.25">
      <c r="A3063" s="2">
        <v>3058</v>
      </c>
      <c r="B3063" s="11" t="str">
        <f>"00160806"</f>
        <v>00160806</v>
      </c>
    </row>
    <row r="3064" spans="1:2" x14ac:dyDescent="0.25">
      <c r="A3064" s="2">
        <v>3059</v>
      </c>
      <c r="B3064" s="11" t="str">
        <f>"00160811"</f>
        <v>00160811</v>
      </c>
    </row>
    <row r="3065" spans="1:2" x14ac:dyDescent="0.25">
      <c r="A3065" s="2">
        <v>3060</v>
      </c>
      <c r="B3065" s="11" t="str">
        <f>"00160829"</f>
        <v>00160829</v>
      </c>
    </row>
    <row r="3066" spans="1:2" x14ac:dyDescent="0.25">
      <c r="A3066" s="2">
        <v>3061</v>
      </c>
      <c r="B3066" s="11" t="str">
        <f>"00160839"</f>
        <v>00160839</v>
      </c>
    </row>
    <row r="3067" spans="1:2" x14ac:dyDescent="0.25">
      <c r="A3067" s="2">
        <v>3062</v>
      </c>
      <c r="B3067" s="11" t="str">
        <f>"00160845"</f>
        <v>00160845</v>
      </c>
    </row>
    <row r="3068" spans="1:2" x14ac:dyDescent="0.25">
      <c r="A3068" s="2">
        <v>3063</v>
      </c>
      <c r="B3068" s="11" t="str">
        <f>"00160877"</f>
        <v>00160877</v>
      </c>
    </row>
    <row r="3069" spans="1:2" x14ac:dyDescent="0.25">
      <c r="A3069" s="2">
        <v>3064</v>
      </c>
      <c r="B3069" s="11" t="str">
        <f>"00160879"</f>
        <v>00160879</v>
      </c>
    </row>
    <row r="3070" spans="1:2" x14ac:dyDescent="0.25">
      <c r="A3070" s="2">
        <v>3065</v>
      </c>
      <c r="B3070" s="11" t="str">
        <f>"00160905"</f>
        <v>00160905</v>
      </c>
    </row>
    <row r="3071" spans="1:2" x14ac:dyDescent="0.25">
      <c r="A3071" s="2">
        <v>3066</v>
      </c>
      <c r="B3071" s="11" t="str">
        <f>"00160917"</f>
        <v>00160917</v>
      </c>
    </row>
    <row r="3072" spans="1:2" x14ac:dyDescent="0.25">
      <c r="A3072" s="2">
        <v>3067</v>
      </c>
      <c r="B3072" s="11" t="str">
        <f>"00160925"</f>
        <v>00160925</v>
      </c>
    </row>
    <row r="3073" spans="1:2" x14ac:dyDescent="0.25">
      <c r="A3073" s="2">
        <v>3068</v>
      </c>
      <c r="B3073" s="11" t="str">
        <f>"00160938"</f>
        <v>00160938</v>
      </c>
    </row>
    <row r="3074" spans="1:2" x14ac:dyDescent="0.25">
      <c r="A3074" s="2">
        <v>3069</v>
      </c>
      <c r="B3074" s="11" t="str">
        <f>"00160963"</f>
        <v>00160963</v>
      </c>
    </row>
    <row r="3075" spans="1:2" x14ac:dyDescent="0.25">
      <c r="A3075" s="2">
        <v>3070</v>
      </c>
      <c r="B3075" s="11" t="str">
        <f>"00161001"</f>
        <v>00161001</v>
      </c>
    </row>
    <row r="3076" spans="1:2" x14ac:dyDescent="0.25">
      <c r="A3076" s="2">
        <v>3071</v>
      </c>
      <c r="B3076" s="11" t="str">
        <f>"00161009"</f>
        <v>00161009</v>
      </c>
    </row>
    <row r="3077" spans="1:2" x14ac:dyDescent="0.25">
      <c r="A3077" s="2">
        <v>3072</v>
      </c>
      <c r="B3077" s="11" t="str">
        <f>"00161018"</f>
        <v>00161018</v>
      </c>
    </row>
    <row r="3078" spans="1:2" x14ac:dyDescent="0.25">
      <c r="A3078" s="2">
        <v>3073</v>
      </c>
      <c r="B3078" s="11" t="str">
        <f>"00161023"</f>
        <v>00161023</v>
      </c>
    </row>
    <row r="3079" spans="1:2" x14ac:dyDescent="0.25">
      <c r="A3079" s="2">
        <v>3074</v>
      </c>
      <c r="B3079" s="11" t="str">
        <f>"00161148"</f>
        <v>00161148</v>
      </c>
    </row>
    <row r="3080" spans="1:2" x14ac:dyDescent="0.25">
      <c r="A3080" s="2">
        <v>3075</v>
      </c>
      <c r="B3080" s="11" t="str">
        <f>"00161226"</f>
        <v>00161226</v>
      </c>
    </row>
    <row r="3081" spans="1:2" x14ac:dyDescent="0.25">
      <c r="A3081" s="2">
        <v>3076</v>
      </c>
      <c r="B3081" s="11" t="str">
        <f>"00161229"</f>
        <v>00161229</v>
      </c>
    </row>
    <row r="3082" spans="1:2" x14ac:dyDescent="0.25">
      <c r="A3082" s="2">
        <v>3077</v>
      </c>
      <c r="B3082" s="11" t="str">
        <f>"00161251"</f>
        <v>00161251</v>
      </c>
    </row>
    <row r="3083" spans="1:2" x14ac:dyDescent="0.25">
      <c r="A3083" s="2">
        <v>3078</v>
      </c>
      <c r="B3083" s="11" t="str">
        <f>"00161252"</f>
        <v>00161252</v>
      </c>
    </row>
    <row r="3084" spans="1:2" x14ac:dyDescent="0.25">
      <c r="A3084" s="2">
        <v>3079</v>
      </c>
      <c r="B3084" s="11" t="str">
        <f>"00161264"</f>
        <v>00161264</v>
      </c>
    </row>
    <row r="3085" spans="1:2" x14ac:dyDescent="0.25">
      <c r="A3085" s="2">
        <v>3080</v>
      </c>
      <c r="B3085" s="11" t="str">
        <f>"00161278"</f>
        <v>00161278</v>
      </c>
    </row>
    <row r="3086" spans="1:2" x14ac:dyDescent="0.25">
      <c r="A3086" s="2">
        <v>3081</v>
      </c>
      <c r="B3086" s="11" t="str">
        <f>"00161341"</f>
        <v>00161341</v>
      </c>
    </row>
    <row r="3087" spans="1:2" x14ac:dyDescent="0.25">
      <c r="A3087" s="2">
        <v>3082</v>
      </c>
      <c r="B3087" s="11" t="str">
        <f>"00161342"</f>
        <v>00161342</v>
      </c>
    </row>
    <row r="3088" spans="1:2" x14ac:dyDescent="0.25">
      <c r="A3088" s="2">
        <v>3083</v>
      </c>
      <c r="B3088" s="11" t="str">
        <f>"00161376"</f>
        <v>00161376</v>
      </c>
    </row>
    <row r="3089" spans="1:2" x14ac:dyDescent="0.25">
      <c r="A3089" s="2">
        <v>3084</v>
      </c>
      <c r="B3089" s="11" t="str">
        <f>"00161391"</f>
        <v>00161391</v>
      </c>
    </row>
    <row r="3090" spans="1:2" x14ac:dyDescent="0.25">
      <c r="A3090" s="2">
        <v>3085</v>
      </c>
      <c r="B3090" s="11" t="str">
        <f>"00161394"</f>
        <v>00161394</v>
      </c>
    </row>
    <row r="3091" spans="1:2" x14ac:dyDescent="0.25">
      <c r="A3091" s="2">
        <v>3086</v>
      </c>
      <c r="B3091" s="11" t="str">
        <f>"00161401"</f>
        <v>00161401</v>
      </c>
    </row>
    <row r="3092" spans="1:2" x14ac:dyDescent="0.25">
      <c r="A3092" s="2">
        <v>3087</v>
      </c>
      <c r="B3092" s="11" t="str">
        <f>"00161447"</f>
        <v>00161447</v>
      </c>
    </row>
    <row r="3093" spans="1:2" x14ac:dyDescent="0.25">
      <c r="A3093" s="2">
        <v>3088</v>
      </c>
      <c r="B3093" s="11" t="str">
        <f>"00161449"</f>
        <v>00161449</v>
      </c>
    </row>
    <row r="3094" spans="1:2" x14ac:dyDescent="0.25">
      <c r="A3094" s="2">
        <v>3089</v>
      </c>
      <c r="B3094" s="11" t="str">
        <f>"00161465"</f>
        <v>00161465</v>
      </c>
    </row>
    <row r="3095" spans="1:2" x14ac:dyDescent="0.25">
      <c r="A3095" s="2">
        <v>3090</v>
      </c>
      <c r="B3095" s="11" t="str">
        <f>"00161545"</f>
        <v>00161545</v>
      </c>
    </row>
    <row r="3096" spans="1:2" x14ac:dyDescent="0.25">
      <c r="A3096" s="2">
        <v>3091</v>
      </c>
      <c r="B3096" s="11" t="str">
        <f>"00161565"</f>
        <v>00161565</v>
      </c>
    </row>
    <row r="3097" spans="1:2" x14ac:dyDescent="0.25">
      <c r="A3097" s="2">
        <v>3092</v>
      </c>
      <c r="B3097" s="11" t="str">
        <f>"00161591"</f>
        <v>00161591</v>
      </c>
    </row>
    <row r="3098" spans="1:2" x14ac:dyDescent="0.25">
      <c r="A3098" s="2">
        <v>3093</v>
      </c>
      <c r="B3098" s="11" t="str">
        <f>"00161618"</f>
        <v>00161618</v>
      </c>
    </row>
    <row r="3099" spans="1:2" x14ac:dyDescent="0.25">
      <c r="A3099" s="2">
        <v>3094</v>
      </c>
      <c r="B3099" s="11" t="str">
        <f>"00161667"</f>
        <v>00161667</v>
      </c>
    </row>
    <row r="3100" spans="1:2" x14ac:dyDescent="0.25">
      <c r="A3100" s="2">
        <v>3095</v>
      </c>
      <c r="B3100" s="11" t="str">
        <f>"00161676"</f>
        <v>00161676</v>
      </c>
    </row>
    <row r="3101" spans="1:2" x14ac:dyDescent="0.25">
      <c r="A3101" s="2">
        <v>3096</v>
      </c>
      <c r="B3101" s="11" t="str">
        <f>"00161678"</f>
        <v>00161678</v>
      </c>
    </row>
    <row r="3102" spans="1:2" x14ac:dyDescent="0.25">
      <c r="A3102" s="2">
        <v>3097</v>
      </c>
      <c r="B3102" s="11" t="str">
        <f>"00161718"</f>
        <v>00161718</v>
      </c>
    </row>
    <row r="3103" spans="1:2" x14ac:dyDescent="0.25">
      <c r="A3103" s="2">
        <v>3098</v>
      </c>
      <c r="B3103" s="11" t="str">
        <f>"00161728"</f>
        <v>00161728</v>
      </c>
    </row>
    <row r="3104" spans="1:2" x14ac:dyDescent="0.25">
      <c r="A3104" s="2">
        <v>3099</v>
      </c>
      <c r="B3104" s="11" t="str">
        <f>"00161781"</f>
        <v>00161781</v>
      </c>
    </row>
    <row r="3105" spans="1:2" x14ac:dyDescent="0.25">
      <c r="A3105" s="2">
        <v>3100</v>
      </c>
      <c r="B3105" s="11" t="str">
        <f>"00161783"</f>
        <v>00161783</v>
      </c>
    </row>
    <row r="3106" spans="1:2" x14ac:dyDescent="0.25">
      <c r="A3106" s="2">
        <v>3101</v>
      </c>
      <c r="B3106" s="11" t="str">
        <f>"00161795"</f>
        <v>00161795</v>
      </c>
    </row>
    <row r="3107" spans="1:2" x14ac:dyDescent="0.25">
      <c r="A3107" s="2">
        <v>3102</v>
      </c>
      <c r="B3107" s="11" t="str">
        <f>"00161825"</f>
        <v>00161825</v>
      </c>
    </row>
    <row r="3108" spans="1:2" x14ac:dyDescent="0.25">
      <c r="A3108" s="2">
        <v>3103</v>
      </c>
      <c r="B3108" s="11" t="str">
        <f>"00161882"</f>
        <v>00161882</v>
      </c>
    </row>
    <row r="3109" spans="1:2" x14ac:dyDescent="0.25">
      <c r="A3109" s="2">
        <v>3104</v>
      </c>
      <c r="B3109" s="11" t="str">
        <f>"00161919"</f>
        <v>00161919</v>
      </c>
    </row>
    <row r="3110" spans="1:2" x14ac:dyDescent="0.25">
      <c r="A3110" s="2">
        <v>3105</v>
      </c>
      <c r="B3110" s="11" t="str">
        <f>"00161926"</f>
        <v>00161926</v>
      </c>
    </row>
    <row r="3111" spans="1:2" x14ac:dyDescent="0.25">
      <c r="A3111" s="2">
        <v>3106</v>
      </c>
      <c r="B3111" s="11" t="str">
        <f>"00161928"</f>
        <v>00161928</v>
      </c>
    </row>
    <row r="3112" spans="1:2" x14ac:dyDescent="0.25">
      <c r="A3112" s="2">
        <v>3107</v>
      </c>
      <c r="B3112" s="11" t="str">
        <f>"00161942"</f>
        <v>00161942</v>
      </c>
    </row>
    <row r="3113" spans="1:2" x14ac:dyDescent="0.25">
      <c r="A3113" s="2">
        <v>3108</v>
      </c>
      <c r="B3113" s="11" t="str">
        <f>"00161955"</f>
        <v>00161955</v>
      </c>
    </row>
    <row r="3114" spans="1:2" x14ac:dyDescent="0.25">
      <c r="A3114" s="2">
        <v>3109</v>
      </c>
      <c r="B3114" s="11" t="str">
        <f>"00161973"</f>
        <v>00161973</v>
      </c>
    </row>
    <row r="3115" spans="1:2" x14ac:dyDescent="0.25">
      <c r="A3115" s="2">
        <v>3110</v>
      </c>
      <c r="B3115" s="11" t="str">
        <f>"00162061"</f>
        <v>00162061</v>
      </c>
    </row>
    <row r="3116" spans="1:2" x14ac:dyDescent="0.25">
      <c r="A3116" s="2">
        <v>3111</v>
      </c>
      <c r="B3116" s="11" t="str">
        <f>"00162114"</f>
        <v>00162114</v>
      </c>
    </row>
    <row r="3117" spans="1:2" x14ac:dyDescent="0.25">
      <c r="A3117" s="2">
        <v>3112</v>
      </c>
      <c r="B3117" s="11" t="str">
        <f>"00162133"</f>
        <v>00162133</v>
      </c>
    </row>
    <row r="3118" spans="1:2" x14ac:dyDescent="0.25">
      <c r="A3118" s="2">
        <v>3113</v>
      </c>
      <c r="B3118" s="11" t="str">
        <f>"00162135"</f>
        <v>00162135</v>
      </c>
    </row>
    <row r="3119" spans="1:2" x14ac:dyDescent="0.25">
      <c r="A3119" s="2">
        <v>3114</v>
      </c>
      <c r="B3119" s="11" t="str">
        <f>"00162182"</f>
        <v>00162182</v>
      </c>
    </row>
    <row r="3120" spans="1:2" x14ac:dyDescent="0.25">
      <c r="A3120" s="2">
        <v>3115</v>
      </c>
      <c r="B3120" s="11" t="str">
        <f>"00162193"</f>
        <v>00162193</v>
      </c>
    </row>
    <row r="3121" spans="1:2" x14ac:dyDescent="0.25">
      <c r="A3121" s="2">
        <v>3116</v>
      </c>
      <c r="B3121" s="11" t="str">
        <f>"00162246"</f>
        <v>00162246</v>
      </c>
    </row>
    <row r="3122" spans="1:2" x14ac:dyDescent="0.25">
      <c r="A3122" s="2">
        <v>3117</v>
      </c>
      <c r="B3122" s="11" t="str">
        <f>"00162252"</f>
        <v>00162252</v>
      </c>
    </row>
    <row r="3123" spans="1:2" x14ac:dyDescent="0.25">
      <c r="A3123" s="2">
        <v>3118</v>
      </c>
      <c r="B3123" s="11" t="str">
        <f>"00162262"</f>
        <v>00162262</v>
      </c>
    </row>
    <row r="3124" spans="1:2" x14ac:dyDescent="0.25">
      <c r="A3124" s="2">
        <v>3119</v>
      </c>
      <c r="B3124" s="11" t="str">
        <f>"00162270"</f>
        <v>00162270</v>
      </c>
    </row>
    <row r="3125" spans="1:2" x14ac:dyDescent="0.25">
      <c r="A3125" s="2">
        <v>3120</v>
      </c>
      <c r="B3125" s="11" t="str">
        <f>"00162275"</f>
        <v>00162275</v>
      </c>
    </row>
    <row r="3126" spans="1:2" x14ac:dyDescent="0.25">
      <c r="A3126" s="2">
        <v>3121</v>
      </c>
      <c r="B3126" s="11" t="str">
        <f>"00162282"</f>
        <v>00162282</v>
      </c>
    </row>
    <row r="3127" spans="1:2" x14ac:dyDescent="0.25">
      <c r="A3127" s="2">
        <v>3122</v>
      </c>
      <c r="B3127" s="11" t="str">
        <f>"00162288"</f>
        <v>00162288</v>
      </c>
    </row>
    <row r="3128" spans="1:2" x14ac:dyDescent="0.25">
      <c r="A3128" s="2">
        <v>3123</v>
      </c>
      <c r="B3128" s="11" t="str">
        <f>"00162315"</f>
        <v>00162315</v>
      </c>
    </row>
    <row r="3129" spans="1:2" x14ac:dyDescent="0.25">
      <c r="A3129" s="2">
        <v>3124</v>
      </c>
      <c r="B3129" s="11" t="str">
        <f>"00162347"</f>
        <v>00162347</v>
      </c>
    </row>
    <row r="3130" spans="1:2" x14ac:dyDescent="0.25">
      <c r="A3130" s="2">
        <v>3125</v>
      </c>
      <c r="B3130" s="11" t="str">
        <f>"00162390"</f>
        <v>00162390</v>
      </c>
    </row>
    <row r="3131" spans="1:2" x14ac:dyDescent="0.25">
      <c r="A3131" s="2">
        <v>3126</v>
      </c>
      <c r="B3131" s="11" t="str">
        <f>"00162400"</f>
        <v>00162400</v>
      </c>
    </row>
    <row r="3132" spans="1:2" x14ac:dyDescent="0.25">
      <c r="A3132" s="2">
        <v>3127</v>
      </c>
      <c r="B3132" s="11" t="str">
        <f>"00162419"</f>
        <v>00162419</v>
      </c>
    </row>
    <row r="3133" spans="1:2" x14ac:dyDescent="0.25">
      <c r="A3133" s="2">
        <v>3128</v>
      </c>
      <c r="B3133" s="11" t="str">
        <f>"00162423"</f>
        <v>00162423</v>
      </c>
    </row>
    <row r="3134" spans="1:2" x14ac:dyDescent="0.25">
      <c r="A3134" s="2">
        <v>3129</v>
      </c>
      <c r="B3134" s="11" t="str">
        <f>"00162443"</f>
        <v>00162443</v>
      </c>
    </row>
    <row r="3135" spans="1:2" x14ac:dyDescent="0.25">
      <c r="A3135" s="2">
        <v>3130</v>
      </c>
      <c r="B3135" s="11" t="str">
        <f>"00162454"</f>
        <v>00162454</v>
      </c>
    </row>
    <row r="3136" spans="1:2" x14ac:dyDescent="0.25">
      <c r="A3136" s="2">
        <v>3131</v>
      </c>
      <c r="B3136" s="11" t="str">
        <f>"00162457"</f>
        <v>00162457</v>
      </c>
    </row>
    <row r="3137" spans="1:2" x14ac:dyDescent="0.25">
      <c r="A3137" s="2">
        <v>3132</v>
      </c>
      <c r="B3137" s="11" t="str">
        <f>"00162466"</f>
        <v>00162466</v>
      </c>
    </row>
    <row r="3138" spans="1:2" x14ac:dyDescent="0.25">
      <c r="A3138" s="2">
        <v>3133</v>
      </c>
      <c r="B3138" s="11" t="str">
        <f>"00162477"</f>
        <v>00162477</v>
      </c>
    </row>
    <row r="3139" spans="1:2" x14ac:dyDescent="0.25">
      <c r="A3139" s="2">
        <v>3134</v>
      </c>
      <c r="B3139" s="11" t="str">
        <f>"00162484"</f>
        <v>00162484</v>
      </c>
    </row>
    <row r="3140" spans="1:2" x14ac:dyDescent="0.25">
      <c r="A3140" s="2">
        <v>3135</v>
      </c>
      <c r="B3140" s="11" t="str">
        <f>"00162514"</f>
        <v>00162514</v>
      </c>
    </row>
    <row r="3141" spans="1:2" x14ac:dyDescent="0.25">
      <c r="A3141" s="2">
        <v>3136</v>
      </c>
      <c r="B3141" s="11" t="str">
        <f>"00162543"</f>
        <v>00162543</v>
      </c>
    </row>
    <row r="3142" spans="1:2" x14ac:dyDescent="0.25">
      <c r="A3142" s="2">
        <v>3137</v>
      </c>
      <c r="B3142" s="11" t="str">
        <f>"00162564"</f>
        <v>00162564</v>
      </c>
    </row>
    <row r="3143" spans="1:2" x14ac:dyDescent="0.25">
      <c r="A3143" s="2">
        <v>3138</v>
      </c>
      <c r="B3143" s="11" t="str">
        <f>"00162601"</f>
        <v>00162601</v>
      </c>
    </row>
    <row r="3144" spans="1:2" x14ac:dyDescent="0.25">
      <c r="A3144" s="2">
        <v>3139</v>
      </c>
      <c r="B3144" s="11" t="str">
        <f>"00162645"</f>
        <v>00162645</v>
      </c>
    </row>
    <row r="3145" spans="1:2" x14ac:dyDescent="0.25">
      <c r="A3145" s="2">
        <v>3140</v>
      </c>
      <c r="B3145" s="11" t="str">
        <f>"00162693"</f>
        <v>00162693</v>
      </c>
    </row>
    <row r="3146" spans="1:2" x14ac:dyDescent="0.25">
      <c r="A3146" s="2">
        <v>3141</v>
      </c>
      <c r="B3146" s="11" t="str">
        <f>"00162698"</f>
        <v>00162698</v>
      </c>
    </row>
    <row r="3147" spans="1:2" x14ac:dyDescent="0.25">
      <c r="A3147" s="2">
        <v>3142</v>
      </c>
      <c r="B3147" s="11" t="str">
        <f>"00162727"</f>
        <v>00162727</v>
      </c>
    </row>
    <row r="3148" spans="1:2" x14ac:dyDescent="0.25">
      <c r="A3148" s="2">
        <v>3143</v>
      </c>
      <c r="B3148" s="11" t="str">
        <f>"00162735"</f>
        <v>00162735</v>
      </c>
    </row>
    <row r="3149" spans="1:2" x14ac:dyDescent="0.25">
      <c r="A3149" s="2">
        <v>3144</v>
      </c>
      <c r="B3149" s="11" t="str">
        <f>"00162814"</f>
        <v>00162814</v>
      </c>
    </row>
    <row r="3150" spans="1:2" x14ac:dyDescent="0.25">
      <c r="A3150" s="2">
        <v>3145</v>
      </c>
      <c r="B3150" s="11" t="str">
        <f>"00162815"</f>
        <v>00162815</v>
      </c>
    </row>
    <row r="3151" spans="1:2" x14ac:dyDescent="0.25">
      <c r="A3151" s="2">
        <v>3146</v>
      </c>
      <c r="B3151" s="11" t="str">
        <f>"00162828"</f>
        <v>00162828</v>
      </c>
    </row>
    <row r="3152" spans="1:2" x14ac:dyDescent="0.25">
      <c r="A3152" s="2">
        <v>3147</v>
      </c>
      <c r="B3152" s="11" t="str">
        <f>"00162842"</f>
        <v>00162842</v>
      </c>
    </row>
    <row r="3153" spans="1:2" x14ac:dyDescent="0.25">
      <c r="A3153" s="2">
        <v>3148</v>
      </c>
      <c r="B3153" s="11" t="str">
        <f>"00162861"</f>
        <v>00162861</v>
      </c>
    </row>
    <row r="3154" spans="1:2" x14ac:dyDescent="0.25">
      <c r="A3154" s="2">
        <v>3149</v>
      </c>
      <c r="B3154" s="11" t="str">
        <f>"00162867"</f>
        <v>00162867</v>
      </c>
    </row>
    <row r="3155" spans="1:2" x14ac:dyDescent="0.25">
      <c r="A3155" s="2">
        <v>3150</v>
      </c>
      <c r="B3155" s="11" t="str">
        <f>"00162878"</f>
        <v>00162878</v>
      </c>
    </row>
    <row r="3156" spans="1:2" x14ac:dyDescent="0.25">
      <c r="A3156" s="2">
        <v>3151</v>
      </c>
      <c r="B3156" s="11" t="str">
        <f>"00162943"</f>
        <v>00162943</v>
      </c>
    </row>
    <row r="3157" spans="1:2" x14ac:dyDescent="0.25">
      <c r="A3157" s="2">
        <v>3152</v>
      </c>
      <c r="B3157" s="11" t="str">
        <f>"00162994"</f>
        <v>00162994</v>
      </c>
    </row>
    <row r="3158" spans="1:2" x14ac:dyDescent="0.25">
      <c r="A3158" s="2">
        <v>3153</v>
      </c>
      <c r="B3158" s="11" t="str">
        <f>"00163003"</f>
        <v>00163003</v>
      </c>
    </row>
    <row r="3159" spans="1:2" x14ac:dyDescent="0.25">
      <c r="A3159" s="2">
        <v>3154</v>
      </c>
      <c r="B3159" s="11" t="str">
        <f>"00163092"</f>
        <v>00163092</v>
      </c>
    </row>
    <row r="3160" spans="1:2" x14ac:dyDescent="0.25">
      <c r="A3160" s="2">
        <v>3155</v>
      </c>
      <c r="B3160" s="11" t="str">
        <f>"00163105"</f>
        <v>00163105</v>
      </c>
    </row>
    <row r="3161" spans="1:2" x14ac:dyDescent="0.25">
      <c r="A3161" s="2">
        <v>3156</v>
      </c>
      <c r="B3161" s="11" t="str">
        <f>"00163152"</f>
        <v>00163152</v>
      </c>
    </row>
    <row r="3162" spans="1:2" x14ac:dyDescent="0.25">
      <c r="A3162" s="2">
        <v>3157</v>
      </c>
      <c r="B3162" s="11" t="str">
        <f>"00163164"</f>
        <v>00163164</v>
      </c>
    </row>
    <row r="3163" spans="1:2" x14ac:dyDescent="0.25">
      <c r="A3163" s="2">
        <v>3158</v>
      </c>
      <c r="B3163" s="11" t="str">
        <f>"00163240"</f>
        <v>00163240</v>
      </c>
    </row>
    <row r="3164" spans="1:2" x14ac:dyDescent="0.25">
      <c r="A3164" s="2">
        <v>3159</v>
      </c>
      <c r="B3164" s="11" t="str">
        <f>"00163251"</f>
        <v>00163251</v>
      </c>
    </row>
    <row r="3165" spans="1:2" x14ac:dyDescent="0.25">
      <c r="A3165" s="2">
        <v>3160</v>
      </c>
      <c r="B3165" s="11" t="str">
        <f>"00163255"</f>
        <v>00163255</v>
      </c>
    </row>
    <row r="3166" spans="1:2" x14ac:dyDescent="0.25">
      <c r="A3166" s="2">
        <v>3161</v>
      </c>
      <c r="B3166" s="11" t="str">
        <f>"00163396"</f>
        <v>00163396</v>
      </c>
    </row>
    <row r="3167" spans="1:2" x14ac:dyDescent="0.25">
      <c r="A3167" s="2">
        <v>3162</v>
      </c>
      <c r="B3167" s="11" t="str">
        <f>"00163441"</f>
        <v>00163441</v>
      </c>
    </row>
    <row r="3168" spans="1:2" x14ac:dyDescent="0.25">
      <c r="A3168" s="2">
        <v>3163</v>
      </c>
      <c r="B3168" s="11" t="str">
        <f>"00163488"</f>
        <v>00163488</v>
      </c>
    </row>
    <row r="3169" spans="1:2" x14ac:dyDescent="0.25">
      <c r="A3169" s="2">
        <v>3164</v>
      </c>
      <c r="B3169" s="11" t="str">
        <f>"00163512"</f>
        <v>00163512</v>
      </c>
    </row>
    <row r="3170" spans="1:2" x14ac:dyDescent="0.25">
      <c r="A3170" s="2">
        <v>3165</v>
      </c>
      <c r="B3170" s="11" t="str">
        <f>"00163526"</f>
        <v>00163526</v>
      </c>
    </row>
    <row r="3171" spans="1:2" x14ac:dyDescent="0.25">
      <c r="A3171" s="2">
        <v>3166</v>
      </c>
      <c r="B3171" s="11" t="str">
        <f>"00163536"</f>
        <v>00163536</v>
      </c>
    </row>
    <row r="3172" spans="1:2" x14ac:dyDescent="0.25">
      <c r="A3172" s="2">
        <v>3167</v>
      </c>
      <c r="B3172" s="11" t="str">
        <f>"00163539"</f>
        <v>00163539</v>
      </c>
    </row>
    <row r="3173" spans="1:2" x14ac:dyDescent="0.25">
      <c r="A3173" s="2">
        <v>3168</v>
      </c>
      <c r="B3173" s="11" t="str">
        <f>"00163552"</f>
        <v>00163552</v>
      </c>
    </row>
    <row r="3174" spans="1:2" x14ac:dyDescent="0.25">
      <c r="A3174" s="2">
        <v>3169</v>
      </c>
      <c r="B3174" s="11" t="str">
        <f>"00163586"</f>
        <v>00163586</v>
      </c>
    </row>
    <row r="3175" spans="1:2" x14ac:dyDescent="0.25">
      <c r="A3175" s="2">
        <v>3170</v>
      </c>
      <c r="B3175" s="11" t="str">
        <f>"00163745"</f>
        <v>00163745</v>
      </c>
    </row>
    <row r="3176" spans="1:2" x14ac:dyDescent="0.25">
      <c r="A3176" s="2">
        <v>3171</v>
      </c>
      <c r="B3176" s="11" t="str">
        <f>"00163749"</f>
        <v>00163749</v>
      </c>
    </row>
    <row r="3177" spans="1:2" x14ac:dyDescent="0.25">
      <c r="A3177" s="2">
        <v>3172</v>
      </c>
      <c r="B3177" s="11" t="str">
        <f>"00163753"</f>
        <v>00163753</v>
      </c>
    </row>
    <row r="3178" spans="1:2" x14ac:dyDescent="0.25">
      <c r="A3178" s="2">
        <v>3173</v>
      </c>
      <c r="B3178" s="11" t="str">
        <f>"00163801"</f>
        <v>00163801</v>
      </c>
    </row>
    <row r="3179" spans="1:2" x14ac:dyDescent="0.25">
      <c r="A3179" s="2">
        <v>3174</v>
      </c>
      <c r="B3179" s="11" t="str">
        <f>"00163848"</f>
        <v>00163848</v>
      </c>
    </row>
    <row r="3180" spans="1:2" x14ac:dyDescent="0.25">
      <c r="A3180" s="2">
        <v>3175</v>
      </c>
      <c r="B3180" s="11" t="str">
        <f>"00163863"</f>
        <v>00163863</v>
      </c>
    </row>
    <row r="3181" spans="1:2" x14ac:dyDescent="0.25">
      <c r="A3181" s="2">
        <v>3176</v>
      </c>
      <c r="B3181" s="11" t="str">
        <f>"00163865"</f>
        <v>00163865</v>
      </c>
    </row>
    <row r="3182" spans="1:2" x14ac:dyDescent="0.25">
      <c r="A3182" s="2">
        <v>3177</v>
      </c>
      <c r="B3182" s="11" t="str">
        <f>"00163887"</f>
        <v>00163887</v>
      </c>
    </row>
    <row r="3183" spans="1:2" x14ac:dyDescent="0.25">
      <c r="A3183" s="2">
        <v>3178</v>
      </c>
      <c r="B3183" s="11" t="str">
        <f>"00163898"</f>
        <v>00163898</v>
      </c>
    </row>
    <row r="3184" spans="1:2" x14ac:dyDescent="0.25">
      <c r="A3184" s="2">
        <v>3179</v>
      </c>
      <c r="B3184" s="11" t="str">
        <f>"00163901"</f>
        <v>00163901</v>
      </c>
    </row>
    <row r="3185" spans="1:2" x14ac:dyDescent="0.25">
      <c r="A3185" s="2">
        <v>3180</v>
      </c>
      <c r="B3185" s="11" t="str">
        <f>"00164083"</f>
        <v>00164083</v>
      </c>
    </row>
    <row r="3186" spans="1:2" x14ac:dyDescent="0.25">
      <c r="A3186" s="2">
        <v>3181</v>
      </c>
      <c r="B3186" s="11" t="str">
        <f>"00164093"</f>
        <v>00164093</v>
      </c>
    </row>
    <row r="3187" spans="1:2" x14ac:dyDescent="0.25">
      <c r="A3187" s="2">
        <v>3182</v>
      </c>
      <c r="B3187" s="11" t="str">
        <f>"00164094"</f>
        <v>00164094</v>
      </c>
    </row>
    <row r="3188" spans="1:2" x14ac:dyDescent="0.25">
      <c r="A3188" s="2">
        <v>3183</v>
      </c>
      <c r="B3188" s="11" t="str">
        <f>"00164141"</f>
        <v>00164141</v>
      </c>
    </row>
    <row r="3189" spans="1:2" x14ac:dyDescent="0.25">
      <c r="A3189" s="2">
        <v>3184</v>
      </c>
      <c r="B3189" s="11" t="str">
        <f>"00164157"</f>
        <v>00164157</v>
      </c>
    </row>
    <row r="3190" spans="1:2" x14ac:dyDescent="0.25">
      <c r="A3190" s="2">
        <v>3185</v>
      </c>
      <c r="B3190" s="11" t="str">
        <f>"00164171"</f>
        <v>00164171</v>
      </c>
    </row>
    <row r="3191" spans="1:2" x14ac:dyDescent="0.25">
      <c r="A3191" s="2">
        <v>3186</v>
      </c>
      <c r="B3191" s="11" t="str">
        <f>"00164179"</f>
        <v>00164179</v>
      </c>
    </row>
    <row r="3192" spans="1:2" x14ac:dyDescent="0.25">
      <c r="A3192" s="2">
        <v>3187</v>
      </c>
      <c r="B3192" s="11" t="str">
        <f>"00164214"</f>
        <v>00164214</v>
      </c>
    </row>
    <row r="3193" spans="1:2" x14ac:dyDescent="0.25">
      <c r="A3193" s="2">
        <v>3188</v>
      </c>
      <c r="B3193" s="11" t="str">
        <f>"00164216"</f>
        <v>00164216</v>
      </c>
    </row>
    <row r="3194" spans="1:2" x14ac:dyDescent="0.25">
      <c r="A3194" s="2">
        <v>3189</v>
      </c>
      <c r="B3194" s="11" t="str">
        <f>"00164217"</f>
        <v>00164217</v>
      </c>
    </row>
    <row r="3195" spans="1:2" x14ac:dyDescent="0.25">
      <c r="A3195" s="2">
        <v>3190</v>
      </c>
      <c r="B3195" s="11" t="str">
        <f>"00164218"</f>
        <v>00164218</v>
      </c>
    </row>
    <row r="3196" spans="1:2" x14ac:dyDescent="0.25">
      <c r="A3196" s="2">
        <v>3191</v>
      </c>
      <c r="B3196" s="11" t="str">
        <f>"00164231"</f>
        <v>00164231</v>
      </c>
    </row>
    <row r="3197" spans="1:2" x14ac:dyDescent="0.25">
      <c r="A3197" s="2">
        <v>3192</v>
      </c>
      <c r="B3197" s="11" t="str">
        <f>"00164256"</f>
        <v>00164256</v>
      </c>
    </row>
    <row r="3198" spans="1:2" x14ac:dyDescent="0.25">
      <c r="A3198" s="2">
        <v>3193</v>
      </c>
      <c r="B3198" s="11" t="str">
        <f>"00164276"</f>
        <v>00164276</v>
      </c>
    </row>
    <row r="3199" spans="1:2" x14ac:dyDescent="0.25">
      <c r="A3199" s="2">
        <v>3194</v>
      </c>
      <c r="B3199" s="11" t="str">
        <f>"00164302"</f>
        <v>00164302</v>
      </c>
    </row>
    <row r="3200" spans="1:2" x14ac:dyDescent="0.25">
      <c r="A3200" s="2">
        <v>3195</v>
      </c>
      <c r="B3200" s="11" t="str">
        <f>"00164380"</f>
        <v>00164380</v>
      </c>
    </row>
    <row r="3201" spans="1:2" x14ac:dyDescent="0.25">
      <c r="A3201" s="2">
        <v>3196</v>
      </c>
      <c r="B3201" s="11" t="str">
        <f>"00164383"</f>
        <v>00164383</v>
      </c>
    </row>
    <row r="3202" spans="1:2" x14ac:dyDescent="0.25">
      <c r="A3202" s="2">
        <v>3197</v>
      </c>
      <c r="B3202" s="11" t="str">
        <f>"00164429"</f>
        <v>00164429</v>
      </c>
    </row>
    <row r="3203" spans="1:2" x14ac:dyDescent="0.25">
      <c r="A3203" s="2">
        <v>3198</v>
      </c>
      <c r="B3203" s="11" t="str">
        <f>"00164826"</f>
        <v>00164826</v>
      </c>
    </row>
    <row r="3204" spans="1:2" x14ac:dyDescent="0.25">
      <c r="A3204" s="2">
        <v>3199</v>
      </c>
      <c r="B3204" s="11" t="str">
        <f>"00164841"</f>
        <v>00164841</v>
      </c>
    </row>
    <row r="3205" spans="1:2" x14ac:dyDescent="0.25">
      <c r="A3205" s="2">
        <v>3200</v>
      </c>
      <c r="B3205" s="11" t="str">
        <f>"00164846"</f>
        <v>00164846</v>
      </c>
    </row>
    <row r="3206" spans="1:2" x14ac:dyDescent="0.25">
      <c r="A3206" s="2">
        <v>3201</v>
      </c>
      <c r="B3206" s="11" t="str">
        <f>"00164857"</f>
        <v>00164857</v>
      </c>
    </row>
    <row r="3207" spans="1:2" x14ac:dyDescent="0.25">
      <c r="A3207" s="2">
        <v>3202</v>
      </c>
      <c r="B3207" s="11" t="str">
        <f>"00164883"</f>
        <v>00164883</v>
      </c>
    </row>
    <row r="3208" spans="1:2" x14ac:dyDescent="0.25">
      <c r="A3208" s="2">
        <v>3203</v>
      </c>
      <c r="B3208" s="11" t="str">
        <f>"00164964"</f>
        <v>00164964</v>
      </c>
    </row>
    <row r="3209" spans="1:2" x14ac:dyDescent="0.25">
      <c r="A3209" s="2">
        <v>3204</v>
      </c>
      <c r="B3209" s="11" t="str">
        <f>"00165734"</f>
        <v>00165734</v>
      </c>
    </row>
    <row r="3210" spans="1:2" x14ac:dyDescent="0.25">
      <c r="A3210" s="2">
        <v>3205</v>
      </c>
      <c r="B3210" s="11" t="str">
        <f>"00165747"</f>
        <v>00165747</v>
      </c>
    </row>
    <row r="3211" spans="1:2" x14ac:dyDescent="0.25">
      <c r="A3211" s="2">
        <v>3206</v>
      </c>
      <c r="B3211" s="11" t="str">
        <f>"00165762"</f>
        <v>00165762</v>
      </c>
    </row>
    <row r="3212" spans="1:2" x14ac:dyDescent="0.25">
      <c r="A3212" s="2">
        <v>3207</v>
      </c>
      <c r="B3212" s="11" t="str">
        <f>"00165794"</f>
        <v>00165794</v>
      </c>
    </row>
    <row r="3213" spans="1:2" x14ac:dyDescent="0.25">
      <c r="A3213" s="2">
        <v>3208</v>
      </c>
      <c r="B3213" s="11" t="str">
        <f>"00165800"</f>
        <v>00165800</v>
      </c>
    </row>
    <row r="3214" spans="1:2" x14ac:dyDescent="0.25">
      <c r="A3214" s="2">
        <v>3209</v>
      </c>
      <c r="B3214" s="11" t="str">
        <f>"00165806"</f>
        <v>00165806</v>
      </c>
    </row>
    <row r="3215" spans="1:2" x14ac:dyDescent="0.25">
      <c r="A3215" s="2">
        <v>3210</v>
      </c>
      <c r="B3215" s="11" t="str">
        <f>"00165865"</f>
        <v>00165865</v>
      </c>
    </row>
    <row r="3216" spans="1:2" x14ac:dyDescent="0.25">
      <c r="A3216" s="2">
        <v>3211</v>
      </c>
      <c r="B3216" s="11" t="str">
        <f>"00165866"</f>
        <v>00165866</v>
      </c>
    </row>
    <row r="3217" spans="1:2" x14ac:dyDescent="0.25">
      <c r="A3217" s="2">
        <v>3212</v>
      </c>
      <c r="B3217" s="11" t="str">
        <f>"00165919"</f>
        <v>00165919</v>
      </c>
    </row>
    <row r="3218" spans="1:2" x14ac:dyDescent="0.25">
      <c r="A3218" s="2">
        <v>3213</v>
      </c>
      <c r="B3218" s="11" t="str">
        <f>"00165921"</f>
        <v>00165921</v>
      </c>
    </row>
    <row r="3219" spans="1:2" x14ac:dyDescent="0.25">
      <c r="A3219" s="2">
        <v>3214</v>
      </c>
      <c r="B3219" s="11" t="str">
        <f>"00165932"</f>
        <v>00165932</v>
      </c>
    </row>
    <row r="3220" spans="1:2" x14ac:dyDescent="0.25">
      <c r="A3220" s="2">
        <v>3215</v>
      </c>
      <c r="B3220" s="11" t="str">
        <f>"00165961"</f>
        <v>00165961</v>
      </c>
    </row>
    <row r="3221" spans="1:2" x14ac:dyDescent="0.25">
      <c r="A3221" s="2">
        <v>3216</v>
      </c>
      <c r="B3221" s="11" t="str">
        <f>"00165964"</f>
        <v>00165964</v>
      </c>
    </row>
    <row r="3222" spans="1:2" x14ac:dyDescent="0.25">
      <c r="A3222" s="2">
        <v>3217</v>
      </c>
      <c r="B3222" s="11" t="str">
        <f>"00165990"</f>
        <v>00165990</v>
      </c>
    </row>
    <row r="3223" spans="1:2" x14ac:dyDescent="0.25">
      <c r="A3223" s="2">
        <v>3218</v>
      </c>
      <c r="B3223" s="11" t="str">
        <f>"00165993"</f>
        <v>00165993</v>
      </c>
    </row>
    <row r="3224" spans="1:2" x14ac:dyDescent="0.25">
      <c r="A3224" s="2">
        <v>3219</v>
      </c>
      <c r="B3224" s="11" t="str">
        <f>"00166014"</f>
        <v>00166014</v>
      </c>
    </row>
    <row r="3225" spans="1:2" x14ac:dyDescent="0.25">
      <c r="A3225" s="2">
        <v>3220</v>
      </c>
      <c r="B3225" s="11" t="str">
        <f>"00166059"</f>
        <v>00166059</v>
      </c>
    </row>
    <row r="3226" spans="1:2" x14ac:dyDescent="0.25">
      <c r="A3226" s="2">
        <v>3221</v>
      </c>
      <c r="B3226" s="11" t="str">
        <f>"00166077"</f>
        <v>00166077</v>
      </c>
    </row>
    <row r="3227" spans="1:2" x14ac:dyDescent="0.25">
      <c r="A3227" s="2">
        <v>3222</v>
      </c>
      <c r="B3227" s="11" t="str">
        <f>"00166096"</f>
        <v>00166096</v>
      </c>
    </row>
    <row r="3228" spans="1:2" x14ac:dyDescent="0.25">
      <c r="A3228" s="2">
        <v>3223</v>
      </c>
      <c r="B3228" s="11" t="str">
        <f>"00166112"</f>
        <v>00166112</v>
      </c>
    </row>
    <row r="3229" spans="1:2" x14ac:dyDescent="0.25">
      <c r="A3229" s="2">
        <v>3224</v>
      </c>
      <c r="B3229" s="11" t="str">
        <f>"00166140"</f>
        <v>00166140</v>
      </c>
    </row>
    <row r="3230" spans="1:2" x14ac:dyDescent="0.25">
      <c r="A3230" s="2">
        <v>3225</v>
      </c>
      <c r="B3230" s="11" t="str">
        <f>"00166141"</f>
        <v>00166141</v>
      </c>
    </row>
    <row r="3231" spans="1:2" x14ac:dyDescent="0.25">
      <c r="A3231" s="2">
        <v>3226</v>
      </c>
      <c r="B3231" s="11" t="str">
        <f>"00166163"</f>
        <v>00166163</v>
      </c>
    </row>
    <row r="3232" spans="1:2" x14ac:dyDescent="0.25">
      <c r="A3232" s="2">
        <v>3227</v>
      </c>
      <c r="B3232" s="11" t="str">
        <f>"00166164"</f>
        <v>00166164</v>
      </c>
    </row>
    <row r="3233" spans="1:2" x14ac:dyDescent="0.25">
      <c r="A3233" s="2">
        <v>3228</v>
      </c>
      <c r="B3233" s="11" t="str">
        <f>"00166241"</f>
        <v>00166241</v>
      </c>
    </row>
    <row r="3234" spans="1:2" x14ac:dyDescent="0.25">
      <c r="A3234" s="2">
        <v>3229</v>
      </c>
      <c r="B3234" s="11" t="str">
        <f>"00166539"</f>
        <v>00166539</v>
      </c>
    </row>
    <row r="3235" spans="1:2" x14ac:dyDescent="0.25">
      <c r="A3235" s="2">
        <v>3230</v>
      </c>
      <c r="B3235" s="11" t="str">
        <f>"00166542"</f>
        <v>00166542</v>
      </c>
    </row>
    <row r="3236" spans="1:2" x14ac:dyDescent="0.25">
      <c r="A3236" s="2">
        <v>3231</v>
      </c>
      <c r="B3236" s="11" t="str">
        <f>"00166544"</f>
        <v>00166544</v>
      </c>
    </row>
    <row r="3237" spans="1:2" x14ac:dyDescent="0.25">
      <c r="A3237" s="2">
        <v>3232</v>
      </c>
      <c r="B3237" s="11" t="str">
        <f>"00166739"</f>
        <v>00166739</v>
      </c>
    </row>
    <row r="3238" spans="1:2" x14ac:dyDescent="0.25">
      <c r="A3238" s="2">
        <v>3233</v>
      </c>
      <c r="B3238" s="11" t="str">
        <f>"00166883"</f>
        <v>00166883</v>
      </c>
    </row>
    <row r="3239" spans="1:2" x14ac:dyDescent="0.25">
      <c r="A3239" s="2">
        <v>3234</v>
      </c>
      <c r="B3239" s="11" t="str">
        <f>"00166921"</f>
        <v>00166921</v>
      </c>
    </row>
    <row r="3240" spans="1:2" x14ac:dyDescent="0.25">
      <c r="A3240" s="2">
        <v>3235</v>
      </c>
      <c r="B3240" s="11" t="str">
        <f>"00166932"</f>
        <v>00166932</v>
      </c>
    </row>
    <row r="3241" spans="1:2" x14ac:dyDescent="0.25">
      <c r="A3241" s="2">
        <v>3236</v>
      </c>
      <c r="B3241" s="11" t="str">
        <f>"00166951"</f>
        <v>00166951</v>
      </c>
    </row>
    <row r="3242" spans="1:2" x14ac:dyDescent="0.25">
      <c r="A3242" s="2">
        <v>3237</v>
      </c>
      <c r="B3242" s="11" t="str">
        <f>"00167418"</f>
        <v>00167418</v>
      </c>
    </row>
    <row r="3243" spans="1:2" x14ac:dyDescent="0.25">
      <c r="A3243" s="2">
        <v>3238</v>
      </c>
      <c r="B3243" s="11" t="str">
        <f>"00167431"</f>
        <v>00167431</v>
      </c>
    </row>
    <row r="3244" spans="1:2" x14ac:dyDescent="0.25">
      <c r="A3244" s="2">
        <v>3239</v>
      </c>
      <c r="B3244" s="11" t="str">
        <f>"00167439"</f>
        <v>00167439</v>
      </c>
    </row>
    <row r="3245" spans="1:2" x14ac:dyDescent="0.25">
      <c r="A3245" s="2">
        <v>3240</v>
      </c>
      <c r="B3245" s="11" t="str">
        <f>"00167448"</f>
        <v>00167448</v>
      </c>
    </row>
    <row r="3246" spans="1:2" x14ac:dyDescent="0.25">
      <c r="A3246" s="2">
        <v>3241</v>
      </c>
      <c r="B3246" s="11" t="str">
        <f>"00167466"</f>
        <v>00167466</v>
      </c>
    </row>
    <row r="3247" spans="1:2" x14ac:dyDescent="0.25">
      <c r="A3247" s="2">
        <v>3242</v>
      </c>
      <c r="B3247" s="11" t="str">
        <f>"00167494"</f>
        <v>00167494</v>
      </c>
    </row>
    <row r="3248" spans="1:2" x14ac:dyDescent="0.25">
      <c r="A3248" s="2">
        <v>3243</v>
      </c>
      <c r="B3248" s="11" t="str">
        <f>"00167643"</f>
        <v>00167643</v>
      </c>
    </row>
    <row r="3249" spans="1:2" x14ac:dyDescent="0.25">
      <c r="A3249" s="2">
        <v>3244</v>
      </c>
      <c r="B3249" s="11" t="str">
        <f>"00167680"</f>
        <v>00167680</v>
      </c>
    </row>
    <row r="3250" spans="1:2" x14ac:dyDescent="0.25">
      <c r="A3250" s="2">
        <v>3245</v>
      </c>
      <c r="B3250" s="11" t="str">
        <f>"00167693"</f>
        <v>00167693</v>
      </c>
    </row>
    <row r="3251" spans="1:2" x14ac:dyDescent="0.25">
      <c r="A3251" s="2">
        <v>3246</v>
      </c>
      <c r="B3251" s="11" t="str">
        <f>"00167725"</f>
        <v>00167725</v>
      </c>
    </row>
    <row r="3252" spans="1:2" x14ac:dyDescent="0.25">
      <c r="A3252" s="2">
        <v>3247</v>
      </c>
      <c r="B3252" s="11" t="str">
        <f>"00167818"</f>
        <v>00167818</v>
      </c>
    </row>
    <row r="3253" spans="1:2" x14ac:dyDescent="0.25">
      <c r="A3253" s="2">
        <v>3248</v>
      </c>
      <c r="B3253" s="11" t="str">
        <f>"00167834"</f>
        <v>00167834</v>
      </c>
    </row>
    <row r="3254" spans="1:2" x14ac:dyDescent="0.25">
      <c r="A3254" s="2">
        <v>3249</v>
      </c>
      <c r="B3254" s="11" t="str">
        <f>"00167836"</f>
        <v>00167836</v>
      </c>
    </row>
    <row r="3255" spans="1:2" x14ac:dyDescent="0.25">
      <c r="A3255" s="2">
        <v>3250</v>
      </c>
      <c r="B3255" s="11" t="str">
        <f>"00168496"</f>
        <v>00168496</v>
      </c>
    </row>
    <row r="3256" spans="1:2" x14ac:dyDescent="0.25">
      <c r="A3256" s="2">
        <v>3251</v>
      </c>
      <c r="B3256" s="11" t="str">
        <f>"00168502"</f>
        <v>00168502</v>
      </c>
    </row>
    <row r="3257" spans="1:2" x14ac:dyDescent="0.25">
      <c r="A3257" s="2">
        <v>3252</v>
      </c>
      <c r="B3257" s="11" t="str">
        <f>"00168534"</f>
        <v>00168534</v>
      </c>
    </row>
    <row r="3258" spans="1:2" x14ac:dyDescent="0.25">
      <c r="A3258" s="2">
        <v>3253</v>
      </c>
      <c r="B3258" s="11" t="str">
        <f>"00168720"</f>
        <v>00168720</v>
      </c>
    </row>
    <row r="3259" spans="1:2" x14ac:dyDescent="0.25">
      <c r="A3259" s="2">
        <v>3254</v>
      </c>
      <c r="B3259" s="11" t="str">
        <f>"00169260"</f>
        <v>00169260</v>
      </c>
    </row>
    <row r="3260" spans="1:2" x14ac:dyDescent="0.25">
      <c r="A3260" s="2">
        <v>3255</v>
      </c>
      <c r="B3260" s="11" t="str">
        <f>"00169262"</f>
        <v>00169262</v>
      </c>
    </row>
    <row r="3261" spans="1:2" x14ac:dyDescent="0.25">
      <c r="A3261" s="2">
        <v>3256</v>
      </c>
      <c r="B3261" s="11" t="str">
        <f>"00169603"</f>
        <v>00169603</v>
      </c>
    </row>
    <row r="3262" spans="1:2" x14ac:dyDescent="0.25">
      <c r="A3262" s="2">
        <v>3257</v>
      </c>
      <c r="B3262" s="11" t="str">
        <f>"00169939"</f>
        <v>00169939</v>
      </c>
    </row>
    <row r="3263" spans="1:2" x14ac:dyDescent="0.25">
      <c r="A3263" s="2">
        <v>3258</v>
      </c>
      <c r="B3263" s="11" t="str">
        <f>"00169960"</f>
        <v>00169960</v>
      </c>
    </row>
    <row r="3264" spans="1:2" x14ac:dyDescent="0.25">
      <c r="A3264" s="2">
        <v>3259</v>
      </c>
      <c r="B3264" s="11" t="str">
        <f>"00170031"</f>
        <v>00170031</v>
      </c>
    </row>
    <row r="3265" spans="1:2" x14ac:dyDescent="0.25">
      <c r="A3265" s="2">
        <v>3260</v>
      </c>
      <c r="B3265" s="11" t="str">
        <f>"00170044"</f>
        <v>00170044</v>
      </c>
    </row>
    <row r="3266" spans="1:2" x14ac:dyDescent="0.25">
      <c r="A3266" s="2">
        <v>3261</v>
      </c>
      <c r="B3266" s="11" t="str">
        <f>"00170088"</f>
        <v>00170088</v>
      </c>
    </row>
    <row r="3267" spans="1:2" x14ac:dyDescent="0.25">
      <c r="A3267" s="2">
        <v>3262</v>
      </c>
      <c r="B3267" s="11" t="str">
        <f>"00170100"</f>
        <v>00170100</v>
      </c>
    </row>
    <row r="3268" spans="1:2" x14ac:dyDescent="0.25">
      <c r="A3268" s="2">
        <v>3263</v>
      </c>
      <c r="B3268" s="11" t="str">
        <f>"00170166"</f>
        <v>00170166</v>
      </c>
    </row>
    <row r="3269" spans="1:2" x14ac:dyDescent="0.25">
      <c r="A3269" s="2">
        <v>3264</v>
      </c>
      <c r="B3269" s="11" t="str">
        <f>"00170174"</f>
        <v>00170174</v>
      </c>
    </row>
    <row r="3270" spans="1:2" x14ac:dyDescent="0.25">
      <c r="A3270" s="2">
        <v>3265</v>
      </c>
      <c r="B3270" s="11" t="str">
        <f>"00170226"</f>
        <v>00170226</v>
      </c>
    </row>
    <row r="3271" spans="1:2" x14ac:dyDescent="0.25">
      <c r="A3271" s="2">
        <v>3266</v>
      </c>
      <c r="B3271" s="11" t="str">
        <f>"00170230"</f>
        <v>00170230</v>
      </c>
    </row>
    <row r="3272" spans="1:2" x14ac:dyDescent="0.25">
      <c r="A3272" s="2">
        <v>3267</v>
      </c>
      <c r="B3272" s="11" t="str">
        <f>"00170245"</f>
        <v>00170245</v>
      </c>
    </row>
    <row r="3273" spans="1:2" x14ac:dyDescent="0.25">
      <c r="A3273" s="2">
        <v>3268</v>
      </c>
      <c r="B3273" s="11" t="str">
        <f>"00170511"</f>
        <v>00170511</v>
      </c>
    </row>
    <row r="3274" spans="1:2" x14ac:dyDescent="0.25">
      <c r="A3274" s="2">
        <v>3269</v>
      </c>
      <c r="B3274" s="11" t="str">
        <f>"00170522"</f>
        <v>00170522</v>
      </c>
    </row>
    <row r="3275" spans="1:2" x14ac:dyDescent="0.25">
      <c r="A3275" s="2">
        <v>3270</v>
      </c>
      <c r="B3275" s="11" t="str">
        <f>"00170526"</f>
        <v>00170526</v>
      </c>
    </row>
    <row r="3276" spans="1:2" x14ac:dyDescent="0.25">
      <c r="A3276" s="2">
        <v>3271</v>
      </c>
      <c r="B3276" s="11" t="str">
        <f>"00170547"</f>
        <v>00170547</v>
      </c>
    </row>
    <row r="3277" spans="1:2" x14ac:dyDescent="0.25">
      <c r="A3277" s="2">
        <v>3272</v>
      </c>
      <c r="B3277" s="11" t="str">
        <f>"00170550"</f>
        <v>00170550</v>
      </c>
    </row>
    <row r="3278" spans="1:2" x14ac:dyDescent="0.25">
      <c r="A3278" s="2">
        <v>3273</v>
      </c>
      <c r="B3278" s="11" t="str">
        <f>"00170644"</f>
        <v>00170644</v>
      </c>
    </row>
    <row r="3279" spans="1:2" x14ac:dyDescent="0.25">
      <c r="A3279" s="2">
        <v>3274</v>
      </c>
      <c r="B3279" s="11" t="str">
        <f>"00170659"</f>
        <v>00170659</v>
      </c>
    </row>
    <row r="3280" spans="1:2" x14ac:dyDescent="0.25">
      <c r="A3280" s="2">
        <v>3275</v>
      </c>
      <c r="B3280" s="11" t="str">
        <f>"00170673"</f>
        <v>00170673</v>
      </c>
    </row>
    <row r="3281" spans="1:2" x14ac:dyDescent="0.25">
      <c r="A3281" s="2">
        <v>3276</v>
      </c>
      <c r="B3281" s="11" t="str">
        <f>"00170684"</f>
        <v>00170684</v>
      </c>
    </row>
    <row r="3282" spans="1:2" x14ac:dyDescent="0.25">
      <c r="A3282" s="2">
        <v>3277</v>
      </c>
      <c r="B3282" s="11" t="str">
        <f>"00171666"</f>
        <v>00171666</v>
      </c>
    </row>
    <row r="3283" spans="1:2" x14ac:dyDescent="0.25">
      <c r="A3283" s="2">
        <v>3278</v>
      </c>
      <c r="B3283" s="11" t="str">
        <f>"00171724"</f>
        <v>00171724</v>
      </c>
    </row>
    <row r="3284" spans="1:2" x14ac:dyDescent="0.25">
      <c r="A3284" s="2">
        <v>3279</v>
      </c>
      <c r="B3284" s="11" t="str">
        <f>"00171755"</f>
        <v>00171755</v>
      </c>
    </row>
    <row r="3285" spans="1:2" x14ac:dyDescent="0.25">
      <c r="A3285" s="2">
        <v>3280</v>
      </c>
      <c r="B3285" s="11" t="str">
        <f>"00171756"</f>
        <v>00171756</v>
      </c>
    </row>
    <row r="3286" spans="1:2" x14ac:dyDescent="0.25">
      <c r="A3286" s="2">
        <v>3281</v>
      </c>
      <c r="B3286" s="11" t="str">
        <f>"00171824"</f>
        <v>00171824</v>
      </c>
    </row>
    <row r="3287" spans="1:2" x14ac:dyDescent="0.25">
      <c r="A3287" s="2">
        <v>3282</v>
      </c>
      <c r="B3287" s="11" t="str">
        <f>"00171835"</f>
        <v>00171835</v>
      </c>
    </row>
    <row r="3288" spans="1:2" x14ac:dyDescent="0.25">
      <c r="A3288" s="2">
        <v>3283</v>
      </c>
      <c r="B3288" s="11" t="str">
        <f>"00171870"</f>
        <v>00171870</v>
      </c>
    </row>
    <row r="3289" spans="1:2" x14ac:dyDescent="0.25">
      <c r="A3289" s="2">
        <v>3284</v>
      </c>
      <c r="B3289" s="11" t="str">
        <f>"00171882"</f>
        <v>00171882</v>
      </c>
    </row>
    <row r="3290" spans="1:2" x14ac:dyDescent="0.25">
      <c r="A3290" s="2">
        <v>3285</v>
      </c>
      <c r="B3290" s="11" t="str">
        <f>"00172147"</f>
        <v>00172147</v>
      </c>
    </row>
    <row r="3291" spans="1:2" x14ac:dyDescent="0.25">
      <c r="A3291" s="2">
        <v>3286</v>
      </c>
      <c r="B3291" s="11" t="str">
        <f>"00172159"</f>
        <v>00172159</v>
      </c>
    </row>
    <row r="3292" spans="1:2" x14ac:dyDescent="0.25">
      <c r="A3292" s="2">
        <v>3287</v>
      </c>
      <c r="B3292" s="11" t="str">
        <f>"00172164"</f>
        <v>00172164</v>
      </c>
    </row>
    <row r="3293" spans="1:2" x14ac:dyDescent="0.25">
      <c r="A3293" s="2">
        <v>3288</v>
      </c>
      <c r="B3293" s="11" t="str">
        <f>"00172175"</f>
        <v>00172175</v>
      </c>
    </row>
    <row r="3294" spans="1:2" x14ac:dyDescent="0.25">
      <c r="A3294" s="2">
        <v>3289</v>
      </c>
      <c r="B3294" s="11" t="str">
        <f>"00172240"</f>
        <v>00172240</v>
      </c>
    </row>
    <row r="3295" spans="1:2" x14ac:dyDescent="0.25">
      <c r="A3295" s="2">
        <v>3290</v>
      </c>
      <c r="B3295" s="11" t="str">
        <f>"00172268"</f>
        <v>00172268</v>
      </c>
    </row>
    <row r="3296" spans="1:2" x14ac:dyDescent="0.25">
      <c r="A3296" s="2">
        <v>3291</v>
      </c>
      <c r="B3296" s="11" t="str">
        <f>"00172274"</f>
        <v>00172274</v>
      </c>
    </row>
    <row r="3297" spans="1:2" x14ac:dyDescent="0.25">
      <c r="A3297" s="2">
        <v>3292</v>
      </c>
      <c r="B3297" s="11" t="str">
        <f>"00172287"</f>
        <v>00172287</v>
      </c>
    </row>
    <row r="3298" spans="1:2" x14ac:dyDescent="0.25">
      <c r="A3298" s="2">
        <v>3293</v>
      </c>
      <c r="B3298" s="11" t="str">
        <f>"00172332"</f>
        <v>00172332</v>
      </c>
    </row>
    <row r="3299" spans="1:2" x14ac:dyDescent="0.25">
      <c r="A3299" s="2">
        <v>3294</v>
      </c>
      <c r="B3299" s="11" t="str">
        <f>"00172365"</f>
        <v>00172365</v>
      </c>
    </row>
    <row r="3300" spans="1:2" x14ac:dyDescent="0.25">
      <c r="A3300" s="2">
        <v>3295</v>
      </c>
      <c r="B3300" s="11" t="str">
        <f>"00172376"</f>
        <v>00172376</v>
      </c>
    </row>
    <row r="3301" spans="1:2" x14ac:dyDescent="0.25">
      <c r="A3301" s="2">
        <v>3296</v>
      </c>
      <c r="B3301" s="11" t="str">
        <f>"00172385"</f>
        <v>00172385</v>
      </c>
    </row>
    <row r="3302" spans="1:2" x14ac:dyDescent="0.25">
      <c r="A3302" s="2">
        <v>3297</v>
      </c>
      <c r="B3302" s="11" t="str">
        <f>"00172664"</f>
        <v>00172664</v>
      </c>
    </row>
    <row r="3303" spans="1:2" x14ac:dyDescent="0.25">
      <c r="A3303" s="2">
        <v>3298</v>
      </c>
      <c r="B3303" s="11" t="str">
        <f>"00172693"</f>
        <v>00172693</v>
      </c>
    </row>
    <row r="3304" spans="1:2" x14ac:dyDescent="0.25">
      <c r="A3304" s="2">
        <v>3299</v>
      </c>
      <c r="B3304" s="11" t="str">
        <f>"00172709"</f>
        <v>00172709</v>
      </c>
    </row>
    <row r="3305" spans="1:2" x14ac:dyDescent="0.25">
      <c r="A3305" s="2">
        <v>3300</v>
      </c>
      <c r="B3305" s="11" t="str">
        <f>"00172715"</f>
        <v>00172715</v>
      </c>
    </row>
    <row r="3306" spans="1:2" x14ac:dyDescent="0.25">
      <c r="A3306" s="2">
        <v>3301</v>
      </c>
      <c r="B3306" s="11" t="str">
        <f>"00172741"</f>
        <v>00172741</v>
      </c>
    </row>
    <row r="3307" spans="1:2" x14ac:dyDescent="0.25">
      <c r="A3307" s="2">
        <v>3302</v>
      </c>
      <c r="B3307" s="11" t="str">
        <f>"00172758"</f>
        <v>00172758</v>
      </c>
    </row>
    <row r="3308" spans="1:2" x14ac:dyDescent="0.25">
      <c r="A3308" s="2">
        <v>3303</v>
      </c>
      <c r="B3308" s="11" t="str">
        <f>"00172803"</f>
        <v>00172803</v>
      </c>
    </row>
    <row r="3309" spans="1:2" x14ac:dyDescent="0.25">
      <c r="A3309" s="2">
        <v>3304</v>
      </c>
      <c r="B3309" s="11" t="str">
        <f>"00172813"</f>
        <v>00172813</v>
      </c>
    </row>
    <row r="3310" spans="1:2" x14ac:dyDescent="0.25">
      <c r="A3310" s="2">
        <v>3305</v>
      </c>
      <c r="B3310" s="11" t="str">
        <f>"00172817"</f>
        <v>00172817</v>
      </c>
    </row>
    <row r="3311" spans="1:2" x14ac:dyDescent="0.25">
      <c r="A3311" s="2">
        <v>3306</v>
      </c>
      <c r="B3311" s="11" t="str">
        <f>"00172916"</f>
        <v>00172916</v>
      </c>
    </row>
    <row r="3312" spans="1:2" x14ac:dyDescent="0.25">
      <c r="A3312" s="2">
        <v>3307</v>
      </c>
      <c r="B3312" s="11" t="str">
        <f>"00173465"</f>
        <v>00173465</v>
      </c>
    </row>
    <row r="3313" spans="1:2" x14ac:dyDescent="0.25">
      <c r="A3313" s="2">
        <v>3308</v>
      </c>
      <c r="B3313" s="11" t="str">
        <f>"00173498"</f>
        <v>00173498</v>
      </c>
    </row>
    <row r="3314" spans="1:2" x14ac:dyDescent="0.25">
      <c r="A3314" s="2">
        <v>3309</v>
      </c>
      <c r="B3314" s="11" t="str">
        <f>"00173499"</f>
        <v>00173499</v>
      </c>
    </row>
    <row r="3315" spans="1:2" x14ac:dyDescent="0.25">
      <c r="A3315" s="2">
        <v>3310</v>
      </c>
      <c r="B3315" s="11" t="str">
        <f>"00173514"</f>
        <v>00173514</v>
      </c>
    </row>
    <row r="3316" spans="1:2" x14ac:dyDescent="0.25">
      <c r="A3316" s="2">
        <v>3311</v>
      </c>
      <c r="B3316" s="11" t="str">
        <f>"00173528"</f>
        <v>00173528</v>
      </c>
    </row>
    <row r="3317" spans="1:2" x14ac:dyDescent="0.25">
      <c r="A3317" s="2">
        <v>3312</v>
      </c>
      <c r="B3317" s="11" t="str">
        <f>"00173558"</f>
        <v>00173558</v>
      </c>
    </row>
    <row r="3318" spans="1:2" x14ac:dyDescent="0.25">
      <c r="A3318" s="2">
        <v>3313</v>
      </c>
      <c r="B3318" s="11" t="str">
        <f>"00173591"</f>
        <v>00173591</v>
      </c>
    </row>
    <row r="3319" spans="1:2" x14ac:dyDescent="0.25">
      <c r="A3319" s="2">
        <v>3314</v>
      </c>
      <c r="B3319" s="11" t="str">
        <f>"00173632"</f>
        <v>00173632</v>
      </c>
    </row>
    <row r="3320" spans="1:2" x14ac:dyDescent="0.25">
      <c r="A3320" s="2">
        <v>3315</v>
      </c>
      <c r="B3320" s="11" t="str">
        <f>"00173648"</f>
        <v>00173648</v>
      </c>
    </row>
    <row r="3321" spans="1:2" x14ac:dyDescent="0.25">
      <c r="A3321" s="2">
        <v>3316</v>
      </c>
      <c r="B3321" s="11" t="str">
        <f>"00173653"</f>
        <v>00173653</v>
      </c>
    </row>
    <row r="3322" spans="1:2" x14ac:dyDescent="0.25">
      <c r="A3322" s="2">
        <v>3317</v>
      </c>
      <c r="B3322" s="11" t="str">
        <f>"00173674"</f>
        <v>00173674</v>
      </c>
    </row>
    <row r="3323" spans="1:2" x14ac:dyDescent="0.25">
      <c r="A3323" s="2">
        <v>3318</v>
      </c>
      <c r="B3323" s="11" t="str">
        <f>"00173696"</f>
        <v>00173696</v>
      </c>
    </row>
    <row r="3324" spans="1:2" x14ac:dyDescent="0.25">
      <c r="A3324" s="2">
        <v>3319</v>
      </c>
      <c r="B3324" s="11" t="str">
        <f>"00173717"</f>
        <v>00173717</v>
      </c>
    </row>
    <row r="3325" spans="1:2" x14ac:dyDescent="0.25">
      <c r="A3325" s="2">
        <v>3320</v>
      </c>
      <c r="B3325" s="11" t="str">
        <f>"00173736"</f>
        <v>00173736</v>
      </c>
    </row>
    <row r="3326" spans="1:2" x14ac:dyDescent="0.25">
      <c r="A3326" s="2">
        <v>3321</v>
      </c>
      <c r="B3326" s="11" t="str">
        <f>"00173738"</f>
        <v>00173738</v>
      </c>
    </row>
    <row r="3327" spans="1:2" x14ac:dyDescent="0.25">
      <c r="A3327" s="2">
        <v>3322</v>
      </c>
      <c r="B3327" s="11" t="str">
        <f>"00173814"</f>
        <v>00173814</v>
      </c>
    </row>
    <row r="3328" spans="1:2" x14ac:dyDescent="0.25">
      <c r="A3328" s="2">
        <v>3323</v>
      </c>
      <c r="B3328" s="11" t="str">
        <f>"00173875"</f>
        <v>00173875</v>
      </c>
    </row>
    <row r="3329" spans="1:2" x14ac:dyDescent="0.25">
      <c r="A3329" s="2">
        <v>3324</v>
      </c>
      <c r="B3329" s="11" t="str">
        <f>"00173876"</f>
        <v>00173876</v>
      </c>
    </row>
    <row r="3330" spans="1:2" x14ac:dyDescent="0.25">
      <c r="A3330" s="2">
        <v>3325</v>
      </c>
      <c r="B3330" s="11" t="str">
        <f>"00173909"</f>
        <v>00173909</v>
      </c>
    </row>
    <row r="3331" spans="1:2" x14ac:dyDescent="0.25">
      <c r="A3331" s="2">
        <v>3326</v>
      </c>
      <c r="B3331" s="11" t="str">
        <f>"00173912"</f>
        <v>00173912</v>
      </c>
    </row>
    <row r="3332" spans="1:2" x14ac:dyDescent="0.25">
      <c r="A3332" s="2">
        <v>3327</v>
      </c>
      <c r="B3332" s="11" t="str">
        <f>"00173916"</f>
        <v>00173916</v>
      </c>
    </row>
    <row r="3333" spans="1:2" x14ac:dyDescent="0.25">
      <c r="A3333" s="2">
        <v>3328</v>
      </c>
      <c r="B3333" s="11" t="str">
        <f>"00173920"</f>
        <v>00173920</v>
      </c>
    </row>
    <row r="3334" spans="1:2" x14ac:dyDescent="0.25">
      <c r="A3334" s="2">
        <v>3329</v>
      </c>
      <c r="B3334" s="11" t="str">
        <f>"00173924"</f>
        <v>00173924</v>
      </c>
    </row>
    <row r="3335" spans="1:2" x14ac:dyDescent="0.25">
      <c r="A3335" s="2">
        <v>3330</v>
      </c>
      <c r="B3335" s="11" t="str">
        <f>"00174034"</f>
        <v>00174034</v>
      </c>
    </row>
    <row r="3336" spans="1:2" x14ac:dyDescent="0.25">
      <c r="A3336" s="2">
        <v>3331</v>
      </c>
      <c r="B3336" s="11" t="str">
        <f>"00174074"</f>
        <v>00174074</v>
      </c>
    </row>
    <row r="3337" spans="1:2" x14ac:dyDescent="0.25">
      <c r="A3337" s="2">
        <v>3332</v>
      </c>
      <c r="B3337" s="11" t="str">
        <f>"00174096"</f>
        <v>00174096</v>
      </c>
    </row>
    <row r="3338" spans="1:2" x14ac:dyDescent="0.25">
      <c r="A3338" s="2">
        <v>3333</v>
      </c>
      <c r="B3338" s="11" t="str">
        <f>"00174099"</f>
        <v>00174099</v>
      </c>
    </row>
    <row r="3339" spans="1:2" x14ac:dyDescent="0.25">
      <c r="A3339" s="2">
        <v>3334</v>
      </c>
      <c r="B3339" s="11" t="str">
        <f>"00174127"</f>
        <v>00174127</v>
      </c>
    </row>
    <row r="3340" spans="1:2" x14ac:dyDescent="0.25">
      <c r="A3340" s="2">
        <v>3335</v>
      </c>
      <c r="B3340" s="11" t="str">
        <f>"00174133"</f>
        <v>00174133</v>
      </c>
    </row>
    <row r="3341" spans="1:2" x14ac:dyDescent="0.25">
      <c r="A3341" s="2">
        <v>3336</v>
      </c>
      <c r="B3341" s="11" t="str">
        <f>"00175063"</f>
        <v>00175063</v>
      </c>
    </row>
    <row r="3342" spans="1:2" x14ac:dyDescent="0.25">
      <c r="A3342" s="2">
        <v>3337</v>
      </c>
      <c r="B3342" s="11" t="str">
        <f>"00175675"</f>
        <v>00175675</v>
      </c>
    </row>
    <row r="3343" spans="1:2" x14ac:dyDescent="0.25">
      <c r="A3343" s="2">
        <v>3338</v>
      </c>
      <c r="B3343" s="11" t="str">
        <f>"00175689"</f>
        <v>00175689</v>
      </c>
    </row>
    <row r="3344" spans="1:2" x14ac:dyDescent="0.25">
      <c r="A3344" s="2">
        <v>3339</v>
      </c>
      <c r="B3344" s="11" t="str">
        <f>"00175701"</f>
        <v>00175701</v>
      </c>
    </row>
    <row r="3345" spans="1:2" x14ac:dyDescent="0.25">
      <c r="A3345" s="2">
        <v>3340</v>
      </c>
      <c r="B3345" s="11" t="str">
        <f>"00175720"</f>
        <v>00175720</v>
      </c>
    </row>
    <row r="3346" spans="1:2" x14ac:dyDescent="0.25">
      <c r="A3346" s="2">
        <v>3341</v>
      </c>
      <c r="B3346" s="11" t="str">
        <f>"00175756"</f>
        <v>00175756</v>
      </c>
    </row>
    <row r="3347" spans="1:2" x14ac:dyDescent="0.25">
      <c r="A3347" s="2">
        <v>3342</v>
      </c>
      <c r="B3347" s="11" t="str">
        <f>"00175796"</f>
        <v>00175796</v>
      </c>
    </row>
    <row r="3348" spans="1:2" x14ac:dyDescent="0.25">
      <c r="A3348" s="2">
        <v>3343</v>
      </c>
      <c r="B3348" s="11" t="str">
        <f>"00175801"</f>
        <v>00175801</v>
      </c>
    </row>
    <row r="3349" spans="1:2" x14ac:dyDescent="0.25">
      <c r="A3349" s="2">
        <v>3344</v>
      </c>
      <c r="B3349" s="11" t="str">
        <f>"00175839"</f>
        <v>00175839</v>
      </c>
    </row>
    <row r="3350" spans="1:2" x14ac:dyDescent="0.25">
      <c r="A3350" s="2">
        <v>3345</v>
      </c>
      <c r="B3350" s="11" t="str">
        <f>"00175845"</f>
        <v>00175845</v>
      </c>
    </row>
    <row r="3351" spans="1:2" x14ac:dyDescent="0.25">
      <c r="A3351" s="2">
        <v>3346</v>
      </c>
      <c r="B3351" s="11" t="str">
        <f>"00175866"</f>
        <v>00175866</v>
      </c>
    </row>
    <row r="3352" spans="1:2" x14ac:dyDescent="0.25">
      <c r="A3352" s="2">
        <v>3347</v>
      </c>
      <c r="B3352" s="11" t="str">
        <f>"00175885"</f>
        <v>00175885</v>
      </c>
    </row>
    <row r="3353" spans="1:2" x14ac:dyDescent="0.25">
      <c r="A3353" s="2">
        <v>3348</v>
      </c>
      <c r="B3353" s="11" t="str">
        <f>"00175907"</f>
        <v>00175907</v>
      </c>
    </row>
    <row r="3354" spans="1:2" x14ac:dyDescent="0.25">
      <c r="A3354" s="2">
        <v>3349</v>
      </c>
      <c r="B3354" s="11" t="str">
        <f>"00175948"</f>
        <v>00175948</v>
      </c>
    </row>
    <row r="3355" spans="1:2" x14ac:dyDescent="0.25">
      <c r="A3355" s="2">
        <v>3350</v>
      </c>
      <c r="B3355" s="11" t="str">
        <f>"00175959"</f>
        <v>00175959</v>
      </c>
    </row>
    <row r="3356" spans="1:2" x14ac:dyDescent="0.25">
      <c r="A3356" s="2">
        <v>3351</v>
      </c>
      <c r="B3356" s="11" t="str">
        <f>"00175977"</f>
        <v>00175977</v>
      </c>
    </row>
    <row r="3357" spans="1:2" x14ac:dyDescent="0.25">
      <c r="A3357" s="2">
        <v>3352</v>
      </c>
      <c r="B3357" s="11" t="str">
        <f>"00175985"</f>
        <v>00175985</v>
      </c>
    </row>
    <row r="3358" spans="1:2" x14ac:dyDescent="0.25">
      <c r="A3358" s="2">
        <v>3353</v>
      </c>
      <c r="B3358" s="11" t="str">
        <f>"00175992"</f>
        <v>00175992</v>
      </c>
    </row>
    <row r="3359" spans="1:2" x14ac:dyDescent="0.25">
      <c r="A3359" s="2">
        <v>3354</v>
      </c>
      <c r="B3359" s="11" t="str">
        <f>"00176063"</f>
        <v>00176063</v>
      </c>
    </row>
    <row r="3360" spans="1:2" x14ac:dyDescent="0.25">
      <c r="A3360" s="2">
        <v>3355</v>
      </c>
      <c r="B3360" s="11" t="str">
        <f>"00176095"</f>
        <v>00176095</v>
      </c>
    </row>
    <row r="3361" spans="1:2" x14ac:dyDescent="0.25">
      <c r="A3361" s="2">
        <v>3356</v>
      </c>
      <c r="B3361" s="11" t="str">
        <f>"00176140"</f>
        <v>00176140</v>
      </c>
    </row>
    <row r="3362" spans="1:2" x14ac:dyDescent="0.25">
      <c r="A3362" s="2">
        <v>3357</v>
      </c>
      <c r="B3362" s="11" t="str">
        <f>"00176144"</f>
        <v>00176144</v>
      </c>
    </row>
    <row r="3363" spans="1:2" x14ac:dyDescent="0.25">
      <c r="A3363" s="2">
        <v>3358</v>
      </c>
      <c r="B3363" s="11" t="str">
        <f>"00176320"</f>
        <v>00176320</v>
      </c>
    </row>
    <row r="3364" spans="1:2" x14ac:dyDescent="0.25">
      <c r="A3364" s="2">
        <v>3359</v>
      </c>
      <c r="B3364" s="11" t="str">
        <f>"00176332"</f>
        <v>00176332</v>
      </c>
    </row>
    <row r="3365" spans="1:2" x14ac:dyDescent="0.25">
      <c r="A3365" s="2">
        <v>3360</v>
      </c>
      <c r="B3365" s="11" t="str">
        <f>"00176405"</f>
        <v>00176405</v>
      </c>
    </row>
    <row r="3366" spans="1:2" x14ac:dyDescent="0.25">
      <c r="A3366" s="2">
        <v>3361</v>
      </c>
      <c r="B3366" s="11" t="str">
        <f>"00176435"</f>
        <v>00176435</v>
      </c>
    </row>
    <row r="3367" spans="1:2" x14ac:dyDescent="0.25">
      <c r="A3367" s="2">
        <v>3362</v>
      </c>
      <c r="B3367" s="11" t="str">
        <f>"00176447"</f>
        <v>00176447</v>
      </c>
    </row>
    <row r="3368" spans="1:2" x14ac:dyDescent="0.25">
      <c r="A3368" s="2">
        <v>3363</v>
      </c>
      <c r="B3368" s="11" t="str">
        <f>"00176468"</f>
        <v>00176468</v>
      </c>
    </row>
    <row r="3369" spans="1:2" x14ac:dyDescent="0.25">
      <c r="A3369" s="2">
        <v>3364</v>
      </c>
      <c r="B3369" s="11" t="str">
        <f>"00176500"</f>
        <v>00176500</v>
      </c>
    </row>
    <row r="3370" spans="1:2" x14ac:dyDescent="0.25">
      <c r="A3370" s="2">
        <v>3365</v>
      </c>
      <c r="B3370" s="11" t="str">
        <f>"00176503"</f>
        <v>00176503</v>
      </c>
    </row>
    <row r="3371" spans="1:2" x14ac:dyDescent="0.25">
      <c r="A3371" s="2">
        <v>3366</v>
      </c>
      <c r="B3371" s="11" t="str">
        <f>"00176516"</f>
        <v>00176516</v>
      </c>
    </row>
    <row r="3372" spans="1:2" x14ac:dyDescent="0.25">
      <c r="A3372" s="2">
        <v>3367</v>
      </c>
      <c r="B3372" s="11" t="str">
        <f>"00176530"</f>
        <v>00176530</v>
      </c>
    </row>
    <row r="3373" spans="1:2" x14ac:dyDescent="0.25">
      <c r="A3373" s="2">
        <v>3368</v>
      </c>
      <c r="B3373" s="11" t="str">
        <f>"00176535"</f>
        <v>00176535</v>
      </c>
    </row>
    <row r="3374" spans="1:2" x14ac:dyDescent="0.25">
      <c r="A3374" s="2">
        <v>3369</v>
      </c>
      <c r="B3374" s="11" t="str">
        <f>"00176549"</f>
        <v>00176549</v>
      </c>
    </row>
    <row r="3375" spans="1:2" x14ac:dyDescent="0.25">
      <c r="A3375" s="2">
        <v>3370</v>
      </c>
      <c r="B3375" s="11" t="str">
        <f>"00176556"</f>
        <v>00176556</v>
      </c>
    </row>
    <row r="3376" spans="1:2" x14ac:dyDescent="0.25">
      <c r="A3376" s="2">
        <v>3371</v>
      </c>
      <c r="B3376" s="11" t="str">
        <f>"00176587"</f>
        <v>00176587</v>
      </c>
    </row>
    <row r="3377" spans="1:2" x14ac:dyDescent="0.25">
      <c r="A3377" s="2">
        <v>3372</v>
      </c>
      <c r="B3377" s="11" t="str">
        <f>"00176613"</f>
        <v>00176613</v>
      </c>
    </row>
    <row r="3378" spans="1:2" x14ac:dyDescent="0.25">
      <c r="A3378" s="2">
        <v>3373</v>
      </c>
      <c r="B3378" s="11" t="str">
        <f>"00176621"</f>
        <v>00176621</v>
      </c>
    </row>
    <row r="3379" spans="1:2" x14ac:dyDescent="0.25">
      <c r="A3379" s="2">
        <v>3374</v>
      </c>
      <c r="B3379" s="11" t="str">
        <f>"00176629"</f>
        <v>00176629</v>
      </c>
    </row>
    <row r="3380" spans="1:2" x14ac:dyDescent="0.25">
      <c r="A3380" s="2">
        <v>3375</v>
      </c>
      <c r="B3380" s="11" t="str">
        <f>"00176664"</f>
        <v>00176664</v>
      </c>
    </row>
    <row r="3381" spans="1:2" x14ac:dyDescent="0.25">
      <c r="A3381" s="2">
        <v>3376</v>
      </c>
      <c r="B3381" s="11" t="str">
        <f>"00176678"</f>
        <v>00176678</v>
      </c>
    </row>
    <row r="3382" spans="1:2" x14ac:dyDescent="0.25">
      <c r="A3382" s="2">
        <v>3377</v>
      </c>
      <c r="B3382" s="11" t="str">
        <f>"00176989"</f>
        <v>00176989</v>
      </c>
    </row>
    <row r="3383" spans="1:2" x14ac:dyDescent="0.25">
      <c r="A3383" s="2">
        <v>3378</v>
      </c>
      <c r="B3383" s="11" t="str">
        <f>"00177003"</f>
        <v>00177003</v>
      </c>
    </row>
    <row r="3384" spans="1:2" x14ac:dyDescent="0.25">
      <c r="A3384" s="2">
        <v>3379</v>
      </c>
      <c r="B3384" s="11" t="str">
        <f>"00177252"</f>
        <v>00177252</v>
      </c>
    </row>
    <row r="3385" spans="1:2" x14ac:dyDescent="0.25">
      <c r="A3385" s="2">
        <v>3380</v>
      </c>
      <c r="B3385" s="11" t="str">
        <f>"00177266"</f>
        <v>00177266</v>
      </c>
    </row>
    <row r="3386" spans="1:2" x14ac:dyDescent="0.25">
      <c r="A3386" s="2">
        <v>3381</v>
      </c>
      <c r="B3386" s="11" t="str">
        <f>"00177270"</f>
        <v>00177270</v>
      </c>
    </row>
    <row r="3387" spans="1:2" x14ac:dyDescent="0.25">
      <c r="A3387" s="2">
        <v>3382</v>
      </c>
      <c r="B3387" s="11" t="str">
        <f>"00178673"</f>
        <v>00178673</v>
      </c>
    </row>
    <row r="3388" spans="1:2" x14ac:dyDescent="0.25">
      <c r="A3388" s="2">
        <v>3383</v>
      </c>
      <c r="B3388" s="11" t="str">
        <f>"00178749"</f>
        <v>00178749</v>
      </c>
    </row>
    <row r="3389" spans="1:2" x14ac:dyDescent="0.25">
      <c r="A3389" s="2">
        <v>3384</v>
      </c>
      <c r="B3389" s="11" t="str">
        <f>"00178832"</f>
        <v>00178832</v>
      </c>
    </row>
    <row r="3390" spans="1:2" x14ac:dyDescent="0.25">
      <c r="A3390" s="2">
        <v>3385</v>
      </c>
      <c r="B3390" s="11" t="str">
        <f>"00178833"</f>
        <v>00178833</v>
      </c>
    </row>
    <row r="3391" spans="1:2" x14ac:dyDescent="0.25">
      <c r="A3391" s="2">
        <v>3386</v>
      </c>
      <c r="B3391" s="11" t="str">
        <f>"00179029"</f>
        <v>00179029</v>
      </c>
    </row>
    <row r="3392" spans="1:2" x14ac:dyDescent="0.25">
      <c r="A3392" s="2">
        <v>3387</v>
      </c>
      <c r="B3392" s="11" t="str">
        <f>"00179036"</f>
        <v>00179036</v>
      </c>
    </row>
    <row r="3393" spans="1:2" x14ac:dyDescent="0.25">
      <c r="A3393" s="2">
        <v>3388</v>
      </c>
      <c r="B3393" s="11" t="str">
        <f>"00179341"</f>
        <v>00179341</v>
      </c>
    </row>
    <row r="3394" spans="1:2" x14ac:dyDescent="0.25">
      <c r="A3394" s="2">
        <v>3389</v>
      </c>
      <c r="B3394" s="11" t="str">
        <f>"00179346"</f>
        <v>00179346</v>
      </c>
    </row>
    <row r="3395" spans="1:2" x14ac:dyDescent="0.25">
      <c r="A3395" s="2">
        <v>3390</v>
      </c>
      <c r="B3395" s="11" t="str">
        <f>"00179373"</f>
        <v>00179373</v>
      </c>
    </row>
    <row r="3396" spans="1:2" x14ac:dyDescent="0.25">
      <c r="A3396" s="2">
        <v>3391</v>
      </c>
      <c r="B3396" s="11" t="str">
        <f>"00179400"</f>
        <v>00179400</v>
      </c>
    </row>
    <row r="3397" spans="1:2" x14ac:dyDescent="0.25">
      <c r="A3397" s="2">
        <v>3392</v>
      </c>
      <c r="B3397" s="11" t="str">
        <f>"00179927"</f>
        <v>00179927</v>
      </c>
    </row>
    <row r="3398" spans="1:2" x14ac:dyDescent="0.25">
      <c r="A3398" s="2">
        <v>3393</v>
      </c>
      <c r="B3398" s="11" t="str">
        <f>"00179940"</f>
        <v>00179940</v>
      </c>
    </row>
    <row r="3399" spans="1:2" x14ac:dyDescent="0.25">
      <c r="A3399" s="2">
        <v>3394</v>
      </c>
      <c r="B3399" s="11" t="str">
        <f>"00179948"</f>
        <v>00179948</v>
      </c>
    </row>
    <row r="3400" spans="1:2" x14ac:dyDescent="0.25">
      <c r="A3400" s="2">
        <v>3395</v>
      </c>
      <c r="B3400" s="11" t="str">
        <f>"00179954"</f>
        <v>00179954</v>
      </c>
    </row>
    <row r="3401" spans="1:2" x14ac:dyDescent="0.25">
      <c r="A3401" s="2">
        <v>3396</v>
      </c>
      <c r="B3401" s="11" t="str">
        <f>"00179960"</f>
        <v>00179960</v>
      </c>
    </row>
    <row r="3402" spans="1:2" x14ac:dyDescent="0.25">
      <c r="A3402" s="2">
        <v>3397</v>
      </c>
      <c r="B3402" s="11" t="str">
        <f>"00179962"</f>
        <v>00179962</v>
      </c>
    </row>
    <row r="3403" spans="1:2" x14ac:dyDescent="0.25">
      <c r="A3403" s="2">
        <v>3398</v>
      </c>
      <c r="B3403" s="11" t="str">
        <f>"00181420"</f>
        <v>00181420</v>
      </c>
    </row>
    <row r="3404" spans="1:2" x14ac:dyDescent="0.25">
      <c r="A3404" s="2">
        <v>3399</v>
      </c>
      <c r="B3404" s="11" t="str">
        <f>"00181470"</f>
        <v>00181470</v>
      </c>
    </row>
    <row r="3405" spans="1:2" x14ac:dyDescent="0.25">
      <c r="A3405" s="2">
        <v>3400</v>
      </c>
      <c r="B3405" s="11" t="str">
        <f>"00181491"</f>
        <v>00181491</v>
      </c>
    </row>
    <row r="3406" spans="1:2" x14ac:dyDescent="0.25">
      <c r="A3406" s="2">
        <v>3401</v>
      </c>
      <c r="B3406" s="11" t="str">
        <f>"00182174"</f>
        <v>00182174</v>
      </c>
    </row>
    <row r="3407" spans="1:2" x14ac:dyDescent="0.25">
      <c r="A3407" s="2">
        <v>3402</v>
      </c>
      <c r="B3407" s="11" t="str">
        <f>"00182224"</f>
        <v>00182224</v>
      </c>
    </row>
    <row r="3408" spans="1:2" x14ac:dyDescent="0.25">
      <c r="A3408" s="2">
        <v>3403</v>
      </c>
      <c r="B3408" s="11" t="str">
        <f>"00182280"</f>
        <v>00182280</v>
      </c>
    </row>
    <row r="3409" spans="1:2" x14ac:dyDescent="0.25">
      <c r="A3409" s="2">
        <v>3404</v>
      </c>
      <c r="B3409" s="11" t="str">
        <f>"00182288"</f>
        <v>00182288</v>
      </c>
    </row>
    <row r="3410" spans="1:2" x14ac:dyDescent="0.25">
      <c r="A3410" s="2">
        <v>3405</v>
      </c>
      <c r="B3410" s="11" t="str">
        <f>"00182317"</f>
        <v>00182317</v>
      </c>
    </row>
    <row r="3411" spans="1:2" x14ac:dyDescent="0.25">
      <c r="A3411" s="2">
        <v>3406</v>
      </c>
      <c r="B3411" s="11" t="str">
        <f>"00182325"</f>
        <v>00182325</v>
      </c>
    </row>
    <row r="3412" spans="1:2" x14ac:dyDescent="0.25">
      <c r="A3412" s="2">
        <v>3407</v>
      </c>
      <c r="B3412" s="11" t="str">
        <f>"00182352"</f>
        <v>00182352</v>
      </c>
    </row>
    <row r="3413" spans="1:2" x14ac:dyDescent="0.25">
      <c r="A3413" s="2">
        <v>3408</v>
      </c>
      <c r="B3413" s="11" t="str">
        <f>"00182366"</f>
        <v>00182366</v>
      </c>
    </row>
    <row r="3414" spans="1:2" x14ac:dyDescent="0.25">
      <c r="A3414" s="2">
        <v>3409</v>
      </c>
      <c r="B3414" s="11" t="str">
        <f>"00182392"</f>
        <v>00182392</v>
      </c>
    </row>
    <row r="3415" spans="1:2" x14ac:dyDescent="0.25">
      <c r="A3415" s="2">
        <v>3410</v>
      </c>
      <c r="B3415" s="11" t="str">
        <f>"00182461"</f>
        <v>00182461</v>
      </c>
    </row>
    <row r="3416" spans="1:2" x14ac:dyDescent="0.25">
      <c r="A3416" s="2">
        <v>3411</v>
      </c>
      <c r="B3416" s="11" t="str">
        <f>"00182563"</f>
        <v>00182563</v>
      </c>
    </row>
    <row r="3417" spans="1:2" x14ac:dyDescent="0.25">
      <c r="A3417" s="2">
        <v>3412</v>
      </c>
      <c r="B3417" s="11" t="str">
        <f>"00182591"</f>
        <v>00182591</v>
      </c>
    </row>
    <row r="3418" spans="1:2" x14ac:dyDescent="0.25">
      <c r="A3418" s="2">
        <v>3413</v>
      </c>
      <c r="B3418" s="11" t="str">
        <f>"00182645"</f>
        <v>00182645</v>
      </c>
    </row>
    <row r="3419" spans="1:2" x14ac:dyDescent="0.25">
      <c r="A3419" s="2">
        <v>3414</v>
      </c>
      <c r="B3419" s="11" t="str">
        <f>"00182703"</f>
        <v>00182703</v>
      </c>
    </row>
    <row r="3420" spans="1:2" x14ac:dyDescent="0.25">
      <c r="A3420" s="2">
        <v>3415</v>
      </c>
      <c r="B3420" s="11" t="str">
        <f>"00182710"</f>
        <v>00182710</v>
      </c>
    </row>
    <row r="3421" spans="1:2" x14ac:dyDescent="0.25">
      <c r="A3421" s="2">
        <v>3416</v>
      </c>
      <c r="B3421" s="11" t="str">
        <f>"00182832"</f>
        <v>00182832</v>
      </c>
    </row>
    <row r="3422" spans="1:2" x14ac:dyDescent="0.25">
      <c r="A3422" s="2">
        <v>3417</v>
      </c>
      <c r="B3422" s="11" t="str">
        <f>"00182849"</f>
        <v>00182849</v>
      </c>
    </row>
    <row r="3423" spans="1:2" x14ac:dyDescent="0.25">
      <c r="A3423" s="2">
        <v>3418</v>
      </c>
      <c r="B3423" s="11" t="str">
        <f>"00182878"</f>
        <v>00182878</v>
      </c>
    </row>
    <row r="3424" spans="1:2" x14ac:dyDescent="0.25">
      <c r="A3424" s="2">
        <v>3419</v>
      </c>
      <c r="B3424" s="11" t="str">
        <f>"00182901"</f>
        <v>00182901</v>
      </c>
    </row>
    <row r="3425" spans="1:2" x14ac:dyDescent="0.25">
      <c r="A3425" s="2">
        <v>3420</v>
      </c>
      <c r="B3425" s="11" t="str">
        <f>"00182914"</f>
        <v>00182914</v>
      </c>
    </row>
    <row r="3426" spans="1:2" x14ac:dyDescent="0.25">
      <c r="A3426" s="2">
        <v>3421</v>
      </c>
      <c r="B3426" s="11" t="str">
        <f>"00182966"</f>
        <v>00182966</v>
      </c>
    </row>
    <row r="3427" spans="1:2" x14ac:dyDescent="0.25">
      <c r="A3427" s="2">
        <v>3422</v>
      </c>
      <c r="B3427" s="11" t="str">
        <f>"00183007"</f>
        <v>00183007</v>
      </c>
    </row>
    <row r="3428" spans="1:2" x14ac:dyDescent="0.25">
      <c r="A3428" s="2">
        <v>3423</v>
      </c>
      <c r="B3428" s="11" t="str">
        <f>"00183108"</f>
        <v>00183108</v>
      </c>
    </row>
    <row r="3429" spans="1:2" x14ac:dyDescent="0.25">
      <c r="A3429" s="2">
        <v>3424</v>
      </c>
      <c r="B3429" s="11" t="str">
        <f>"00183132"</f>
        <v>00183132</v>
      </c>
    </row>
    <row r="3430" spans="1:2" x14ac:dyDescent="0.25">
      <c r="A3430" s="2">
        <v>3425</v>
      </c>
      <c r="B3430" s="11" t="str">
        <f>"00183248"</f>
        <v>00183248</v>
      </c>
    </row>
    <row r="3431" spans="1:2" x14ac:dyDescent="0.25">
      <c r="A3431" s="2">
        <v>3426</v>
      </c>
      <c r="B3431" s="11" t="str">
        <f>"00183275"</f>
        <v>00183275</v>
      </c>
    </row>
    <row r="3432" spans="1:2" x14ac:dyDescent="0.25">
      <c r="A3432" s="2">
        <v>3427</v>
      </c>
      <c r="B3432" s="11" t="str">
        <f>"00183302"</f>
        <v>00183302</v>
      </c>
    </row>
    <row r="3433" spans="1:2" x14ac:dyDescent="0.25">
      <c r="A3433" s="2">
        <v>3428</v>
      </c>
      <c r="B3433" s="11" t="str">
        <f>"00183308"</f>
        <v>00183308</v>
      </c>
    </row>
    <row r="3434" spans="1:2" x14ac:dyDescent="0.25">
      <c r="A3434" s="2">
        <v>3429</v>
      </c>
      <c r="B3434" s="11" t="str">
        <f>"00183319"</f>
        <v>00183319</v>
      </c>
    </row>
    <row r="3435" spans="1:2" x14ac:dyDescent="0.25">
      <c r="A3435" s="2">
        <v>3430</v>
      </c>
      <c r="B3435" s="11" t="str">
        <f>"00183320"</f>
        <v>00183320</v>
      </c>
    </row>
    <row r="3436" spans="1:2" x14ac:dyDescent="0.25">
      <c r="A3436" s="2">
        <v>3431</v>
      </c>
      <c r="B3436" s="11" t="str">
        <f>"00183345"</f>
        <v>00183345</v>
      </c>
    </row>
    <row r="3437" spans="1:2" x14ac:dyDescent="0.25">
      <c r="A3437" s="2">
        <v>3432</v>
      </c>
      <c r="B3437" s="11" t="str">
        <f>"00183349"</f>
        <v>00183349</v>
      </c>
    </row>
    <row r="3438" spans="1:2" x14ac:dyDescent="0.25">
      <c r="A3438" s="2">
        <v>3433</v>
      </c>
      <c r="B3438" s="11" t="str">
        <f>"00183350"</f>
        <v>00183350</v>
      </c>
    </row>
    <row r="3439" spans="1:2" x14ac:dyDescent="0.25">
      <c r="A3439" s="2">
        <v>3434</v>
      </c>
      <c r="B3439" s="11" t="str">
        <f>"00183407"</f>
        <v>00183407</v>
      </c>
    </row>
    <row r="3440" spans="1:2" x14ac:dyDescent="0.25">
      <c r="A3440" s="2">
        <v>3435</v>
      </c>
      <c r="B3440" s="11" t="str">
        <f>"00183448"</f>
        <v>00183448</v>
      </c>
    </row>
    <row r="3441" spans="1:2" x14ac:dyDescent="0.25">
      <c r="A3441" s="2">
        <v>3436</v>
      </c>
      <c r="B3441" s="11" t="str">
        <f>"00183548"</f>
        <v>00183548</v>
      </c>
    </row>
    <row r="3442" spans="1:2" x14ac:dyDescent="0.25">
      <c r="A3442" s="2">
        <v>3437</v>
      </c>
      <c r="B3442" s="11" t="str">
        <f>"00183629"</f>
        <v>00183629</v>
      </c>
    </row>
    <row r="3443" spans="1:2" x14ac:dyDescent="0.25">
      <c r="A3443" s="2">
        <v>3438</v>
      </c>
      <c r="B3443" s="11" t="str">
        <f>"00183719"</f>
        <v>00183719</v>
      </c>
    </row>
    <row r="3444" spans="1:2" x14ac:dyDescent="0.25">
      <c r="A3444" s="2">
        <v>3439</v>
      </c>
      <c r="B3444" s="11" t="str">
        <f>"00183735"</f>
        <v>00183735</v>
      </c>
    </row>
    <row r="3445" spans="1:2" x14ac:dyDescent="0.25">
      <c r="A3445" s="2">
        <v>3440</v>
      </c>
      <c r="B3445" s="11" t="str">
        <f>"00183850"</f>
        <v>00183850</v>
      </c>
    </row>
    <row r="3446" spans="1:2" x14ac:dyDescent="0.25">
      <c r="A3446" s="2">
        <v>3441</v>
      </c>
      <c r="B3446" s="11" t="str">
        <f>"00183895"</f>
        <v>00183895</v>
      </c>
    </row>
    <row r="3447" spans="1:2" x14ac:dyDescent="0.25">
      <c r="A3447" s="2">
        <v>3442</v>
      </c>
      <c r="B3447" s="11" t="str">
        <f>"00183900"</f>
        <v>00183900</v>
      </c>
    </row>
    <row r="3448" spans="1:2" x14ac:dyDescent="0.25">
      <c r="A3448" s="2">
        <v>3443</v>
      </c>
      <c r="B3448" s="11" t="str">
        <f>"00183938"</f>
        <v>00183938</v>
      </c>
    </row>
    <row r="3449" spans="1:2" x14ac:dyDescent="0.25">
      <c r="A3449" s="2">
        <v>3444</v>
      </c>
      <c r="B3449" s="11" t="str">
        <f>"00184005"</f>
        <v>00184005</v>
      </c>
    </row>
    <row r="3450" spans="1:2" x14ac:dyDescent="0.25">
      <c r="A3450" s="2">
        <v>3445</v>
      </c>
      <c r="B3450" s="11" t="str">
        <f>"00184087"</f>
        <v>00184087</v>
      </c>
    </row>
    <row r="3451" spans="1:2" x14ac:dyDescent="0.25">
      <c r="A3451" s="2">
        <v>3446</v>
      </c>
      <c r="B3451" s="11" t="str">
        <f>"00184116"</f>
        <v>00184116</v>
      </c>
    </row>
    <row r="3452" spans="1:2" x14ac:dyDescent="0.25">
      <c r="A3452" s="2">
        <v>3447</v>
      </c>
      <c r="B3452" s="11" t="str">
        <f>"00184172"</f>
        <v>00184172</v>
      </c>
    </row>
    <row r="3453" spans="1:2" x14ac:dyDescent="0.25">
      <c r="A3453" s="2">
        <v>3448</v>
      </c>
      <c r="B3453" s="11" t="str">
        <f>"00184207"</f>
        <v>00184207</v>
      </c>
    </row>
    <row r="3454" spans="1:2" x14ac:dyDescent="0.25">
      <c r="A3454" s="2">
        <v>3449</v>
      </c>
      <c r="B3454" s="11" t="str">
        <f>"00184226"</f>
        <v>00184226</v>
      </c>
    </row>
    <row r="3455" spans="1:2" x14ac:dyDescent="0.25">
      <c r="A3455" s="2">
        <v>3450</v>
      </c>
      <c r="B3455" s="11" t="str">
        <f>"00184282"</f>
        <v>00184282</v>
      </c>
    </row>
    <row r="3456" spans="1:2" x14ac:dyDescent="0.25">
      <c r="A3456" s="2">
        <v>3451</v>
      </c>
      <c r="B3456" s="11" t="str">
        <f>"00184288"</f>
        <v>00184288</v>
      </c>
    </row>
    <row r="3457" spans="1:2" x14ac:dyDescent="0.25">
      <c r="A3457" s="2">
        <v>3452</v>
      </c>
      <c r="B3457" s="11" t="str">
        <f>"00184325"</f>
        <v>00184325</v>
      </c>
    </row>
    <row r="3458" spans="1:2" x14ac:dyDescent="0.25">
      <c r="A3458" s="2">
        <v>3453</v>
      </c>
      <c r="B3458" s="11" t="str">
        <f>"00184379"</f>
        <v>00184379</v>
      </c>
    </row>
    <row r="3459" spans="1:2" x14ac:dyDescent="0.25">
      <c r="A3459" s="2">
        <v>3454</v>
      </c>
      <c r="B3459" s="11" t="str">
        <f>"00184492"</f>
        <v>00184492</v>
      </c>
    </row>
    <row r="3460" spans="1:2" x14ac:dyDescent="0.25">
      <c r="A3460" s="2">
        <v>3455</v>
      </c>
      <c r="B3460" s="11" t="str">
        <f>"00184509"</f>
        <v>00184509</v>
      </c>
    </row>
    <row r="3461" spans="1:2" x14ac:dyDescent="0.25">
      <c r="A3461" s="2">
        <v>3456</v>
      </c>
      <c r="B3461" s="11" t="str">
        <f>"00184595"</f>
        <v>00184595</v>
      </c>
    </row>
    <row r="3462" spans="1:2" x14ac:dyDescent="0.25">
      <c r="A3462" s="2">
        <v>3457</v>
      </c>
      <c r="B3462" s="11" t="str">
        <f>"00184607"</f>
        <v>00184607</v>
      </c>
    </row>
    <row r="3463" spans="1:2" x14ac:dyDescent="0.25">
      <c r="A3463" s="2">
        <v>3458</v>
      </c>
      <c r="B3463" s="11" t="str">
        <f>"00184679"</f>
        <v>00184679</v>
      </c>
    </row>
    <row r="3464" spans="1:2" x14ac:dyDescent="0.25">
      <c r="A3464" s="2">
        <v>3459</v>
      </c>
      <c r="B3464" s="11" t="str">
        <f>"00184770"</f>
        <v>00184770</v>
      </c>
    </row>
    <row r="3465" spans="1:2" x14ac:dyDescent="0.25">
      <c r="A3465" s="2">
        <v>3460</v>
      </c>
      <c r="B3465" s="11" t="str">
        <f>"00184777"</f>
        <v>00184777</v>
      </c>
    </row>
    <row r="3466" spans="1:2" x14ac:dyDescent="0.25">
      <c r="A3466" s="2">
        <v>3461</v>
      </c>
      <c r="B3466" s="11" t="str">
        <f>"00184822"</f>
        <v>00184822</v>
      </c>
    </row>
    <row r="3467" spans="1:2" x14ac:dyDescent="0.25">
      <c r="A3467" s="2">
        <v>3462</v>
      </c>
      <c r="B3467" s="11" t="str">
        <f>"00184827"</f>
        <v>00184827</v>
      </c>
    </row>
    <row r="3468" spans="1:2" x14ac:dyDescent="0.25">
      <c r="A3468" s="2">
        <v>3463</v>
      </c>
      <c r="B3468" s="11" t="str">
        <f>"00184848"</f>
        <v>00184848</v>
      </c>
    </row>
    <row r="3469" spans="1:2" x14ac:dyDescent="0.25">
      <c r="A3469" s="2">
        <v>3464</v>
      </c>
      <c r="B3469" s="11" t="str">
        <f>"00184876"</f>
        <v>00184876</v>
      </c>
    </row>
    <row r="3470" spans="1:2" x14ac:dyDescent="0.25">
      <c r="A3470" s="2">
        <v>3465</v>
      </c>
      <c r="B3470" s="11" t="str">
        <f>"00184885"</f>
        <v>00184885</v>
      </c>
    </row>
    <row r="3471" spans="1:2" x14ac:dyDescent="0.25">
      <c r="A3471" s="2">
        <v>3466</v>
      </c>
      <c r="B3471" s="11" t="str">
        <f>"00184953"</f>
        <v>00184953</v>
      </c>
    </row>
    <row r="3472" spans="1:2" x14ac:dyDescent="0.25">
      <c r="A3472" s="2">
        <v>3467</v>
      </c>
      <c r="B3472" s="11" t="str">
        <f>"00184958"</f>
        <v>00184958</v>
      </c>
    </row>
    <row r="3473" spans="1:2" x14ac:dyDescent="0.25">
      <c r="A3473" s="2">
        <v>3468</v>
      </c>
      <c r="B3473" s="11" t="str">
        <f>"00184960"</f>
        <v>00184960</v>
      </c>
    </row>
    <row r="3474" spans="1:2" x14ac:dyDescent="0.25">
      <c r="A3474" s="2">
        <v>3469</v>
      </c>
      <c r="B3474" s="11" t="str">
        <f>"00184983"</f>
        <v>00184983</v>
      </c>
    </row>
    <row r="3475" spans="1:2" x14ac:dyDescent="0.25">
      <c r="A3475" s="2">
        <v>3470</v>
      </c>
      <c r="B3475" s="11" t="str">
        <f>"00185014"</f>
        <v>00185014</v>
      </c>
    </row>
    <row r="3476" spans="1:2" x14ac:dyDescent="0.25">
      <c r="A3476" s="2">
        <v>3471</v>
      </c>
      <c r="B3476" s="11" t="str">
        <f>"00185096"</f>
        <v>00185096</v>
      </c>
    </row>
    <row r="3477" spans="1:2" x14ac:dyDescent="0.25">
      <c r="A3477" s="2">
        <v>3472</v>
      </c>
      <c r="B3477" s="11" t="str">
        <f>"00185098"</f>
        <v>00185098</v>
      </c>
    </row>
    <row r="3478" spans="1:2" x14ac:dyDescent="0.25">
      <c r="A3478" s="2">
        <v>3473</v>
      </c>
      <c r="B3478" s="11" t="str">
        <f>"00185106"</f>
        <v>00185106</v>
      </c>
    </row>
    <row r="3479" spans="1:2" x14ac:dyDescent="0.25">
      <c r="A3479" s="2">
        <v>3474</v>
      </c>
      <c r="B3479" s="11" t="str">
        <f>"00185107"</f>
        <v>00185107</v>
      </c>
    </row>
    <row r="3480" spans="1:2" x14ac:dyDescent="0.25">
      <c r="A3480" s="2">
        <v>3475</v>
      </c>
      <c r="B3480" s="11" t="str">
        <f>"00185110"</f>
        <v>00185110</v>
      </c>
    </row>
    <row r="3481" spans="1:2" x14ac:dyDescent="0.25">
      <c r="A3481" s="2">
        <v>3476</v>
      </c>
      <c r="B3481" s="11" t="str">
        <f>"00185132"</f>
        <v>00185132</v>
      </c>
    </row>
    <row r="3482" spans="1:2" x14ac:dyDescent="0.25">
      <c r="A3482" s="2">
        <v>3477</v>
      </c>
      <c r="B3482" s="11" t="str">
        <f>"00185141"</f>
        <v>00185141</v>
      </c>
    </row>
    <row r="3483" spans="1:2" x14ac:dyDescent="0.25">
      <c r="A3483" s="2">
        <v>3478</v>
      </c>
      <c r="B3483" s="11" t="str">
        <f>"00185158"</f>
        <v>00185158</v>
      </c>
    </row>
    <row r="3484" spans="1:2" x14ac:dyDescent="0.25">
      <c r="A3484" s="2">
        <v>3479</v>
      </c>
      <c r="B3484" s="11" t="str">
        <f>"00185174"</f>
        <v>00185174</v>
      </c>
    </row>
    <row r="3485" spans="1:2" x14ac:dyDescent="0.25">
      <c r="A3485" s="2">
        <v>3480</v>
      </c>
      <c r="B3485" s="11" t="str">
        <f>"00185214"</f>
        <v>00185214</v>
      </c>
    </row>
    <row r="3486" spans="1:2" x14ac:dyDescent="0.25">
      <c r="A3486" s="2">
        <v>3481</v>
      </c>
      <c r="B3486" s="11" t="str">
        <f>"00185256"</f>
        <v>00185256</v>
      </c>
    </row>
    <row r="3487" spans="1:2" x14ac:dyDescent="0.25">
      <c r="A3487" s="2">
        <v>3482</v>
      </c>
      <c r="B3487" s="11" t="str">
        <f>"00185287"</f>
        <v>00185287</v>
      </c>
    </row>
    <row r="3488" spans="1:2" x14ac:dyDescent="0.25">
      <c r="A3488" s="2">
        <v>3483</v>
      </c>
      <c r="B3488" s="11" t="str">
        <f>"00185318"</f>
        <v>00185318</v>
      </c>
    </row>
    <row r="3489" spans="1:2" x14ac:dyDescent="0.25">
      <c r="A3489" s="2">
        <v>3484</v>
      </c>
      <c r="B3489" s="11" t="str">
        <f>"00185370"</f>
        <v>00185370</v>
      </c>
    </row>
    <row r="3490" spans="1:2" x14ac:dyDescent="0.25">
      <c r="A3490" s="2">
        <v>3485</v>
      </c>
      <c r="B3490" s="11" t="str">
        <f>"00185398"</f>
        <v>00185398</v>
      </c>
    </row>
    <row r="3491" spans="1:2" x14ac:dyDescent="0.25">
      <c r="A3491" s="2">
        <v>3486</v>
      </c>
      <c r="B3491" s="11" t="str">
        <f>"00185434"</f>
        <v>00185434</v>
      </c>
    </row>
    <row r="3492" spans="1:2" x14ac:dyDescent="0.25">
      <c r="A3492" s="2">
        <v>3487</v>
      </c>
      <c r="B3492" s="11" t="str">
        <f>"00185444"</f>
        <v>00185444</v>
      </c>
    </row>
    <row r="3493" spans="1:2" x14ac:dyDescent="0.25">
      <c r="A3493" s="2">
        <v>3488</v>
      </c>
      <c r="B3493" s="11" t="str">
        <f>"00185471"</f>
        <v>00185471</v>
      </c>
    </row>
    <row r="3494" spans="1:2" x14ac:dyDescent="0.25">
      <c r="A3494" s="2">
        <v>3489</v>
      </c>
      <c r="B3494" s="11" t="str">
        <f>"00185535"</f>
        <v>00185535</v>
      </c>
    </row>
    <row r="3495" spans="1:2" x14ac:dyDescent="0.25">
      <c r="A3495" s="2">
        <v>3490</v>
      </c>
      <c r="B3495" s="11" t="str">
        <f>"00185564"</f>
        <v>00185564</v>
      </c>
    </row>
    <row r="3496" spans="1:2" x14ac:dyDescent="0.25">
      <c r="A3496" s="2">
        <v>3491</v>
      </c>
      <c r="B3496" s="11" t="str">
        <f>"00185587"</f>
        <v>00185587</v>
      </c>
    </row>
    <row r="3497" spans="1:2" x14ac:dyDescent="0.25">
      <c r="A3497" s="2">
        <v>3492</v>
      </c>
      <c r="B3497" s="11" t="str">
        <f>"00185597"</f>
        <v>00185597</v>
      </c>
    </row>
    <row r="3498" spans="1:2" x14ac:dyDescent="0.25">
      <c r="A3498" s="2">
        <v>3493</v>
      </c>
      <c r="B3498" s="11" t="str">
        <f>"00185638"</f>
        <v>00185638</v>
      </c>
    </row>
    <row r="3499" spans="1:2" x14ac:dyDescent="0.25">
      <c r="A3499" s="2">
        <v>3494</v>
      </c>
      <c r="B3499" s="11" t="str">
        <f>"00185671"</f>
        <v>00185671</v>
      </c>
    </row>
    <row r="3500" spans="1:2" x14ac:dyDescent="0.25">
      <c r="A3500" s="2">
        <v>3495</v>
      </c>
      <c r="B3500" s="11" t="str">
        <f>"00185687"</f>
        <v>00185687</v>
      </c>
    </row>
    <row r="3501" spans="1:2" x14ac:dyDescent="0.25">
      <c r="A3501" s="2">
        <v>3496</v>
      </c>
      <c r="B3501" s="11" t="str">
        <f>"00185719"</f>
        <v>00185719</v>
      </c>
    </row>
    <row r="3502" spans="1:2" x14ac:dyDescent="0.25">
      <c r="A3502" s="2">
        <v>3497</v>
      </c>
      <c r="B3502" s="11" t="str">
        <f>"00185722"</f>
        <v>00185722</v>
      </c>
    </row>
    <row r="3503" spans="1:2" x14ac:dyDescent="0.25">
      <c r="A3503" s="2">
        <v>3498</v>
      </c>
      <c r="B3503" s="11" t="str">
        <f>"00185763"</f>
        <v>00185763</v>
      </c>
    </row>
    <row r="3504" spans="1:2" x14ac:dyDescent="0.25">
      <c r="A3504" s="2">
        <v>3499</v>
      </c>
      <c r="B3504" s="11" t="str">
        <f>"00185806"</f>
        <v>00185806</v>
      </c>
    </row>
    <row r="3505" spans="1:2" x14ac:dyDescent="0.25">
      <c r="A3505" s="2">
        <v>3500</v>
      </c>
      <c r="B3505" s="11" t="str">
        <f>"00185807"</f>
        <v>00185807</v>
      </c>
    </row>
    <row r="3506" spans="1:2" x14ac:dyDescent="0.25">
      <c r="A3506" s="2">
        <v>3501</v>
      </c>
      <c r="B3506" s="11" t="str">
        <f>"00185809"</f>
        <v>00185809</v>
      </c>
    </row>
    <row r="3507" spans="1:2" x14ac:dyDescent="0.25">
      <c r="A3507" s="2">
        <v>3502</v>
      </c>
      <c r="B3507" s="11" t="str">
        <f>"00185833"</f>
        <v>00185833</v>
      </c>
    </row>
    <row r="3508" spans="1:2" x14ac:dyDescent="0.25">
      <c r="A3508" s="2">
        <v>3503</v>
      </c>
      <c r="B3508" s="11" t="str">
        <f>"00185859"</f>
        <v>00185859</v>
      </c>
    </row>
    <row r="3509" spans="1:2" x14ac:dyDescent="0.25">
      <c r="A3509" s="2">
        <v>3504</v>
      </c>
      <c r="B3509" s="11" t="str">
        <f>"00185957"</f>
        <v>00185957</v>
      </c>
    </row>
    <row r="3510" spans="1:2" x14ac:dyDescent="0.25">
      <c r="A3510" s="2">
        <v>3505</v>
      </c>
      <c r="B3510" s="11" t="str">
        <f>"00185990"</f>
        <v>00185990</v>
      </c>
    </row>
    <row r="3511" spans="1:2" x14ac:dyDescent="0.25">
      <c r="A3511" s="2">
        <v>3506</v>
      </c>
      <c r="B3511" s="11" t="str">
        <f>"00185999"</f>
        <v>00185999</v>
      </c>
    </row>
    <row r="3512" spans="1:2" x14ac:dyDescent="0.25">
      <c r="A3512" s="2">
        <v>3507</v>
      </c>
      <c r="B3512" s="11" t="str">
        <f>"00186005"</f>
        <v>00186005</v>
      </c>
    </row>
    <row r="3513" spans="1:2" x14ac:dyDescent="0.25">
      <c r="A3513" s="2">
        <v>3508</v>
      </c>
      <c r="B3513" s="11" t="str">
        <f>"00186039"</f>
        <v>00186039</v>
      </c>
    </row>
    <row r="3514" spans="1:2" x14ac:dyDescent="0.25">
      <c r="A3514" s="2">
        <v>3509</v>
      </c>
      <c r="B3514" s="11" t="str">
        <f>"00186106"</f>
        <v>00186106</v>
      </c>
    </row>
    <row r="3515" spans="1:2" x14ac:dyDescent="0.25">
      <c r="A3515" s="2">
        <v>3510</v>
      </c>
      <c r="B3515" s="11" t="str">
        <f>"00186121"</f>
        <v>00186121</v>
      </c>
    </row>
    <row r="3516" spans="1:2" x14ac:dyDescent="0.25">
      <c r="A3516" s="2">
        <v>3511</v>
      </c>
      <c r="B3516" s="11" t="str">
        <f>"00186128"</f>
        <v>00186128</v>
      </c>
    </row>
    <row r="3517" spans="1:2" x14ac:dyDescent="0.25">
      <c r="A3517" s="2">
        <v>3512</v>
      </c>
      <c r="B3517" s="11" t="str">
        <f>"00186145"</f>
        <v>00186145</v>
      </c>
    </row>
    <row r="3518" spans="1:2" x14ac:dyDescent="0.25">
      <c r="A3518" s="2">
        <v>3513</v>
      </c>
      <c r="B3518" s="11" t="str">
        <f>"00186156"</f>
        <v>00186156</v>
      </c>
    </row>
    <row r="3519" spans="1:2" x14ac:dyDescent="0.25">
      <c r="A3519" s="2">
        <v>3514</v>
      </c>
      <c r="B3519" s="11" t="str">
        <f>"00186178"</f>
        <v>00186178</v>
      </c>
    </row>
    <row r="3520" spans="1:2" x14ac:dyDescent="0.25">
      <c r="A3520" s="2">
        <v>3515</v>
      </c>
      <c r="B3520" s="11" t="str">
        <f>"00186181"</f>
        <v>00186181</v>
      </c>
    </row>
    <row r="3521" spans="1:2" x14ac:dyDescent="0.25">
      <c r="A3521" s="2">
        <v>3516</v>
      </c>
      <c r="B3521" s="11" t="str">
        <f>"00186262"</f>
        <v>00186262</v>
      </c>
    </row>
    <row r="3522" spans="1:2" x14ac:dyDescent="0.25">
      <c r="A3522" s="2">
        <v>3517</v>
      </c>
      <c r="B3522" s="11" t="str">
        <f>"00186281"</f>
        <v>00186281</v>
      </c>
    </row>
    <row r="3523" spans="1:2" x14ac:dyDescent="0.25">
      <c r="A3523" s="2">
        <v>3518</v>
      </c>
      <c r="B3523" s="11" t="str">
        <f>"00186393"</f>
        <v>00186393</v>
      </c>
    </row>
    <row r="3524" spans="1:2" x14ac:dyDescent="0.25">
      <c r="A3524" s="2">
        <v>3519</v>
      </c>
      <c r="B3524" s="11" t="str">
        <f>"00186395"</f>
        <v>00186395</v>
      </c>
    </row>
    <row r="3525" spans="1:2" x14ac:dyDescent="0.25">
      <c r="A3525" s="2">
        <v>3520</v>
      </c>
      <c r="B3525" s="11" t="str">
        <f>"00186401"</f>
        <v>00186401</v>
      </c>
    </row>
    <row r="3526" spans="1:2" x14ac:dyDescent="0.25">
      <c r="A3526" s="2">
        <v>3521</v>
      </c>
      <c r="B3526" s="11" t="str">
        <f>"00186413"</f>
        <v>00186413</v>
      </c>
    </row>
    <row r="3527" spans="1:2" x14ac:dyDescent="0.25">
      <c r="A3527" s="2">
        <v>3522</v>
      </c>
      <c r="B3527" s="11" t="str">
        <f>"00186421"</f>
        <v>00186421</v>
      </c>
    </row>
    <row r="3528" spans="1:2" x14ac:dyDescent="0.25">
      <c r="A3528" s="2">
        <v>3523</v>
      </c>
      <c r="B3528" s="11" t="str">
        <f>"00186469"</f>
        <v>00186469</v>
      </c>
    </row>
    <row r="3529" spans="1:2" x14ac:dyDescent="0.25">
      <c r="A3529" s="2">
        <v>3524</v>
      </c>
      <c r="B3529" s="11" t="str">
        <f>"00186500"</f>
        <v>00186500</v>
      </c>
    </row>
    <row r="3530" spans="1:2" x14ac:dyDescent="0.25">
      <c r="A3530" s="2">
        <v>3525</v>
      </c>
      <c r="B3530" s="11" t="str">
        <f>"00186541"</f>
        <v>00186541</v>
      </c>
    </row>
    <row r="3531" spans="1:2" x14ac:dyDescent="0.25">
      <c r="A3531" s="2">
        <v>3526</v>
      </c>
      <c r="B3531" s="11" t="str">
        <f>"00186554"</f>
        <v>00186554</v>
      </c>
    </row>
    <row r="3532" spans="1:2" x14ac:dyDescent="0.25">
      <c r="A3532" s="2">
        <v>3527</v>
      </c>
      <c r="B3532" s="11" t="str">
        <f>"00186574"</f>
        <v>00186574</v>
      </c>
    </row>
    <row r="3533" spans="1:2" x14ac:dyDescent="0.25">
      <c r="A3533" s="2">
        <v>3528</v>
      </c>
      <c r="B3533" s="11" t="str">
        <f>"00186580"</f>
        <v>00186580</v>
      </c>
    </row>
    <row r="3534" spans="1:2" x14ac:dyDescent="0.25">
      <c r="A3534" s="2">
        <v>3529</v>
      </c>
      <c r="B3534" s="11" t="str">
        <f>"00186597"</f>
        <v>00186597</v>
      </c>
    </row>
    <row r="3535" spans="1:2" x14ac:dyDescent="0.25">
      <c r="A3535" s="2">
        <v>3530</v>
      </c>
      <c r="B3535" s="11" t="str">
        <f>"00186602"</f>
        <v>00186602</v>
      </c>
    </row>
    <row r="3536" spans="1:2" x14ac:dyDescent="0.25">
      <c r="A3536" s="2">
        <v>3531</v>
      </c>
      <c r="B3536" s="11" t="str">
        <f>"00186633"</f>
        <v>00186633</v>
      </c>
    </row>
    <row r="3537" spans="1:2" x14ac:dyDescent="0.25">
      <c r="A3537" s="2">
        <v>3532</v>
      </c>
      <c r="B3537" s="11" t="str">
        <f>"00186697"</f>
        <v>00186697</v>
      </c>
    </row>
    <row r="3538" spans="1:2" x14ac:dyDescent="0.25">
      <c r="A3538" s="2">
        <v>3533</v>
      </c>
      <c r="B3538" s="11" t="str">
        <f>"00186712"</f>
        <v>00186712</v>
      </c>
    </row>
    <row r="3539" spans="1:2" x14ac:dyDescent="0.25">
      <c r="A3539" s="2">
        <v>3534</v>
      </c>
      <c r="B3539" s="11" t="str">
        <f>"00186713"</f>
        <v>00186713</v>
      </c>
    </row>
    <row r="3540" spans="1:2" x14ac:dyDescent="0.25">
      <c r="A3540" s="2">
        <v>3535</v>
      </c>
      <c r="B3540" s="11" t="str">
        <f>"00186734"</f>
        <v>00186734</v>
      </c>
    </row>
    <row r="3541" spans="1:2" x14ac:dyDescent="0.25">
      <c r="A3541" s="2">
        <v>3536</v>
      </c>
      <c r="B3541" s="11" t="str">
        <f>"00186739"</f>
        <v>00186739</v>
      </c>
    </row>
    <row r="3542" spans="1:2" x14ac:dyDescent="0.25">
      <c r="A3542" s="2">
        <v>3537</v>
      </c>
      <c r="B3542" s="11" t="str">
        <f>"00186742"</f>
        <v>00186742</v>
      </c>
    </row>
    <row r="3543" spans="1:2" x14ac:dyDescent="0.25">
      <c r="A3543" s="2">
        <v>3538</v>
      </c>
      <c r="B3543" s="11" t="str">
        <f>"00186744"</f>
        <v>00186744</v>
      </c>
    </row>
    <row r="3544" spans="1:2" x14ac:dyDescent="0.25">
      <c r="A3544" s="2">
        <v>3539</v>
      </c>
      <c r="B3544" s="11" t="str">
        <f>"00186761"</f>
        <v>00186761</v>
      </c>
    </row>
    <row r="3545" spans="1:2" x14ac:dyDescent="0.25">
      <c r="A3545" s="2">
        <v>3540</v>
      </c>
      <c r="B3545" s="11" t="str">
        <f>"00186793"</f>
        <v>00186793</v>
      </c>
    </row>
    <row r="3546" spans="1:2" x14ac:dyDescent="0.25">
      <c r="A3546" s="2">
        <v>3541</v>
      </c>
      <c r="B3546" s="11" t="str">
        <f>"00186834"</f>
        <v>00186834</v>
      </c>
    </row>
    <row r="3547" spans="1:2" x14ac:dyDescent="0.25">
      <c r="A3547" s="2">
        <v>3542</v>
      </c>
      <c r="B3547" s="11" t="str">
        <f>"00186836"</f>
        <v>00186836</v>
      </c>
    </row>
    <row r="3548" spans="1:2" x14ac:dyDescent="0.25">
      <c r="A3548" s="2">
        <v>3543</v>
      </c>
      <c r="B3548" s="11" t="str">
        <f>"00186852"</f>
        <v>00186852</v>
      </c>
    </row>
    <row r="3549" spans="1:2" x14ac:dyDescent="0.25">
      <c r="A3549" s="2">
        <v>3544</v>
      </c>
      <c r="B3549" s="11" t="str">
        <f>"00186863"</f>
        <v>00186863</v>
      </c>
    </row>
    <row r="3550" spans="1:2" x14ac:dyDescent="0.25">
      <c r="A3550" s="2">
        <v>3545</v>
      </c>
      <c r="B3550" s="11" t="str">
        <f>"00186884"</f>
        <v>00186884</v>
      </c>
    </row>
    <row r="3551" spans="1:2" x14ac:dyDescent="0.25">
      <c r="A3551" s="2">
        <v>3546</v>
      </c>
      <c r="B3551" s="11" t="str">
        <f>"00186888"</f>
        <v>00186888</v>
      </c>
    </row>
    <row r="3552" spans="1:2" x14ac:dyDescent="0.25">
      <c r="A3552" s="2">
        <v>3547</v>
      </c>
      <c r="B3552" s="11" t="str">
        <f>"00186918"</f>
        <v>00186918</v>
      </c>
    </row>
    <row r="3553" spans="1:2" x14ac:dyDescent="0.25">
      <c r="A3553" s="2">
        <v>3548</v>
      </c>
      <c r="B3553" s="11" t="str">
        <f>"00186924"</f>
        <v>00186924</v>
      </c>
    </row>
    <row r="3554" spans="1:2" x14ac:dyDescent="0.25">
      <c r="A3554" s="2">
        <v>3549</v>
      </c>
      <c r="B3554" s="11" t="str">
        <f>"00186933"</f>
        <v>00186933</v>
      </c>
    </row>
    <row r="3555" spans="1:2" x14ac:dyDescent="0.25">
      <c r="A3555" s="2">
        <v>3550</v>
      </c>
      <c r="B3555" s="11" t="str">
        <f>"00186953"</f>
        <v>00186953</v>
      </c>
    </row>
    <row r="3556" spans="1:2" x14ac:dyDescent="0.25">
      <c r="A3556" s="2">
        <v>3551</v>
      </c>
      <c r="B3556" s="11" t="str">
        <f>"00186967"</f>
        <v>00186967</v>
      </c>
    </row>
    <row r="3557" spans="1:2" x14ac:dyDescent="0.25">
      <c r="A3557" s="2">
        <v>3552</v>
      </c>
      <c r="B3557" s="11" t="str">
        <f>"00186980"</f>
        <v>00186980</v>
      </c>
    </row>
    <row r="3558" spans="1:2" x14ac:dyDescent="0.25">
      <c r="A3558" s="2">
        <v>3553</v>
      </c>
      <c r="B3558" s="11" t="str">
        <f>"00186990"</f>
        <v>00186990</v>
      </c>
    </row>
    <row r="3559" spans="1:2" x14ac:dyDescent="0.25">
      <c r="A3559" s="2">
        <v>3554</v>
      </c>
      <c r="B3559" s="11" t="str">
        <f>"00187002"</f>
        <v>00187002</v>
      </c>
    </row>
    <row r="3560" spans="1:2" x14ac:dyDescent="0.25">
      <c r="A3560" s="2">
        <v>3555</v>
      </c>
      <c r="B3560" s="11" t="str">
        <f>"00187003"</f>
        <v>00187003</v>
      </c>
    </row>
    <row r="3561" spans="1:2" x14ac:dyDescent="0.25">
      <c r="A3561" s="2">
        <v>3556</v>
      </c>
      <c r="B3561" s="11" t="str">
        <f>"00187014"</f>
        <v>00187014</v>
      </c>
    </row>
    <row r="3562" spans="1:2" x14ac:dyDescent="0.25">
      <c r="A3562" s="2">
        <v>3557</v>
      </c>
      <c r="B3562" s="11" t="str">
        <f>"00187075"</f>
        <v>00187075</v>
      </c>
    </row>
    <row r="3563" spans="1:2" x14ac:dyDescent="0.25">
      <c r="A3563" s="2">
        <v>3558</v>
      </c>
      <c r="B3563" s="11" t="str">
        <f>"00187108"</f>
        <v>00187108</v>
      </c>
    </row>
    <row r="3564" spans="1:2" x14ac:dyDescent="0.25">
      <c r="A3564" s="2">
        <v>3559</v>
      </c>
      <c r="B3564" s="11" t="str">
        <f>"00187153"</f>
        <v>00187153</v>
      </c>
    </row>
    <row r="3565" spans="1:2" x14ac:dyDescent="0.25">
      <c r="A3565" s="2">
        <v>3560</v>
      </c>
      <c r="B3565" s="11" t="str">
        <f>"00187156"</f>
        <v>00187156</v>
      </c>
    </row>
    <row r="3566" spans="1:2" x14ac:dyDescent="0.25">
      <c r="A3566" s="2">
        <v>3561</v>
      </c>
      <c r="B3566" s="11" t="str">
        <f>"00187170"</f>
        <v>00187170</v>
      </c>
    </row>
    <row r="3567" spans="1:2" x14ac:dyDescent="0.25">
      <c r="A3567" s="2">
        <v>3562</v>
      </c>
      <c r="B3567" s="11" t="str">
        <f>"00187196"</f>
        <v>00187196</v>
      </c>
    </row>
    <row r="3568" spans="1:2" x14ac:dyDescent="0.25">
      <c r="A3568" s="2">
        <v>3563</v>
      </c>
      <c r="B3568" s="11" t="str">
        <f>"00187209"</f>
        <v>00187209</v>
      </c>
    </row>
    <row r="3569" spans="1:2" x14ac:dyDescent="0.25">
      <c r="A3569" s="2">
        <v>3564</v>
      </c>
      <c r="B3569" s="11" t="str">
        <f>"00187219"</f>
        <v>00187219</v>
      </c>
    </row>
    <row r="3570" spans="1:2" x14ac:dyDescent="0.25">
      <c r="A3570" s="2">
        <v>3565</v>
      </c>
      <c r="B3570" s="11" t="str">
        <f>"00187222"</f>
        <v>00187222</v>
      </c>
    </row>
    <row r="3571" spans="1:2" x14ac:dyDescent="0.25">
      <c r="A3571" s="2">
        <v>3566</v>
      </c>
      <c r="B3571" s="11" t="str">
        <f>"00187226"</f>
        <v>00187226</v>
      </c>
    </row>
    <row r="3572" spans="1:2" x14ac:dyDescent="0.25">
      <c r="A3572" s="2">
        <v>3567</v>
      </c>
      <c r="B3572" s="11" t="str">
        <f>"00187232"</f>
        <v>00187232</v>
      </c>
    </row>
    <row r="3573" spans="1:2" x14ac:dyDescent="0.25">
      <c r="A3573" s="2">
        <v>3568</v>
      </c>
      <c r="B3573" s="11" t="str">
        <f>"00187241"</f>
        <v>00187241</v>
      </c>
    </row>
    <row r="3574" spans="1:2" x14ac:dyDescent="0.25">
      <c r="A3574" s="2">
        <v>3569</v>
      </c>
      <c r="B3574" s="11" t="str">
        <f>"00187251"</f>
        <v>00187251</v>
      </c>
    </row>
    <row r="3575" spans="1:2" x14ac:dyDescent="0.25">
      <c r="A3575" s="2">
        <v>3570</v>
      </c>
      <c r="B3575" s="11" t="str">
        <f>"00187286"</f>
        <v>00187286</v>
      </c>
    </row>
    <row r="3576" spans="1:2" x14ac:dyDescent="0.25">
      <c r="A3576" s="2">
        <v>3571</v>
      </c>
      <c r="B3576" s="11" t="str">
        <f>"00187318"</f>
        <v>00187318</v>
      </c>
    </row>
    <row r="3577" spans="1:2" x14ac:dyDescent="0.25">
      <c r="A3577" s="2">
        <v>3572</v>
      </c>
      <c r="B3577" s="11" t="str">
        <f>"00187365"</f>
        <v>00187365</v>
      </c>
    </row>
    <row r="3578" spans="1:2" x14ac:dyDescent="0.25">
      <c r="A3578" s="2">
        <v>3573</v>
      </c>
      <c r="B3578" s="11" t="str">
        <f>"00187395"</f>
        <v>00187395</v>
      </c>
    </row>
    <row r="3579" spans="1:2" x14ac:dyDescent="0.25">
      <c r="A3579" s="2">
        <v>3574</v>
      </c>
      <c r="B3579" s="11" t="str">
        <f>"00187401"</f>
        <v>00187401</v>
      </c>
    </row>
    <row r="3580" spans="1:2" x14ac:dyDescent="0.25">
      <c r="A3580" s="2">
        <v>3575</v>
      </c>
      <c r="B3580" s="11" t="str">
        <f>"00187409"</f>
        <v>00187409</v>
      </c>
    </row>
    <row r="3581" spans="1:2" x14ac:dyDescent="0.25">
      <c r="A3581" s="2">
        <v>3576</v>
      </c>
      <c r="B3581" s="11" t="str">
        <f>"00187450"</f>
        <v>00187450</v>
      </c>
    </row>
    <row r="3582" spans="1:2" x14ac:dyDescent="0.25">
      <c r="A3582" s="2">
        <v>3577</v>
      </c>
      <c r="B3582" s="11" t="str">
        <f>"00187458"</f>
        <v>00187458</v>
      </c>
    </row>
    <row r="3583" spans="1:2" x14ac:dyDescent="0.25">
      <c r="A3583" s="2">
        <v>3578</v>
      </c>
      <c r="B3583" s="11" t="str">
        <f>"00187515"</f>
        <v>00187515</v>
      </c>
    </row>
    <row r="3584" spans="1:2" x14ac:dyDescent="0.25">
      <c r="A3584" s="2">
        <v>3579</v>
      </c>
      <c r="B3584" s="11" t="str">
        <f>"00187519"</f>
        <v>00187519</v>
      </c>
    </row>
    <row r="3585" spans="1:2" x14ac:dyDescent="0.25">
      <c r="A3585" s="2">
        <v>3580</v>
      </c>
      <c r="B3585" s="11" t="str">
        <f>"00187532"</f>
        <v>00187532</v>
      </c>
    </row>
    <row r="3586" spans="1:2" x14ac:dyDescent="0.25">
      <c r="A3586" s="2">
        <v>3581</v>
      </c>
      <c r="B3586" s="11" t="str">
        <f>"00187537"</f>
        <v>00187537</v>
      </c>
    </row>
    <row r="3587" spans="1:2" x14ac:dyDescent="0.25">
      <c r="A3587" s="2">
        <v>3582</v>
      </c>
      <c r="B3587" s="11" t="str">
        <f>"00187556"</f>
        <v>00187556</v>
      </c>
    </row>
    <row r="3588" spans="1:2" x14ac:dyDescent="0.25">
      <c r="A3588" s="2">
        <v>3583</v>
      </c>
      <c r="B3588" s="11" t="str">
        <f>"00187578"</f>
        <v>00187578</v>
      </c>
    </row>
    <row r="3589" spans="1:2" x14ac:dyDescent="0.25">
      <c r="A3589" s="2">
        <v>3584</v>
      </c>
      <c r="B3589" s="11" t="str">
        <f>"00187579"</f>
        <v>00187579</v>
      </c>
    </row>
    <row r="3590" spans="1:2" x14ac:dyDescent="0.25">
      <c r="A3590" s="2">
        <v>3585</v>
      </c>
      <c r="B3590" s="11" t="str">
        <f>"00187583"</f>
        <v>00187583</v>
      </c>
    </row>
    <row r="3591" spans="1:2" x14ac:dyDescent="0.25">
      <c r="A3591" s="2">
        <v>3586</v>
      </c>
      <c r="B3591" s="11" t="str">
        <f>"00187585"</f>
        <v>00187585</v>
      </c>
    </row>
    <row r="3592" spans="1:2" x14ac:dyDescent="0.25">
      <c r="A3592" s="2">
        <v>3587</v>
      </c>
      <c r="B3592" s="11" t="str">
        <f>"00187589"</f>
        <v>00187589</v>
      </c>
    </row>
    <row r="3593" spans="1:2" x14ac:dyDescent="0.25">
      <c r="A3593" s="2">
        <v>3588</v>
      </c>
      <c r="B3593" s="11" t="str">
        <f>"00187598"</f>
        <v>00187598</v>
      </c>
    </row>
    <row r="3594" spans="1:2" x14ac:dyDescent="0.25">
      <c r="A3594" s="2">
        <v>3589</v>
      </c>
      <c r="B3594" s="11" t="str">
        <f>"00187602"</f>
        <v>00187602</v>
      </c>
    </row>
    <row r="3595" spans="1:2" x14ac:dyDescent="0.25">
      <c r="A3595" s="2">
        <v>3590</v>
      </c>
      <c r="B3595" s="11" t="str">
        <f>"00187626"</f>
        <v>00187626</v>
      </c>
    </row>
    <row r="3596" spans="1:2" x14ac:dyDescent="0.25">
      <c r="A3596" s="2">
        <v>3591</v>
      </c>
      <c r="B3596" s="11" t="str">
        <f>"00187704"</f>
        <v>00187704</v>
      </c>
    </row>
    <row r="3597" spans="1:2" x14ac:dyDescent="0.25">
      <c r="A3597" s="2">
        <v>3592</v>
      </c>
      <c r="B3597" s="11" t="str">
        <f>"00187714"</f>
        <v>00187714</v>
      </c>
    </row>
    <row r="3598" spans="1:2" x14ac:dyDescent="0.25">
      <c r="A3598" s="2">
        <v>3593</v>
      </c>
      <c r="B3598" s="11" t="str">
        <f>"00187719"</f>
        <v>00187719</v>
      </c>
    </row>
    <row r="3599" spans="1:2" x14ac:dyDescent="0.25">
      <c r="A3599" s="2">
        <v>3594</v>
      </c>
      <c r="B3599" s="11" t="str">
        <f>"00187758"</f>
        <v>00187758</v>
      </c>
    </row>
    <row r="3600" spans="1:2" x14ac:dyDescent="0.25">
      <c r="A3600" s="2">
        <v>3595</v>
      </c>
      <c r="B3600" s="11" t="str">
        <f>"00187768"</f>
        <v>00187768</v>
      </c>
    </row>
    <row r="3601" spans="1:2" x14ac:dyDescent="0.25">
      <c r="A3601" s="2">
        <v>3596</v>
      </c>
      <c r="B3601" s="11" t="str">
        <f>"00187788"</f>
        <v>00187788</v>
      </c>
    </row>
    <row r="3602" spans="1:2" x14ac:dyDescent="0.25">
      <c r="A3602" s="2">
        <v>3597</v>
      </c>
      <c r="B3602" s="11" t="str">
        <f>"00187806"</f>
        <v>00187806</v>
      </c>
    </row>
    <row r="3603" spans="1:2" x14ac:dyDescent="0.25">
      <c r="A3603" s="2">
        <v>3598</v>
      </c>
      <c r="B3603" s="11" t="str">
        <f>"00187828"</f>
        <v>00187828</v>
      </c>
    </row>
    <row r="3604" spans="1:2" x14ac:dyDescent="0.25">
      <c r="A3604" s="2">
        <v>3599</v>
      </c>
      <c r="B3604" s="11" t="str">
        <f>"00187884"</f>
        <v>00187884</v>
      </c>
    </row>
    <row r="3605" spans="1:2" x14ac:dyDescent="0.25">
      <c r="A3605" s="2">
        <v>3600</v>
      </c>
      <c r="B3605" s="11" t="str">
        <f>"00187932"</f>
        <v>00187932</v>
      </c>
    </row>
    <row r="3606" spans="1:2" x14ac:dyDescent="0.25">
      <c r="A3606" s="2">
        <v>3601</v>
      </c>
      <c r="B3606" s="11" t="str">
        <f>"00187938"</f>
        <v>00187938</v>
      </c>
    </row>
    <row r="3607" spans="1:2" x14ac:dyDescent="0.25">
      <c r="A3607" s="2">
        <v>3602</v>
      </c>
      <c r="B3607" s="11" t="str">
        <f>"00187968"</f>
        <v>00187968</v>
      </c>
    </row>
    <row r="3608" spans="1:2" x14ac:dyDescent="0.25">
      <c r="A3608" s="2">
        <v>3603</v>
      </c>
      <c r="B3608" s="11" t="str">
        <f>"00188074"</f>
        <v>00188074</v>
      </c>
    </row>
    <row r="3609" spans="1:2" x14ac:dyDescent="0.25">
      <c r="A3609" s="2">
        <v>3604</v>
      </c>
      <c r="B3609" s="11" t="str">
        <f>"00188085"</f>
        <v>00188085</v>
      </c>
    </row>
    <row r="3610" spans="1:2" x14ac:dyDescent="0.25">
      <c r="A3610" s="2">
        <v>3605</v>
      </c>
      <c r="B3610" s="11" t="str">
        <f>"00188116"</f>
        <v>00188116</v>
      </c>
    </row>
    <row r="3611" spans="1:2" x14ac:dyDescent="0.25">
      <c r="A3611" s="2">
        <v>3606</v>
      </c>
      <c r="B3611" s="11" t="str">
        <f>"00188122"</f>
        <v>00188122</v>
      </c>
    </row>
    <row r="3612" spans="1:2" x14ac:dyDescent="0.25">
      <c r="A3612" s="2">
        <v>3607</v>
      </c>
      <c r="B3612" s="11" t="str">
        <f>"00188143"</f>
        <v>00188143</v>
      </c>
    </row>
    <row r="3613" spans="1:2" x14ac:dyDescent="0.25">
      <c r="A3613" s="2">
        <v>3608</v>
      </c>
      <c r="B3613" s="11" t="str">
        <f>"00188221"</f>
        <v>00188221</v>
      </c>
    </row>
    <row r="3614" spans="1:2" x14ac:dyDescent="0.25">
      <c r="A3614" s="2">
        <v>3609</v>
      </c>
      <c r="B3614" s="11" t="str">
        <f>"00188277"</f>
        <v>00188277</v>
      </c>
    </row>
    <row r="3615" spans="1:2" x14ac:dyDescent="0.25">
      <c r="A3615" s="2">
        <v>3610</v>
      </c>
      <c r="B3615" s="11" t="str">
        <f>"00188282"</f>
        <v>00188282</v>
      </c>
    </row>
    <row r="3616" spans="1:2" x14ac:dyDescent="0.25">
      <c r="A3616" s="2">
        <v>3611</v>
      </c>
      <c r="B3616" s="11" t="str">
        <f>"00188312"</f>
        <v>00188312</v>
      </c>
    </row>
    <row r="3617" spans="1:2" x14ac:dyDescent="0.25">
      <c r="A3617" s="2">
        <v>3612</v>
      </c>
      <c r="B3617" s="11" t="str">
        <f>"00188340"</f>
        <v>00188340</v>
      </c>
    </row>
    <row r="3618" spans="1:2" x14ac:dyDescent="0.25">
      <c r="A3618" s="2">
        <v>3613</v>
      </c>
      <c r="B3618" s="11" t="str">
        <f>"00188341"</f>
        <v>00188341</v>
      </c>
    </row>
    <row r="3619" spans="1:2" x14ac:dyDescent="0.25">
      <c r="A3619" s="2">
        <v>3614</v>
      </c>
      <c r="B3619" s="11" t="str">
        <f>"00188349"</f>
        <v>00188349</v>
      </c>
    </row>
    <row r="3620" spans="1:2" x14ac:dyDescent="0.25">
      <c r="A3620" s="2">
        <v>3615</v>
      </c>
      <c r="B3620" s="11" t="str">
        <f>"00188365"</f>
        <v>00188365</v>
      </c>
    </row>
    <row r="3621" spans="1:2" x14ac:dyDescent="0.25">
      <c r="A3621" s="2">
        <v>3616</v>
      </c>
      <c r="B3621" s="11" t="str">
        <f>"00188371"</f>
        <v>00188371</v>
      </c>
    </row>
    <row r="3622" spans="1:2" x14ac:dyDescent="0.25">
      <c r="A3622" s="2">
        <v>3617</v>
      </c>
      <c r="B3622" s="11" t="str">
        <f>"00188384"</f>
        <v>00188384</v>
      </c>
    </row>
    <row r="3623" spans="1:2" x14ac:dyDescent="0.25">
      <c r="A3623" s="2">
        <v>3618</v>
      </c>
      <c r="B3623" s="11" t="str">
        <f>"00188385"</f>
        <v>00188385</v>
      </c>
    </row>
    <row r="3624" spans="1:2" x14ac:dyDescent="0.25">
      <c r="A3624" s="2">
        <v>3619</v>
      </c>
      <c r="B3624" s="11" t="str">
        <f>"00188401"</f>
        <v>00188401</v>
      </c>
    </row>
    <row r="3625" spans="1:2" x14ac:dyDescent="0.25">
      <c r="A3625" s="2">
        <v>3620</v>
      </c>
      <c r="B3625" s="11" t="str">
        <f>"00188405"</f>
        <v>00188405</v>
      </c>
    </row>
    <row r="3626" spans="1:2" x14ac:dyDescent="0.25">
      <c r="A3626" s="2">
        <v>3621</v>
      </c>
      <c r="B3626" s="11" t="str">
        <f>"00188432"</f>
        <v>00188432</v>
      </c>
    </row>
    <row r="3627" spans="1:2" x14ac:dyDescent="0.25">
      <c r="A3627" s="2">
        <v>3622</v>
      </c>
      <c r="B3627" s="11" t="str">
        <f>"00188477"</f>
        <v>00188477</v>
      </c>
    </row>
    <row r="3628" spans="1:2" x14ac:dyDescent="0.25">
      <c r="A3628" s="2">
        <v>3623</v>
      </c>
      <c r="B3628" s="11" t="str">
        <f>"00188502"</f>
        <v>00188502</v>
      </c>
    </row>
    <row r="3629" spans="1:2" x14ac:dyDescent="0.25">
      <c r="A3629" s="2">
        <v>3624</v>
      </c>
      <c r="B3629" s="11" t="str">
        <f>"00188518"</f>
        <v>00188518</v>
      </c>
    </row>
    <row r="3630" spans="1:2" x14ac:dyDescent="0.25">
      <c r="A3630" s="2">
        <v>3625</v>
      </c>
      <c r="B3630" s="11" t="str">
        <f>"00188558"</f>
        <v>00188558</v>
      </c>
    </row>
    <row r="3631" spans="1:2" x14ac:dyDescent="0.25">
      <c r="A3631" s="2">
        <v>3626</v>
      </c>
      <c r="B3631" s="11" t="str">
        <f>"00188612"</f>
        <v>00188612</v>
      </c>
    </row>
    <row r="3632" spans="1:2" x14ac:dyDescent="0.25">
      <c r="A3632" s="2">
        <v>3627</v>
      </c>
      <c r="B3632" s="11" t="str">
        <f>"00188649"</f>
        <v>00188649</v>
      </c>
    </row>
    <row r="3633" spans="1:2" x14ac:dyDescent="0.25">
      <c r="A3633" s="2">
        <v>3628</v>
      </c>
      <c r="B3633" s="11" t="str">
        <f>"00188662"</f>
        <v>00188662</v>
      </c>
    </row>
    <row r="3634" spans="1:2" x14ac:dyDescent="0.25">
      <c r="A3634" s="2">
        <v>3629</v>
      </c>
      <c r="B3634" s="11" t="str">
        <f>"00188673"</f>
        <v>00188673</v>
      </c>
    </row>
    <row r="3635" spans="1:2" x14ac:dyDescent="0.25">
      <c r="A3635" s="2">
        <v>3630</v>
      </c>
      <c r="B3635" s="11" t="str">
        <f>"00188782"</f>
        <v>00188782</v>
      </c>
    </row>
    <row r="3636" spans="1:2" x14ac:dyDescent="0.25">
      <c r="A3636" s="2">
        <v>3631</v>
      </c>
      <c r="B3636" s="11" t="str">
        <f>"00189026"</f>
        <v>00189026</v>
      </c>
    </row>
    <row r="3637" spans="1:2" x14ac:dyDescent="0.25">
      <c r="A3637" s="2">
        <v>3632</v>
      </c>
      <c r="B3637" s="11" t="str">
        <f>"00189085"</f>
        <v>00189085</v>
      </c>
    </row>
    <row r="3638" spans="1:2" x14ac:dyDescent="0.25">
      <c r="A3638" s="2">
        <v>3633</v>
      </c>
      <c r="B3638" s="11" t="str">
        <f>"00189110"</f>
        <v>00189110</v>
      </c>
    </row>
    <row r="3639" spans="1:2" x14ac:dyDescent="0.25">
      <c r="A3639" s="2">
        <v>3634</v>
      </c>
      <c r="B3639" s="11" t="str">
        <f>"00189153"</f>
        <v>00189153</v>
      </c>
    </row>
    <row r="3640" spans="1:2" x14ac:dyDescent="0.25">
      <c r="A3640" s="2">
        <v>3635</v>
      </c>
      <c r="B3640" s="11" t="str">
        <f>"00189163"</f>
        <v>00189163</v>
      </c>
    </row>
    <row r="3641" spans="1:2" x14ac:dyDescent="0.25">
      <c r="A3641" s="2">
        <v>3636</v>
      </c>
      <c r="B3641" s="11" t="str">
        <f>"00189179"</f>
        <v>00189179</v>
      </c>
    </row>
    <row r="3642" spans="1:2" x14ac:dyDescent="0.25">
      <c r="A3642" s="2">
        <v>3637</v>
      </c>
      <c r="B3642" s="11" t="str">
        <f>"00189182"</f>
        <v>00189182</v>
      </c>
    </row>
    <row r="3643" spans="1:2" x14ac:dyDescent="0.25">
      <c r="A3643" s="2">
        <v>3638</v>
      </c>
      <c r="B3643" s="11" t="str">
        <f>"00189193"</f>
        <v>00189193</v>
      </c>
    </row>
    <row r="3644" spans="1:2" x14ac:dyDescent="0.25">
      <c r="A3644" s="2">
        <v>3639</v>
      </c>
      <c r="B3644" s="11" t="str">
        <f>"00189204"</f>
        <v>00189204</v>
      </c>
    </row>
    <row r="3645" spans="1:2" x14ac:dyDescent="0.25">
      <c r="A3645" s="2">
        <v>3640</v>
      </c>
      <c r="B3645" s="11" t="str">
        <f>"00189218"</f>
        <v>00189218</v>
      </c>
    </row>
    <row r="3646" spans="1:2" x14ac:dyDescent="0.25">
      <c r="A3646" s="2">
        <v>3641</v>
      </c>
      <c r="B3646" s="11" t="str">
        <f>"00189226"</f>
        <v>00189226</v>
      </c>
    </row>
    <row r="3647" spans="1:2" x14ac:dyDescent="0.25">
      <c r="A3647" s="2">
        <v>3642</v>
      </c>
      <c r="B3647" s="11" t="str">
        <f>"00189239"</f>
        <v>00189239</v>
      </c>
    </row>
    <row r="3648" spans="1:2" x14ac:dyDescent="0.25">
      <c r="A3648" s="2">
        <v>3643</v>
      </c>
      <c r="B3648" s="11" t="str">
        <f>"00189289"</f>
        <v>00189289</v>
      </c>
    </row>
    <row r="3649" spans="1:2" x14ac:dyDescent="0.25">
      <c r="A3649" s="2">
        <v>3644</v>
      </c>
      <c r="B3649" s="11" t="str">
        <f>"00189332"</f>
        <v>00189332</v>
      </c>
    </row>
    <row r="3650" spans="1:2" x14ac:dyDescent="0.25">
      <c r="A3650" s="2">
        <v>3645</v>
      </c>
      <c r="B3650" s="11" t="str">
        <f>"00189334"</f>
        <v>00189334</v>
      </c>
    </row>
    <row r="3651" spans="1:2" x14ac:dyDescent="0.25">
      <c r="A3651" s="2">
        <v>3646</v>
      </c>
      <c r="B3651" s="11" t="str">
        <f>"00189337"</f>
        <v>00189337</v>
      </c>
    </row>
    <row r="3652" spans="1:2" x14ac:dyDescent="0.25">
      <c r="A3652" s="2">
        <v>3647</v>
      </c>
      <c r="B3652" s="11" t="str">
        <f>"00189350"</f>
        <v>00189350</v>
      </c>
    </row>
    <row r="3653" spans="1:2" x14ac:dyDescent="0.25">
      <c r="A3653" s="2">
        <v>3648</v>
      </c>
      <c r="B3653" s="11" t="str">
        <f>"00189369"</f>
        <v>00189369</v>
      </c>
    </row>
    <row r="3654" spans="1:2" x14ac:dyDescent="0.25">
      <c r="A3654" s="2">
        <v>3649</v>
      </c>
      <c r="B3654" s="11" t="str">
        <f>"00189370"</f>
        <v>00189370</v>
      </c>
    </row>
    <row r="3655" spans="1:2" x14ac:dyDescent="0.25">
      <c r="A3655" s="2">
        <v>3650</v>
      </c>
      <c r="B3655" s="11" t="str">
        <f>"00189383"</f>
        <v>00189383</v>
      </c>
    </row>
    <row r="3656" spans="1:2" x14ac:dyDescent="0.25">
      <c r="A3656" s="2">
        <v>3651</v>
      </c>
      <c r="B3656" s="11" t="str">
        <f>"00189451"</f>
        <v>00189451</v>
      </c>
    </row>
    <row r="3657" spans="1:2" x14ac:dyDescent="0.25">
      <c r="A3657" s="2">
        <v>3652</v>
      </c>
      <c r="B3657" s="11" t="str">
        <f>"00189521"</f>
        <v>00189521</v>
      </c>
    </row>
    <row r="3658" spans="1:2" x14ac:dyDescent="0.25">
      <c r="A3658" s="2">
        <v>3653</v>
      </c>
      <c r="B3658" s="11" t="str">
        <f>"00189527"</f>
        <v>00189527</v>
      </c>
    </row>
    <row r="3659" spans="1:2" x14ac:dyDescent="0.25">
      <c r="A3659" s="2">
        <v>3654</v>
      </c>
      <c r="B3659" s="11" t="str">
        <f>"00189531"</f>
        <v>00189531</v>
      </c>
    </row>
    <row r="3660" spans="1:2" x14ac:dyDescent="0.25">
      <c r="A3660" s="2">
        <v>3655</v>
      </c>
      <c r="B3660" s="11" t="str">
        <f>"00189579"</f>
        <v>00189579</v>
      </c>
    </row>
    <row r="3661" spans="1:2" x14ac:dyDescent="0.25">
      <c r="A3661" s="2">
        <v>3656</v>
      </c>
      <c r="B3661" s="11" t="str">
        <f>"00189610"</f>
        <v>00189610</v>
      </c>
    </row>
    <row r="3662" spans="1:2" x14ac:dyDescent="0.25">
      <c r="A3662" s="2">
        <v>3657</v>
      </c>
      <c r="B3662" s="11" t="str">
        <f>"00189618"</f>
        <v>00189618</v>
      </c>
    </row>
    <row r="3663" spans="1:2" x14ac:dyDescent="0.25">
      <c r="A3663" s="2">
        <v>3658</v>
      </c>
      <c r="B3663" s="11" t="str">
        <f>"00189619"</f>
        <v>00189619</v>
      </c>
    </row>
    <row r="3664" spans="1:2" x14ac:dyDescent="0.25">
      <c r="A3664" s="2">
        <v>3659</v>
      </c>
      <c r="B3664" s="11" t="str">
        <f>"00189634"</f>
        <v>00189634</v>
      </c>
    </row>
    <row r="3665" spans="1:2" x14ac:dyDescent="0.25">
      <c r="A3665" s="2">
        <v>3660</v>
      </c>
      <c r="B3665" s="11" t="str">
        <f>"00189678"</f>
        <v>00189678</v>
      </c>
    </row>
    <row r="3666" spans="1:2" x14ac:dyDescent="0.25">
      <c r="A3666" s="2">
        <v>3661</v>
      </c>
      <c r="B3666" s="11" t="str">
        <f>"00189736"</f>
        <v>00189736</v>
      </c>
    </row>
    <row r="3667" spans="1:2" x14ac:dyDescent="0.25">
      <c r="A3667" s="2">
        <v>3662</v>
      </c>
      <c r="B3667" s="11" t="str">
        <f>"00189766"</f>
        <v>00189766</v>
      </c>
    </row>
    <row r="3668" spans="1:2" x14ac:dyDescent="0.25">
      <c r="A3668" s="2">
        <v>3663</v>
      </c>
      <c r="B3668" s="11" t="str">
        <f>"00189775"</f>
        <v>00189775</v>
      </c>
    </row>
    <row r="3669" spans="1:2" x14ac:dyDescent="0.25">
      <c r="A3669" s="2">
        <v>3664</v>
      </c>
      <c r="B3669" s="11" t="str">
        <f>"00189789"</f>
        <v>00189789</v>
      </c>
    </row>
    <row r="3670" spans="1:2" x14ac:dyDescent="0.25">
      <c r="A3670" s="2">
        <v>3665</v>
      </c>
      <c r="B3670" s="11" t="str">
        <f>"00189806"</f>
        <v>00189806</v>
      </c>
    </row>
    <row r="3671" spans="1:2" x14ac:dyDescent="0.25">
      <c r="A3671" s="2">
        <v>3666</v>
      </c>
      <c r="B3671" s="11" t="str">
        <f>"00189808"</f>
        <v>00189808</v>
      </c>
    </row>
    <row r="3672" spans="1:2" x14ac:dyDescent="0.25">
      <c r="A3672" s="2">
        <v>3667</v>
      </c>
      <c r="B3672" s="11" t="str">
        <f>"00189810"</f>
        <v>00189810</v>
      </c>
    </row>
    <row r="3673" spans="1:2" x14ac:dyDescent="0.25">
      <c r="A3673" s="2">
        <v>3668</v>
      </c>
      <c r="B3673" s="11" t="str">
        <f>"00189815"</f>
        <v>00189815</v>
      </c>
    </row>
    <row r="3674" spans="1:2" x14ac:dyDescent="0.25">
      <c r="A3674" s="2">
        <v>3669</v>
      </c>
      <c r="B3674" s="11" t="str">
        <f>"00189823"</f>
        <v>00189823</v>
      </c>
    </row>
    <row r="3675" spans="1:2" x14ac:dyDescent="0.25">
      <c r="A3675" s="2">
        <v>3670</v>
      </c>
      <c r="B3675" s="11" t="str">
        <f>"00189846"</f>
        <v>00189846</v>
      </c>
    </row>
    <row r="3676" spans="1:2" x14ac:dyDescent="0.25">
      <c r="A3676" s="2">
        <v>3671</v>
      </c>
      <c r="B3676" s="11" t="str">
        <f>"00189849"</f>
        <v>00189849</v>
      </c>
    </row>
    <row r="3677" spans="1:2" x14ac:dyDescent="0.25">
      <c r="A3677" s="2">
        <v>3672</v>
      </c>
      <c r="B3677" s="11" t="str">
        <f>"00189853"</f>
        <v>00189853</v>
      </c>
    </row>
    <row r="3678" spans="1:2" x14ac:dyDescent="0.25">
      <c r="A3678" s="2">
        <v>3673</v>
      </c>
      <c r="B3678" s="11" t="str">
        <f>"00189861"</f>
        <v>00189861</v>
      </c>
    </row>
    <row r="3679" spans="1:2" x14ac:dyDescent="0.25">
      <c r="A3679" s="2">
        <v>3674</v>
      </c>
      <c r="B3679" s="11" t="str">
        <f>"00189862"</f>
        <v>00189862</v>
      </c>
    </row>
    <row r="3680" spans="1:2" x14ac:dyDescent="0.25">
      <c r="A3680" s="2">
        <v>3675</v>
      </c>
      <c r="B3680" s="11" t="str">
        <f>"00189876"</f>
        <v>00189876</v>
      </c>
    </row>
    <row r="3681" spans="1:2" x14ac:dyDescent="0.25">
      <c r="A3681" s="2">
        <v>3676</v>
      </c>
      <c r="B3681" s="11" t="str">
        <f>"00189879"</f>
        <v>00189879</v>
      </c>
    </row>
    <row r="3682" spans="1:2" x14ac:dyDescent="0.25">
      <c r="A3682" s="2">
        <v>3677</v>
      </c>
      <c r="B3682" s="11" t="str">
        <f>"00189885"</f>
        <v>00189885</v>
      </c>
    </row>
    <row r="3683" spans="1:2" x14ac:dyDescent="0.25">
      <c r="A3683" s="2">
        <v>3678</v>
      </c>
      <c r="B3683" s="11" t="str">
        <f>"00189895"</f>
        <v>00189895</v>
      </c>
    </row>
    <row r="3684" spans="1:2" x14ac:dyDescent="0.25">
      <c r="A3684" s="2">
        <v>3679</v>
      </c>
      <c r="B3684" s="11" t="str">
        <f>"00189928"</f>
        <v>00189928</v>
      </c>
    </row>
    <row r="3685" spans="1:2" x14ac:dyDescent="0.25">
      <c r="A3685" s="2">
        <v>3680</v>
      </c>
      <c r="B3685" s="11" t="str">
        <f>"00189942"</f>
        <v>00189942</v>
      </c>
    </row>
    <row r="3686" spans="1:2" x14ac:dyDescent="0.25">
      <c r="A3686" s="2">
        <v>3681</v>
      </c>
      <c r="B3686" s="11" t="str">
        <f>"00189953"</f>
        <v>00189953</v>
      </c>
    </row>
    <row r="3687" spans="1:2" x14ac:dyDescent="0.25">
      <c r="A3687" s="2">
        <v>3682</v>
      </c>
      <c r="B3687" s="11" t="str">
        <f>"00189977"</f>
        <v>00189977</v>
      </c>
    </row>
    <row r="3688" spans="1:2" x14ac:dyDescent="0.25">
      <c r="A3688" s="2">
        <v>3683</v>
      </c>
      <c r="B3688" s="11" t="str">
        <f>"00190006"</f>
        <v>00190006</v>
      </c>
    </row>
    <row r="3689" spans="1:2" x14ac:dyDescent="0.25">
      <c r="A3689" s="2">
        <v>3684</v>
      </c>
      <c r="B3689" s="11" t="str">
        <f>"00190090"</f>
        <v>00190090</v>
      </c>
    </row>
    <row r="3690" spans="1:2" x14ac:dyDescent="0.25">
      <c r="A3690" s="2">
        <v>3685</v>
      </c>
      <c r="B3690" s="11" t="str">
        <f>"00190121"</f>
        <v>00190121</v>
      </c>
    </row>
    <row r="3691" spans="1:2" x14ac:dyDescent="0.25">
      <c r="A3691" s="2">
        <v>3686</v>
      </c>
      <c r="B3691" s="11" t="str">
        <f>"00190156"</f>
        <v>00190156</v>
      </c>
    </row>
    <row r="3692" spans="1:2" x14ac:dyDescent="0.25">
      <c r="A3692" s="2">
        <v>3687</v>
      </c>
      <c r="B3692" s="11" t="str">
        <f>"00190166"</f>
        <v>00190166</v>
      </c>
    </row>
    <row r="3693" spans="1:2" x14ac:dyDescent="0.25">
      <c r="A3693" s="2">
        <v>3688</v>
      </c>
      <c r="B3693" s="11" t="str">
        <f>"00190201"</f>
        <v>00190201</v>
      </c>
    </row>
    <row r="3694" spans="1:2" x14ac:dyDescent="0.25">
      <c r="A3694" s="2">
        <v>3689</v>
      </c>
      <c r="B3694" s="11" t="str">
        <f>"00190214"</f>
        <v>00190214</v>
      </c>
    </row>
    <row r="3695" spans="1:2" x14ac:dyDescent="0.25">
      <c r="A3695" s="2">
        <v>3690</v>
      </c>
      <c r="B3695" s="11" t="str">
        <f>"00190233"</f>
        <v>00190233</v>
      </c>
    </row>
    <row r="3696" spans="1:2" x14ac:dyDescent="0.25">
      <c r="A3696" s="2">
        <v>3691</v>
      </c>
      <c r="B3696" s="11" t="str">
        <f>"00190241"</f>
        <v>00190241</v>
      </c>
    </row>
    <row r="3697" spans="1:2" x14ac:dyDescent="0.25">
      <c r="A3697" s="2">
        <v>3692</v>
      </c>
      <c r="B3697" s="11" t="str">
        <f>"00190246"</f>
        <v>00190246</v>
      </c>
    </row>
    <row r="3698" spans="1:2" x14ac:dyDescent="0.25">
      <c r="A3698" s="2">
        <v>3693</v>
      </c>
      <c r="B3698" s="11" t="str">
        <f>"00190252"</f>
        <v>00190252</v>
      </c>
    </row>
    <row r="3699" spans="1:2" x14ac:dyDescent="0.25">
      <c r="A3699" s="2">
        <v>3694</v>
      </c>
      <c r="B3699" s="11" t="str">
        <f>"00190270"</f>
        <v>00190270</v>
      </c>
    </row>
    <row r="3700" spans="1:2" x14ac:dyDescent="0.25">
      <c r="A3700" s="2">
        <v>3695</v>
      </c>
      <c r="B3700" s="11" t="str">
        <f>"00190272"</f>
        <v>00190272</v>
      </c>
    </row>
    <row r="3701" spans="1:2" x14ac:dyDescent="0.25">
      <c r="A3701" s="2">
        <v>3696</v>
      </c>
      <c r="B3701" s="11" t="str">
        <f>"00190324"</f>
        <v>00190324</v>
      </c>
    </row>
    <row r="3702" spans="1:2" x14ac:dyDescent="0.25">
      <c r="A3702" s="2">
        <v>3697</v>
      </c>
      <c r="B3702" s="11" t="str">
        <f>"00190387"</f>
        <v>00190387</v>
      </c>
    </row>
    <row r="3703" spans="1:2" x14ac:dyDescent="0.25">
      <c r="A3703" s="2">
        <v>3698</v>
      </c>
      <c r="B3703" s="11" t="str">
        <f>"00190465"</f>
        <v>00190465</v>
      </c>
    </row>
    <row r="3704" spans="1:2" x14ac:dyDescent="0.25">
      <c r="A3704" s="2">
        <v>3699</v>
      </c>
      <c r="B3704" s="11" t="str">
        <f>"00190481"</f>
        <v>00190481</v>
      </c>
    </row>
    <row r="3705" spans="1:2" x14ac:dyDescent="0.25">
      <c r="A3705" s="2">
        <v>3700</v>
      </c>
      <c r="B3705" s="11" t="str">
        <f>"00190485"</f>
        <v>00190485</v>
      </c>
    </row>
    <row r="3706" spans="1:2" x14ac:dyDescent="0.25">
      <c r="A3706" s="2">
        <v>3701</v>
      </c>
      <c r="B3706" s="11" t="str">
        <f>"00190493"</f>
        <v>00190493</v>
      </c>
    </row>
    <row r="3707" spans="1:2" x14ac:dyDescent="0.25">
      <c r="A3707" s="2">
        <v>3702</v>
      </c>
      <c r="B3707" s="11" t="str">
        <f>"00190530"</f>
        <v>00190530</v>
      </c>
    </row>
    <row r="3708" spans="1:2" x14ac:dyDescent="0.25">
      <c r="A3708" s="2">
        <v>3703</v>
      </c>
      <c r="B3708" s="11" t="str">
        <f>"00190532"</f>
        <v>00190532</v>
      </c>
    </row>
    <row r="3709" spans="1:2" x14ac:dyDescent="0.25">
      <c r="A3709" s="2">
        <v>3704</v>
      </c>
      <c r="B3709" s="11" t="str">
        <f>"00190551"</f>
        <v>00190551</v>
      </c>
    </row>
    <row r="3710" spans="1:2" x14ac:dyDescent="0.25">
      <c r="A3710" s="2">
        <v>3705</v>
      </c>
      <c r="B3710" s="11" t="str">
        <f>"00190555"</f>
        <v>00190555</v>
      </c>
    </row>
    <row r="3711" spans="1:2" x14ac:dyDescent="0.25">
      <c r="A3711" s="2">
        <v>3706</v>
      </c>
      <c r="B3711" s="11" t="str">
        <f>"00190640"</f>
        <v>00190640</v>
      </c>
    </row>
    <row r="3712" spans="1:2" x14ac:dyDescent="0.25">
      <c r="A3712" s="2">
        <v>3707</v>
      </c>
      <c r="B3712" s="11" t="str">
        <f>"00190645"</f>
        <v>00190645</v>
      </c>
    </row>
    <row r="3713" spans="1:2" x14ac:dyDescent="0.25">
      <c r="A3713" s="2">
        <v>3708</v>
      </c>
      <c r="B3713" s="11" t="str">
        <f>"00190667"</f>
        <v>00190667</v>
      </c>
    </row>
    <row r="3714" spans="1:2" x14ac:dyDescent="0.25">
      <c r="A3714" s="2">
        <v>3709</v>
      </c>
      <c r="B3714" s="11" t="str">
        <f>"00190755"</f>
        <v>00190755</v>
      </c>
    </row>
    <row r="3715" spans="1:2" x14ac:dyDescent="0.25">
      <c r="A3715" s="2">
        <v>3710</v>
      </c>
      <c r="B3715" s="11" t="str">
        <f>"00190766"</f>
        <v>00190766</v>
      </c>
    </row>
    <row r="3716" spans="1:2" x14ac:dyDescent="0.25">
      <c r="A3716" s="2">
        <v>3711</v>
      </c>
      <c r="B3716" s="11" t="str">
        <f>"00190792"</f>
        <v>00190792</v>
      </c>
    </row>
    <row r="3717" spans="1:2" x14ac:dyDescent="0.25">
      <c r="A3717" s="2">
        <v>3712</v>
      </c>
      <c r="B3717" s="11" t="str">
        <f>"00190811"</f>
        <v>00190811</v>
      </c>
    </row>
    <row r="3718" spans="1:2" x14ac:dyDescent="0.25">
      <c r="A3718" s="2">
        <v>3713</v>
      </c>
      <c r="B3718" s="11" t="str">
        <f>"00190884"</f>
        <v>00190884</v>
      </c>
    </row>
    <row r="3719" spans="1:2" x14ac:dyDescent="0.25">
      <c r="A3719" s="2">
        <v>3714</v>
      </c>
      <c r="B3719" s="11" t="str">
        <f>"00190934"</f>
        <v>00190934</v>
      </c>
    </row>
    <row r="3720" spans="1:2" x14ac:dyDescent="0.25">
      <c r="A3720" s="2">
        <v>3715</v>
      </c>
      <c r="B3720" s="11" t="str">
        <f>"00190986"</f>
        <v>00190986</v>
      </c>
    </row>
    <row r="3721" spans="1:2" x14ac:dyDescent="0.25">
      <c r="A3721" s="2">
        <v>3716</v>
      </c>
      <c r="B3721" s="11" t="str">
        <f>"00190991"</f>
        <v>00190991</v>
      </c>
    </row>
    <row r="3722" spans="1:2" x14ac:dyDescent="0.25">
      <c r="A3722" s="2">
        <v>3717</v>
      </c>
      <c r="B3722" s="11" t="str">
        <f>"00190992"</f>
        <v>00190992</v>
      </c>
    </row>
    <row r="3723" spans="1:2" x14ac:dyDescent="0.25">
      <c r="A3723" s="2">
        <v>3718</v>
      </c>
      <c r="B3723" s="11" t="str">
        <f>"00191007"</f>
        <v>00191007</v>
      </c>
    </row>
    <row r="3724" spans="1:2" x14ac:dyDescent="0.25">
      <c r="A3724" s="2">
        <v>3719</v>
      </c>
      <c r="B3724" s="11" t="str">
        <f>"00191011"</f>
        <v>00191011</v>
      </c>
    </row>
    <row r="3725" spans="1:2" x14ac:dyDescent="0.25">
      <c r="A3725" s="2">
        <v>3720</v>
      </c>
      <c r="B3725" s="11" t="str">
        <f>"00191033"</f>
        <v>00191033</v>
      </c>
    </row>
    <row r="3726" spans="1:2" x14ac:dyDescent="0.25">
      <c r="A3726" s="2">
        <v>3721</v>
      </c>
      <c r="B3726" s="11" t="str">
        <f>"00191051"</f>
        <v>00191051</v>
      </c>
    </row>
    <row r="3727" spans="1:2" x14ac:dyDescent="0.25">
      <c r="A3727" s="2">
        <v>3722</v>
      </c>
      <c r="B3727" s="11" t="str">
        <f>"00191070"</f>
        <v>00191070</v>
      </c>
    </row>
    <row r="3728" spans="1:2" x14ac:dyDescent="0.25">
      <c r="A3728" s="2">
        <v>3723</v>
      </c>
      <c r="B3728" s="11" t="str">
        <f>"00191083"</f>
        <v>00191083</v>
      </c>
    </row>
    <row r="3729" spans="1:2" x14ac:dyDescent="0.25">
      <c r="A3729" s="2">
        <v>3724</v>
      </c>
      <c r="B3729" s="11" t="str">
        <f>"00191102"</f>
        <v>00191102</v>
      </c>
    </row>
    <row r="3730" spans="1:2" x14ac:dyDescent="0.25">
      <c r="A3730" s="2">
        <v>3725</v>
      </c>
      <c r="B3730" s="11" t="str">
        <f>"00191108"</f>
        <v>00191108</v>
      </c>
    </row>
    <row r="3731" spans="1:2" x14ac:dyDescent="0.25">
      <c r="A3731" s="2">
        <v>3726</v>
      </c>
      <c r="B3731" s="11" t="str">
        <f>"00191137"</f>
        <v>00191137</v>
      </c>
    </row>
    <row r="3732" spans="1:2" x14ac:dyDescent="0.25">
      <c r="A3732" s="2">
        <v>3727</v>
      </c>
      <c r="B3732" s="11" t="str">
        <f>"00191146"</f>
        <v>00191146</v>
      </c>
    </row>
    <row r="3733" spans="1:2" x14ac:dyDescent="0.25">
      <c r="A3733" s="2">
        <v>3728</v>
      </c>
      <c r="B3733" s="11" t="str">
        <f>"00191174"</f>
        <v>00191174</v>
      </c>
    </row>
    <row r="3734" spans="1:2" x14ac:dyDescent="0.25">
      <c r="A3734" s="2">
        <v>3729</v>
      </c>
      <c r="B3734" s="11" t="str">
        <f>"00191215"</f>
        <v>00191215</v>
      </c>
    </row>
    <row r="3735" spans="1:2" x14ac:dyDescent="0.25">
      <c r="A3735" s="2">
        <v>3730</v>
      </c>
      <c r="B3735" s="11" t="str">
        <f>"00191219"</f>
        <v>00191219</v>
      </c>
    </row>
    <row r="3736" spans="1:2" x14ac:dyDescent="0.25">
      <c r="A3736" s="2">
        <v>3731</v>
      </c>
      <c r="B3736" s="11" t="str">
        <f>"00191243"</f>
        <v>00191243</v>
      </c>
    </row>
    <row r="3737" spans="1:2" x14ac:dyDescent="0.25">
      <c r="A3737" s="2">
        <v>3732</v>
      </c>
      <c r="B3737" s="11" t="str">
        <f>"00191263"</f>
        <v>00191263</v>
      </c>
    </row>
    <row r="3738" spans="1:2" x14ac:dyDescent="0.25">
      <c r="A3738" s="2">
        <v>3733</v>
      </c>
      <c r="B3738" s="11" t="str">
        <f>"00191269"</f>
        <v>00191269</v>
      </c>
    </row>
    <row r="3739" spans="1:2" x14ac:dyDescent="0.25">
      <c r="A3739" s="2">
        <v>3734</v>
      </c>
      <c r="B3739" s="11" t="str">
        <f>"00191291"</f>
        <v>00191291</v>
      </c>
    </row>
    <row r="3740" spans="1:2" x14ac:dyDescent="0.25">
      <c r="A3740" s="2">
        <v>3735</v>
      </c>
      <c r="B3740" s="11" t="str">
        <f>"00191305"</f>
        <v>00191305</v>
      </c>
    </row>
    <row r="3741" spans="1:2" x14ac:dyDescent="0.25">
      <c r="A3741" s="2">
        <v>3736</v>
      </c>
      <c r="B3741" s="11" t="str">
        <f>"00191351"</f>
        <v>00191351</v>
      </c>
    </row>
    <row r="3742" spans="1:2" x14ac:dyDescent="0.25">
      <c r="A3742" s="2">
        <v>3737</v>
      </c>
      <c r="B3742" s="11" t="str">
        <f>"00191352"</f>
        <v>00191352</v>
      </c>
    </row>
    <row r="3743" spans="1:2" x14ac:dyDescent="0.25">
      <c r="A3743" s="2">
        <v>3738</v>
      </c>
      <c r="B3743" s="11" t="str">
        <f>"00191369"</f>
        <v>00191369</v>
      </c>
    </row>
    <row r="3744" spans="1:2" x14ac:dyDescent="0.25">
      <c r="A3744" s="2">
        <v>3739</v>
      </c>
      <c r="B3744" s="11" t="str">
        <f>"00191437"</f>
        <v>00191437</v>
      </c>
    </row>
    <row r="3745" spans="1:2" x14ac:dyDescent="0.25">
      <c r="A3745" s="2">
        <v>3740</v>
      </c>
      <c r="B3745" s="11" t="str">
        <f>"00191455"</f>
        <v>00191455</v>
      </c>
    </row>
    <row r="3746" spans="1:2" x14ac:dyDescent="0.25">
      <c r="A3746" s="2">
        <v>3741</v>
      </c>
      <c r="B3746" s="11" t="str">
        <f>"00191620"</f>
        <v>00191620</v>
      </c>
    </row>
    <row r="3747" spans="1:2" x14ac:dyDescent="0.25">
      <c r="A3747" s="2">
        <v>3742</v>
      </c>
      <c r="B3747" s="11" t="str">
        <f>"00191675"</f>
        <v>00191675</v>
      </c>
    </row>
    <row r="3748" spans="1:2" x14ac:dyDescent="0.25">
      <c r="A3748" s="2">
        <v>3743</v>
      </c>
      <c r="B3748" s="11" t="str">
        <f>"00191698"</f>
        <v>00191698</v>
      </c>
    </row>
    <row r="3749" spans="1:2" x14ac:dyDescent="0.25">
      <c r="A3749" s="2">
        <v>3744</v>
      </c>
      <c r="B3749" s="11" t="str">
        <f>"00191711"</f>
        <v>00191711</v>
      </c>
    </row>
    <row r="3750" spans="1:2" x14ac:dyDescent="0.25">
      <c r="A3750" s="2">
        <v>3745</v>
      </c>
      <c r="B3750" s="11" t="str">
        <f>"00191712"</f>
        <v>00191712</v>
      </c>
    </row>
    <row r="3751" spans="1:2" x14ac:dyDescent="0.25">
      <c r="A3751" s="2">
        <v>3746</v>
      </c>
      <c r="B3751" s="11" t="str">
        <f>"00191730"</f>
        <v>00191730</v>
      </c>
    </row>
    <row r="3752" spans="1:2" x14ac:dyDescent="0.25">
      <c r="A3752" s="2">
        <v>3747</v>
      </c>
      <c r="B3752" s="11" t="str">
        <f>"00191780"</f>
        <v>00191780</v>
      </c>
    </row>
    <row r="3753" spans="1:2" x14ac:dyDescent="0.25">
      <c r="A3753" s="2">
        <v>3748</v>
      </c>
      <c r="B3753" s="11" t="str">
        <f>"00191804"</f>
        <v>00191804</v>
      </c>
    </row>
    <row r="3754" spans="1:2" x14ac:dyDescent="0.25">
      <c r="A3754" s="2">
        <v>3749</v>
      </c>
      <c r="B3754" s="11" t="str">
        <f>"00191874"</f>
        <v>00191874</v>
      </c>
    </row>
    <row r="3755" spans="1:2" x14ac:dyDescent="0.25">
      <c r="A3755" s="2">
        <v>3750</v>
      </c>
      <c r="B3755" s="11" t="str">
        <f>"00191894"</f>
        <v>00191894</v>
      </c>
    </row>
    <row r="3756" spans="1:2" x14ac:dyDescent="0.25">
      <c r="A3756" s="2">
        <v>3751</v>
      </c>
      <c r="B3756" s="11" t="str">
        <f>"00191922"</f>
        <v>00191922</v>
      </c>
    </row>
    <row r="3757" spans="1:2" x14ac:dyDescent="0.25">
      <c r="A3757" s="2">
        <v>3752</v>
      </c>
      <c r="B3757" s="11" t="str">
        <f>"00191924"</f>
        <v>00191924</v>
      </c>
    </row>
    <row r="3758" spans="1:2" x14ac:dyDescent="0.25">
      <c r="A3758" s="2">
        <v>3753</v>
      </c>
      <c r="B3758" s="11" t="str">
        <f>"00191930"</f>
        <v>00191930</v>
      </c>
    </row>
    <row r="3759" spans="1:2" x14ac:dyDescent="0.25">
      <c r="A3759" s="2">
        <v>3754</v>
      </c>
      <c r="B3759" s="11" t="str">
        <f>"00191951"</f>
        <v>00191951</v>
      </c>
    </row>
    <row r="3760" spans="1:2" x14ac:dyDescent="0.25">
      <c r="A3760" s="2">
        <v>3755</v>
      </c>
      <c r="B3760" s="11" t="str">
        <f>"00191953"</f>
        <v>00191953</v>
      </c>
    </row>
    <row r="3761" spans="1:2" x14ac:dyDescent="0.25">
      <c r="A3761" s="2">
        <v>3756</v>
      </c>
      <c r="B3761" s="11" t="str">
        <f>"00191957"</f>
        <v>00191957</v>
      </c>
    </row>
    <row r="3762" spans="1:2" x14ac:dyDescent="0.25">
      <c r="A3762" s="2">
        <v>3757</v>
      </c>
      <c r="B3762" s="11" t="str">
        <f>"00191997"</f>
        <v>00191997</v>
      </c>
    </row>
    <row r="3763" spans="1:2" x14ac:dyDescent="0.25">
      <c r="A3763" s="2">
        <v>3758</v>
      </c>
      <c r="B3763" s="11" t="str">
        <f>"00191999"</f>
        <v>00191999</v>
      </c>
    </row>
    <row r="3764" spans="1:2" x14ac:dyDescent="0.25">
      <c r="A3764" s="2">
        <v>3759</v>
      </c>
      <c r="B3764" s="11" t="str">
        <f>"00192060"</f>
        <v>00192060</v>
      </c>
    </row>
    <row r="3765" spans="1:2" x14ac:dyDescent="0.25">
      <c r="A3765" s="2">
        <v>3760</v>
      </c>
      <c r="B3765" s="11" t="str">
        <f>"00192081"</f>
        <v>00192081</v>
      </c>
    </row>
    <row r="3766" spans="1:2" x14ac:dyDescent="0.25">
      <c r="A3766" s="2">
        <v>3761</v>
      </c>
      <c r="B3766" s="11" t="str">
        <f>"00192099"</f>
        <v>00192099</v>
      </c>
    </row>
    <row r="3767" spans="1:2" x14ac:dyDescent="0.25">
      <c r="A3767" s="2">
        <v>3762</v>
      </c>
      <c r="B3767" s="11" t="str">
        <f>"00192132"</f>
        <v>00192132</v>
      </c>
    </row>
    <row r="3768" spans="1:2" x14ac:dyDescent="0.25">
      <c r="A3768" s="2">
        <v>3763</v>
      </c>
      <c r="B3768" s="11" t="str">
        <f>"00192143"</f>
        <v>00192143</v>
      </c>
    </row>
    <row r="3769" spans="1:2" x14ac:dyDescent="0.25">
      <c r="A3769" s="2">
        <v>3764</v>
      </c>
      <c r="B3769" s="11" t="str">
        <f>"00192154"</f>
        <v>00192154</v>
      </c>
    </row>
    <row r="3770" spans="1:2" x14ac:dyDescent="0.25">
      <c r="A3770" s="2">
        <v>3765</v>
      </c>
      <c r="B3770" s="11" t="str">
        <f>"00192187"</f>
        <v>00192187</v>
      </c>
    </row>
    <row r="3771" spans="1:2" x14ac:dyDescent="0.25">
      <c r="A3771" s="2">
        <v>3766</v>
      </c>
      <c r="B3771" s="11" t="str">
        <f>"00192199"</f>
        <v>00192199</v>
      </c>
    </row>
    <row r="3772" spans="1:2" x14ac:dyDescent="0.25">
      <c r="A3772" s="2">
        <v>3767</v>
      </c>
      <c r="B3772" s="11" t="str">
        <f>"00192234"</f>
        <v>00192234</v>
      </c>
    </row>
    <row r="3773" spans="1:2" x14ac:dyDescent="0.25">
      <c r="A3773" s="2">
        <v>3768</v>
      </c>
      <c r="B3773" s="11" t="str">
        <f>"00192284"</f>
        <v>00192284</v>
      </c>
    </row>
    <row r="3774" spans="1:2" x14ac:dyDescent="0.25">
      <c r="A3774" s="2">
        <v>3769</v>
      </c>
      <c r="B3774" s="11" t="str">
        <f>"00192300"</f>
        <v>00192300</v>
      </c>
    </row>
    <row r="3775" spans="1:2" x14ac:dyDescent="0.25">
      <c r="A3775" s="2">
        <v>3770</v>
      </c>
      <c r="B3775" s="11" t="str">
        <f>"00192321"</f>
        <v>00192321</v>
      </c>
    </row>
    <row r="3776" spans="1:2" x14ac:dyDescent="0.25">
      <c r="A3776" s="2">
        <v>3771</v>
      </c>
      <c r="B3776" s="11" t="str">
        <f>"00192359"</f>
        <v>00192359</v>
      </c>
    </row>
    <row r="3777" spans="1:2" x14ac:dyDescent="0.25">
      <c r="A3777" s="2">
        <v>3772</v>
      </c>
      <c r="B3777" s="11" t="str">
        <f>"00192443"</f>
        <v>00192443</v>
      </c>
    </row>
    <row r="3778" spans="1:2" x14ac:dyDescent="0.25">
      <c r="A3778" s="2">
        <v>3773</v>
      </c>
      <c r="B3778" s="11" t="str">
        <f>"00192463"</f>
        <v>00192463</v>
      </c>
    </row>
    <row r="3779" spans="1:2" x14ac:dyDescent="0.25">
      <c r="A3779" s="2">
        <v>3774</v>
      </c>
      <c r="B3779" s="11" t="str">
        <f>"00192488"</f>
        <v>00192488</v>
      </c>
    </row>
    <row r="3780" spans="1:2" x14ac:dyDescent="0.25">
      <c r="A3780" s="2">
        <v>3775</v>
      </c>
      <c r="B3780" s="11" t="str">
        <f>"00192564"</f>
        <v>00192564</v>
      </c>
    </row>
    <row r="3781" spans="1:2" x14ac:dyDescent="0.25">
      <c r="A3781" s="2">
        <v>3776</v>
      </c>
      <c r="B3781" s="11" t="str">
        <f>"00192618"</f>
        <v>00192618</v>
      </c>
    </row>
    <row r="3782" spans="1:2" x14ac:dyDescent="0.25">
      <c r="A3782" s="2">
        <v>3777</v>
      </c>
      <c r="B3782" s="11" t="str">
        <f>"00192664"</f>
        <v>00192664</v>
      </c>
    </row>
    <row r="3783" spans="1:2" x14ac:dyDescent="0.25">
      <c r="A3783" s="2">
        <v>3778</v>
      </c>
      <c r="B3783" s="11" t="str">
        <f>"00192707"</f>
        <v>00192707</v>
      </c>
    </row>
    <row r="3784" spans="1:2" x14ac:dyDescent="0.25">
      <c r="A3784" s="2">
        <v>3779</v>
      </c>
      <c r="B3784" s="11" t="str">
        <f>"00192741"</f>
        <v>00192741</v>
      </c>
    </row>
    <row r="3785" spans="1:2" x14ac:dyDescent="0.25">
      <c r="A3785" s="2">
        <v>3780</v>
      </c>
      <c r="B3785" s="11" t="str">
        <f>"00192760"</f>
        <v>00192760</v>
      </c>
    </row>
    <row r="3786" spans="1:2" x14ac:dyDescent="0.25">
      <c r="A3786" s="2">
        <v>3781</v>
      </c>
      <c r="B3786" s="11" t="str">
        <f>"00192865"</f>
        <v>00192865</v>
      </c>
    </row>
    <row r="3787" spans="1:2" x14ac:dyDescent="0.25">
      <c r="A3787" s="2">
        <v>3782</v>
      </c>
      <c r="B3787" s="11" t="str">
        <f>"00192982"</f>
        <v>00192982</v>
      </c>
    </row>
    <row r="3788" spans="1:2" x14ac:dyDescent="0.25">
      <c r="A3788" s="2">
        <v>3783</v>
      </c>
      <c r="B3788" s="11" t="str">
        <f>"00192983"</f>
        <v>00192983</v>
      </c>
    </row>
    <row r="3789" spans="1:2" x14ac:dyDescent="0.25">
      <c r="A3789" s="2">
        <v>3784</v>
      </c>
      <c r="B3789" s="11" t="str">
        <f>"00192984"</f>
        <v>00192984</v>
      </c>
    </row>
    <row r="3790" spans="1:2" x14ac:dyDescent="0.25">
      <c r="A3790" s="2">
        <v>3785</v>
      </c>
      <c r="B3790" s="11" t="str">
        <f>"00192997"</f>
        <v>00192997</v>
      </c>
    </row>
    <row r="3791" spans="1:2" x14ac:dyDescent="0.25">
      <c r="A3791" s="2">
        <v>3786</v>
      </c>
      <c r="B3791" s="11" t="str">
        <f>"00193001"</f>
        <v>00193001</v>
      </c>
    </row>
    <row r="3792" spans="1:2" x14ac:dyDescent="0.25">
      <c r="A3792" s="2">
        <v>3787</v>
      </c>
      <c r="B3792" s="11" t="str">
        <f>"00193018"</f>
        <v>00193018</v>
      </c>
    </row>
    <row r="3793" spans="1:2" x14ac:dyDescent="0.25">
      <c r="A3793" s="2">
        <v>3788</v>
      </c>
      <c r="B3793" s="11" t="str">
        <f>"00193090"</f>
        <v>00193090</v>
      </c>
    </row>
    <row r="3794" spans="1:2" x14ac:dyDescent="0.25">
      <c r="A3794" s="2">
        <v>3789</v>
      </c>
      <c r="B3794" s="11" t="str">
        <f>"00193097"</f>
        <v>00193097</v>
      </c>
    </row>
    <row r="3795" spans="1:2" x14ac:dyDescent="0.25">
      <c r="A3795" s="2">
        <v>3790</v>
      </c>
      <c r="B3795" s="11" t="str">
        <f>"00193098"</f>
        <v>00193098</v>
      </c>
    </row>
    <row r="3796" spans="1:2" x14ac:dyDescent="0.25">
      <c r="A3796" s="2">
        <v>3791</v>
      </c>
      <c r="B3796" s="11" t="str">
        <f>"00193108"</f>
        <v>00193108</v>
      </c>
    </row>
    <row r="3797" spans="1:2" x14ac:dyDescent="0.25">
      <c r="A3797" s="2">
        <v>3792</v>
      </c>
      <c r="B3797" s="11" t="str">
        <f>"00193123"</f>
        <v>00193123</v>
      </c>
    </row>
    <row r="3798" spans="1:2" x14ac:dyDescent="0.25">
      <c r="A3798" s="2">
        <v>3793</v>
      </c>
      <c r="B3798" s="11" t="str">
        <f>"00193130"</f>
        <v>00193130</v>
      </c>
    </row>
    <row r="3799" spans="1:2" x14ac:dyDescent="0.25">
      <c r="A3799" s="2">
        <v>3794</v>
      </c>
      <c r="B3799" s="11" t="str">
        <f>"00193137"</f>
        <v>00193137</v>
      </c>
    </row>
    <row r="3800" spans="1:2" x14ac:dyDescent="0.25">
      <c r="A3800" s="2">
        <v>3795</v>
      </c>
      <c r="B3800" s="11" t="str">
        <f>"00193151"</f>
        <v>00193151</v>
      </c>
    </row>
    <row r="3801" spans="1:2" x14ac:dyDescent="0.25">
      <c r="A3801" s="2">
        <v>3796</v>
      </c>
      <c r="B3801" s="11" t="str">
        <f>"00193172"</f>
        <v>00193172</v>
      </c>
    </row>
    <row r="3802" spans="1:2" x14ac:dyDescent="0.25">
      <c r="A3802" s="2">
        <v>3797</v>
      </c>
      <c r="B3802" s="11" t="str">
        <f>"00193193"</f>
        <v>00193193</v>
      </c>
    </row>
    <row r="3803" spans="1:2" x14ac:dyDescent="0.25">
      <c r="A3803" s="2">
        <v>3798</v>
      </c>
      <c r="B3803" s="11" t="str">
        <f>"00193202"</f>
        <v>00193202</v>
      </c>
    </row>
    <row r="3804" spans="1:2" x14ac:dyDescent="0.25">
      <c r="A3804" s="2">
        <v>3799</v>
      </c>
      <c r="B3804" s="11" t="str">
        <f>"00193211"</f>
        <v>00193211</v>
      </c>
    </row>
    <row r="3805" spans="1:2" x14ac:dyDescent="0.25">
      <c r="A3805" s="2">
        <v>3800</v>
      </c>
      <c r="B3805" s="11" t="str">
        <f>"00193241"</f>
        <v>00193241</v>
      </c>
    </row>
    <row r="3806" spans="1:2" x14ac:dyDescent="0.25">
      <c r="A3806" s="2">
        <v>3801</v>
      </c>
      <c r="B3806" s="11" t="str">
        <f>"00193256"</f>
        <v>00193256</v>
      </c>
    </row>
    <row r="3807" spans="1:2" x14ac:dyDescent="0.25">
      <c r="A3807" s="2">
        <v>3802</v>
      </c>
      <c r="B3807" s="11" t="str">
        <f>"00193287"</f>
        <v>00193287</v>
      </c>
    </row>
    <row r="3808" spans="1:2" x14ac:dyDescent="0.25">
      <c r="A3808" s="2">
        <v>3803</v>
      </c>
      <c r="B3808" s="11" t="str">
        <f>"00193313"</f>
        <v>00193313</v>
      </c>
    </row>
    <row r="3809" spans="1:2" x14ac:dyDescent="0.25">
      <c r="A3809" s="2">
        <v>3804</v>
      </c>
      <c r="B3809" s="11" t="str">
        <f>"00193345"</f>
        <v>00193345</v>
      </c>
    </row>
    <row r="3810" spans="1:2" x14ac:dyDescent="0.25">
      <c r="A3810" s="2">
        <v>3805</v>
      </c>
      <c r="B3810" s="11" t="str">
        <f>"00193361"</f>
        <v>00193361</v>
      </c>
    </row>
    <row r="3811" spans="1:2" x14ac:dyDescent="0.25">
      <c r="A3811" s="2">
        <v>3806</v>
      </c>
      <c r="B3811" s="11" t="str">
        <f>"00193384"</f>
        <v>00193384</v>
      </c>
    </row>
    <row r="3812" spans="1:2" x14ac:dyDescent="0.25">
      <c r="A3812" s="2">
        <v>3807</v>
      </c>
      <c r="B3812" s="11" t="str">
        <f>"00193416"</f>
        <v>00193416</v>
      </c>
    </row>
    <row r="3813" spans="1:2" x14ac:dyDescent="0.25">
      <c r="A3813" s="2">
        <v>3808</v>
      </c>
      <c r="B3813" s="11" t="str">
        <f>"00193431"</f>
        <v>00193431</v>
      </c>
    </row>
    <row r="3814" spans="1:2" x14ac:dyDescent="0.25">
      <c r="A3814" s="2">
        <v>3809</v>
      </c>
      <c r="B3814" s="11" t="str">
        <f>"00193445"</f>
        <v>00193445</v>
      </c>
    </row>
    <row r="3815" spans="1:2" x14ac:dyDescent="0.25">
      <c r="A3815" s="2">
        <v>3810</v>
      </c>
      <c r="B3815" s="11" t="str">
        <f>"00193447"</f>
        <v>00193447</v>
      </c>
    </row>
    <row r="3816" spans="1:2" x14ac:dyDescent="0.25">
      <c r="A3816" s="2">
        <v>3811</v>
      </c>
      <c r="B3816" s="11" t="str">
        <f>"00193547"</f>
        <v>00193547</v>
      </c>
    </row>
    <row r="3817" spans="1:2" x14ac:dyDescent="0.25">
      <c r="A3817" s="2">
        <v>3812</v>
      </c>
      <c r="B3817" s="11" t="str">
        <f>"00193591"</f>
        <v>00193591</v>
      </c>
    </row>
    <row r="3818" spans="1:2" x14ac:dyDescent="0.25">
      <c r="A3818" s="2">
        <v>3813</v>
      </c>
      <c r="B3818" s="11" t="str">
        <f>"00193651"</f>
        <v>00193651</v>
      </c>
    </row>
    <row r="3819" spans="1:2" x14ac:dyDescent="0.25">
      <c r="A3819" s="2">
        <v>3814</v>
      </c>
      <c r="B3819" s="11" t="str">
        <f>"00193657"</f>
        <v>00193657</v>
      </c>
    </row>
    <row r="3820" spans="1:2" x14ac:dyDescent="0.25">
      <c r="A3820" s="2">
        <v>3815</v>
      </c>
      <c r="B3820" s="11" t="str">
        <f>"00193685"</f>
        <v>00193685</v>
      </c>
    </row>
    <row r="3821" spans="1:2" x14ac:dyDescent="0.25">
      <c r="A3821" s="2">
        <v>3816</v>
      </c>
      <c r="B3821" s="11" t="str">
        <f>"00193686"</f>
        <v>00193686</v>
      </c>
    </row>
    <row r="3822" spans="1:2" x14ac:dyDescent="0.25">
      <c r="A3822" s="2">
        <v>3817</v>
      </c>
      <c r="B3822" s="11" t="str">
        <f>"00193734"</f>
        <v>00193734</v>
      </c>
    </row>
    <row r="3823" spans="1:2" x14ac:dyDescent="0.25">
      <c r="A3823" s="2">
        <v>3818</v>
      </c>
      <c r="B3823" s="11" t="str">
        <f>"00193793"</f>
        <v>00193793</v>
      </c>
    </row>
    <row r="3824" spans="1:2" x14ac:dyDescent="0.25">
      <c r="A3824" s="2">
        <v>3819</v>
      </c>
      <c r="B3824" s="11" t="str">
        <f>"00193795"</f>
        <v>00193795</v>
      </c>
    </row>
    <row r="3825" spans="1:2" x14ac:dyDescent="0.25">
      <c r="A3825" s="2">
        <v>3820</v>
      </c>
      <c r="B3825" s="11" t="str">
        <f>"00193799"</f>
        <v>00193799</v>
      </c>
    </row>
    <row r="3826" spans="1:2" x14ac:dyDescent="0.25">
      <c r="A3826" s="2">
        <v>3821</v>
      </c>
      <c r="B3826" s="11" t="str">
        <f>"00193808"</f>
        <v>00193808</v>
      </c>
    </row>
    <row r="3827" spans="1:2" x14ac:dyDescent="0.25">
      <c r="A3827" s="2">
        <v>3822</v>
      </c>
      <c r="B3827" s="11" t="str">
        <f>"00193871"</f>
        <v>00193871</v>
      </c>
    </row>
    <row r="3828" spans="1:2" x14ac:dyDescent="0.25">
      <c r="A3828" s="2">
        <v>3823</v>
      </c>
      <c r="B3828" s="11" t="str">
        <f>"00193875"</f>
        <v>00193875</v>
      </c>
    </row>
    <row r="3829" spans="1:2" x14ac:dyDescent="0.25">
      <c r="A3829" s="2">
        <v>3824</v>
      </c>
      <c r="B3829" s="11" t="str">
        <f>"00193885"</f>
        <v>00193885</v>
      </c>
    </row>
    <row r="3830" spans="1:2" x14ac:dyDescent="0.25">
      <c r="A3830" s="2">
        <v>3825</v>
      </c>
      <c r="B3830" s="11" t="str">
        <f>"00193890"</f>
        <v>00193890</v>
      </c>
    </row>
    <row r="3831" spans="1:2" x14ac:dyDescent="0.25">
      <c r="A3831" s="2">
        <v>3826</v>
      </c>
      <c r="B3831" s="11" t="str">
        <f>"00193901"</f>
        <v>00193901</v>
      </c>
    </row>
    <row r="3832" spans="1:2" x14ac:dyDescent="0.25">
      <c r="A3832" s="2">
        <v>3827</v>
      </c>
      <c r="B3832" s="11" t="str">
        <f>"00193947"</f>
        <v>00193947</v>
      </c>
    </row>
    <row r="3833" spans="1:2" x14ac:dyDescent="0.25">
      <c r="A3833" s="2">
        <v>3828</v>
      </c>
      <c r="B3833" s="11" t="str">
        <f>"00194022"</f>
        <v>00194022</v>
      </c>
    </row>
    <row r="3834" spans="1:2" x14ac:dyDescent="0.25">
      <c r="A3834" s="2">
        <v>3829</v>
      </c>
      <c r="B3834" s="11" t="str">
        <f>"00194023"</f>
        <v>00194023</v>
      </c>
    </row>
    <row r="3835" spans="1:2" x14ac:dyDescent="0.25">
      <c r="A3835" s="2">
        <v>3830</v>
      </c>
      <c r="B3835" s="11" t="str">
        <f>"00194054"</f>
        <v>00194054</v>
      </c>
    </row>
    <row r="3836" spans="1:2" x14ac:dyDescent="0.25">
      <c r="A3836" s="2">
        <v>3831</v>
      </c>
      <c r="B3836" s="11" t="str">
        <f>"00194066"</f>
        <v>00194066</v>
      </c>
    </row>
    <row r="3837" spans="1:2" x14ac:dyDescent="0.25">
      <c r="A3837" s="2">
        <v>3832</v>
      </c>
      <c r="B3837" s="11" t="str">
        <f>"00194075"</f>
        <v>00194075</v>
      </c>
    </row>
    <row r="3838" spans="1:2" x14ac:dyDescent="0.25">
      <c r="A3838" s="2">
        <v>3833</v>
      </c>
      <c r="B3838" s="11" t="str">
        <f>"00194102"</f>
        <v>00194102</v>
      </c>
    </row>
    <row r="3839" spans="1:2" x14ac:dyDescent="0.25">
      <c r="A3839" s="2">
        <v>3834</v>
      </c>
      <c r="B3839" s="11" t="str">
        <f>"00194151"</f>
        <v>00194151</v>
      </c>
    </row>
    <row r="3840" spans="1:2" x14ac:dyDescent="0.25">
      <c r="A3840" s="2">
        <v>3835</v>
      </c>
      <c r="B3840" s="11" t="str">
        <f>"00194180"</f>
        <v>00194180</v>
      </c>
    </row>
    <row r="3841" spans="1:2" x14ac:dyDescent="0.25">
      <c r="A3841" s="2">
        <v>3836</v>
      </c>
      <c r="B3841" s="11" t="str">
        <f>"00194186"</f>
        <v>00194186</v>
      </c>
    </row>
    <row r="3842" spans="1:2" x14ac:dyDescent="0.25">
      <c r="A3842" s="2">
        <v>3837</v>
      </c>
      <c r="B3842" s="11" t="str">
        <f>"00194189"</f>
        <v>00194189</v>
      </c>
    </row>
    <row r="3843" spans="1:2" x14ac:dyDescent="0.25">
      <c r="A3843" s="2">
        <v>3838</v>
      </c>
      <c r="B3843" s="11" t="str">
        <f>"00194214"</f>
        <v>00194214</v>
      </c>
    </row>
    <row r="3844" spans="1:2" x14ac:dyDescent="0.25">
      <c r="A3844" s="2">
        <v>3839</v>
      </c>
      <c r="B3844" s="11" t="str">
        <f>"00194218"</f>
        <v>00194218</v>
      </c>
    </row>
    <row r="3845" spans="1:2" x14ac:dyDescent="0.25">
      <c r="A3845" s="2">
        <v>3840</v>
      </c>
      <c r="B3845" s="11" t="str">
        <f>"00194219"</f>
        <v>00194219</v>
      </c>
    </row>
    <row r="3846" spans="1:2" x14ac:dyDescent="0.25">
      <c r="A3846" s="2">
        <v>3841</v>
      </c>
      <c r="B3846" s="11" t="str">
        <f>"00194223"</f>
        <v>00194223</v>
      </c>
    </row>
    <row r="3847" spans="1:2" x14ac:dyDescent="0.25">
      <c r="A3847" s="2">
        <v>3842</v>
      </c>
      <c r="B3847" s="11" t="str">
        <f>"00194224"</f>
        <v>00194224</v>
      </c>
    </row>
    <row r="3848" spans="1:2" x14ac:dyDescent="0.25">
      <c r="A3848" s="2">
        <v>3843</v>
      </c>
      <c r="B3848" s="11" t="str">
        <f>"00194252"</f>
        <v>00194252</v>
      </c>
    </row>
    <row r="3849" spans="1:2" x14ac:dyDescent="0.25">
      <c r="A3849" s="2">
        <v>3844</v>
      </c>
      <c r="B3849" s="11" t="str">
        <f>"00194291"</f>
        <v>00194291</v>
      </c>
    </row>
    <row r="3850" spans="1:2" x14ac:dyDescent="0.25">
      <c r="A3850" s="2">
        <v>3845</v>
      </c>
      <c r="B3850" s="11" t="str">
        <f>"00194298"</f>
        <v>00194298</v>
      </c>
    </row>
    <row r="3851" spans="1:2" x14ac:dyDescent="0.25">
      <c r="A3851" s="2">
        <v>3846</v>
      </c>
      <c r="B3851" s="11" t="str">
        <f>"00194330"</f>
        <v>00194330</v>
      </c>
    </row>
    <row r="3852" spans="1:2" x14ac:dyDescent="0.25">
      <c r="A3852" s="2">
        <v>3847</v>
      </c>
      <c r="B3852" s="11" t="str">
        <f>"00194331"</f>
        <v>00194331</v>
      </c>
    </row>
    <row r="3853" spans="1:2" x14ac:dyDescent="0.25">
      <c r="A3853" s="2">
        <v>3848</v>
      </c>
      <c r="B3853" s="11" t="str">
        <f>"00194357"</f>
        <v>00194357</v>
      </c>
    </row>
    <row r="3854" spans="1:2" x14ac:dyDescent="0.25">
      <c r="A3854" s="2">
        <v>3849</v>
      </c>
      <c r="B3854" s="11" t="str">
        <f>"00194359"</f>
        <v>00194359</v>
      </c>
    </row>
    <row r="3855" spans="1:2" x14ac:dyDescent="0.25">
      <c r="A3855" s="2">
        <v>3850</v>
      </c>
      <c r="B3855" s="11" t="str">
        <f>"00194395"</f>
        <v>00194395</v>
      </c>
    </row>
    <row r="3856" spans="1:2" x14ac:dyDescent="0.25">
      <c r="A3856" s="2">
        <v>3851</v>
      </c>
      <c r="B3856" s="11" t="str">
        <f>"00194437"</f>
        <v>00194437</v>
      </c>
    </row>
    <row r="3857" spans="1:2" x14ac:dyDescent="0.25">
      <c r="A3857" s="2">
        <v>3852</v>
      </c>
      <c r="B3857" s="11" t="str">
        <f>"00194453"</f>
        <v>00194453</v>
      </c>
    </row>
    <row r="3858" spans="1:2" x14ac:dyDescent="0.25">
      <c r="A3858" s="2">
        <v>3853</v>
      </c>
      <c r="B3858" s="11" t="str">
        <f>"00194456"</f>
        <v>00194456</v>
      </c>
    </row>
    <row r="3859" spans="1:2" x14ac:dyDescent="0.25">
      <c r="A3859" s="2">
        <v>3854</v>
      </c>
      <c r="B3859" s="11" t="str">
        <f>"00194457"</f>
        <v>00194457</v>
      </c>
    </row>
    <row r="3860" spans="1:2" x14ac:dyDescent="0.25">
      <c r="A3860" s="2">
        <v>3855</v>
      </c>
      <c r="B3860" s="11" t="str">
        <f>"00194491"</f>
        <v>00194491</v>
      </c>
    </row>
    <row r="3861" spans="1:2" x14ac:dyDescent="0.25">
      <c r="A3861" s="2">
        <v>3856</v>
      </c>
      <c r="B3861" s="11" t="str">
        <f>"00194521"</f>
        <v>00194521</v>
      </c>
    </row>
    <row r="3862" spans="1:2" x14ac:dyDescent="0.25">
      <c r="A3862" s="2">
        <v>3857</v>
      </c>
      <c r="B3862" s="11" t="str">
        <f>"00194527"</f>
        <v>00194527</v>
      </c>
    </row>
    <row r="3863" spans="1:2" x14ac:dyDescent="0.25">
      <c r="A3863" s="2">
        <v>3858</v>
      </c>
      <c r="B3863" s="11" t="str">
        <f>"00194591"</f>
        <v>00194591</v>
      </c>
    </row>
    <row r="3864" spans="1:2" x14ac:dyDescent="0.25">
      <c r="A3864" s="2">
        <v>3859</v>
      </c>
      <c r="B3864" s="11" t="str">
        <f>"00194605"</f>
        <v>00194605</v>
      </c>
    </row>
    <row r="3865" spans="1:2" x14ac:dyDescent="0.25">
      <c r="A3865" s="2">
        <v>3860</v>
      </c>
      <c r="B3865" s="11" t="str">
        <f>"00194622"</f>
        <v>00194622</v>
      </c>
    </row>
    <row r="3866" spans="1:2" x14ac:dyDescent="0.25">
      <c r="A3866" s="2">
        <v>3861</v>
      </c>
      <c r="B3866" s="11" t="str">
        <f>"00194623"</f>
        <v>00194623</v>
      </c>
    </row>
    <row r="3867" spans="1:2" x14ac:dyDescent="0.25">
      <c r="A3867" s="2">
        <v>3862</v>
      </c>
      <c r="B3867" s="11" t="str">
        <f>"00194636"</f>
        <v>00194636</v>
      </c>
    </row>
    <row r="3868" spans="1:2" x14ac:dyDescent="0.25">
      <c r="A3868" s="2">
        <v>3863</v>
      </c>
      <c r="B3868" s="11" t="str">
        <f>"00194646"</f>
        <v>00194646</v>
      </c>
    </row>
    <row r="3869" spans="1:2" x14ac:dyDescent="0.25">
      <c r="A3869" s="2">
        <v>3864</v>
      </c>
      <c r="B3869" s="11" t="str">
        <f>"00194668"</f>
        <v>00194668</v>
      </c>
    </row>
    <row r="3870" spans="1:2" x14ac:dyDescent="0.25">
      <c r="A3870" s="2">
        <v>3865</v>
      </c>
      <c r="B3870" s="11" t="str">
        <f>"00194690"</f>
        <v>00194690</v>
      </c>
    </row>
    <row r="3871" spans="1:2" x14ac:dyDescent="0.25">
      <c r="A3871" s="2">
        <v>3866</v>
      </c>
      <c r="B3871" s="11" t="str">
        <f>"00194702"</f>
        <v>00194702</v>
      </c>
    </row>
    <row r="3872" spans="1:2" x14ac:dyDescent="0.25">
      <c r="A3872" s="2">
        <v>3867</v>
      </c>
      <c r="B3872" s="11" t="str">
        <f>"00194711"</f>
        <v>00194711</v>
      </c>
    </row>
    <row r="3873" spans="1:2" x14ac:dyDescent="0.25">
      <c r="A3873" s="2">
        <v>3868</v>
      </c>
      <c r="B3873" s="11" t="str">
        <f>"00194734"</f>
        <v>00194734</v>
      </c>
    </row>
    <row r="3874" spans="1:2" x14ac:dyDescent="0.25">
      <c r="A3874" s="2">
        <v>3869</v>
      </c>
      <c r="B3874" s="11" t="str">
        <f>"00194736"</f>
        <v>00194736</v>
      </c>
    </row>
    <row r="3875" spans="1:2" x14ac:dyDescent="0.25">
      <c r="A3875" s="2">
        <v>3870</v>
      </c>
      <c r="B3875" s="11" t="str">
        <f>"00194741"</f>
        <v>00194741</v>
      </c>
    </row>
    <row r="3876" spans="1:2" x14ac:dyDescent="0.25">
      <c r="A3876" s="2">
        <v>3871</v>
      </c>
      <c r="B3876" s="11" t="str">
        <f>"00194748"</f>
        <v>00194748</v>
      </c>
    </row>
    <row r="3877" spans="1:2" x14ac:dyDescent="0.25">
      <c r="A3877" s="2">
        <v>3872</v>
      </c>
      <c r="B3877" s="11" t="str">
        <f>"00194762"</f>
        <v>00194762</v>
      </c>
    </row>
    <row r="3878" spans="1:2" x14ac:dyDescent="0.25">
      <c r="A3878" s="2">
        <v>3873</v>
      </c>
      <c r="B3878" s="11" t="str">
        <f>"00194763"</f>
        <v>00194763</v>
      </c>
    </row>
    <row r="3879" spans="1:2" x14ac:dyDescent="0.25">
      <c r="A3879" s="2">
        <v>3874</v>
      </c>
      <c r="B3879" s="11" t="str">
        <f>"00194790"</f>
        <v>00194790</v>
      </c>
    </row>
    <row r="3880" spans="1:2" x14ac:dyDescent="0.25">
      <c r="A3880" s="2">
        <v>3875</v>
      </c>
      <c r="B3880" s="11" t="str">
        <f>"00194806"</f>
        <v>00194806</v>
      </c>
    </row>
    <row r="3881" spans="1:2" x14ac:dyDescent="0.25">
      <c r="A3881" s="2">
        <v>3876</v>
      </c>
      <c r="B3881" s="11" t="str">
        <f>"00194837"</f>
        <v>00194837</v>
      </c>
    </row>
    <row r="3882" spans="1:2" x14ac:dyDescent="0.25">
      <c r="A3882" s="2">
        <v>3877</v>
      </c>
      <c r="B3882" s="11" t="str">
        <f>"00194851"</f>
        <v>00194851</v>
      </c>
    </row>
    <row r="3883" spans="1:2" x14ac:dyDescent="0.25">
      <c r="A3883" s="2">
        <v>3878</v>
      </c>
      <c r="B3883" s="11" t="str">
        <f>"00194857"</f>
        <v>00194857</v>
      </c>
    </row>
    <row r="3884" spans="1:2" x14ac:dyDescent="0.25">
      <c r="A3884" s="2">
        <v>3879</v>
      </c>
      <c r="B3884" s="11" t="str">
        <f>"00194869"</f>
        <v>00194869</v>
      </c>
    </row>
    <row r="3885" spans="1:2" x14ac:dyDescent="0.25">
      <c r="A3885" s="2">
        <v>3880</v>
      </c>
      <c r="B3885" s="11" t="str">
        <f>"00194876"</f>
        <v>00194876</v>
      </c>
    </row>
    <row r="3886" spans="1:2" x14ac:dyDescent="0.25">
      <c r="A3886" s="2">
        <v>3881</v>
      </c>
      <c r="B3886" s="11" t="str">
        <f>"00194996"</f>
        <v>00194996</v>
      </c>
    </row>
    <row r="3887" spans="1:2" x14ac:dyDescent="0.25">
      <c r="A3887" s="2">
        <v>3882</v>
      </c>
      <c r="B3887" s="11" t="str">
        <f>"00195032"</f>
        <v>00195032</v>
      </c>
    </row>
    <row r="3888" spans="1:2" x14ac:dyDescent="0.25">
      <c r="A3888" s="2">
        <v>3883</v>
      </c>
      <c r="B3888" s="11" t="str">
        <f>"00195072"</f>
        <v>00195072</v>
      </c>
    </row>
    <row r="3889" spans="1:2" x14ac:dyDescent="0.25">
      <c r="A3889" s="2">
        <v>3884</v>
      </c>
      <c r="B3889" s="11" t="str">
        <f>"00195088"</f>
        <v>00195088</v>
      </c>
    </row>
    <row r="3890" spans="1:2" x14ac:dyDescent="0.25">
      <c r="A3890" s="2">
        <v>3885</v>
      </c>
      <c r="B3890" s="11" t="str">
        <f>"00195098"</f>
        <v>00195098</v>
      </c>
    </row>
    <row r="3891" spans="1:2" x14ac:dyDescent="0.25">
      <c r="A3891" s="2">
        <v>3886</v>
      </c>
      <c r="B3891" s="11" t="str">
        <f>"00195136"</f>
        <v>00195136</v>
      </c>
    </row>
    <row r="3892" spans="1:2" x14ac:dyDescent="0.25">
      <c r="A3892" s="2">
        <v>3887</v>
      </c>
      <c r="B3892" s="11" t="str">
        <f>"00195144"</f>
        <v>00195144</v>
      </c>
    </row>
    <row r="3893" spans="1:2" x14ac:dyDescent="0.25">
      <c r="A3893" s="2">
        <v>3888</v>
      </c>
      <c r="B3893" s="11" t="str">
        <f>"00195147"</f>
        <v>00195147</v>
      </c>
    </row>
    <row r="3894" spans="1:2" x14ac:dyDescent="0.25">
      <c r="A3894" s="2">
        <v>3889</v>
      </c>
      <c r="B3894" s="11" t="str">
        <f>"00195152"</f>
        <v>00195152</v>
      </c>
    </row>
    <row r="3895" spans="1:2" x14ac:dyDescent="0.25">
      <c r="A3895" s="2">
        <v>3890</v>
      </c>
      <c r="B3895" s="11" t="str">
        <f>"00195158"</f>
        <v>00195158</v>
      </c>
    </row>
    <row r="3896" spans="1:2" x14ac:dyDescent="0.25">
      <c r="A3896" s="2">
        <v>3891</v>
      </c>
      <c r="B3896" s="11" t="str">
        <f>"00195175"</f>
        <v>00195175</v>
      </c>
    </row>
    <row r="3897" spans="1:2" x14ac:dyDescent="0.25">
      <c r="A3897" s="2">
        <v>3892</v>
      </c>
      <c r="B3897" s="11" t="str">
        <f>"00195198"</f>
        <v>00195198</v>
      </c>
    </row>
    <row r="3898" spans="1:2" x14ac:dyDescent="0.25">
      <c r="A3898" s="2">
        <v>3893</v>
      </c>
      <c r="B3898" s="11" t="str">
        <f>"00195244"</f>
        <v>00195244</v>
      </c>
    </row>
    <row r="3899" spans="1:2" x14ac:dyDescent="0.25">
      <c r="A3899" s="2">
        <v>3894</v>
      </c>
      <c r="B3899" s="11" t="str">
        <f>"00195255"</f>
        <v>00195255</v>
      </c>
    </row>
    <row r="3900" spans="1:2" x14ac:dyDescent="0.25">
      <c r="A3900" s="2">
        <v>3895</v>
      </c>
      <c r="B3900" s="11" t="str">
        <f>"00195335"</f>
        <v>00195335</v>
      </c>
    </row>
    <row r="3901" spans="1:2" x14ac:dyDescent="0.25">
      <c r="A3901" s="2">
        <v>3896</v>
      </c>
      <c r="B3901" s="11" t="str">
        <f>"00195361"</f>
        <v>00195361</v>
      </c>
    </row>
    <row r="3902" spans="1:2" x14ac:dyDescent="0.25">
      <c r="A3902" s="2">
        <v>3897</v>
      </c>
      <c r="B3902" s="11" t="str">
        <f>"00195362"</f>
        <v>00195362</v>
      </c>
    </row>
    <row r="3903" spans="1:2" x14ac:dyDescent="0.25">
      <c r="A3903" s="2">
        <v>3898</v>
      </c>
      <c r="B3903" s="11" t="str">
        <f>"00195439"</f>
        <v>00195439</v>
      </c>
    </row>
    <row r="3904" spans="1:2" x14ac:dyDescent="0.25">
      <c r="A3904" s="2">
        <v>3899</v>
      </c>
      <c r="B3904" s="11" t="str">
        <f>"00195469"</f>
        <v>00195469</v>
      </c>
    </row>
    <row r="3905" spans="1:2" x14ac:dyDescent="0.25">
      <c r="A3905" s="2">
        <v>3900</v>
      </c>
      <c r="B3905" s="11" t="str">
        <f>"00195477"</f>
        <v>00195477</v>
      </c>
    </row>
    <row r="3906" spans="1:2" x14ac:dyDescent="0.25">
      <c r="A3906" s="2">
        <v>3901</v>
      </c>
      <c r="B3906" s="11" t="str">
        <f>"00195487"</f>
        <v>00195487</v>
      </c>
    </row>
    <row r="3907" spans="1:2" x14ac:dyDescent="0.25">
      <c r="A3907" s="2">
        <v>3902</v>
      </c>
      <c r="B3907" s="11" t="str">
        <f>"00195561"</f>
        <v>00195561</v>
      </c>
    </row>
    <row r="3908" spans="1:2" x14ac:dyDescent="0.25">
      <c r="A3908" s="2">
        <v>3903</v>
      </c>
      <c r="B3908" s="11" t="str">
        <f>"00195574"</f>
        <v>00195574</v>
      </c>
    </row>
    <row r="3909" spans="1:2" x14ac:dyDescent="0.25">
      <c r="A3909" s="2">
        <v>3904</v>
      </c>
      <c r="B3909" s="11" t="str">
        <f>"00195577"</f>
        <v>00195577</v>
      </c>
    </row>
    <row r="3910" spans="1:2" x14ac:dyDescent="0.25">
      <c r="A3910" s="2">
        <v>3905</v>
      </c>
      <c r="B3910" s="11" t="str">
        <f>"00195582"</f>
        <v>00195582</v>
      </c>
    </row>
    <row r="3911" spans="1:2" x14ac:dyDescent="0.25">
      <c r="A3911" s="2">
        <v>3906</v>
      </c>
      <c r="B3911" s="11" t="str">
        <f>"00195592"</f>
        <v>00195592</v>
      </c>
    </row>
    <row r="3912" spans="1:2" x14ac:dyDescent="0.25">
      <c r="A3912" s="2">
        <v>3907</v>
      </c>
      <c r="B3912" s="11" t="str">
        <f>"00195606"</f>
        <v>00195606</v>
      </c>
    </row>
    <row r="3913" spans="1:2" x14ac:dyDescent="0.25">
      <c r="A3913" s="2">
        <v>3908</v>
      </c>
      <c r="B3913" s="11" t="str">
        <f>"00195609"</f>
        <v>00195609</v>
      </c>
    </row>
    <row r="3914" spans="1:2" x14ac:dyDescent="0.25">
      <c r="A3914" s="2">
        <v>3909</v>
      </c>
      <c r="B3914" s="11" t="str">
        <f>"00195615"</f>
        <v>00195615</v>
      </c>
    </row>
    <row r="3915" spans="1:2" x14ac:dyDescent="0.25">
      <c r="A3915" s="2">
        <v>3910</v>
      </c>
      <c r="B3915" s="11" t="str">
        <f>"00195631"</f>
        <v>00195631</v>
      </c>
    </row>
    <row r="3916" spans="1:2" x14ac:dyDescent="0.25">
      <c r="A3916" s="2">
        <v>3911</v>
      </c>
      <c r="B3916" s="11" t="str">
        <f>"00195642"</f>
        <v>00195642</v>
      </c>
    </row>
    <row r="3917" spans="1:2" x14ac:dyDescent="0.25">
      <c r="A3917" s="2">
        <v>3912</v>
      </c>
      <c r="B3917" s="11" t="str">
        <f>"00195658"</f>
        <v>00195658</v>
      </c>
    </row>
    <row r="3918" spans="1:2" x14ac:dyDescent="0.25">
      <c r="A3918" s="2">
        <v>3913</v>
      </c>
      <c r="B3918" s="11" t="str">
        <f>"00195809"</f>
        <v>00195809</v>
      </c>
    </row>
    <row r="3919" spans="1:2" x14ac:dyDescent="0.25">
      <c r="A3919" s="2">
        <v>3914</v>
      </c>
      <c r="B3919" s="11" t="str">
        <f>"00195812"</f>
        <v>00195812</v>
      </c>
    </row>
    <row r="3920" spans="1:2" x14ac:dyDescent="0.25">
      <c r="A3920" s="2">
        <v>3915</v>
      </c>
      <c r="B3920" s="11" t="str">
        <f>"00195820"</f>
        <v>00195820</v>
      </c>
    </row>
    <row r="3921" spans="1:2" x14ac:dyDescent="0.25">
      <c r="A3921" s="2">
        <v>3916</v>
      </c>
      <c r="B3921" s="11" t="str">
        <f>"00195839"</f>
        <v>00195839</v>
      </c>
    </row>
    <row r="3922" spans="1:2" x14ac:dyDescent="0.25">
      <c r="A3922" s="2">
        <v>3917</v>
      </c>
      <c r="B3922" s="11" t="str">
        <f>"00195842"</f>
        <v>00195842</v>
      </c>
    </row>
    <row r="3923" spans="1:2" x14ac:dyDescent="0.25">
      <c r="A3923" s="2">
        <v>3918</v>
      </c>
      <c r="B3923" s="11" t="str">
        <f>"00195844"</f>
        <v>00195844</v>
      </c>
    </row>
    <row r="3924" spans="1:2" x14ac:dyDescent="0.25">
      <c r="A3924" s="2">
        <v>3919</v>
      </c>
      <c r="B3924" s="11" t="str">
        <f>"00195869"</f>
        <v>00195869</v>
      </c>
    </row>
    <row r="3925" spans="1:2" x14ac:dyDescent="0.25">
      <c r="A3925" s="2">
        <v>3920</v>
      </c>
      <c r="B3925" s="11" t="str">
        <f>"00195905"</f>
        <v>00195905</v>
      </c>
    </row>
    <row r="3926" spans="1:2" x14ac:dyDescent="0.25">
      <c r="A3926" s="2">
        <v>3921</v>
      </c>
      <c r="B3926" s="11" t="str">
        <f>"00195919"</f>
        <v>00195919</v>
      </c>
    </row>
    <row r="3927" spans="1:2" x14ac:dyDescent="0.25">
      <c r="A3927" s="2">
        <v>3922</v>
      </c>
      <c r="B3927" s="11" t="str">
        <f>"00195938"</f>
        <v>00195938</v>
      </c>
    </row>
    <row r="3928" spans="1:2" x14ac:dyDescent="0.25">
      <c r="A3928" s="2">
        <v>3923</v>
      </c>
      <c r="B3928" s="11" t="str">
        <f>"00195951"</f>
        <v>00195951</v>
      </c>
    </row>
    <row r="3929" spans="1:2" x14ac:dyDescent="0.25">
      <c r="A3929" s="2">
        <v>3924</v>
      </c>
      <c r="B3929" s="11" t="str">
        <f>"00195976"</f>
        <v>00195976</v>
      </c>
    </row>
    <row r="3930" spans="1:2" x14ac:dyDescent="0.25">
      <c r="A3930" s="2">
        <v>3925</v>
      </c>
      <c r="B3930" s="11" t="str">
        <f>"00196035"</f>
        <v>00196035</v>
      </c>
    </row>
    <row r="3931" spans="1:2" x14ac:dyDescent="0.25">
      <c r="A3931" s="2">
        <v>3926</v>
      </c>
      <c r="B3931" s="11" t="str">
        <f>"00196036"</f>
        <v>00196036</v>
      </c>
    </row>
    <row r="3932" spans="1:2" x14ac:dyDescent="0.25">
      <c r="A3932" s="2">
        <v>3927</v>
      </c>
      <c r="B3932" s="11" t="str">
        <f>"00196043"</f>
        <v>00196043</v>
      </c>
    </row>
    <row r="3933" spans="1:2" x14ac:dyDescent="0.25">
      <c r="A3933" s="2">
        <v>3928</v>
      </c>
      <c r="B3933" s="11" t="str">
        <f>"00196066"</f>
        <v>00196066</v>
      </c>
    </row>
    <row r="3934" spans="1:2" x14ac:dyDescent="0.25">
      <c r="A3934" s="2">
        <v>3929</v>
      </c>
      <c r="B3934" s="11" t="str">
        <f>"00196094"</f>
        <v>00196094</v>
      </c>
    </row>
    <row r="3935" spans="1:2" x14ac:dyDescent="0.25">
      <c r="A3935" s="2">
        <v>3930</v>
      </c>
      <c r="B3935" s="11" t="str">
        <f>"00196099"</f>
        <v>00196099</v>
      </c>
    </row>
    <row r="3936" spans="1:2" x14ac:dyDescent="0.25">
      <c r="A3936" s="2">
        <v>3931</v>
      </c>
      <c r="B3936" s="11" t="str">
        <f>"00196124"</f>
        <v>00196124</v>
      </c>
    </row>
    <row r="3937" spans="1:2" x14ac:dyDescent="0.25">
      <c r="A3937" s="2">
        <v>3932</v>
      </c>
      <c r="B3937" s="11" t="str">
        <f>"00196132"</f>
        <v>00196132</v>
      </c>
    </row>
    <row r="3938" spans="1:2" x14ac:dyDescent="0.25">
      <c r="A3938" s="2">
        <v>3933</v>
      </c>
      <c r="B3938" s="11" t="str">
        <f>"00196155"</f>
        <v>00196155</v>
      </c>
    </row>
    <row r="3939" spans="1:2" x14ac:dyDescent="0.25">
      <c r="A3939" s="2">
        <v>3934</v>
      </c>
      <c r="B3939" s="11" t="str">
        <f>"00196163"</f>
        <v>00196163</v>
      </c>
    </row>
    <row r="3940" spans="1:2" x14ac:dyDescent="0.25">
      <c r="A3940" s="2">
        <v>3935</v>
      </c>
      <c r="B3940" s="11" t="str">
        <f>"00196174"</f>
        <v>00196174</v>
      </c>
    </row>
    <row r="3941" spans="1:2" x14ac:dyDescent="0.25">
      <c r="A3941" s="2">
        <v>3936</v>
      </c>
      <c r="B3941" s="11" t="str">
        <f>"00196208"</f>
        <v>00196208</v>
      </c>
    </row>
    <row r="3942" spans="1:2" x14ac:dyDescent="0.25">
      <c r="A3942" s="2">
        <v>3937</v>
      </c>
      <c r="B3942" s="11" t="str">
        <f>"00196246"</f>
        <v>00196246</v>
      </c>
    </row>
    <row r="3943" spans="1:2" x14ac:dyDescent="0.25">
      <c r="A3943" s="2">
        <v>3938</v>
      </c>
      <c r="B3943" s="11" t="str">
        <f>"00196257"</f>
        <v>00196257</v>
      </c>
    </row>
    <row r="3944" spans="1:2" x14ac:dyDescent="0.25">
      <c r="A3944" s="2">
        <v>3939</v>
      </c>
      <c r="B3944" s="11" t="str">
        <f>"00196259"</f>
        <v>00196259</v>
      </c>
    </row>
    <row r="3945" spans="1:2" x14ac:dyDescent="0.25">
      <c r="A3945" s="2">
        <v>3940</v>
      </c>
      <c r="B3945" s="11" t="str">
        <f>"00196290"</f>
        <v>00196290</v>
      </c>
    </row>
    <row r="3946" spans="1:2" x14ac:dyDescent="0.25">
      <c r="A3946" s="2">
        <v>3941</v>
      </c>
      <c r="B3946" s="11" t="str">
        <f>"00196291"</f>
        <v>00196291</v>
      </c>
    </row>
    <row r="3947" spans="1:2" x14ac:dyDescent="0.25">
      <c r="A3947" s="2">
        <v>3942</v>
      </c>
      <c r="B3947" s="11" t="str">
        <f>"00196299"</f>
        <v>00196299</v>
      </c>
    </row>
    <row r="3948" spans="1:2" x14ac:dyDescent="0.25">
      <c r="A3948" s="2">
        <v>3943</v>
      </c>
      <c r="B3948" s="11" t="str">
        <f>"00196388"</f>
        <v>00196388</v>
      </c>
    </row>
    <row r="3949" spans="1:2" x14ac:dyDescent="0.25">
      <c r="A3949" s="2">
        <v>3944</v>
      </c>
      <c r="B3949" s="11" t="str">
        <f>"00196407"</f>
        <v>00196407</v>
      </c>
    </row>
    <row r="3950" spans="1:2" x14ac:dyDescent="0.25">
      <c r="A3950" s="2">
        <v>3945</v>
      </c>
      <c r="B3950" s="11" t="str">
        <f>"00196434"</f>
        <v>00196434</v>
      </c>
    </row>
    <row r="3951" spans="1:2" x14ac:dyDescent="0.25">
      <c r="A3951" s="2">
        <v>3946</v>
      </c>
      <c r="B3951" s="11" t="str">
        <f>"00196437"</f>
        <v>00196437</v>
      </c>
    </row>
    <row r="3952" spans="1:2" x14ac:dyDescent="0.25">
      <c r="A3952" s="2">
        <v>3947</v>
      </c>
      <c r="B3952" s="11" t="str">
        <f>"00196461"</f>
        <v>00196461</v>
      </c>
    </row>
    <row r="3953" spans="1:2" x14ac:dyDescent="0.25">
      <c r="A3953" s="2">
        <v>3948</v>
      </c>
      <c r="B3953" s="11" t="str">
        <f>"00196465"</f>
        <v>00196465</v>
      </c>
    </row>
    <row r="3954" spans="1:2" x14ac:dyDescent="0.25">
      <c r="A3954" s="2">
        <v>3949</v>
      </c>
      <c r="B3954" s="11" t="str">
        <f>"00196526"</f>
        <v>00196526</v>
      </c>
    </row>
    <row r="3955" spans="1:2" x14ac:dyDescent="0.25">
      <c r="A3955" s="2">
        <v>3950</v>
      </c>
      <c r="B3955" s="11" t="str">
        <f>"00196572"</f>
        <v>00196572</v>
      </c>
    </row>
    <row r="3956" spans="1:2" x14ac:dyDescent="0.25">
      <c r="A3956" s="2">
        <v>3951</v>
      </c>
      <c r="B3956" s="11" t="str">
        <f>"00196577"</f>
        <v>00196577</v>
      </c>
    </row>
    <row r="3957" spans="1:2" x14ac:dyDescent="0.25">
      <c r="A3957" s="2">
        <v>3952</v>
      </c>
      <c r="B3957" s="11" t="str">
        <f>"00196598"</f>
        <v>00196598</v>
      </c>
    </row>
    <row r="3958" spans="1:2" x14ac:dyDescent="0.25">
      <c r="A3958" s="2">
        <v>3953</v>
      </c>
      <c r="B3958" s="11" t="str">
        <f>"00196626"</f>
        <v>00196626</v>
      </c>
    </row>
    <row r="3959" spans="1:2" x14ac:dyDescent="0.25">
      <c r="A3959" s="2">
        <v>3954</v>
      </c>
      <c r="B3959" s="11" t="str">
        <f>"00196650"</f>
        <v>00196650</v>
      </c>
    </row>
    <row r="3960" spans="1:2" x14ac:dyDescent="0.25">
      <c r="A3960" s="2">
        <v>3955</v>
      </c>
      <c r="B3960" s="11" t="str">
        <f>"00196675"</f>
        <v>00196675</v>
      </c>
    </row>
    <row r="3961" spans="1:2" x14ac:dyDescent="0.25">
      <c r="A3961" s="2">
        <v>3956</v>
      </c>
      <c r="B3961" s="11" t="str">
        <f>"00196686"</f>
        <v>00196686</v>
      </c>
    </row>
    <row r="3962" spans="1:2" x14ac:dyDescent="0.25">
      <c r="A3962" s="2">
        <v>3957</v>
      </c>
      <c r="B3962" s="11" t="str">
        <f>"00196837"</f>
        <v>00196837</v>
      </c>
    </row>
    <row r="3963" spans="1:2" x14ac:dyDescent="0.25">
      <c r="A3963" s="2">
        <v>3958</v>
      </c>
      <c r="B3963" s="11" t="str">
        <f>"00196842"</f>
        <v>00196842</v>
      </c>
    </row>
    <row r="3964" spans="1:2" x14ac:dyDescent="0.25">
      <c r="A3964" s="2">
        <v>3959</v>
      </c>
      <c r="B3964" s="11" t="str">
        <f>"00196910"</f>
        <v>00196910</v>
      </c>
    </row>
    <row r="3965" spans="1:2" x14ac:dyDescent="0.25">
      <c r="A3965" s="2">
        <v>3960</v>
      </c>
      <c r="B3965" s="11" t="str">
        <f>"00196912"</f>
        <v>00196912</v>
      </c>
    </row>
    <row r="3966" spans="1:2" x14ac:dyDescent="0.25">
      <c r="A3966" s="2">
        <v>3961</v>
      </c>
      <c r="B3966" s="11" t="str">
        <f>"00196990"</f>
        <v>00196990</v>
      </c>
    </row>
    <row r="3967" spans="1:2" x14ac:dyDescent="0.25">
      <c r="A3967" s="2">
        <v>3962</v>
      </c>
      <c r="B3967" s="11" t="str">
        <f>"00197023"</f>
        <v>00197023</v>
      </c>
    </row>
    <row r="3968" spans="1:2" x14ac:dyDescent="0.25">
      <c r="A3968" s="2">
        <v>3963</v>
      </c>
      <c r="B3968" s="11" t="str">
        <f>"00197051"</f>
        <v>00197051</v>
      </c>
    </row>
    <row r="3969" spans="1:2" x14ac:dyDescent="0.25">
      <c r="A3969" s="2">
        <v>3964</v>
      </c>
      <c r="B3969" s="11" t="str">
        <f>"00197110"</f>
        <v>00197110</v>
      </c>
    </row>
    <row r="3970" spans="1:2" x14ac:dyDescent="0.25">
      <c r="A3970" s="2">
        <v>3965</v>
      </c>
      <c r="B3970" s="11" t="str">
        <f>"00197113"</f>
        <v>00197113</v>
      </c>
    </row>
    <row r="3971" spans="1:2" x14ac:dyDescent="0.25">
      <c r="A3971" s="2">
        <v>3966</v>
      </c>
      <c r="B3971" s="11" t="str">
        <f>"00197172"</f>
        <v>00197172</v>
      </c>
    </row>
    <row r="3972" spans="1:2" x14ac:dyDescent="0.25">
      <c r="A3972" s="2">
        <v>3967</v>
      </c>
      <c r="B3972" s="11" t="str">
        <f>"00197336"</f>
        <v>00197336</v>
      </c>
    </row>
    <row r="3973" spans="1:2" x14ac:dyDescent="0.25">
      <c r="A3973" s="2">
        <v>3968</v>
      </c>
      <c r="B3973" s="11" t="str">
        <f>"00197364"</f>
        <v>00197364</v>
      </c>
    </row>
    <row r="3974" spans="1:2" x14ac:dyDescent="0.25">
      <c r="A3974" s="2">
        <v>3969</v>
      </c>
      <c r="B3974" s="11" t="str">
        <f>"00197402"</f>
        <v>00197402</v>
      </c>
    </row>
    <row r="3975" spans="1:2" x14ac:dyDescent="0.25">
      <c r="A3975" s="2">
        <v>3970</v>
      </c>
      <c r="B3975" s="11" t="str">
        <f>"00197410"</f>
        <v>00197410</v>
      </c>
    </row>
    <row r="3976" spans="1:2" x14ac:dyDescent="0.25">
      <c r="A3976" s="2">
        <v>3971</v>
      </c>
      <c r="B3976" s="11" t="str">
        <f>"00197413"</f>
        <v>00197413</v>
      </c>
    </row>
    <row r="3977" spans="1:2" x14ac:dyDescent="0.25">
      <c r="A3977" s="2">
        <v>3972</v>
      </c>
      <c r="B3977" s="11" t="str">
        <f>"00197420"</f>
        <v>00197420</v>
      </c>
    </row>
    <row r="3978" spans="1:2" x14ac:dyDescent="0.25">
      <c r="A3978" s="2">
        <v>3973</v>
      </c>
      <c r="B3978" s="11" t="str">
        <f>"00197437"</f>
        <v>00197437</v>
      </c>
    </row>
    <row r="3979" spans="1:2" x14ac:dyDescent="0.25">
      <c r="A3979" s="2">
        <v>3974</v>
      </c>
      <c r="B3979" s="11" t="str">
        <f>"00197462"</f>
        <v>00197462</v>
      </c>
    </row>
    <row r="3980" spans="1:2" x14ac:dyDescent="0.25">
      <c r="A3980" s="2">
        <v>3975</v>
      </c>
      <c r="B3980" s="11" t="str">
        <f>"00197464"</f>
        <v>00197464</v>
      </c>
    </row>
    <row r="3981" spans="1:2" x14ac:dyDescent="0.25">
      <c r="A3981" s="2">
        <v>3976</v>
      </c>
      <c r="B3981" s="11" t="str">
        <f>"00197491"</f>
        <v>00197491</v>
      </c>
    </row>
    <row r="3982" spans="1:2" x14ac:dyDescent="0.25">
      <c r="A3982" s="2">
        <v>3977</v>
      </c>
      <c r="B3982" s="11" t="str">
        <f>"00197493"</f>
        <v>00197493</v>
      </c>
    </row>
    <row r="3983" spans="1:2" x14ac:dyDescent="0.25">
      <c r="A3983" s="2">
        <v>3978</v>
      </c>
      <c r="B3983" s="11" t="str">
        <f>"00197499"</f>
        <v>00197499</v>
      </c>
    </row>
    <row r="3984" spans="1:2" x14ac:dyDescent="0.25">
      <c r="A3984" s="2">
        <v>3979</v>
      </c>
      <c r="B3984" s="11" t="str">
        <f>"00197510"</f>
        <v>00197510</v>
      </c>
    </row>
    <row r="3985" spans="1:2" x14ac:dyDescent="0.25">
      <c r="A3985" s="2">
        <v>3980</v>
      </c>
      <c r="B3985" s="11" t="str">
        <f>"00197521"</f>
        <v>00197521</v>
      </c>
    </row>
    <row r="3986" spans="1:2" x14ac:dyDescent="0.25">
      <c r="A3986" s="2">
        <v>3981</v>
      </c>
      <c r="B3986" s="11" t="str">
        <f>"00197533"</f>
        <v>00197533</v>
      </c>
    </row>
    <row r="3987" spans="1:2" x14ac:dyDescent="0.25">
      <c r="A3987" s="2">
        <v>3982</v>
      </c>
      <c r="B3987" s="11" t="str">
        <f>"00197549"</f>
        <v>00197549</v>
      </c>
    </row>
    <row r="3988" spans="1:2" x14ac:dyDescent="0.25">
      <c r="A3988" s="2">
        <v>3983</v>
      </c>
      <c r="B3988" s="11" t="str">
        <f>"00197577"</f>
        <v>00197577</v>
      </c>
    </row>
    <row r="3989" spans="1:2" x14ac:dyDescent="0.25">
      <c r="A3989" s="2">
        <v>3984</v>
      </c>
      <c r="B3989" s="11" t="str">
        <f>"00197612"</f>
        <v>00197612</v>
      </c>
    </row>
    <row r="3990" spans="1:2" x14ac:dyDescent="0.25">
      <c r="A3990" s="2">
        <v>3985</v>
      </c>
      <c r="B3990" s="11" t="str">
        <f>"00197624"</f>
        <v>00197624</v>
      </c>
    </row>
    <row r="3991" spans="1:2" x14ac:dyDescent="0.25">
      <c r="A3991" s="2">
        <v>3986</v>
      </c>
      <c r="B3991" s="11" t="str">
        <f>"00197654"</f>
        <v>00197654</v>
      </c>
    </row>
    <row r="3992" spans="1:2" x14ac:dyDescent="0.25">
      <c r="A3992" s="2">
        <v>3987</v>
      </c>
      <c r="B3992" s="11" t="str">
        <f>"00197690"</f>
        <v>00197690</v>
      </c>
    </row>
    <row r="3993" spans="1:2" x14ac:dyDescent="0.25">
      <c r="A3993" s="2">
        <v>3988</v>
      </c>
      <c r="B3993" s="11" t="str">
        <f>"00197727"</f>
        <v>00197727</v>
      </c>
    </row>
    <row r="3994" spans="1:2" x14ac:dyDescent="0.25">
      <c r="A3994" s="2">
        <v>3989</v>
      </c>
      <c r="B3994" s="11" t="str">
        <f>"00197746"</f>
        <v>00197746</v>
      </c>
    </row>
    <row r="3995" spans="1:2" x14ac:dyDescent="0.25">
      <c r="A3995" s="2">
        <v>3990</v>
      </c>
      <c r="B3995" s="11" t="str">
        <f>"00197772"</f>
        <v>00197772</v>
      </c>
    </row>
    <row r="3996" spans="1:2" x14ac:dyDescent="0.25">
      <c r="A3996" s="2">
        <v>3991</v>
      </c>
      <c r="B3996" s="11" t="str">
        <f>"00197816"</f>
        <v>00197816</v>
      </c>
    </row>
    <row r="3997" spans="1:2" x14ac:dyDescent="0.25">
      <c r="A3997" s="2">
        <v>3992</v>
      </c>
      <c r="B3997" s="11" t="str">
        <f>"00197818"</f>
        <v>00197818</v>
      </c>
    </row>
    <row r="3998" spans="1:2" x14ac:dyDescent="0.25">
      <c r="A3998" s="2">
        <v>3993</v>
      </c>
      <c r="B3998" s="11" t="str">
        <f>"00197837"</f>
        <v>00197837</v>
      </c>
    </row>
    <row r="3999" spans="1:2" x14ac:dyDescent="0.25">
      <c r="A3999" s="2">
        <v>3994</v>
      </c>
      <c r="B3999" s="11" t="str">
        <f>"00197856"</f>
        <v>00197856</v>
      </c>
    </row>
    <row r="4000" spans="1:2" x14ac:dyDescent="0.25">
      <c r="A4000" s="2">
        <v>3995</v>
      </c>
      <c r="B4000" s="11" t="str">
        <f>"00197862"</f>
        <v>00197862</v>
      </c>
    </row>
    <row r="4001" spans="1:2" x14ac:dyDescent="0.25">
      <c r="A4001" s="2">
        <v>3996</v>
      </c>
      <c r="B4001" s="11" t="str">
        <f>"00198007"</f>
        <v>00198007</v>
      </c>
    </row>
    <row r="4002" spans="1:2" x14ac:dyDescent="0.25">
      <c r="A4002" s="2">
        <v>3997</v>
      </c>
      <c r="B4002" s="11" t="str">
        <f>"00198014"</f>
        <v>00198014</v>
      </c>
    </row>
    <row r="4003" spans="1:2" x14ac:dyDescent="0.25">
      <c r="A4003" s="2">
        <v>3998</v>
      </c>
      <c r="B4003" s="11" t="str">
        <f>"00198042"</f>
        <v>00198042</v>
      </c>
    </row>
    <row r="4004" spans="1:2" x14ac:dyDescent="0.25">
      <c r="A4004" s="2">
        <v>3999</v>
      </c>
      <c r="B4004" s="11" t="str">
        <f>"00198056"</f>
        <v>00198056</v>
      </c>
    </row>
    <row r="4005" spans="1:2" x14ac:dyDescent="0.25">
      <c r="A4005" s="2">
        <v>4000</v>
      </c>
      <c r="B4005" s="11" t="str">
        <f>"00198058"</f>
        <v>00198058</v>
      </c>
    </row>
    <row r="4006" spans="1:2" x14ac:dyDescent="0.25">
      <c r="A4006" s="2">
        <v>4001</v>
      </c>
      <c r="B4006" s="11" t="str">
        <f>"00198078"</f>
        <v>00198078</v>
      </c>
    </row>
    <row r="4007" spans="1:2" x14ac:dyDescent="0.25">
      <c r="A4007" s="2">
        <v>4002</v>
      </c>
      <c r="B4007" s="11" t="str">
        <f>"00198098"</f>
        <v>00198098</v>
      </c>
    </row>
    <row r="4008" spans="1:2" x14ac:dyDescent="0.25">
      <c r="A4008" s="2">
        <v>4003</v>
      </c>
      <c r="B4008" s="11" t="str">
        <f>"00198131"</f>
        <v>00198131</v>
      </c>
    </row>
    <row r="4009" spans="1:2" x14ac:dyDescent="0.25">
      <c r="A4009" s="2">
        <v>4004</v>
      </c>
      <c r="B4009" s="11" t="str">
        <f>"00198137"</f>
        <v>00198137</v>
      </c>
    </row>
    <row r="4010" spans="1:2" x14ac:dyDescent="0.25">
      <c r="A4010" s="2">
        <v>4005</v>
      </c>
      <c r="B4010" s="11" t="str">
        <f>"00198155"</f>
        <v>00198155</v>
      </c>
    </row>
    <row r="4011" spans="1:2" x14ac:dyDescent="0.25">
      <c r="A4011" s="2">
        <v>4006</v>
      </c>
      <c r="B4011" s="11" t="str">
        <f>"00198158"</f>
        <v>00198158</v>
      </c>
    </row>
    <row r="4012" spans="1:2" x14ac:dyDescent="0.25">
      <c r="A4012" s="2">
        <v>4007</v>
      </c>
      <c r="B4012" s="11" t="str">
        <f>"00198186"</f>
        <v>00198186</v>
      </c>
    </row>
    <row r="4013" spans="1:2" x14ac:dyDescent="0.25">
      <c r="A4013" s="2">
        <v>4008</v>
      </c>
      <c r="B4013" s="11" t="str">
        <f>"00198218"</f>
        <v>00198218</v>
      </c>
    </row>
    <row r="4014" spans="1:2" x14ac:dyDescent="0.25">
      <c r="A4014" s="2">
        <v>4009</v>
      </c>
      <c r="B4014" s="11" t="str">
        <f>"00198229"</f>
        <v>00198229</v>
      </c>
    </row>
    <row r="4015" spans="1:2" x14ac:dyDescent="0.25">
      <c r="A4015" s="2">
        <v>4010</v>
      </c>
      <c r="B4015" s="11" t="str">
        <f>"00198230"</f>
        <v>00198230</v>
      </c>
    </row>
    <row r="4016" spans="1:2" x14ac:dyDescent="0.25">
      <c r="A4016" s="2">
        <v>4011</v>
      </c>
      <c r="B4016" s="11" t="str">
        <f>"00198258"</f>
        <v>00198258</v>
      </c>
    </row>
    <row r="4017" spans="1:2" x14ac:dyDescent="0.25">
      <c r="A4017" s="2">
        <v>4012</v>
      </c>
      <c r="B4017" s="11" t="str">
        <f>"00198260"</f>
        <v>00198260</v>
      </c>
    </row>
    <row r="4018" spans="1:2" x14ac:dyDescent="0.25">
      <c r="A4018" s="2">
        <v>4013</v>
      </c>
      <c r="B4018" s="11" t="str">
        <f>"00198290"</f>
        <v>00198290</v>
      </c>
    </row>
    <row r="4019" spans="1:2" x14ac:dyDescent="0.25">
      <c r="A4019" s="2">
        <v>4014</v>
      </c>
      <c r="B4019" s="11" t="str">
        <f>"00198312"</f>
        <v>00198312</v>
      </c>
    </row>
    <row r="4020" spans="1:2" x14ac:dyDescent="0.25">
      <c r="A4020" s="2">
        <v>4015</v>
      </c>
      <c r="B4020" s="11" t="str">
        <f>"00198322"</f>
        <v>00198322</v>
      </c>
    </row>
    <row r="4021" spans="1:2" x14ac:dyDescent="0.25">
      <c r="A4021" s="2">
        <v>4016</v>
      </c>
      <c r="B4021" s="11" t="str">
        <f>"00198325"</f>
        <v>00198325</v>
      </c>
    </row>
    <row r="4022" spans="1:2" x14ac:dyDescent="0.25">
      <c r="A4022" s="2">
        <v>4017</v>
      </c>
      <c r="B4022" s="11" t="str">
        <f>"00198355"</f>
        <v>00198355</v>
      </c>
    </row>
    <row r="4023" spans="1:2" x14ac:dyDescent="0.25">
      <c r="A4023" s="2">
        <v>4018</v>
      </c>
      <c r="B4023" s="11" t="str">
        <f>"00198390"</f>
        <v>00198390</v>
      </c>
    </row>
    <row r="4024" spans="1:2" x14ac:dyDescent="0.25">
      <c r="A4024" s="2">
        <v>4019</v>
      </c>
      <c r="B4024" s="11" t="str">
        <f>"00198400"</f>
        <v>00198400</v>
      </c>
    </row>
    <row r="4025" spans="1:2" x14ac:dyDescent="0.25">
      <c r="A4025" s="2">
        <v>4020</v>
      </c>
      <c r="B4025" s="11" t="str">
        <f>"00198456"</f>
        <v>00198456</v>
      </c>
    </row>
    <row r="4026" spans="1:2" x14ac:dyDescent="0.25">
      <c r="A4026" s="2">
        <v>4021</v>
      </c>
      <c r="B4026" s="11" t="str">
        <f>"00198476"</f>
        <v>00198476</v>
      </c>
    </row>
    <row r="4027" spans="1:2" x14ac:dyDescent="0.25">
      <c r="A4027" s="2">
        <v>4022</v>
      </c>
      <c r="B4027" s="11" t="str">
        <f>"00198479"</f>
        <v>00198479</v>
      </c>
    </row>
    <row r="4028" spans="1:2" x14ac:dyDescent="0.25">
      <c r="A4028" s="2">
        <v>4023</v>
      </c>
      <c r="B4028" s="11" t="str">
        <f>"00198500"</f>
        <v>00198500</v>
      </c>
    </row>
    <row r="4029" spans="1:2" x14ac:dyDescent="0.25">
      <c r="A4029" s="2">
        <v>4024</v>
      </c>
      <c r="B4029" s="11" t="str">
        <f>"00198501"</f>
        <v>00198501</v>
      </c>
    </row>
    <row r="4030" spans="1:2" x14ac:dyDescent="0.25">
      <c r="A4030" s="2">
        <v>4025</v>
      </c>
      <c r="B4030" s="11" t="str">
        <f>"00198515"</f>
        <v>00198515</v>
      </c>
    </row>
    <row r="4031" spans="1:2" x14ac:dyDescent="0.25">
      <c r="A4031" s="2">
        <v>4026</v>
      </c>
      <c r="B4031" s="11" t="str">
        <f>"00198555"</f>
        <v>00198555</v>
      </c>
    </row>
    <row r="4032" spans="1:2" x14ac:dyDescent="0.25">
      <c r="A4032" s="2">
        <v>4027</v>
      </c>
      <c r="B4032" s="11" t="str">
        <f>"00198566"</f>
        <v>00198566</v>
      </c>
    </row>
    <row r="4033" spans="1:2" x14ac:dyDescent="0.25">
      <c r="A4033" s="2">
        <v>4028</v>
      </c>
      <c r="B4033" s="11" t="str">
        <f>"00198571"</f>
        <v>00198571</v>
      </c>
    </row>
    <row r="4034" spans="1:2" x14ac:dyDescent="0.25">
      <c r="A4034" s="2">
        <v>4029</v>
      </c>
      <c r="B4034" s="11" t="str">
        <f>"00198573"</f>
        <v>00198573</v>
      </c>
    </row>
    <row r="4035" spans="1:2" x14ac:dyDescent="0.25">
      <c r="A4035" s="2">
        <v>4030</v>
      </c>
      <c r="B4035" s="11" t="str">
        <f>"00198574"</f>
        <v>00198574</v>
      </c>
    </row>
    <row r="4036" spans="1:2" x14ac:dyDescent="0.25">
      <c r="A4036" s="2">
        <v>4031</v>
      </c>
      <c r="B4036" s="11" t="str">
        <f>"00198579"</f>
        <v>00198579</v>
      </c>
    </row>
    <row r="4037" spans="1:2" x14ac:dyDescent="0.25">
      <c r="A4037" s="2">
        <v>4032</v>
      </c>
      <c r="B4037" s="11" t="str">
        <f>"00198582"</f>
        <v>00198582</v>
      </c>
    </row>
    <row r="4038" spans="1:2" x14ac:dyDescent="0.25">
      <c r="A4038" s="2">
        <v>4033</v>
      </c>
      <c r="B4038" s="11" t="str">
        <f>"00198596"</f>
        <v>00198596</v>
      </c>
    </row>
    <row r="4039" spans="1:2" x14ac:dyDescent="0.25">
      <c r="A4039" s="2">
        <v>4034</v>
      </c>
      <c r="B4039" s="11" t="str">
        <f>"00198602"</f>
        <v>00198602</v>
      </c>
    </row>
    <row r="4040" spans="1:2" x14ac:dyDescent="0.25">
      <c r="A4040" s="2">
        <v>4035</v>
      </c>
      <c r="B4040" s="11" t="str">
        <f>"00198609"</f>
        <v>00198609</v>
      </c>
    </row>
    <row r="4041" spans="1:2" x14ac:dyDescent="0.25">
      <c r="A4041" s="2">
        <v>4036</v>
      </c>
      <c r="B4041" s="11" t="str">
        <f>"00198647"</f>
        <v>00198647</v>
      </c>
    </row>
    <row r="4042" spans="1:2" x14ac:dyDescent="0.25">
      <c r="A4042" s="2">
        <v>4037</v>
      </c>
      <c r="B4042" s="11" t="str">
        <f>"00198664"</f>
        <v>00198664</v>
      </c>
    </row>
    <row r="4043" spans="1:2" x14ac:dyDescent="0.25">
      <c r="A4043" s="2">
        <v>4038</v>
      </c>
      <c r="B4043" s="11" t="str">
        <f>"00198681"</f>
        <v>00198681</v>
      </c>
    </row>
    <row r="4044" spans="1:2" x14ac:dyDescent="0.25">
      <c r="A4044" s="2">
        <v>4039</v>
      </c>
      <c r="B4044" s="11" t="str">
        <f>"00198761"</f>
        <v>00198761</v>
      </c>
    </row>
    <row r="4045" spans="1:2" x14ac:dyDescent="0.25">
      <c r="A4045" s="2">
        <v>4040</v>
      </c>
      <c r="B4045" s="11" t="str">
        <f>"00198768"</f>
        <v>00198768</v>
      </c>
    </row>
    <row r="4046" spans="1:2" x14ac:dyDescent="0.25">
      <c r="A4046" s="2">
        <v>4041</v>
      </c>
      <c r="B4046" s="11" t="str">
        <f>"00198794"</f>
        <v>00198794</v>
      </c>
    </row>
    <row r="4047" spans="1:2" x14ac:dyDescent="0.25">
      <c r="A4047" s="2">
        <v>4042</v>
      </c>
      <c r="B4047" s="11" t="str">
        <f>"00198809"</f>
        <v>00198809</v>
      </c>
    </row>
    <row r="4048" spans="1:2" x14ac:dyDescent="0.25">
      <c r="A4048" s="2">
        <v>4043</v>
      </c>
      <c r="B4048" s="11" t="str">
        <f>"00198820"</f>
        <v>00198820</v>
      </c>
    </row>
    <row r="4049" spans="1:2" x14ac:dyDescent="0.25">
      <c r="A4049" s="2">
        <v>4044</v>
      </c>
      <c r="B4049" s="11" t="str">
        <f>"00198829"</f>
        <v>00198829</v>
      </c>
    </row>
    <row r="4050" spans="1:2" x14ac:dyDescent="0.25">
      <c r="A4050" s="2">
        <v>4045</v>
      </c>
      <c r="B4050" s="11" t="str">
        <f>"00198834"</f>
        <v>00198834</v>
      </c>
    </row>
    <row r="4051" spans="1:2" x14ac:dyDescent="0.25">
      <c r="A4051" s="2">
        <v>4046</v>
      </c>
      <c r="B4051" s="11" t="str">
        <f>"00198842"</f>
        <v>00198842</v>
      </c>
    </row>
    <row r="4052" spans="1:2" x14ac:dyDescent="0.25">
      <c r="A4052" s="2">
        <v>4047</v>
      </c>
      <c r="B4052" s="11" t="str">
        <f>"00198847"</f>
        <v>00198847</v>
      </c>
    </row>
    <row r="4053" spans="1:2" x14ac:dyDescent="0.25">
      <c r="A4053" s="2">
        <v>4048</v>
      </c>
      <c r="B4053" s="11" t="str">
        <f>"00198869"</f>
        <v>00198869</v>
      </c>
    </row>
    <row r="4054" spans="1:2" x14ac:dyDescent="0.25">
      <c r="A4054" s="2">
        <v>4049</v>
      </c>
      <c r="B4054" s="11" t="str">
        <f>"00198875"</f>
        <v>00198875</v>
      </c>
    </row>
    <row r="4055" spans="1:2" x14ac:dyDescent="0.25">
      <c r="A4055" s="2">
        <v>4050</v>
      </c>
      <c r="B4055" s="11" t="str">
        <f>"00198888"</f>
        <v>00198888</v>
      </c>
    </row>
    <row r="4056" spans="1:2" x14ac:dyDescent="0.25">
      <c r="A4056" s="2">
        <v>4051</v>
      </c>
      <c r="B4056" s="11" t="str">
        <f>"00198901"</f>
        <v>00198901</v>
      </c>
    </row>
    <row r="4057" spans="1:2" x14ac:dyDescent="0.25">
      <c r="A4057" s="2">
        <v>4052</v>
      </c>
      <c r="B4057" s="11" t="str">
        <f>"00198905"</f>
        <v>00198905</v>
      </c>
    </row>
    <row r="4058" spans="1:2" x14ac:dyDescent="0.25">
      <c r="A4058" s="2">
        <v>4053</v>
      </c>
      <c r="B4058" s="11" t="str">
        <f>"00198952"</f>
        <v>00198952</v>
      </c>
    </row>
    <row r="4059" spans="1:2" x14ac:dyDescent="0.25">
      <c r="A4059" s="2">
        <v>4054</v>
      </c>
      <c r="B4059" s="11" t="str">
        <f>"00198956"</f>
        <v>00198956</v>
      </c>
    </row>
    <row r="4060" spans="1:2" x14ac:dyDescent="0.25">
      <c r="A4060" s="2">
        <v>4055</v>
      </c>
      <c r="B4060" s="11" t="str">
        <f>"00198970"</f>
        <v>00198970</v>
      </c>
    </row>
    <row r="4061" spans="1:2" x14ac:dyDescent="0.25">
      <c r="A4061" s="2">
        <v>4056</v>
      </c>
      <c r="B4061" s="11" t="str">
        <f>"00199011"</f>
        <v>00199011</v>
      </c>
    </row>
    <row r="4062" spans="1:2" x14ac:dyDescent="0.25">
      <c r="A4062" s="2">
        <v>4057</v>
      </c>
      <c r="B4062" s="11" t="str">
        <f>"00199012"</f>
        <v>00199012</v>
      </c>
    </row>
    <row r="4063" spans="1:2" x14ac:dyDescent="0.25">
      <c r="A4063" s="2">
        <v>4058</v>
      </c>
      <c r="B4063" s="11" t="str">
        <f>"00199031"</f>
        <v>00199031</v>
      </c>
    </row>
    <row r="4064" spans="1:2" x14ac:dyDescent="0.25">
      <c r="A4064" s="2">
        <v>4059</v>
      </c>
      <c r="B4064" s="11" t="str">
        <f>"00199045"</f>
        <v>00199045</v>
      </c>
    </row>
    <row r="4065" spans="1:2" x14ac:dyDescent="0.25">
      <c r="A4065" s="2">
        <v>4060</v>
      </c>
      <c r="B4065" s="11" t="str">
        <f>"00199047"</f>
        <v>00199047</v>
      </c>
    </row>
    <row r="4066" spans="1:2" x14ac:dyDescent="0.25">
      <c r="A4066" s="2">
        <v>4061</v>
      </c>
      <c r="B4066" s="11" t="str">
        <f>"00199052"</f>
        <v>00199052</v>
      </c>
    </row>
    <row r="4067" spans="1:2" x14ac:dyDescent="0.25">
      <c r="A4067" s="2">
        <v>4062</v>
      </c>
      <c r="B4067" s="11" t="str">
        <f>"00199056"</f>
        <v>00199056</v>
      </c>
    </row>
    <row r="4068" spans="1:2" x14ac:dyDescent="0.25">
      <c r="A4068" s="2">
        <v>4063</v>
      </c>
      <c r="B4068" s="11" t="str">
        <f>"00199068"</f>
        <v>00199068</v>
      </c>
    </row>
    <row r="4069" spans="1:2" x14ac:dyDescent="0.25">
      <c r="A4069" s="2">
        <v>4064</v>
      </c>
      <c r="B4069" s="11" t="str">
        <f>"00199085"</f>
        <v>00199085</v>
      </c>
    </row>
    <row r="4070" spans="1:2" x14ac:dyDescent="0.25">
      <c r="A4070" s="2">
        <v>4065</v>
      </c>
      <c r="B4070" s="11" t="str">
        <f>"00199100"</f>
        <v>00199100</v>
      </c>
    </row>
    <row r="4071" spans="1:2" x14ac:dyDescent="0.25">
      <c r="A4071" s="2">
        <v>4066</v>
      </c>
      <c r="B4071" s="11" t="str">
        <f>"00199174"</f>
        <v>00199174</v>
      </c>
    </row>
    <row r="4072" spans="1:2" x14ac:dyDescent="0.25">
      <c r="A4072" s="2">
        <v>4067</v>
      </c>
      <c r="B4072" s="11" t="str">
        <f>"00199181"</f>
        <v>00199181</v>
      </c>
    </row>
    <row r="4073" spans="1:2" x14ac:dyDescent="0.25">
      <c r="A4073" s="2">
        <v>4068</v>
      </c>
      <c r="B4073" s="11" t="str">
        <f>"00199242"</f>
        <v>00199242</v>
      </c>
    </row>
    <row r="4074" spans="1:2" x14ac:dyDescent="0.25">
      <c r="A4074" s="2">
        <v>4069</v>
      </c>
      <c r="B4074" s="11" t="str">
        <f>"00199263"</f>
        <v>00199263</v>
      </c>
    </row>
    <row r="4075" spans="1:2" x14ac:dyDescent="0.25">
      <c r="A4075" s="2">
        <v>4070</v>
      </c>
      <c r="B4075" s="11" t="str">
        <f>"00199318"</f>
        <v>00199318</v>
      </c>
    </row>
    <row r="4076" spans="1:2" x14ac:dyDescent="0.25">
      <c r="A4076" s="2">
        <v>4071</v>
      </c>
      <c r="B4076" s="11" t="str">
        <f>"00199415"</f>
        <v>00199415</v>
      </c>
    </row>
    <row r="4077" spans="1:2" x14ac:dyDescent="0.25">
      <c r="A4077" s="2">
        <v>4072</v>
      </c>
      <c r="B4077" s="11" t="str">
        <f>"00199433"</f>
        <v>00199433</v>
      </c>
    </row>
    <row r="4078" spans="1:2" x14ac:dyDescent="0.25">
      <c r="A4078" s="2">
        <v>4073</v>
      </c>
      <c r="B4078" s="11" t="str">
        <f>"00199437"</f>
        <v>00199437</v>
      </c>
    </row>
    <row r="4079" spans="1:2" x14ac:dyDescent="0.25">
      <c r="A4079" s="2">
        <v>4074</v>
      </c>
      <c r="B4079" s="11" t="str">
        <f>"00199454"</f>
        <v>00199454</v>
      </c>
    </row>
    <row r="4080" spans="1:2" x14ac:dyDescent="0.25">
      <c r="A4080" s="2">
        <v>4075</v>
      </c>
      <c r="B4080" s="11" t="str">
        <f>"00199456"</f>
        <v>00199456</v>
      </c>
    </row>
    <row r="4081" spans="1:2" x14ac:dyDescent="0.25">
      <c r="A4081" s="2">
        <v>4076</v>
      </c>
      <c r="B4081" s="11" t="str">
        <f>"00199473"</f>
        <v>00199473</v>
      </c>
    </row>
    <row r="4082" spans="1:2" x14ac:dyDescent="0.25">
      <c r="A4082" s="2">
        <v>4077</v>
      </c>
      <c r="B4082" s="11" t="str">
        <f>"00199482"</f>
        <v>00199482</v>
      </c>
    </row>
    <row r="4083" spans="1:2" x14ac:dyDescent="0.25">
      <c r="A4083" s="2">
        <v>4078</v>
      </c>
      <c r="B4083" s="11" t="str">
        <f>"00199494"</f>
        <v>00199494</v>
      </c>
    </row>
    <row r="4084" spans="1:2" x14ac:dyDescent="0.25">
      <c r="A4084" s="2">
        <v>4079</v>
      </c>
      <c r="B4084" s="11" t="str">
        <f>"00199497"</f>
        <v>00199497</v>
      </c>
    </row>
    <row r="4085" spans="1:2" x14ac:dyDescent="0.25">
      <c r="A4085" s="2">
        <v>4080</v>
      </c>
      <c r="B4085" s="11" t="str">
        <f>"00199511"</f>
        <v>00199511</v>
      </c>
    </row>
    <row r="4086" spans="1:2" x14ac:dyDescent="0.25">
      <c r="A4086" s="2">
        <v>4081</v>
      </c>
      <c r="B4086" s="11" t="str">
        <f>"00199551"</f>
        <v>00199551</v>
      </c>
    </row>
    <row r="4087" spans="1:2" x14ac:dyDescent="0.25">
      <c r="A4087" s="2">
        <v>4082</v>
      </c>
      <c r="B4087" s="11" t="str">
        <f>"00199552"</f>
        <v>00199552</v>
      </c>
    </row>
    <row r="4088" spans="1:2" x14ac:dyDescent="0.25">
      <c r="A4088" s="2">
        <v>4083</v>
      </c>
      <c r="B4088" s="11" t="str">
        <f>"00199562"</f>
        <v>00199562</v>
      </c>
    </row>
    <row r="4089" spans="1:2" x14ac:dyDescent="0.25">
      <c r="A4089" s="2">
        <v>4084</v>
      </c>
      <c r="B4089" s="11" t="str">
        <f>"00199581"</f>
        <v>00199581</v>
      </c>
    </row>
    <row r="4090" spans="1:2" x14ac:dyDescent="0.25">
      <c r="A4090" s="2">
        <v>4085</v>
      </c>
      <c r="B4090" s="11" t="str">
        <f>"00199594"</f>
        <v>00199594</v>
      </c>
    </row>
    <row r="4091" spans="1:2" x14ac:dyDescent="0.25">
      <c r="A4091" s="2">
        <v>4086</v>
      </c>
      <c r="B4091" s="11" t="str">
        <f>"00199600"</f>
        <v>00199600</v>
      </c>
    </row>
    <row r="4092" spans="1:2" x14ac:dyDescent="0.25">
      <c r="A4092" s="2">
        <v>4087</v>
      </c>
      <c r="B4092" s="11" t="str">
        <f>"00199604"</f>
        <v>00199604</v>
      </c>
    </row>
    <row r="4093" spans="1:2" x14ac:dyDescent="0.25">
      <c r="A4093" s="2">
        <v>4088</v>
      </c>
      <c r="B4093" s="11" t="str">
        <f>"00199632"</f>
        <v>00199632</v>
      </c>
    </row>
    <row r="4094" spans="1:2" x14ac:dyDescent="0.25">
      <c r="A4094" s="2">
        <v>4089</v>
      </c>
      <c r="B4094" s="11" t="str">
        <f>"00199640"</f>
        <v>00199640</v>
      </c>
    </row>
    <row r="4095" spans="1:2" x14ac:dyDescent="0.25">
      <c r="A4095" s="2">
        <v>4090</v>
      </c>
      <c r="B4095" s="11" t="str">
        <f>"00199658"</f>
        <v>00199658</v>
      </c>
    </row>
    <row r="4096" spans="1:2" x14ac:dyDescent="0.25">
      <c r="A4096" s="2">
        <v>4091</v>
      </c>
      <c r="B4096" s="11" t="str">
        <f>"00199672"</f>
        <v>00199672</v>
      </c>
    </row>
    <row r="4097" spans="1:2" x14ac:dyDescent="0.25">
      <c r="A4097" s="2">
        <v>4092</v>
      </c>
      <c r="B4097" s="11" t="str">
        <f>"00199684"</f>
        <v>00199684</v>
      </c>
    </row>
    <row r="4098" spans="1:2" x14ac:dyDescent="0.25">
      <c r="A4098" s="2">
        <v>4093</v>
      </c>
      <c r="B4098" s="11" t="str">
        <f>"00199699"</f>
        <v>00199699</v>
      </c>
    </row>
    <row r="4099" spans="1:2" x14ac:dyDescent="0.25">
      <c r="A4099" s="2">
        <v>4094</v>
      </c>
      <c r="B4099" s="11" t="str">
        <f>"00199700"</f>
        <v>00199700</v>
      </c>
    </row>
    <row r="4100" spans="1:2" x14ac:dyDescent="0.25">
      <c r="A4100" s="2">
        <v>4095</v>
      </c>
      <c r="B4100" s="11" t="str">
        <f>"00199711"</f>
        <v>00199711</v>
      </c>
    </row>
    <row r="4101" spans="1:2" x14ac:dyDescent="0.25">
      <c r="A4101" s="2">
        <v>4096</v>
      </c>
      <c r="B4101" s="11" t="str">
        <f>"00199748"</f>
        <v>00199748</v>
      </c>
    </row>
    <row r="4102" spans="1:2" x14ac:dyDescent="0.25">
      <c r="A4102" s="2">
        <v>4097</v>
      </c>
      <c r="B4102" s="11" t="str">
        <f>"00199758"</f>
        <v>00199758</v>
      </c>
    </row>
    <row r="4103" spans="1:2" x14ac:dyDescent="0.25">
      <c r="A4103" s="2">
        <v>4098</v>
      </c>
      <c r="B4103" s="11" t="str">
        <f>"00199806"</f>
        <v>00199806</v>
      </c>
    </row>
    <row r="4104" spans="1:2" x14ac:dyDescent="0.25">
      <c r="A4104" s="2">
        <v>4099</v>
      </c>
      <c r="B4104" s="11" t="str">
        <f>"00199809"</f>
        <v>00199809</v>
      </c>
    </row>
    <row r="4105" spans="1:2" x14ac:dyDescent="0.25">
      <c r="A4105" s="2">
        <v>4100</v>
      </c>
      <c r="B4105" s="11" t="str">
        <f>"00199812"</f>
        <v>00199812</v>
      </c>
    </row>
    <row r="4106" spans="1:2" x14ac:dyDescent="0.25">
      <c r="A4106" s="2">
        <v>4101</v>
      </c>
      <c r="B4106" s="11" t="str">
        <f>"00199815"</f>
        <v>00199815</v>
      </c>
    </row>
    <row r="4107" spans="1:2" x14ac:dyDescent="0.25">
      <c r="A4107" s="2">
        <v>4102</v>
      </c>
      <c r="B4107" s="11" t="str">
        <f>"00199823"</f>
        <v>00199823</v>
      </c>
    </row>
    <row r="4108" spans="1:2" x14ac:dyDescent="0.25">
      <c r="A4108" s="2">
        <v>4103</v>
      </c>
      <c r="B4108" s="11" t="str">
        <f>"00199845"</f>
        <v>00199845</v>
      </c>
    </row>
    <row r="4109" spans="1:2" x14ac:dyDescent="0.25">
      <c r="A4109" s="2">
        <v>4104</v>
      </c>
      <c r="B4109" s="11" t="str">
        <f>"00199850"</f>
        <v>00199850</v>
      </c>
    </row>
    <row r="4110" spans="1:2" x14ac:dyDescent="0.25">
      <c r="A4110" s="2">
        <v>4105</v>
      </c>
      <c r="B4110" s="11" t="str">
        <f>"00199857"</f>
        <v>00199857</v>
      </c>
    </row>
    <row r="4111" spans="1:2" x14ac:dyDescent="0.25">
      <c r="A4111" s="2">
        <v>4106</v>
      </c>
      <c r="B4111" s="11" t="str">
        <f>"00199869"</f>
        <v>00199869</v>
      </c>
    </row>
    <row r="4112" spans="1:2" x14ac:dyDescent="0.25">
      <c r="A4112" s="2">
        <v>4107</v>
      </c>
      <c r="B4112" s="11" t="str">
        <f>"00199874"</f>
        <v>00199874</v>
      </c>
    </row>
    <row r="4113" spans="1:2" x14ac:dyDescent="0.25">
      <c r="A4113" s="2">
        <v>4108</v>
      </c>
      <c r="B4113" s="11" t="str">
        <f>"00199884"</f>
        <v>00199884</v>
      </c>
    </row>
    <row r="4114" spans="1:2" x14ac:dyDescent="0.25">
      <c r="A4114" s="2">
        <v>4109</v>
      </c>
      <c r="B4114" s="11" t="str">
        <f>"00199916"</f>
        <v>00199916</v>
      </c>
    </row>
    <row r="4115" spans="1:2" x14ac:dyDescent="0.25">
      <c r="A4115" s="2">
        <v>4110</v>
      </c>
      <c r="B4115" s="11" t="str">
        <f>"00200004"</f>
        <v>00200004</v>
      </c>
    </row>
    <row r="4116" spans="1:2" x14ac:dyDescent="0.25">
      <c r="A4116" s="2">
        <v>4111</v>
      </c>
      <c r="B4116" s="11" t="str">
        <f>"00200013"</f>
        <v>00200013</v>
      </c>
    </row>
    <row r="4117" spans="1:2" x14ac:dyDescent="0.25">
      <c r="A4117" s="2">
        <v>4112</v>
      </c>
      <c r="B4117" s="11" t="str">
        <f>"00200040"</f>
        <v>00200040</v>
      </c>
    </row>
    <row r="4118" spans="1:2" x14ac:dyDescent="0.25">
      <c r="A4118" s="2">
        <v>4113</v>
      </c>
      <c r="B4118" s="11" t="str">
        <f>"00200054"</f>
        <v>00200054</v>
      </c>
    </row>
    <row r="4119" spans="1:2" x14ac:dyDescent="0.25">
      <c r="A4119" s="2">
        <v>4114</v>
      </c>
      <c r="B4119" s="11" t="str">
        <f>"00200073"</f>
        <v>00200073</v>
      </c>
    </row>
    <row r="4120" spans="1:2" x14ac:dyDescent="0.25">
      <c r="A4120" s="2">
        <v>4115</v>
      </c>
      <c r="B4120" s="11" t="str">
        <f>"00200077"</f>
        <v>00200077</v>
      </c>
    </row>
    <row r="4121" spans="1:2" x14ac:dyDescent="0.25">
      <c r="A4121" s="2">
        <v>4116</v>
      </c>
      <c r="B4121" s="11" t="str">
        <f>"00200114"</f>
        <v>00200114</v>
      </c>
    </row>
    <row r="4122" spans="1:2" x14ac:dyDescent="0.25">
      <c r="A4122" s="2">
        <v>4117</v>
      </c>
      <c r="B4122" s="11" t="str">
        <f>"00200142"</f>
        <v>00200142</v>
      </c>
    </row>
    <row r="4123" spans="1:2" x14ac:dyDescent="0.25">
      <c r="A4123" s="2">
        <v>4118</v>
      </c>
      <c r="B4123" s="11" t="str">
        <f>"00200169"</f>
        <v>00200169</v>
      </c>
    </row>
    <row r="4124" spans="1:2" x14ac:dyDescent="0.25">
      <c r="A4124" s="2">
        <v>4119</v>
      </c>
      <c r="B4124" s="11" t="str">
        <f>"00200172"</f>
        <v>00200172</v>
      </c>
    </row>
    <row r="4125" spans="1:2" x14ac:dyDescent="0.25">
      <c r="A4125" s="2">
        <v>4120</v>
      </c>
      <c r="B4125" s="11" t="str">
        <f>"00200183"</f>
        <v>00200183</v>
      </c>
    </row>
    <row r="4126" spans="1:2" x14ac:dyDescent="0.25">
      <c r="A4126" s="2">
        <v>4121</v>
      </c>
      <c r="B4126" s="11" t="str">
        <f>"00200189"</f>
        <v>00200189</v>
      </c>
    </row>
    <row r="4127" spans="1:2" x14ac:dyDescent="0.25">
      <c r="A4127" s="2">
        <v>4122</v>
      </c>
      <c r="B4127" s="11" t="str">
        <f>"00200191"</f>
        <v>00200191</v>
      </c>
    </row>
    <row r="4128" spans="1:2" x14ac:dyDescent="0.25">
      <c r="A4128" s="2">
        <v>4123</v>
      </c>
      <c r="B4128" s="11" t="str">
        <f>"00200195"</f>
        <v>00200195</v>
      </c>
    </row>
    <row r="4129" spans="1:2" x14ac:dyDescent="0.25">
      <c r="A4129" s="2">
        <v>4124</v>
      </c>
      <c r="B4129" s="11" t="str">
        <f>"00200204"</f>
        <v>00200204</v>
      </c>
    </row>
    <row r="4130" spans="1:2" x14ac:dyDescent="0.25">
      <c r="A4130" s="2">
        <v>4125</v>
      </c>
      <c r="B4130" s="11" t="str">
        <f>"00200211"</f>
        <v>00200211</v>
      </c>
    </row>
    <row r="4131" spans="1:2" x14ac:dyDescent="0.25">
      <c r="A4131" s="2">
        <v>4126</v>
      </c>
      <c r="B4131" s="11" t="str">
        <f>"00200248"</f>
        <v>00200248</v>
      </c>
    </row>
    <row r="4132" spans="1:2" x14ac:dyDescent="0.25">
      <c r="A4132" s="2">
        <v>4127</v>
      </c>
      <c r="B4132" s="11" t="str">
        <f>"00200250"</f>
        <v>00200250</v>
      </c>
    </row>
    <row r="4133" spans="1:2" x14ac:dyDescent="0.25">
      <c r="A4133" s="2">
        <v>4128</v>
      </c>
      <c r="B4133" s="11" t="str">
        <f>"00200269"</f>
        <v>00200269</v>
      </c>
    </row>
    <row r="4134" spans="1:2" x14ac:dyDescent="0.25">
      <c r="A4134" s="2">
        <v>4129</v>
      </c>
      <c r="B4134" s="11" t="str">
        <f>"00200280"</f>
        <v>00200280</v>
      </c>
    </row>
    <row r="4135" spans="1:2" x14ac:dyDescent="0.25">
      <c r="A4135" s="2">
        <v>4130</v>
      </c>
      <c r="B4135" s="11" t="str">
        <f>"00200291"</f>
        <v>00200291</v>
      </c>
    </row>
    <row r="4136" spans="1:2" x14ac:dyDescent="0.25">
      <c r="A4136" s="2">
        <v>4131</v>
      </c>
      <c r="B4136" s="11" t="str">
        <f>"00200292"</f>
        <v>00200292</v>
      </c>
    </row>
    <row r="4137" spans="1:2" x14ac:dyDescent="0.25">
      <c r="A4137" s="2">
        <v>4132</v>
      </c>
      <c r="B4137" s="11" t="str">
        <f>"00200300"</f>
        <v>00200300</v>
      </c>
    </row>
    <row r="4138" spans="1:2" x14ac:dyDescent="0.25">
      <c r="A4138" s="2">
        <v>4133</v>
      </c>
      <c r="B4138" s="11" t="str">
        <f>"00200333"</f>
        <v>00200333</v>
      </c>
    </row>
    <row r="4139" spans="1:2" x14ac:dyDescent="0.25">
      <c r="A4139" s="2">
        <v>4134</v>
      </c>
      <c r="B4139" s="11" t="str">
        <f>"00200337"</f>
        <v>00200337</v>
      </c>
    </row>
    <row r="4140" spans="1:2" x14ac:dyDescent="0.25">
      <c r="A4140" s="2">
        <v>4135</v>
      </c>
      <c r="B4140" s="11" t="str">
        <f>"00200354"</f>
        <v>00200354</v>
      </c>
    </row>
    <row r="4141" spans="1:2" x14ac:dyDescent="0.25">
      <c r="A4141" s="2">
        <v>4136</v>
      </c>
      <c r="B4141" s="11" t="str">
        <f>"00200373"</f>
        <v>00200373</v>
      </c>
    </row>
    <row r="4142" spans="1:2" x14ac:dyDescent="0.25">
      <c r="A4142" s="2">
        <v>4137</v>
      </c>
      <c r="B4142" s="11" t="str">
        <f>"00200387"</f>
        <v>00200387</v>
      </c>
    </row>
    <row r="4143" spans="1:2" x14ac:dyDescent="0.25">
      <c r="A4143" s="2">
        <v>4138</v>
      </c>
      <c r="B4143" s="11" t="str">
        <f>"00200404"</f>
        <v>00200404</v>
      </c>
    </row>
    <row r="4144" spans="1:2" x14ac:dyDescent="0.25">
      <c r="A4144" s="2">
        <v>4139</v>
      </c>
      <c r="B4144" s="11" t="str">
        <f>"00200407"</f>
        <v>00200407</v>
      </c>
    </row>
    <row r="4145" spans="1:2" x14ac:dyDescent="0.25">
      <c r="A4145" s="2">
        <v>4140</v>
      </c>
      <c r="B4145" s="11" t="str">
        <f>"00200408"</f>
        <v>00200408</v>
      </c>
    </row>
    <row r="4146" spans="1:2" x14ac:dyDescent="0.25">
      <c r="A4146" s="2">
        <v>4141</v>
      </c>
      <c r="B4146" s="11" t="str">
        <f>"00200411"</f>
        <v>00200411</v>
      </c>
    </row>
    <row r="4147" spans="1:2" x14ac:dyDescent="0.25">
      <c r="A4147" s="2">
        <v>4142</v>
      </c>
      <c r="B4147" s="11" t="str">
        <f>"00200433"</f>
        <v>00200433</v>
      </c>
    </row>
    <row r="4148" spans="1:2" x14ac:dyDescent="0.25">
      <c r="A4148" s="2">
        <v>4143</v>
      </c>
      <c r="B4148" s="11" t="str">
        <f>"00200485"</f>
        <v>00200485</v>
      </c>
    </row>
    <row r="4149" spans="1:2" x14ac:dyDescent="0.25">
      <c r="A4149" s="2">
        <v>4144</v>
      </c>
      <c r="B4149" s="11" t="str">
        <f>"00200493"</f>
        <v>00200493</v>
      </c>
    </row>
    <row r="4150" spans="1:2" x14ac:dyDescent="0.25">
      <c r="A4150" s="2">
        <v>4145</v>
      </c>
      <c r="B4150" s="11" t="str">
        <f>"00200509"</f>
        <v>00200509</v>
      </c>
    </row>
    <row r="4151" spans="1:2" x14ac:dyDescent="0.25">
      <c r="A4151" s="2">
        <v>4146</v>
      </c>
      <c r="B4151" s="11" t="str">
        <f>"00200524"</f>
        <v>00200524</v>
      </c>
    </row>
    <row r="4152" spans="1:2" x14ac:dyDescent="0.25">
      <c r="A4152" s="2">
        <v>4147</v>
      </c>
      <c r="B4152" s="11" t="str">
        <f>"00200594"</f>
        <v>00200594</v>
      </c>
    </row>
    <row r="4153" spans="1:2" x14ac:dyDescent="0.25">
      <c r="A4153" s="2">
        <v>4148</v>
      </c>
      <c r="B4153" s="11" t="str">
        <f>"00200597"</f>
        <v>00200597</v>
      </c>
    </row>
    <row r="4154" spans="1:2" x14ac:dyDescent="0.25">
      <c r="A4154" s="2">
        <v>4149</v>
      </c>
      <c r="B4154" s="11" t="str">
        <f>"00200602"</f>
        <v>00200602</v>
      </c>
    </row>
    <row r="4155" spans="1:2" x14ac:dyDescent="0.25">
      <c r="A4155" s="2">
        <v>4150</v>
      </c>
      <c r="B4155" s="11" t="str">
        <f>"00200632"</f>
        <v>00200632</v>
      </c>
    </row>
    <row r="4156" spans="1:2" x14ac:dyDescent="0.25">
      <c r="A4156" s="2">
        <v>4151</v>
      </c>
      <c r="B4156" s="11" t="str">
        <f>"00200642"</f>
        <v>00200642</v>
      </c>
    </row>
    <row r="4157" spans="1:2" x14ac:dyDescent="0.25">
      <c r="A4157" s="2">
        <v>4152</v>
      </c>
      <c r="B4157" s="11" t="str">
        <f>"00200645"</f>
        <v>00200645</v>
      </c>
    </row>
    <row r="4158" spans="1:2" x14ac:dyDescent="0.25">
      <c r="A4158" s="2">
        <v>4153</v>
      </c>
      <c r="B4158" s="11" t="str">
        <f>"00200649"</f>
        <v>00200649</v>
      </c>
    </row>
    <row r="4159" spans="1:2" x14ac:dyDescent="0.25">
      <c r="A4159" s="2">
        <v>4154</v>
      </c>
      <c r="B4159" s="11" t="str">
        <f>"00200670"</f>
        <v>00200670</v>
      </c>
    </row>
    <row r="4160" spans="1:2" x14ac:dyDescent="0.25">
      <c r="A4160" s="2">
        <v>4155</v>
      </c>
      <c r="B4160" s="11" t="str">
        <f>"00200672"</f>
        <v>00200672</v>
      </c>
    </row>
    <row r="4161" spans="1:2" x14ac:dyDescent="0.25">
      <c r="A4161" s="2">
        <v>4156</v>
      </c>
      <c r="B4161" s="11" t="str">
        <f>"00200706"</f>
        <v>00200706</v>
      </c>
    </row>
    <row r="4162" spans="1:2" x14ac:dyDescent="0.25">
      <c r="A4162" s="2">
        <v>4157</v>
      </c>
      <c r="B4162" s="11" t="str">
        <f>"00200735"</f>
        <v>00200735</v>
      </c>
    </row>
    <row r="4163" spans="1:2" x14ac:dyDescent="0.25">
      <c r="A4163" s="2">
        <v>4158</v>
      </c>
      <c r="B4163" s="11" t="str">
        <f>"00200740"</f>
        <v>00200740</v>
      </c>
    </row>
    <row r="4164" spans="1:2" x14ac:dyDescent="0.25">
      <c r="A4164" s="2">
        <v>4159</v>
      </c>
      <c r="B4164" s="11" t="str">
        <f>"00200747"</f>
        <v>00200747</v>
      </c>
    </row>
    <row r="4165" spans="1:2" x14ac:dyDescent="0.25">
      <c r="A4165" s="2">
        <v>4160</v>
      </c>
      <c r="B4165" s="11" t="str">
        <f>"00200773"</f>
        <v>00200773</v>
      </c>
    </row>
    <row r="4166" spans="1:2" x14ac:dyDescent="0.25">
      <c r="A4166" s="2">
        <v>4161</v>
      </c>
      <c r="B4166" s="11" t="str">
        <f>"00200796"</f>
        <v>00200796</v>
      </c>
    </row>
    <row r="4167" spans="1:2" x14ac:dyDescent="0.25">
      <c r="A4167" s="2">
        <v>4162</v>
      </c>
      <c r="B4167" s="11" t="str">
        <f>"00200802"</f>
        <v>00200802</v>
      </c>
    </row>
    <row r="4168" spans="1:2" x14ac:dyDescent="0.25">
      <c r="A4168" s="2">
        <v>4163</v>
      </c>
      <c r="B4168" s="11" t="str">
        <f>"00200805"</f>
        <v>00200805</v>
      </c>
    </row>
    <row r="4169" spans="1:2" x14ac:dyDescent="0.25">
      <c r="A4169" s="2">
        <v>4164</v>
      </c>
      <c r="B4169" s="11" t="str">
        <f>"00200808"</f>
        <v>00200808</v>
      </c>
    </row>
    <row r="4170" spans="1:2" x14ac:dyDescent="0.25">
      <c r="A4170" s="2">
        <v>4165</v>
      </c>
      <c r="B4170" s="11" t="str">
        <f>"00200820"</f>
        <v>00200820</v>
      </c>
    </row>
    <row r="4171" spans="1:2" x14ac:dyDescent="0.25">
      <c r="A4171" s="2">
        <v>4166</v>
      </c>
      <c r="B4171" s="11" t="str">
        <f>"00200848"</f>
        <v>00200848</v>
      </c>
    </row>
    <row r="4172" spans="1:2" x14ac:dyDescent="0.25">
      <c r="A4172" s="2">
        <v>4167</v>
      </c>
      <c r="B4172" s="11" t="str">
        <f>"00200849"</f>
        <v>00200849</v>
      </c>
    </row>
    <row r="4173" spans="1:2" x14ac:dyDescent="0.25">
      <c r="A4173" s="2">
        <v>4168</v>
      </c>
      <c r="B4173" s="11" t="str">
        <f>"00200863"</f>
        <v>00200863</v>
      </c>
    </row>
    <row r="4174" spans="1:2" x14ac:dyDescent="0.25">
      <c r="A4174" s="2">
        <v>4169</v>
      </c>
      <c r="B4174" s="11" t="str">
        <f>"00200866"</f>
        <v>00200866</v>
      </c>
    </row>
    <row r="4175" spans="1:2" x14ac:dyDescent="0.25">
      <c r="A4175" s="2">
        <v>4170</v>
      </c>
      <c r="B4175" s="11" t="str">
        <f>"00200876"</f>
        <v>00200876</v>
      </c>
    </row>
    <row r="4176" spans="1:2" x14ac:dyDescent="0.25">
      <c r="A4176" s="2">
        <v>4171</v>
      </c>
      <c r="B4176" s="11" t="str">
        <f>"00200886"</f>
        <v>00200886</v>
      </c>
    </row>
    <row r="4177" spans="1:2" x14ac:dyDescent="0.25">
      <c r="A4177" s="2">
        <v>4172</v>
      </c>
      <c r="B4177" s="11" t="str">
        <f>"00200890"</f>
        <v>00200890</v>
      </c>
    </row>
    <row r="4178" spans="1:2" x14ac:dyDescent="0.25">
      <c r="A4178" s="2">
        <v>4173</v>
      </c>
      <c r="B4178" s="11" t="str">
        <f>"00200893"</f>
        <v>00200893</v>
      </c>
    </row>
    <row r="4179" spans="1:2" x14ac:dyDescent="0.25">
      <c r="A4179" s="2">
        <v>4174</v>
      </c>
      <c r="B4179" s="11" t="str">
        <f>"00200927"</f>
        <v>00200927</v>
      </c>
    </row>
    <row r="4180" spans="1:2" x14ac:dyDescent="0.25">
      <c r="A4180" s="2">
        <v>4175</v>
      </c>
      <c r="B4180" s="11" t="str">
        <f>"00200932"</f>
        <v>00200932</v>
      </c>
    </row>
    <row r="4181" spans="1:2" x14ac:dyDescent="0.25">
      <c r="A4181" s="2">
        <v>4176</v>
      </c>
      <c r="B4181" s="11" t="str">
        <f>"00200947"</f>
        <v>00200947</v>
      </c>
    </row>
    <row r="4182" spans="1:2" x14ac:dyDescent="0.25">
      <c r="A4182" s="2">
        <v>4177</v>
      </c>
      <c r="B4182" s="11" t="str">
        <f>"00201006"</f>
        <v>00201006</v>
      </c>
    </row>
    <row r="4183" spans="1:2" x14ac:dyDescent="0.25">
      <c r="A4183" s="2">
        <v>4178</v>
      </c>
      <c r="B4183" s="11" t="str">
        <f>"00201030"</f>
        <v>00201030</v>
      </c>
    </row>
    <row r="4184" spans="1:2" x14ac:dyDescent="0.25">
      <c r="A4184" s="2">
        <v>4179</v>
      </c>
      <c r="B4184" s="11" t="str">
        <f>"00201075"</f>
        <v>00201075</v>
      </c>
    </row>
    <row r="4185" spans="1:2" x14ac:dyDescent="0.25">
      <c r="A4185" s="2">
        <v>4180</v>
      </c>
      <c r="B4185" s="11" t="str">
        <f>"00201111"</f>
        <v>00201111</v>
      </c>
    </row>
    <row r="4186" spans="1:2" x14ac:dyDescent="0.25">
      <c r="A4186" s="2">
        <v>4181</v>
      </c>
      <c r="B4186" s="11" t="str">
        <f>"00201113"</f>
        <v>00201113</v>
      </c>
    </row>
    <row r="4187" spans="1:2" x14ac:dyDescent="0.25">
      <c r="A4187" s="2">
        <v>4182</v>
      </c>
      <c r="B4187" s="11" t="str">
        <f>"00201155"</f>
        <v>00201155</v>
      </c>
    </row>
    <row r="4188" spans="1:2" x14ac:dyDescent="0.25">
      <c r="A4188" s="2">
        <v>4183</v>
      </c>
      <c r="B4188" s="11" t="str">
        <f>"00201205"</f>
        <v>00201205</v>
      </c>
    </row>
    <row r="4189" spans="1:2" x14ac:dyDescent="0.25">
      <c r="A4189" s="2">
        <v>4184</v>
      </c>
      <c r="B4189" s="11" t="str">
        <f>"00201212"</f>
        <v>00201212</v>
      </c>
    </row>
    <row r="4190" spans="1:2" x14ac:dyDescent="0.25">
      <c r="A4190" s="2">
        <v>4185</v>
      </c>
      <c r="B4190" s="11" t="str">
        <f>"00201257"</f>
        <v>00201257</v>
      </c>
    </row>
    <row r="4191" spans="1:2" x14ac:dyDescent="0.25">
      <c r="A4191" s="2">
        <v>4186</v>
      </c>
      <c r="B4191" s="11" t="str">
        <f>"00201268"</f>
        <v>00201268</v>
      </c>
    </row>
    <row r="4192" spans="1:2" x14ac:dyDescent="0.25">
      <c r="A4192" s="2">
        <v>4187</v>
      </c>
      <c r="B4192" s="11" t="str">
        <f>"00201287"</f>
        <v>00201287</v>
      </c>
    </row>
    <row r="4193" spans="1:2" x14ac:dyDescent="0.25">
      <c r="A4193" s="2">
        <v>4188</v>
      </c>
      <c r="B4193" s="11" t="str">
        <f>"00201297"</f>
        <v>00201297</v>
      </c>
    </row>
    <row r="4194" spans="1:2" x14ac:dyDescent="0.25">
      <c r="A4194" s="2">
        <v>4189</v>
      </c>
      <c r="B4194" s="11" t="str">
        <f>"00201339"</f>
        <v>00201339</v>
      </c>
    </row>
    <row r="4195" spans="1:2" x14ac:dyDescent="0.25">
      <c r="A4195" s="2">
        <v>4190</v>
      </c>
      <c r="B4195" s="11" t="str">
        <f>"00201379"</f>
        <v>00201379</v>
      </c>
    </row>
    <row r="4196" spans="1:2" x14ac:dyDescent="0.25">
      <c r="A4196" s="2">
        <v>4191</v>
      </c>
      <c r="B4196" s="11" t="str">
        <f>"00201403"</f>
        <v>00201403</v>
      </c>
    </row>
    <row r="4197" spans="1:2" x14ac:dyDescent="0.25">
      <c r="A4197" s="2">
        <v>4192</v>
      </c>
      <c r="B4197" s="11" t="str">
        <f>"00201404"</f>
        <v>00201404</v>
      </c>
    </row>
    <row r="4198" spans="1:2" x14ac:dyDescent="0.25">
      <c r="A4198" s="2">
        <v>4193</v>
      </c>
      <c r="B4198" s="11" t="str">
        <f>"00201411"</f>
        <v>00201411</v>
      </c>
    </row>
    <row r="4199" spans="1:2" x14ac:dyDescent="0.25">
      <c r="A4199" s="2">
        <v>4194</v>
      </c>
      <c r="B4199" s="11" t="str">
        <f>"00201429"</f>
        <v>00201429</v>
      </c>
    </row>
    <row r="4200" spans="1:2" x14ac:dyDescent="0.25">
      <c r="A4200" s="2">
        <v>4195</v>
      </c>
      <c r="B4200" s="11" t="str">
        <f>"00201443"</f>
        <v>00201443</v>
      </c>
    </row>
    <row r="4201" spans="1:2" x14ac:dyDescent="0.25">
      <c r="A4201" s="2">
        <v>4196</v>
      </c>
      <c r="B4201" s="11" t="str">
        <f>"00201501"</f>
        <v>00201501</v>
      </c>
    </row>
    <row r="4202" spans="1:2" x14ac:dyDescent="0.25">
      <c r="A4202" s="2">
        <v>4197</v>
      </c>
      <c r="B4202" s="11" t="str">
        <f>"00201503"</f>
        <v>00201503</v>
      </c>
    </row>
    <row r="4203" spans="1:2" x14ac:dyDescent="0.25">
      <c r="A4203" s="2">
        <v>4198</v>
      </c>
      <c r="B4203" s="11" t="str">
        <f>"00201522"</f>
        <v>00201522</v>
      </c>
    </row>
    <row r="4204" spans="1:2" x14ac:dyDescent="0.25">
      <c r="A4204" s="2">
        <v>4199</v>
      </c>
      <c r="B4204" s="11" t="str">
        <f>"00201530"</f>
        <v>00201530</v>
      </c>
    </row>
    <row r="4205" spans="1:2" x14ac:dyDescent="0.25">
      <c r="A4205" s="2">
        <v>4200</v>
      </c>
      <c r="B4205" s="11" t="str">
        <f>"00201537"</f>
        <v>00201537</v>
      </c>
    </row>
    <row r="4206" spans="1:2" x14ac:dyDescent="0.25">
      <c r="A4206" s="2">
        <v>4201</v>
      </c>
      <c r="B4206" s="11" t="str">
        <f>"00201608"</f>
        <v>00201608</v>
      </c>
    </row>
    <row r="4207" spans="1:2" x14ac:dyDescent="0.25">
      <c r="A4207" s="2">
        <v>4202</v>
      </c>
      <c r="B4207" s="11" t="str">
        <f>"00201645"</f>
        <v>00201645</v>
      </c>
    </row>
    <row r="4208" spans="1:2" x14ac:dyDescent="0.25">
      <c r="A4208" s="2">
        <v>4203</v>
      </c>
      <c r="B4208" s="11" t="str">
        <f>"00201665"</f>
        <v>00201665</v>
      </c>
    </row>
    <row r="4209" spans="1:2" x14ac:dyDescent="0.25">
      <c r="A4209" s="2">
        <v>4204</v>
      </c>
      <c r="B4209" s="11" t="str">
        <f>"00201715"</f>
        <v>00201715</v>
      </c>
    </row>
    <row r="4210" spans="1:2" x14ac:dyDescent="0.25">
      <c r="A4210" s="2">
        <v>4205</v>
      </c>
      <c r="B4210" s="11" t="str">
        <f>"00201727"</f>
        <v>00201727</v>
      </c>
    </row>
    <row r="4211" spans="1:2" x14ac:dyDescent="0.25">
      <c r="A4211" s="2">
        <v>4206</v>
      </c>
      <c r="B4211" s="11" t="str">
        <f>"00201736"</f>
        <v>00201736</v>
      </c>
    </row>
    <row r="4212" spans="1:2" x14ac:dyDescent="0.25">
      <c r="A4212" s="2">
        <v>4207</v>
      </c>
      <c r="B4212" s="11" t="str">
        <f>"00201775"</f>
        <v>00201775</v>
      </c>
    </row>
    <row r="4213" spans="1:2" x14ac:dyDescent="0.25">
      <c r="A4213" s="2">
        <v>4208</v>
      </c>
      <c r="B4213" s="11" t="str">
        <f>"00201777"</f>
        <v>00201777</v>
      </c>
    </row>
    <row r="4214" spans="1:2" x14ac:dyDescent="0.25">
      <c r="A4214" s="2">
        <v>4209</v>
      </c>
      <c r="B4214" s="11" t="str">
        <f>"00201814"</f>
        <v>00201814</v>
      </c>
    </row>
    <row r="4215" spans="1:2" x14ac:dyDescent="0.25">
      <c r="A4215" s="2">
        <v>4210</v>
      </c>
      <c r="B4215" s="11" t="str">
        <f>"00201831"</f>
        <v>00201831</v>
      </c>
    </row>
    <row r="4216" spans="1:2" x14ac:dyDescent="0.25">
      <c r="A4216" s="2">
        <v>4211</v>
      </c>
      <c r="B4216" s="11" t="str">
        <f>"00201832"</f>
        <v>00201832</v>
      </c>
    </row>
    <row r="4217" spans="1:2" x14ac:dyDescent="0.25">
      <c r="A4217" s="2">
        <v>4212</v>
      </c>
      <c r="B4217" s="11" t="str">
        <f>"00201838"</f>
        <v>00201838</v>
      </c>
    </row>
    <row r="4218" spans="1:2" x14ac:dyDescent="0.25">
      <c r="A4218" s="2">
        <v>4213</v>
      </c>
      <c r="B4218" s="11" t="str">
        <f>"00201868"</f>
        <v>00201868</v>
      </c>
    </row>
    <row r="4219" spans="1:2" x14ac:dyDescent="0.25">
      <c r="A4219" s="2">
        <v>4214</v>
      </c>
      <c r="B4219" s="11" t="str">
        <f>"00201873"</f>
        <v>00201873</v>
      </c>
    </row>
    <row r="4220" spans="1:2" x14ac:dyDescent="0.25">
      <c r="A4220" s="2">
        <v>4215</v>
      </c>
      <c r="B4220" s="11" t="str">
        <f>"00201894"</f>
        <v>00201894</v>
      </c>
    </row>
    <row r="4221" spans="1:2" x14ac:dyDescent="0.25">
      <c r="A4221" s="2">
        <v>4216</v>
      </c>
      <c r="B4221" s="11" t="str">
        <f>"00201907"</f>
        <v>00201907</v>
      </c>
    </row>
    <row r="4222" spans="1:2" x14ac:dyDescent="0.25">
      <c r="A4222" s="2">
        <v>4217</v>
      </c>
      <c r="B4222" s="11" t="str">
        <f>"00201928"</f>
        <v>00201928</v>
      </c>
    </row>
    <row r="4223" spans="1:2" x14ac:dyDescent="0.25">
      <c r="A4223" s="2">
        <v>4218</v>
      </c>
      <c r="B4223" s="11" t="str">
        <f>"00201948"</f>
        <v>00201948</v>
      </c>
    </row>
    <row r="4224" spans="1:2" x14ac:dyDescent="0.25">
      <c r="A4224" s="2">
        <v>4219</v>
      </c>
      <c r="B4224" s="11" t="str">
        <f>"00201983"</f>
        <v>00201983</v>
      </c>
    </row>
    <row r="4225" spans="1:2" x14ac:dyDescent="0.25">
      <c r="A4225" s="2">
        <v>4220</v>
      </c>
      <c r="B4225" s="11" t="str">
        <f>"00201992"</f>
        <v>00201992</v>
      </c>
    </row>
    <row r="4226" spans="1:2" x14ac:dyDescent="0.25">
      <c r="A4226" s="2">
        <v>4221</v>
      </c>
      <c r="B4226" s="11" t="str">
        <f>"00201996"</f>
        <v>00201996</v>
      </c>
    </row>
    <row r="4227" spans="1:2" x14ac:dyDescent="0.25">
      <c r="A4227" s="2">
        <v>4222</v>
      </c>
      <c r="B4227" s="11" t="str">
        <f>"00202008"</f>
        <v>00202008</v>
      </c>
    </row>
    <row r="4228" spans="1:2" x14ac:dyDescent="0.25">
      <c r="A4228" s="2">
        <v>4223</v>
      </c>
      <c r="B4228" s="11" t="str">
        <f>"00202027"</f>
        <v>00202027</v>
      </c>
    </row>
    <row r="4229" spans="1:2" x14ac:dyDescent="0.25">
      <c r="A4229" s="2">
        <v>4224</v>
      </c>
      <c r="B4229" s="11" t="str">
        <f>"00202041"</f>
        <v>00202041</v>
      </c>
    </row>
    <row r="4230" spans="1:2" x14ac:dyDescent="0.25">
      <c r="A4230" s="2">
        <v>4225</v>
      </c>
      <c r="B4230" s="11" t="str">
        <f>"00202074"</f>
        <v>00202074</v>
      </c>
    </row>
    <row r="4231" spans="1:2" x14ac:dyDescent="0.25">
      <c r="A4231" s="2">
        <v>4226</v>
      </c>
      <c r="B4231" s="11" t="str">
        <f>"00202092"</f>
        <v>00202092</v>
      </c>
    </row>
    <row r="4232" spans="1:2" x14ac:dyDescent="0.25">
      <c r="A4232" s="2">
        <v>4227</v>
      </c>
      <c r="B4232" s="11" t="str">
        <f>"00202099"</f>
        <v>00202099</v>
      </c>
    </row>
    <row r="4233" spans="1:2" x14ac:dyDescent="0.25">
      <c r="A4233" s="2">
        <v>4228</v>
      </c>
      <c r="B4233" s="11" t="str">
        <f>"00202110"</f>
        <v>00202110</v>
      </c>
    </row>
    <row r="4234" spans="1:2" x14ac:dyDescent="0.25">
      <c r="A4234" s="2">
        <v>4229</v>
      </c>
      <c r="B4234" s="11" t="str">
        <f>"00202113"</f>
        <v>00202113</v>
      </c>
    </row>
    <row r="4235" spans="1:2" x14ac:dyDescent="0.25">
      <c r="A4235" s="2">
        <v>4230</v>
      </c>
      <c r="B4235" s="11" t="str">
        <f>"00202116"</f>
        <v>00202116</v>
      </c>
    </row>
    <row r="4236" spans="1:2" x14ac:dyDescent="0.25">
      <c r="A4236" s="2">
        <v>4231</v>
      </c>
      <c r="B4236" s="11" t="str">
        <f>"00202118"</f>
        <v>00202118</v>
      </c>
    </row>
    <row r="4237" spans="1:2" x14ac:dyDescent="0.25">
      <c r="A4237" s="2">
        <v>4232</v>
      </c>
      <c r="B4237" s="11" t="str">
        <f>"00202161"</f>
        <v>00202161</v>
      </c>
    </row>
    <row r="4238" spans="1:2" x14ac:dyDescent="0.25">
      <c r="A4238" s="2">
        <v>4233</v>
      </c>
      <c r="B4238" s="11" t="str">
        <f>"00202173"</f>
        <v>00202173</v>
      </c>
    </row>
    <row r="4239" spans="1:2" x14ac:dyDescent="0.25">
      <c r="A4239" s="2">
        <v>4234</v>
      </c>
      <c r="B4239" s="11" t="str">
        <f>"00202180"</f>
        <v>00202180</v>
      </c>
    </row>
    <row r="4240" spans="1:2" x14ac:dyDescent="0.25">
      <c r="A4240" s="2">
        <v>4235</v>
      </c>
      <c r="B4240" s="11" t="str">
        <f>"00202200"</f>
        <v>00202200</v>
      </c>
    </row>
    <row r="4241" spans="1:2" x14ac:dyDescent="0.25">
      <c r="A4241" s="2">
        <v>4236</v>
      </c>
      <c r="B4241" s="11" t="str">
        <f>"00202223"</f>
        <v>00202223</v>
      </c>
    </row>
    <row r="4242" spans="1:2" x14ac:dyDescent="0.25">
      <c r="A4242" s="2">
        <v>4237</v>
      </c>
      <c r="B4242" s="11" t="str">
        <f>"00202262"</f>
        <v>00202262</v>
      </c>
    </row>
    <row r="4243" spans="1:2" x14ac:dyDescent="0.25">
      <c r="A4243" s="2">
        <v>4238</v>
      </c>
      <c r="B4243" s="11" t="str">
        <f>"00202279"</f>
        <v>00202279</v>
      </c>
    </row>
    <row r="4244" spans="1:2" x14ac:dyDescent="0.25">
      <c r="A4244" s="2">
        <v>4239</v>
      </c>
      <c r="B4244" s="11" t="str">
        <f>"00202295"</f>
        <v>00202295</v>
      </c>
    </row>
    <row r="4245" spans="1:2" x14ac:dyDescent="0.25">
      <c r="A4245" s="2">
        <v>4240</v>
      </c>
      <c r="B4245" s="11" t="str">
        <f>"00202319"</f>
        <v>00202319</v>
      </c>
    </row>
    <row r="4246" spans="1:2" x14ac:dyDescent="0.25">
      <c r="A4246" s="2">
        <v>4241</v>
      </c>
      <c r="B4246" s="11" t="str">
        <f>"00202328"</f>
        <v>00202328</v>
      </c>
    </row>
    <row r="4247" spans="1:2" x14ac:dyDescent="0.25">
      <c r="A4247" s="2">
        <v>4242</v>
      </c>
      <c r="B4247" s="11" t="str">
        <f>"00202364"</f>
        <v>00202364</v>
      </c>
    </row>
    <row r="4248" spans="1:2" x14ac:dyDescent="0.25">
      <c r="A4248" s="2">
        <v>4243</v>
      </c>
      <c r="B4248" s="11" t="str">
        <f>"00202377"</f>
        <v>00202377</v>
      </c>
    </row>
    <row r="4249" spans="1:2" x14ac:dyDescent="0.25">
      <c r="A4249" s="2">
        <v>4244</v>
      </c>
      <c r="B4249" s="11" t="str">
        <f>"00202384"</f>
        <v>00202384</v>
      </c>
    </row>
    <row r="4250" spans="1:2" x14ac:dyDescent="0.25">
      <c r="A4250" s="2">
        <v>4245</v>
      </c>
      <c r="B4250" s="11" t="str">
        <f>"00202390"</f>
        <v>00202390</v>
      </c>
    </row>
    <row r="4251" spans="1:2" x14ac:dyDescent="0.25">
      <c r="A4251" s="2">
        <v>4246</v>
      </c>
      <c r="B4251" s="11" t="str">
        <f>"00202425"</f>
        <v>00202425</v>
      </c>
    </row>
    <row r="4252" spans="1:2" x14ac:dyDescent="0.25">
      <c r="A4252" s="2">
        <v>4247</v>
      </c>
      <c r="B4252" s="11" t="str">
        <f>"00202441"</f>
        <v>00202441</v>
      </c>
    </row>
    <row r="4253" spans="1:2" x14ac:dyDescent="0.25">
      <c r="A4253" s="2">
        <v>4248</v>
      </c>
      <c r="B4253" s="11" t="str">
        <f>"00202492"</f>
        <v>00202492</v>
      </c>
    </row>
    <row r="4254" spans="1:2" x14ac:dyDescent="0.25">
      <c r="A4254" s="2">
        <v>4249</v>
      </c>
      <c r="B4254" s="11" t="str">
        <f>"00202499"</f>
        <v>00202499</v>
      </c>
    </row>
    <row r="4255" spans="1:2" x14ac:dyDescent="0.25">
      <c r="A4255" s="2">
        <v>4250</v>
      </c>
      <c r="B4255" s="11" t="str">
        <f>"00202514"</f>
        <v>00202514</v>
      </c>
    </row>
    <row r="4256" spans="1:2" x14ac:dyDescent="0.25">
      <c r="A4256" s="2">
        <v>4251</v>
      </c>
      <c r="B4256" s="11" t="str">
        <f>"00202541"</f>
        <v>00202541</v>
      </c>
    </row>
    <row r="4257" spans="1:2" x14ac:dyDescent="0.25">
      <c r="A4257" s="2">
        <v>4252</v>
      </c>
      <c r="B4257" s="11" t="str">
        <f>"00202561"</f>
        <v>00202561</v>
      </c>
    </row>
    <row r="4258" spans="1:2" x14ac:dyDescent="0.25">
      <c r="A4258" s="2">
        <v>4253</v>
      </c>
      <c r="B4258" s="11" t="str">
        <f>"00202597"</f>
        <v>00202597</v>
      </c>
    </row>
    <row r="4259" spans="1:2" x14ac:dyDescent="0.25">
      <c r="A4259" s="2">
        <v>4254</v>
      </c>
      <c r="B4259" s="11" t="str">
        <f>"00202615"</f>
        <v>00202615</v>
      </c>
    </row>
    <row r="4260" spans="1:2" x14ac:dyDescent="0.25">
      <c r="A4260" s="2">
        <v>4255</v>
      </c>
      <c r="B4260" s="11" t="str">
        <f>"00202617"</f>
        <v>00202617</v>
      </c>
    </row>
    <row r="4261" spans="1:2" x14ac:dyDescent="0.25">
      <c r="A4261" s="2">
        <v>4256</v>
      </c>
      <c r="B4261" s="11" t="str">
        <f>"00202619"</f>
        <v>00202619</v>
      </c>
    </row>
    <row r="4262" spans="1:2" x14ac:dyDescent="0.25">
      <c r="A4262" s="2">
        <v>4257</v>
      </c>
      <c r="B4262" s="11" t="str">
        <f>"00202645"</f>
        <v>00202645</v>
      </c>
    </row>
    <row r="4263" spans="1:2" x14ac:dyDescent="0.25">
      <c r="A4263" s="2">
        <v>4258</v>
      </c>
      <c r="B4263" s="11" t="str">
        <f>"00202669"</f>
        <v>00202669</v>
      </c>
    </row>
    <row r="4264" spans="1:2" x14ac:dyDescent="0.25">
      <c r="A4264" s="2">
        <v>4259</v>
      </c>
      <c r="B4264" s="11" t="str">
        <f>"00202708"</f>
        <v>00202708</v>
      </c>
    </row>
    <row r="4265" spans="1:2" x14ac:dyDescent="0.25">
      <c r="A4265" s="2">
        <v>4260</v>
      </c>
      <c r="B4265" s="11" t="str">
        <f>"00202725"</f>
        <v>00202725</v>
      </c>
    </row>
    <row r="4266" spans="1:2" x14ac:dyDescent="0.25">
      <c r="A4266" s="2">
        <v>4261</v>
      </c>
      <c r="B4266" s="11" t="str">
        <f>"00202727"</f>
        <v>00202727</v>
      </c>
    </row>
    <row r="4267" spans="1:2" x14ac:dyDescent="0.25">
      <c r="A4267" s="2">
        <v>4262</v>
      </c>
      <c r="B4267" s="11" t="str">
        <f>"00202730"</f>
        <v>00202730</v>
      </c>
    </row>
    <row r="4268" spans="1:2" x14ac:dyDescent="0.25">
      <c r="A4268" s="2">
        <v>4263</v>
      </c>
      <c r="B4268" s="11" t="str">
        <f>"00202777"</f>
        <v>00202777</v>
      </c>
    </row>
    <row r="4269" spans="1:2" x14ac:dyDescent="0.25">
      <c r="A4269" s="2">
        <v>4264</v>
      </c>
      <c r="B4269" s="11" t="str">
        <f>"00202798"</f>
        <v>00202798</v>
      </c>
    </row>
    <row r="4270" spans="1:2" x14ac:dyDescent="0.25">
      <c r="A4270" s="2">
        <v>4265</v>
      </c>
      <c r="B4270" s="11" t="str">
        <f>"00202832"</f>
        <v>00202832</v>
      </c>
    </row>
    <row r="4271" spans="1:2" x14ac:dyDescent="0.25">
      <c r="A4271" s="2">
        <v>4266</v>
      </c>
      <c r="B4271" s="11" t="str">
        <f>"00202835"</f>
        <v>00202835</v>
      </c>
    </row>
    <row r="4272" spans="1:2" x14ac:dyDescent="0.25">
      <c r="A4272" s="2">
        <v>4267</v>
      </c>
      <c r="B4272" s="11" t="str">
        <f>"00202842"</f>
        <v>00202842</v>
      </c>
    </row>
    <row r="4273" spans="1:2" x14ac:dyDescent="0.25">
      <c r="A4273" s="2">
        <v>4268</v>
      </c>
      <c r="B4273" s="11" t="str">
        <f>"00202845"</f>
        <v>00202845</v>
      </c>
    </row>
    <row r="4274" spans="1:2" x14ac:dyDescent="0.25">
      <c r="A4274" s="2">
        <v>4269</v>
      </c>
      <c r="B4274" s="11" t="str">
        <f>"00202880"</f>
        <v>00202880</v>
      </c>
    </row>
    <row r="4275" spans="1:2" x14ac:dyDescent="0.25">
      <c r="A4275" s="2">
        <v>4270</v>
      </c>
      <c r="B4275" s="11" t="str">
        <f>"00202894"</f>
        <v>00202894</v>
      </c>
    </row>
    <row r="4276" spans="1:2" x14ac:dyDescent="0.25">
      <c r="A4276" s="2">
        <v>4271</v>
      </c>
      <c r="B4276" s="11" t="str">
        <f>"00202916"</f>
        <v>00202916</v>
      </c>
    </row>
    <row r="4277" spans="1:2" x14ac:dyDescent="0.25">
      <c r="A4277" s="2">
        <v>4272</v>
      </c>
      <c r="B4277" s="11" t="str">
        <f>"00202979"</f>
        <v>00202979</v>
      </c>
    </row>
    <row r="4278" spans="1:2" x14ac:dyDescent="0.25">
      <c r="A4278" s="2">
        <v>4273</v>
      </c>
      <c r="B4278" s="11" t="str">
        <f>"00202994"</f>
        <v>00202994</v>
      </c>
    </row>
    <row r="4279" spans="1:2" x14ac:dyDescent="0.25">
      <c r="A4279" s="2">
        <v>4274</v>
      </c>
      <c r="B4279" s="11" t="str">
        <f>"00203007"</f>
        <v>00203007</v>
      </c>
    </row>
    <row r="4280" spans="1:2" x14ac:dyDescent="0.25">
      <c r="A4280" s="2">
        <v>4275</v>
      </c>
      <c r="B4280" s="11" t="str">
        <f>"00203039"</f>
        <v>00203039</v>
      </c>
    </row>
    <row r="4281" spans="1:2" x14ac:dyDescent="0.25">
      <c r="A4281" s="2">
        <v>4276</v>
      </c>
      <c r="B4281" s="11" t="str">
        <f>"00203059"</f>
        <v>00203059</v>
      </c>
    </row>
    <row r="4282" spans="1:2" x14ac:dyDescent="0.25">
      <c r="A4282" s="2">
        <v>4277</v>
      </c>
      <c r="B4282" s="11" t="str">
        <f>"00203075"</f>
        <v>00203075</v>
      </c>
    </row>
    <row r="4283" spans="1:2" x14ac:dyDescent="0.25">
      <c r="A4283" s="2">
        <v>4278</v>
      </c>
      <c r="B4283" s="11" t="str">
        <f>"00203076"</f>
        <v>00203076</v>
      </c>
    </row>
    <row r="4284" spans="1:2" x14ac:dyDescent="0.25">
      <c r="A4284" s="2">
        <v>4279</v>
      </c>
      <c r="B4284" s="11" t="str">
        <f>"00203108"</f>
        <v>00203108</v>
      </c>
    </row>
    <row r="4285" spans="1:2" x14ac:dyDescent="0.25">
      <c r="A4285" s="2">
        <v>4280</v>
      </c>
      <c r="B4285" s="11" t="str">
        <f>"00203114"</f>
        <v>00203114</v>
      </c>
    </row>
    <row r="4286" spans="1:2" x14ac:dyDescent="0.25">
      <c r="A4286" s="2">
        <v>4281</v>
      </c>
      <c r="B4286" s="11" t="str">
        <f>"00203117"</f>
        <v>00203117</v>
      </c>
    </row>
    <row r="4287" spans="1:2" x14ac:dyDescent="0.25">
      <c r="A4287" s="2">
        <v>4282</v>
      </c>
      <c r="B4287" s="11" t="str">
        <f>"00203135"</f>
        <v>00203135</v>
      </c>
    </row>
    <row r="4288" spans="1:2" x14ac:dyDescent="0.25">
      <c r="A4288" s="2">
        <v>4283</v>
      </c>
      <c r="B4288" s="11" t="str">
        <f>"00203216"</f>
        <v>00203216</v>
      </c>
    </row>
    <row r="4289" spans="1:2" x14ac:dyDescent="0.25">
      <c r="A4289" s="2">
        <v>4284</v>
      </c>
      <c r="B4289" s="11" t="str">
        <f>"00203228"</f>
        <v>00203228</v>
      </c>
    </row>
    <row r="4290" spans="1:2" x14ac:dyDescent="0.25">
      <c r="A4290" s="2">
        <v>4285</v>
      </c>
      <c r="B4290" s="11" t="str">
        <f>"00203229"</f>
        <v>00203229</v>
      </c>
    </row>
    <row r="4291" spans="1:2" x14ac:dyDescent="0.25">
      <c r="A4291" s="2">
        <v>4286</v>
      </c>
      <c r="B4291" s="11" t="str">
        <f>"00203353"</f>
        <v>00203353</v>
      </c>
    </row>
    <row r="4292" spans="1:2" x14ac:dyDescent="0.25">
      <c r="A4292" s="2">
        <v>4287</v>
      </c>
      <c r="B4292" s="11" t="str">
        <f>"00203366"</f>
        <v>00203366</v>
      </c>
    </row>
    <row r="4293" spans="1:2" x14ac:dyDescent="0.25">
      <c r="A4293" s="2">
        <v>4288</v>
      </c>
      <c r="B4293" s="11" t="str">
        <f>"00203399"</f>
        <v>00203399</v>
      </c>
    </row>
    <row r="4294" spans="1:2" x14ac:dyDescent="0.25">
      <c r="A4294" s="2">
        <v>4289</v>
      </c>
      <c r="B4294" s="11" t="str">
        <f>"00203405"</f>
        <v>00203405</v>
      </c>
    </row>
    <row r="4295" spans="1:2" x14ac:dyDescent="0.25">
      <c r="A4295" s="2">
        <v>4290</v>
      </c>
      <c r="B4295" s="11" t="str">
        <f>"00203429"</f>
        <v>00203429</v>
      </c>
    </row>
    <row r="4296" spans="1:2" x14ac:dyDescent="0.25">
      <c r="A4296" s="2">
        <v>4291</v>
      </c>
      <c r="B4296" s="11" t="str">
        <f>"00203434"</f>
        <v>00203434</v>
      </c>
    </row>
    <row r="4297" spans="1:2" x14ac:dyDescent="0.25">
      <c r="A4297" s="2">
        <v>4292</v>
      </c>
      <c r="B4297" s="11" t="str">
        <f>"00203464"</f>
        <v>00203464</v>
      </c>
    </row>
    <row r="4298" spans="1:2" x14ac:dyDescent="0.25">
      <c r="A4298" s="2">
        <v>4293</v>
      </c>
      <c r="B4298" s="11" t="str">
        <f>"00203499"</f>
        <v>00203499</v>
      </c>
    </row>
    <row r="4299" spans="1:2" x14ac:dyDescent="0.25">
      <c r="A4299" s="2">
        <v>4294</v>
      </c>
      <c r="B4299" s="11" t="str">
        <f>"00203507"</f>
        <v>00203507</v>
      </c>
    </row>
    <row r="4300" spans="1:2" x14ac:dyDescent="0.25">
      <c r="A4300" s="2">
        <v>4295</v>
      </c>
      <c r="B4300" s="11" t="str">
        <f>"00203562"</f>
        <v>00203562</v>
      </c>
    </row>
    <row r="4301" spans="1:2" x14ac:dyDescent="0.25">
      <c r="A4301" s="2">
        <v>4296</v>
      </c>
      <c r="B4301" s="11" t="str">
        <f>"00203611"</f>
        <v>00203611</v>
      </c>
    </row>
    <row r="4302" spans="1:2" x14ac:dyDescent="0.25">
      <c r="A4302" s="2">
        <v>4297</v>
      </c>
      <c r="B4302" s="11" t="str">
        <f>"00203616"</f>
        <v>00203616</v>
      </c>
    </row>
    <row r="4303" spans="1:2" x14ac:dyDescent="0.25">
      <c r="A4303" s="2">
        <v>4298</v>
      </c>
      <c r="B4303" s="11" t="str">
        <f>"00203632"</f>
        <v>00203632</v>
      </c>
    </row>
    <row r="4304" spans="1:2" x14ac:dyDescent="0.25">
      <c r="A4304" s="2">
        <v>4299</v>
      </c>
      <c r="B4304" s="11" t="str">
        <f>"00203635"</f>
        <v>00203635</v>
      </c>
    </row>
    <row r="4305" spans="1:2" x14ac:dyDescent="0.25">
      <c r="A4305" s="2">
        <v>4300</v>
      </c>
      <c r="B4305" s="11" t="str">
        <f>"00203638"</f>
        <v>00203638</v>
      </c>
    </row>
    <row r="4306" spans="1:2" x14ac:dyDescent="0.25">
      <c r="A4306" s="2">
        <v>4301</v>
      </c>
      <c r="B4306" s="11" t="str">
        <f>"00203666"</f>
        <v>00203666</v>
      </c>
    </row>
    <row r="4307" spans="1:2" x14ac:dyDescent="0.25">
      <c r="A4307" s="2">
        <v>4302</v>
      </c>
      <c r="B4307" s="11" t="str">
        <f>"00203691"</f>
        <v>00203691</v>
      </c>
    </row>
    <row r="4308" spans="1:2" x14ac:dyDescent="0.25">
      <c r="A4308" s="2">
        <v>4303</v>
      </c>
      <c r="B4308" s="11" t="str">
        <f>"00203739"</f>
        <v>00203739</v>
      </c>
    </row>
    <row r="4309" spans="1:2" x14ac:dyDescent="0.25">
      <c r="A4309" s="2">
        <v>4304</v>
      </c>
      <c r="B4309" s="11" t="str">
        <f>"00203781"</f>
        <v>00203781</v>
      </c>
    </row>
    <row r="4310" spans="1:2" x14ac:dyDescent="0.25">
      <c r="A4310" s="2">
        <v>4305</v>
      </c>
      <c r="B4310" s="11" t="str">
        <f>"00205277"</f>
        <v>00205277</v>
      </c>
    </row>
    <row r="4311" spans="1:2" x14ac:dyDescent="0.25">
      <c r="A4311" s="2">
        <v>4306</v>
      </c>
      <c r="B4311" s="11" t="str">
        <f>"00205287"</f>
        <v>00205287</v>
      </c>
    </row>
    <row r="4312" spans="1:2" x14ac:dyDescent="0.25">
      <c r="A4312" s="2">
        <v>4307</v>
      </c>
      <c r="B4312" s="11" t="str">
        <f>"00205300"</f>
        <v>00205300</v>
      </c>
    </row>
    <row r="4313" spans="1:2" x14ac:dyDescent="0.25">
      <c r="A4313" s="2">
        <v>4308</v>
      </c>
      <c r="B4313" s="11" t="str">
        <f>"00205321"</f>
        <v>00205321</v>
      </c>
    </row>
    <row r="4314" spans="1:2" x14ac:dyDescent="0.25">
      <c r="A4314" s="2">
        <v>4309</v>
      </c>
      <c r="B4314" s="11" t="str">
        <f>"00205334"</f>
        <v>00205334</v>
      </c>
    </row>
    <row r="4315" spans="1:2" x14ac:dyDescent="0.25">
      <c r="A4315" s="2">
        <v>4310</v>
      </c>
      <c r="B4315" s="11" t="str">
        <f>"00205405"</f>
        <v>00205405</v>
      </c>
    </row>
    <row r="4316" spans="1:2" x14ac:dyDescent="0.25">
      <c r="A4316" s="2">
        <v>4311</v>
      </c>
      <c r="B4316" s="11" t="str">
        <f>"00205458"</f>
        <v>00205458</v>
      </c>
    </row>
    <row r="4317" spans="1:2" x14ac:dyDescent="0.25">
      <c r="A4317" s="2">
        <v>4312</v>
      </c>
      <c r="B4317" s="11" t="str">
        <f>"00205461"</f>
        <v>00205461</v>
      </c>
    </row>
    <row r="4318" spans="1:2" x14ac:dyDescent="0.25">
      <c r="A4318" s="2">
        <v>4313</v>
      </c>
      <c r="B4318" s="11" t="str">
        <f>"00205463"</f>
        <v>00205463</v>
      </c>
    </row>
    <row r="4319" spans="1:2" x14ac:dyDescent="0.25">
      <c r="A4319" s="2">
        <v>4314</v>
      </c>
      <c r="B4319" s="11" t="str">
        <f>"00205483"</f>
        <v>00205483</v>
      </c>
    </row>
    <row r="4320" spans="1:2" x14ac:dyDescent="0.25">
      <c r="A4320" s="2">
        <v>4315</v>
      </c>
      <c r="B4320" s="11" t="str">
        <f>"00205506"</f>
        <v>00205506</v>
      </c>
    </row>
    <row r="4321" spans="1:2" x14ac:dyDescent="0.25">
      <c r="A4321" s="2">
        <v>4316</v>
      </c>
      <c r="B4321" s="11" t="str">
        <f>"00205508"</f>
        <v>00205508</v>
      </c>
    </row>
    <row r="4322" spans="1:2" x14ac:dyDescent="0.25">
      <c r="A4322" s="2">
        <v>4317</v>
      </c>
      <c r="B4322" s="11" t="str">
        <f>"00205526"</f>
        <v>00205526</v>
      </c>
    </row>
    <row r="4323" spans="1:2" x14ac:dyDescent="0.25">
      <c r="A4323" s="2">
        <v>4318</v>
      </c>
      <c r="B4323" s="11" t="str">
        <f>"00205532"</f>
        <v>00205532</v>
      </c>
    </row>
    <row r="4324" spans="1:2" x14ac:dyDescent="0.25">
      <c r="A4324" s="2">
        <v>4319</v>
      </c>
      <c r="B4324" s="11" t="str">
        <f>"00205585"</f>
        <v>00205585</v>
      </c>
    </row>
    <row r="4325" spans="1:2" x14ac:dyDescent="0.25">
      <c r="A4325" s="2">
        <v>4320</v>
      </c>
      <c r="B4325" s="11" t="str">
        <f>"00205619"</f>
        <v>00205619</v>
      </c>
    </row>
    <row r="4326" spans="1:2" x14ac:dyDescent="0.25">
      <c r="A4326" s="2">
        <v>4321</v>
      </c>
      <c r="B4326" s="11" t="str">
        <f>"00205627"</f>
        <v>00205627</v>
      </c>
    </row>
    <row r="4327" spans="1:2" x14ac:dyDescent="0.25">
      <c r="A4327" s="2">
        <v>4322</v>
      </c>
      <c r="B4327" s="11" t="str">
        <f>"00205628"</f>
        <v>00205628</v>
      </c>
    </row>
    <row r="4328" spans="1:2" x14ac:dyDescent="0.25">
      <c r="A4328" s="2">
        <v>4323</v>
      </c>
      <c r="B4328" s="11" t="str">
        <f>"00205686"</f>
        <v>00205686</v>
      </c>
    </row>
    <row r="4329" spans="1:2" x14ac:dyDescent="0.25">
      <c r="A4329" s="2">
        <v>4324</v>
      </c>
      <c r="B4329" s="11" t="str">
        <f>"00205689"</f>
        <v>00205689</v>
      </c>
    </row>
    <row r="4330" spans="1:2" x14ac:dyDescent="0.25">
      <c r="A4330" s="2">
        <v>4325</v>
      </c>
      <c r="B4330" s="11" t="str">
        <f>"00205704"</f>
        <v>00205704</v>
      </c>
    </row>
    <row r="4331" spans="1:2" x14ac:dyDescent="0.25">
      <c r="A4331" s="2">
        <v>4326</v>
      </c>
      <c r="B4331" s="11" t="str">
        <f>"00205708"</f>
        <v>00205708</v>
      </c>
    </row>
    <row r="4332" spans="1:2" x14ac:dyDescent="0.25">
      <c r="A4332" s="2">
        <v>4327</v>
      </c>
      <c r="B4332" s="11" t="str">
        <f>"00205727"</f>
        <v>00205727</v>
      </c>
    </row>
    <row r="4333" spans="1:2" x14ac:dyDescent="0.25">
      <c r="A4333" s="2">
        <v>4328</v>
      </c>
      <c r="B4333" s="11" t="str">
        <f>"00205737"</f>
        <v>00205737</v>
      </c>
    </row>
    <row r="4334" spans="1:2" x14ac:dyDescent="0.25">
      <c r="A4334" s="2">
        <v>4329</v>
      </c>
      <c r="B4334" s="11" t="str">
        <f>"00205743"</f>
        <v>00205743</v>
      </c>
    </row>
    <row r="4335" spans="1:2" x14ac:dyDescent="0.25">
      <c r="A4335" s="2">
        <v>4330</v>
      </c>
      <c r="B4335" s="11" t="str">
        <f>"00205774"</f>
        <v>00205774</v>
      </c>
    </row>
    <row r="4336" spans="1:2" x14ac:dyDescent="0.25">
      <c r="A4336" s="2">
        <v>4331</v>
      </c>
      <c r="B4336" s="11" t="str">
        <f>"00205826"</f>
        <v>00205826</v>
      </c>
    </row>
    <row r="4337" spans="1:2" x14ac:dyDescent="0.25">
      <c r="A4337" s="2">
        <v>4332</v>
      </c>
      <c r="B4337" s="11" t="str">
        <f>"00205839"</f>
        <v>00205839</v>
      </c>
    </row>
    <row r="4338" spans="1:2" x14ac:dyDescent="0.25">
      <c r="A4338" s="2">
        <v>4333</v>
      </c>
      <c r="B4338" s="11" t="str">
        <f>"00205869"</f>
        <v>00205869</v>
      </c>
    </row>
    <row r="4339" spans="1:2" x14ac:dyDescent="0.25">
      <c r="A4339" s="2">
        <v>4334</v>
      </c>
      <c r="B4339" s="11" t="str">
        <f>"00205875"</f>
        <v>00205875</v>
      </c>
    </row>
    <row r="4340" spans="1:2" x14ac:dyDescent="0.25">
      <c r="A4340" s="2">
        <v>4335</v>
      </c>
      <c r="B4340" s="11" t="str">
        <f>"00205876"</f>
        <v>00205876</v>
      </c>
    </row>
    <row r="4341" spans="1:2" x14ac:dyDescent="0.25">
      <c r="A4341" s="2">
        <v>4336</v>
      </c>
      <c r="B4341" s="11" t="str">
        <f>"00205881"</f>
        <v>00205881</v>
      </c>
    </row>
    <row r="4342" spans="1:2" x14ac:dyDescent="0.25">
      <c r="A4342" s="2">
        <v>4337</v>
      </c>
      <c r="B4342" s="11" t="str">
        <f>"00205884"</f>
        <v>00205884</v>
      </c>
    </row>
    <row r="4343" spans="1:2" x14ac:dyDescent="0.25">
      <c r="A4343" s="2">
        <v>4338</v>
      </c>
      <c r="B4343" s="11" t="str">
        <f>"00205887"</f>
        <v>00205887</v>
      </c>
    </row>
    <row r="4344" spans="1:2" x14ac:dyDescent="0.25">
      <c r="A4344" s="2">
        <v>4339</v>
      </c>
      <c r="B4344" s="11" t="str">
        <f>"00205894"</f>
        <v>00205894</v>
      </c>
    </row>
    <row r="4345" spans="1:2" x14ac:dyDescent="0.25">
      <c r="A4345" s="2">
        <v>4340</v>
      </c>
      <c r="B4345" s="11" t="str">
        <f>"00205895"</f>
        <v>00205895</v>
      </c>
    </row>
    <row r="4346" spans="1:2" x14ac:dyDescent="0.25">
      <c r="A4346" s="2">
        <v>4341</v>
      </c>
      <c r="B4346" s="11" t="str">
        <f>"00205915"</f>
        <v>00205915</v>
      </c>
    </row>
    <row r="4347" spans="1:2" x14ac:dyDescent="0.25">
      <c r="A4347" s="2">
        <v>4342</v>
      </c>
      <c r="B4347" s="11" t="str">
        <f>"00205952"</f>
        <v>00205952</v>
      </c>
    </row>
    <row r="4348" spans="1:2" x14ac:dyDescent="0.25">
      <c r="A4348" s="2">
        <v>4343</v>
      </c>
      <c r="B4348" s="11" t="str">
        <f>"00205966"</f>
        <v>00205966</v>
      </c>
    </row>
    <row r="4349" spans="1:2" x14ac:dyDescent="0.25">
      <c r="A4349" s="2">
        <v>4344</v>
      </c>
      <c r="B4349" s="11" t="str">
        <f>"00205976"</f>
        <v>00205976</v>
      </c>
    </row>
    <row r="4350" spans="1:2" x14ac:dyDescent="0.25">
      <c r="A4350" s="2">
        <v>4345</v>
      </c>
      <c r="B4350" s="11" t="str">
        <f>"00205991"</f>
        <v>00205991</v>
      </c>
    </row>
    <row r="4351" spans="1:2" x14ac:dyDescent="0.25">
      <c r="A4351" s="2">
        <v>4346</v>
      </c>
      <c r="B4351" s="11" t="str">
        <f>"00206079"</f>
        <v>00206079</v>
      </c>
    </row>
    <row r="4352" spans="1:2" x14ac:dyDescent="0.25">
      <c r="A4352" s="2">
        <v>4347</v>
      </c>
      <c r="B4352" s="11" t="str">
        <f>"00206107"</f>
        <v>00206107</v>
      </c>
    </row>
    <row r="4353" spans="1:2" x14ac:dyDescent="0.25">
      <c r="A4353" s="2">
        <v>4348</v>
      </c>
      <c r="B4353" s="11" t="str">
        <f>"00206108"</f>
        <v>00206108</v>
      </c>
    </row>
    <row r="4354" spans="1:2" x14ac:dyDescent="0.25">
      <c r="A4354" s="2">
        <v>4349</v>
      </c>
      <c r="B4354" s="11" t="str">
        <f>"00206122"</f>
        <v>00206122</v>
      </c>
    </row>
    <row r="4355" spans="1:2" x14ac:dyDescent="0.25">
      <c r="A4355" s="2">
        <v>4350</v>
      </c>
      <c r="B4355" s="11" t="str">
        <f>"00206125"</f>
        <v>00206125</v>
      </c>
    </row>
    <row r="4356" spans="1:2" x14ac:dyDescent="0.25">
      <c r="A4356" s="2">
        <v>4351</v>
      </c>
      <c r="B4356" s="11" t="str">
        <f>"00206126"</f>
        <v>00206126</v>
      </c>
    </row>
    <row r="4357" spans="1:2" x14ac:dyDescent="0.25">
      <c r="A4357" s="2">
        <v>4352</v>
      </c>
      <c r="B4357" s="11" t="str">
        <f>"00206132"</f>
        <v>00206132</v>
      </c>
    </row>
    <row r="4358" spans="1:2" x14ac:dyDescent="0.25">
      <c r="A4358" s="2">
        <v>4353</v>
      </c>
      <c r="B4358" s="11" t="str">
        <f>"00206249"</f>
        <v>00206249</v>
      </c>
    </row>
    <row r="4359" spans="1:2" x14ac:dyDescent="0.25">
      <c r="A4359" s="2">
        <v>4354</v>
      </c>
      <c r="B4359" s="11" t="str">
        <f>"00206275"</f>
        <v>00206275</v>
      </c>
    </row>
    <row r="4360" spans="1:2" x14ac:dyDescent="0.25">
      <c r="A4360" s="2">
        <v>4355</v>
      </c>
      <c r="B4360" s="11" t="str">
        <f>"00206286"</f>
        <v>00206286</v>
      </c>
    </row>
    <row r="4361" spans="1:2" x14ac:dyDescent="0.25">
      <c r="A4361" s="2">
        <v>4356</v>
      </c>
      <c r="B4361" s="11" t="str">
        <f>"00206288"</f>
        <v>00206288</v>
      </c>
    </row>
    <row r="4362" spans="1:2" x14ac:dyDescent="0.25">
      <c r="A4362" s="2">
        <v>4357</v>
      </c>
      <c r="B4362" s="11" t="str">
        <f>"00206290"</f>
        <v>00206290</v>
      </c>
    </row>
    <row r="4363" spans="1:2" x14ac:dyDescent="0.25">
      <c r="A4363" s="2">
        <v>4358</v>
      </c>
      <c r="B4363" s="11" t="str">
        <f>"00206308"</f>
        <v>00206308</v>
      </c>
    </row>
    <row r="4364" spans="1:2" x14ac:dyDescent="0.25">
      <c r="A4364" s="2">
        <v>4359</v>
      </c>
      <c r="B4364" s="11" t="str">
        <f>"00206321"</f>
        <v>00206321</v>
      </c>
    </row>
    <row r="4365" spans="1:2" x14ac:dyDescent="0.25">
      <c r="A4365" s="2">
        <v>4360</v>
      </c>
      <c r="B4365" s="11" t="str">
        <f>"00206324"</f>
        <v>00206324</v>
      </c>
    </row>
    <row r="4366" spans="1:2" x14ac:dyDescent="0.25">
      <c r="A4366" s="2">
        <v>4361</v>
      </c>
      <c r="B4366" s="11" t="str">
        <f>"00206371"</f>
        <v>00206371</v>
      </c>
    </row>
    <row r="4367" spans="1:2" x14ac:dyDescent="0.25">
      <c r="A4367" s="2">
        <v>4362</v>
      </c>
      <c r="B4367" s="11" t="str">
        <f>"00206374"</f>
        <v>00206374</v>
      </c>
    </row>
    <row r="4368" spans="1:2" x14ac:dyDescent="0.25">
      <c r="A4368" s="2">
        <v>4363</v>
      </c>
      <c r="B4368" s="11" t="str">
        <f>"00206386"</f>
        <v>00206386</v>
      </c>
    </row>
    <row r="4369" spans="1:2" x14ac:dyDescent="0.25">
      <c r="A4369" s="2">
        <v>4364</v>
      </c>
      <c r="B4369" s="11" t="str">
        <f>"00206409"</f>
        <v>00206409</v>
      </c>
    </row>
    <row r="4370" spans="1:2" x14ac:dyDescent="0.25">
      <c r="A4370" s="2">
        <v>4365</v>
      </c>
      <c r="B4370" s="11" t="str">
        <f>"00206461"</f>
        <v>00206461</v>
      </c>
    </row>
    <row r="4371" spans="1:2" x14ac:dyDescent="0.25">
      <c r="A4371" s="2">
        <v>4366</v>
      </c>
      <c r="B4371" s="11" t="str">
        <f>"00206469"</f>
        <v>00206469</v>
      </c>
    </row>
    <row r="4372" spans="1:2" x14ac:dyDescent="0.25">
      <c r="A4372" s="2">
        <v>4367</v>
      </c>
      <c r="B4372" s="11" t="str">
        <f>"00206470"</f>
        <v>00206470</v>
      </c>
    </row>
    <row r="4373" spans="1:2" x14ac:dyDescent="0.25">
      <c r="A4373" s="2">
        <v>4368</v>
      </c>
      <c r="B4373" s="11" t="str">
        <f>"00206476"</f>
        <v>00206476</v>
      </c>
    </row>
    <row r="4374" spans="1:2" x14ac:dyDescent="0.25">
      <c r="A4374" s="2">
        <v>4369</v>
      </c>
      <c r="B4374" s="11" t="str">
        <f>"00206497"</f>
        <v>00206497</v>
      </c>
    </row>
    <row r="4375" spans="1:2" x14ac:dyDescent="0.25">
      <c r="A4375" s="2">
        <v>4370</v>
      </c>
      <c r="B4375" s="11" t="str">
        <f>"00206525"</f>
        <v>00206525</v>
      </c>
    </row>
    <row r="4376" spans="1:2" x14ac:dyDescent="0.25">
      <c r="A4376" s="2">
        <v>4371</v>
      </c>
      <c r="B4376" s="11" t="str">
        <f>"00206548"</f>
        <v>00206548</v>
      </c>
    </row>
    <row r="4377" spans="1:2" x14ac:dyDescent="0.25">
      <c r="A4377" s="2">
        <v>4372</v>
      </c>
      <c r="B4377" s="11" t="str">
        <f>"00206562"</f>
        <v>00206562</v>
      </c>
    </row>
    <row r="4378" spans="1:2" x14ac:dyDescent="0.25">
      <c r="A4378" s="2">
        <v>4373</v>
      </c>
      <c r="B4378" s="11" t="str">
        <f>"00206570"</f>
        <v>00206570</v>
      </c>
    </row>
    <row r="4379" spans="1:2" x14ac:dyDescent="0.25">
      <c r="A4379" s="2">
        <v>4374</v>
      </c>
      <c r="B4379" s="11" t="str">
        <f>"00206594"</f>
        <v>00206594</v>
      </c>
    </row>
    <row r="4380" spans="1:2" x14ac:dyDescent="0.25">
      <c r="A4380" s="2">
        <v>4375</v>
      </c>
      <c r="B4380" s="11" t="str">
        <f>"00206626"</f>
        <v>00206626</v>
      </c>
    </row>
    <row r="4381" spans="1:2" x14ac:dyDescent="0.25">
      <c r="A4381" s="2">
        <v>4376</v>
      </c>
      <c r="B4381" s="11" t="str">
        <f>"00206636"</f>
        <v>00206636</v>
      </c>
    </row>
    <row r="4382" spans="1:2" x14ac:dyDescent="0.25">
      <c r="A4382" s="2">
        <v>4377</v>
      </c>
      <c r="B4382" s="11" t="str">
        <f>"00206675"</f>
        <v>00206675</v>
      </c>
    </row>
    <row r="4383" spans="1:2" x14ac:dyDescent="0.25">
      <c r="A4383" s="2">
        <v>4378</v>
      </c>
      <c r="B4383" s="11" t="str">
        <f>"00206679"</f>
        <v>00206679</v>
      </c>
    </row>
    <row r="4384" spans="1:2" x14ac:dyDescent="0.25">
      <c r="A4384" s="2">
        <v>4379</v>
      </c>
      <c r="B4384" s="11" t="str">
        <f>"00206690"</f>
        <v>00206690</v>
      </c>
    </row>
    <row r="4385" spans="1:2" x14ac:dyDescent="0.25">
      <c r="A4385" s="2">
        <v>4380</v>
      </c>
      <c r="B4385" s="11" t="str">
        <f>"00206716"</f>
        <v>00206716</v>
      </c>
    </row>
    <row r="4386" spans="1:2" x14ac:dyDescent="0.25">
      <c r="A4386" s="2">
        <v>4381</v>
      </c>
      <c r="B4386" s="11" t="str">
        <f>"00206780"</f>
        <v>00206780</v>
      </c>
    </row>
    <row r="4387" spans="1:2" x14ac:dyDescent="0.25">
      <c r="A4387" s="2">
        <v>4382</v>
      </c>
      <c r="B4387" s="11" t="str">
        <f>"00206867"</f>
        <v>00206867</v>
      </c>
    </row>
    <row r="4388" spans="1:2" x14ac:dyDescent="0.25">
      <c r="A4388" s="2">
        <v>4383</v>
      </c>
      <c r="B4388" s="11" t="str">
        <f>"00206877"</f>
        <v>00206877</v>
      </c>
    </row>
    <row r="4389" spans="1:2" x14ac:dyDescent="0.25">
      <c r="A4389" s="2">
        <v>4384</v>
      </c>
      <c r="B4389" s="11" t="str">
        <f>"00206878"</f>
        <v>00206878</v>
      </c>
    </row>
    <row r="4390" spans="1:2" x14ac:dyDescent="0.25">
      <c r="A4390" s="2">
        <v>4385</v>
      </c>
      <c r="B4390" s="11" t="str">
        <f>"00206931"</f>
        <v>00206931</v>
      </c>
    </row>
    <row r="4391" spans="1:2" x14ac:dyDescent="0.25">
      <c r="A4391" s="2">
        <v>4386</v>
      </c>
      <c r="B4391" s="11" t="str">
        <f>"00206948"</f>
        <v>00206948</v>
      </c>
    </row>
    <row r="4392" spans="1:2" x14ac:dyDescent="0.25">
      <c r="A4392" s="2">
        <v>4387</v>
      </c>
      <c r="B4392" s="11" t="str">
        <f>"00206971"</f>
        <v>00206971</v>
      </c>
    </row>
    <row r="4393" spans="1:2" x14ac:dyDescent="0.25">
      <c r="A4393" s="2">
        <v>4388</v>
      </c>
      <c r="B4393" s="11" t="str">
        <f>"00206995"</f>
        <v>00206995</v>
      </c>
    </row>
    <row r="4394" spans="1:2" x14ac:dyDescent="0.25">
      <c r="A4394" s="2">
        <v>4389</v>
      </c>
      <c r="B4394" s="11" t="str">
        <f>"00207002"</f>
        <v>00207002</v>
      </c>
    </row>
    <row r="4395" spans="1:2" x14ac:dyDescent="0.25">
      <c r="A4395" s="2">
        <v>4390</v>
      </c>
      <c r="B4395" s="11" t="str">
        <f>"00207008"</f>
        <v>00207008</v>
      </c>
    </row>
    <row r="4396" spans="1:2" x14ac:dyDescent="0.25">
      <c r="A4396" s="2">
        <v>4391</v>
      </c>
      <c r="B4396" s="11" t="str">
        <f>"00207018"</f>
        <v>00207018</v>
      </c>
    </row>
    <row r="4397" spans="1:2" x14ac:dyDescent="0.25">
      <c r="A4397" s="2">
        <v>4392</v>
      </c>
      <c r="B4397" s="11" t="str">
        <f>"00207036"</f>
        <v>00207036</v>
      </c>
    </row>
    <row r="4398" spans="1:2" x14ac:dyDescent="0.25">
      <c r="A4398" s="2">
        <v>4393</v>
      </c>
      <c r="B4398" s="11" t="str">
        <f>"00207040"</f>
        <v>00207040</v>
      </c>
    </row>
    <row r="4399" spans="1:2" x14ac:dyDescent="0.25">
      <c r="A4399" s="2">
        <v>4394</v>
      </c>
      <c r="B4399" s="11" t="str">
        <f>"00207056"</f>
        <v>00207056</v>
      </c>
    </row>
    <row r="4400" spans="1:2" x14ac:dyDescent="0.25">
      <c r="A4400" s="2">
        <v>4395</v>
      </c>
      <c r="B4400" s="11" t="str">
        <f>"00207067"</f>
        <v>00207067</v>
      </c>
    </row>
    <row r="4401" spans="1:2" x14ac:dyDescent="0.25">
      <c r="A4401" s="2">
        <v>4396</v>
      </c>
      <c r="B4401" s="11" t="str">
        <f>"00207139"</f>
        <v>00207139</v>
      </c>
    </row>
    <row r="4402" spans="1:2" x14ac:dyDescent="0.25">
      <c r="A4402" s="2">
        <v>4397</v>
      </c>
      <c r="B4402" s="11" t="str">
        <f>"00207151"</f>
        <v>00207151</v>
      </c>
    </row>
    <row r="4403" spans="1:2" x14ac:dyDescent="0.25">
      <c r="A4403" s="2">
        <v>4398</v>
      </c>
      <c r="B4403" s="11" t="str">
        <f>"00207189"</f>
        <v>00207189</v>
      </c>
    </row>
    <row r="4404" spans="1:2" x14ac:dyDescent="0.25">
      <c r="A4404" s="2">
        <v>4399</v>
      </c>
      <c r="B4404" s="11" t="str">
        <f>"00207192"</f>
        <v>00207192</v>
      </c>
    </row>
    <row r="4405" spans="1:2" x14ac:dyDescent="0.25">
      <c r="A4405" s="2">
        <v>4400</v>
      </c>
      <c r="B4405" s="11" t="str">
        <f>"00207202"</f>
        <v>00207202</v>
      </c>
    </row>
    <row r="4406" spans="1:2" x14ac:dyDescent="0.25">
      <c r="A4406" s="2">
        <v>4401</v>
      </c>
      <c r="B4406" s="11" t="str">
        <f>"00207209"</f>
        <v>00207209</v>
      </c>
    </row>
    <row r="4407" spans="1:2" x14ac:dyDescent="0.25">
      <c r="A4407" s="2">
        <v>4402</v>
      </c>
      <c r="B4407" s="11" t="str">
        <f>"00207249"</f>
        <v>00207249</v>
      </c>
    </row>
    <row r="4408" spans="1:2" x14ac:dyDescent="0.25">
      <c r="A4408" s="2">
        <v>4403</v>
      </c>
      <c r="B4408" s="11" t="str">
        <f>"00207263"</f>
        <v>00207263</v>
      </c>
    </row>
    <row r="4409" spans="1:2" x14ac:dyDescent="0.25">
      <c r="A4409" s="2">
        <v>4404</v>
      </c>
      <c r="B4409" s="11" t="str">
        <f>"00207397"</f>
        <v>00207397</v>
      </c>
    </row>
    <row r="4410" spans="1:2" x14ac:dyDescent="0.25">
      <c r="A4410" s="2">
        <v>4405</v>
      </c>
      <c r="B4410" s="11" t="str">
        <f>"00207399"</f>
        <v>00207399</v>
      </c>
    </row>
    <row r="4411" spans="1:2" x14ac:dyDescent="0.25">
      <c r="A4411" s="2">
        <v>4406</v>
      </c>
      <c r="B4411" s="11" t="str">
        <f>"00207423"</f>
        <v>00207423</v>
      </c>
    </row>
    <row r="4412" spans="1:2" x14ac:dyDescent="0.25">
      <c r="A4412" s="2">
        <v>4407</v>
      </c>
      <c r="B4412" s="11" t="str">
        <f>"00207462"</f>
        <v>00207462</v>
      </c>
    </row>
    <row r="4413" spans="1:2" x14ac:dyDescent="0.25">
      <c r="A4413" s="2">
        <v>4408</v>
      </c>
      <c r="B4413" s="11" t="str">
        <f>"00207523"</f>
        <v>00207523</v>
      </c>
    </row>
    <row r="4414" spans="1:2" x14ac:dyDescent="0.25">
      <c r="A4414" s="2">
        <v>4409</v>
      </c>
      <c r="B4414" s="11" t="str">
        <f>"00207561"</f>
        <v>00207561</v>
      </c>
    </row>
    <row r="4415" spans="1:2" x14ac:dyDescent="0.25">
      <c r="A4415" s="2">
        <v>4410</v>
      </c>
      <c r="B4415" s="11" t="str">
        <f>"00207597"</f>
        <v>00207597</v>
      </c>
    </row>
    <row r="4416" spans="1:2" x14ac:dyDescent="0.25">
      <c r="A4416" s="2">
        <v>4411</v>
      </c>
      <c r="B4416" s="11" t="str">
        <f>"00207655"</f>
        <v>00207655</v>
      </c>
    </row>
    <row r="4417" spans="1:2" x14ac:dyDescent="0.25">
      <c r="A4417" s="2">
        <v>4412</v>
      </c>
      <c r="B4417" s="11" t="str">
        <f>"00207657"</f>
        <v>00207657</v>
      </c>
    </row>
    <row r="4418" spans="1:2" x14ac:dyDescent="0.25">
      <c r="A4418" s="2">
        <v>4413</v>
      </c>
      <c r="B4418" s="11" t="str">
        <f>"00207662"</f>
        <v>00207662</v>
      </c>
    </row>
    <row r="4419" spans="1:2" x14ac:dyDescent="0.25">
      <c r="A4419" s="2">
        <v>4414</v>
      </c>
      <c r="B4419" s="11" t="str">
        <f>"00207670"</f>
        <v>00207670</v>
      </c>
    </row>
    <row r="4420" spans="1:2" x14ac:dyDescent="0.25">
      <c r="A4420" s="2">
        <v>4415</v>
      </c>
      <c r="B4420" s="11" t="str">
        <f>"00207691"</f>
        <v>00207691</v>
      </c>
    </row>
    <row r="4421" spans="1:2" x14ac:dyDescent="0.25">
      <c r="A4421" s="2">
        <v>4416</v>
      </c>
      <c r="B4421" s="11" t="str">
        <f>"00207696"</f>
        <v>00207696</v>
      </c>
    </row>
    <row r="4422" spans="1:2" x14ac:dyDescent="0.25">
      <c r="A4422" s="2">
        <v>4417</v>
      </c>
      <c r="B4422" s="11" t="str">
        <f>"00207711"</f>
        <v>00207711</v>
      </c>
    </row>
    <row r="4423" spans="1:2" x14ac:dyDescent="0.25">
      <c r="A4423" s="2">
        <v>4418</v>
      </c>
      <c r="B4423" s="11" t="str">
        <f>"00207755"</f>
        <v>00207755</v>
      </c>
    </row>
    <row r="4424" spans="1:2" x14ac:dyDescent="0.25">
      <c r="A4424" s="2">
        <v>4419</v>
      </c>
      <c r="B4424" s="11" t="str">
        <f>"00207802"</f>
        <v>00207802</v>
      </c>
    </row>
    <row r="4425" spans="1:2" x14ac:dyDescent="0.25">
      <c r="A4425" s="2">
        <v>4420</v>
      </c>
      <c r="B4425" s="11" t="str">
        <f>"00207887"</f>
        <v>00207887</v>
      </c>
    </row>
    <row r="4426" spans="1:2" x14ac:dyDescent="0.25">
      <c r="A4426" s="2">
        <v>4421</v>
      </c>
      <c r="B4426" s="11" t="str">
        <f>"00207932"</f>
        <v>00207932</v>
      </c>
    </row>
    <row r="4427" spans="1:2" x14ac:dyDescent="0.25">
      <c r="A4427" s="2">
        <v>4422</v>
      </c>
      <c r="B4427" s="11" t="str">
        <f>"00207973"</f>
        <v>00207973</v>
      </c>
    </row>
    <row r="4428" spans="1:2" x14ac:dyDescent="0.25">
      <c r="A4428" s="2">
        <v>4423</v>
      </c>
      <c r="B4428" s="11" t="str">
        <f>"00207992"</f>
        <v>00207992</v>
      </c>
    </row>
    <row r="4429" spans="1:2" x14ac:dyDescent="0.25">
      <c r="A4429" s="2">
        <v>4424</v>
      </c>
      <c r="B4429" s="11" t="str">
        <f>"00208036"</f>
        <v>00208036</v>
      </c>
    </row>
    <row r="4430" spans="1:2" x14ac:dyDescent="0.25">
      <c r="A4430" s="2">
        <v>4425</v>
      </c>
      <c r="B4430" s="11" t="str">
        <f>"00208037"</f>
        <v>00208037</v>
      </c>
    </row>
    <row r="4431" spans="1:2" x14ac:dyDescent="0.25">
      <c r="A4431" s="2">
        <v>4426</v>
      </c>
      <c r="B4431" s="11" t="str">
        <f>"00208044"</f>
        <v>00208044</v>
      </c>
    </row>
    <row r="4432" spans="1:2" x14ac:dyDescent="0.25">
      <c r="A4432" s="2">
        <v>4427</v>
      </c>
      <c r="B4432" s="11" t="str">
        <f>"00208047"</f>
        <v>00208047</v>
      </c>
    </row>
    <row r="4433" spans="1:2" x14ac:dyDescent="0.25">
      <c r="A4433" s="2">
        <v>4428</v>
      </c>
      <c r="B4433" s="11" t="str">
        <f>"00208048"</f>
        <v>00208048</v>
      </c>
    </row>
    <row r="4434" spans="1:2" x14ac:dyDescent="0.25">
      <c r="A4434" s="2">
        <v>4429</v>
      </c>
      <c r="B4434" s="11" t="str">
        <f>"00208073"</f>
        <v>00208073</v>
      </c>
    </row>
    <row r="4435" spans="1:2" x14ac:dyDescent="0.25">
      <c r="A4435" s="2">
        <v>4430</v>
      </c>
      <c r="B4435" s="11" t="str">
        <f>"00208094"</f>
        <v>00208094</v>
      </c>
    </row>
    <row r="4436" spans="1:2" x14ac:dyDescent="0.25">
      <c r="A4436" s="2">
        <v>4431</v>
      </c>
      <c r="B4436" s="11" t="str">
        <f>"00208102"</f>
        <v>00208102</v>
      </c>
    </row>
    <row r="4437" spans="1:2" x14ac:dyDescent="0.25">
      <c r="A4437" s="2">
        <v>4432</v>
      </c>
      <c r="B4437" s="11" t="str">
        <f>"00208106"</f>
        <v>00208106</v>
      </c>
    </row>
    <row r="4438" spans="1:2" x14ac:dyDescent="0.25">
      <c r="A4438" s="2">
        <v>4433</v>
      </c>
      <c r="B4438" s="11" t="str">
        <f>"00208118"</f>
        <v>00208118</v>
      </c>
    </row>
    <row r="4439" spans="1:2" x14ac:dyDescent="0.25">
      <c r="A4439" s="2">
        <v>4434</v>
      </c>
      <c r="B4439" s="11" t="str">
        <f>"00208151"</f>
        <v>00208151</v>
      </c>
    </row>
    <row r="4440" spans="1:2" x14ac:dyDescent="0.25">
      <c r="A4440" s="2">
        <v>4435</v>
      </c>
      <c r="B4440" s="11" t="str">
        <f>"00208168"</f>
        <v>00208168</v>
      </c>
    </row>
    <row r="4441" spans="1:2" x14ac:dyDescent="0.25">
      <c r="A4441" s="2">
        <v>4436</v>
      </c>
      <c r="B4441" s="11" t="str">
        <f>"00208178"</f>
        <v>00208178</v>
      </c>
    </row>
    <row r="4442" spans="1:2" x14ac:dyDescent="0.25">
      <c r="A4442" s="2">
        <v>4437</v>
      </c>
      <c r="B4442" s="11" t="str">
        <f>"00208181"</f>
        <v>00208181</v>
      </c>
    </row>
    <row r="4443" spans="1:2" x14ac:dyDescent="0.25">
      <c r="A4443" s="2">
        <v>4438</v>
      </c>
      <c r="B4443" s="11" t="str">
        <f>"00208259"</f>
        <v>00208259</v>
      </c>
    </row>
    <row r="4444" spans="1:2" x14ac:dyDescent="0.25">
      <c r="A4444" s="2">
        <v>4439</v>
      </c>
      <c r="B4444" s="11" t="str">
        <f>"00208279"</f>
        <v>00208279</v>
      </c>
    </row>
    <row r="4445" spans="1:2" x14ac:dyDescent="0.25">
      <c r="A4445" s="2">
        <v>4440</v>
      </c>
      <c r="B4445" s="11" t="str">
        <f>"00208347"</f>
        <v>00208347</v>
      </c>
    </row>
    <row r="4446" spans="1:2" x14ac:dyDescent="0.25">
      <c r="A4446" s="2">
        <v>4441</v>
      </c>
      <c r="B4446" s="11" t="str">
        <f>"00208433"</f>
        <v>00208433</v>
      </c>
    </row>
    <row r="4447" spans="1:2" x14ac:dyDescent="0.25">
      <c r="A4447" s="2">
        <v>4442</v>
      </c>
      <c r="B4447" s="11" t="str">
        <f>"00208467"</f>
        <v>00208467</v>
      </c>
    </row>
    <row r="4448" spans="1:2" x14ac:dyDescent="0.25">
      <c r="A4448" s="2">
        <v>4443</v>
      </c>
      <c r="B4448" s="11" t="str">
        <f>"00208469"</f>
        <v>00208469</v>
      </c>
    </row>
    <row r="4449" spans="1:2" x14ac:dyDescent="0.25">
      <c r="A4449" s="2">
        <v>4444</v>
      </c>
      <c r="B4449" s="11" t="str">
        <f>"00208489"</f>
        <v>00208489</v>
      </c>
    </row>
    <row r="4450" spans="1:2" x14ac:dyDescent="0.25">
      <c r="A4450" s="2">
        <v>4445</v>
      </c>
      <c r="B4450" s="11" t="str">
        <f>"00208605"</f>
        <v>00208605</v>
      </c>
    </row>
    <row r="4451" spans="1:2" x14ac:dyDescent="0.25">
      <c r="A4451" s="2">
        <v>4446</v>
      </c>
      <c r="B4451" s="11" t="str">
        <f>"00208732"</f>
        <v>00208732</v>
      </c>
    </row>
    <row r="4452" spans="1:2" x14ac:dyDescent="0.25">
      <c r="A4452" s="2">
        <v>4447</v>
      </c>
      <c r="B4452" s="11" t="str">
        <f>"00208736"</f>
        <v>00208736</v>
      </c>
    </row>
    <row r="4453" spans="1:2" x14ac:dyDescent="0.25">
      <c r="A4453" s="2">
        <v>4448</v>
      </c>
      <c r="B4453" s="11" t="str">
        <f>"00208742"</f>
        <v>00208742</v>
      </c>
    </row>
    <row r="4454" spans="1:2" x14ac:dyDescent="0.25">
      <c r="A4454" s="2">
        <v>4449</v>
      </c>
      <c r="B4454" s="11" t="str">
        <f>"00208750"</f>
        <v>00208750</v>
      </c>
    </row>
    <row r="4455" spans="1:2" x14ac:dyDescent="0.25">
      <c r="A4455" s="2">
        <v>4450</v>
      </c>
      <c r="B4455" s="11" t="str">
        <f>"00208763"</f>
        <v>00208763</v>
      </c>
    </row>
    <row r="4456" spans="1:2" x14ac:dyDescent="0.25">
      <c r="A4456" s="2">
        <v>4451</v>
      </c>
      <c r="B4456" s="11" t="str">
        <f>"00208770"</f>
        <v>00208770</v>
      </c>
    </row>
    <row r="4457" spans="1:2" x14ac:dyDescent="0.25">
      <c r="A4457" s="2">
        <v>4452</v>
      </c>
      <c r="B4457" s="11" t="str">
        <f>"00208839"</f>
        <v>00208839</v>
      </c>
    </row>
    <row r="4458" spans="1:2" x14ac:dyDescent="0.25">
      <c r="A4458" s="2">
        <v>4453</v>
      </c>
      <c r="B4458" s="11" t="str">
        <f>"00208894"</f>
        <v>00208894</v>
      </c>
    </row>
    <row r="4459" spans="1:2" x14ac:dyDescent="0.25">
      <c r="A4459" s="2">
        <v>4454</v>
      </c>
      <c r="B4459" s="11" t="str">
        <f>"00208897"</f>
        <v>00208897</v>
      </c>
    </row>
    <row r="4460" spans="1:2" x14ac:dyDescent="0.25">
      <c r="A4460" s="2">
        <v>4455</v>
      </c>
      <c r="B4460" s="11" t="str">
        <f>"00208902"</f>
        <v>00208902</v>
      </c>
    </row>
    <row r="4461" spans="1:2" x14ac:dyDescent="0.25">
      <c r="A4461" s="2">
        <v>4456</v>
      </c>
      <c r="B4461" s="11" t="str">
        <f>"00208912"</f>
        <v>00208912</v>
      </c>
    </row>
    <row r="4462" spans="1:2" x14ac:dyDescent="0.25">
      <c r="A4462" s="2">
        <v>4457</v>
      </c>
      <c r="B4462" s="11" t="str">
        <f>"00208917"</f>
        <v>00208917</v>
      </c>
    </row>
    <row r="4463" spans="1:2" x14ac:dyDescent="0.25">
      <c r="A4463" s="2">
        <v>4458</v>
      </c>
      <c r="B4463" s="11" t="str">
        <f>"00208948"</f>
        <v>00208948</v>
      </c>
    </row>
    <row r="4464" spans="1:2" x14ac:dyDescent="0.25">
      <c r="A4464" s="2">
        <v>4459</v>
      </c>
      <c r="B4464" s="11" t="str">
        <f>"00208953"</f>
        <v>00208953</v>
      </c>
    </row>
    <row r="4465" spans="1:2" x14ac:dyDescent="0.25">
      <c r="A4465" s="2">
        <v>4460</v>
      </c>
      <c r="B4465" s="11" t="str">
        <f>"00208970"</f>
        <v>00208970</v>
      </c>
    </row>
    <row r="4466" spans="1:2" x14ac:dyDescent="0.25">
      <c r="A4466" s="2">
        <v>4461</v>
      </c>
      <c r="B4466" s="11" t="str">
        <f>"00208996"</f>
        <v>00208996</v>
      </c>
    </row>
    <row r="4467" spans="1:2" x14ac:dyDescent="0.25">
      <c r="A4467" s="2">
        <v>4462</v>
      </c>
      <c r="B4467" s="11" t="str">
        <f>"00209044"</f>
        <v>00209044</v>
      </c>
    </row>
    <row r="4468" spans="1:2" x14ac:dyDescent="0.25">
      <c r="A4468" s="2">
        <v>4463</v>
      </c>
      <c r="B4468" s="11" t="str">
        <f>"00209074"</f>
        <v>00209074</v>
      </c>
    </row>
    <row r="4469" spans="1:2" x14ac:dyDescent="0.25">
      <c r="A4469" s="2">
        <v>4464</v>
      </c>
      <c r="B4469" s="11" t="str">
        <f>"00209094"</f>
        <v>00209094</v>
      </c>
    </row>
    <row r="4470" spans="1:2" x14ac:dyDescent="0.25">
      <c r="A4470" s="2">
        <v>4465</v>
      </c>
      <c r="B4470" s="11" t="str">
        <f>"00209128"</f>
        <v>00209128</v>
      </c>
    </row>
    <row r="4471" spans="1:2" x14ac:dyDescent="0.25">
      <c r="A4471" s="2">
        <v>4466</v>
      </c>
      <c r="B4471" s="11" t="str">
        <f>"00209150"</f>
        <v>00209150</v>
      </c>
    </row>
    <row r="4472" spans="1:2" x14ac:dyDescent="0.25">
      <c r="A4472" s="2">
        <v>4467</v>
      </c>
      <c r="B4472" s="11" t="str">
        <f>"00209151"</f>
        <v>00209151</v>
      </c>
    </row>
    <row r="4473" spans="1:2" x14ac:dyDescent="0.25">
      <c r="A4473" s="2">
        <v>4468</v>
      </c>
      <c r="B4473" s="11" t="str">
        <f>"00209158"</f>
        <v>00209158</v>
      </c>
    </row>
    <row r="4474" spans="1:2" x14ac:dyDescent="0.25">
      <c r="A4474" s="2">
        <v>4469</v>
      </c>
      <c r="B4474" s="11" t="str">
        <f>"00209183"</f>
        <v>00209183</v>
      </c>
    </row>
    <row r="4475" spans="1:2" x14ac:dyDescent="0.25">
      <c r="A4475" s="2">
        <v>4470</v>
      </c>
      <c r="B4475" s="11" t="str">
        <f>"00209209"</f>
        <v>00209209</v>
      </c>
    </row>
    <row r="4476" spans="1:2" x14ac:dyDescent="0.25">
      <c r="A4476" s="2">
        <v>4471</v>
      </c>
      <c r="B4476" s="11" t="str">
        <f>"00209219"</f>
        <v>00209219</v>
      </c>
    </row>
    <row r="4477" spans="1:2" x14ac:dyDescent="0.25">
      <c r="A4477" s="2">
        <v>4472</v>
      </c>
      <c r="B4477" s="11" t="str">
        <f>"00209222"</f>
        <v>00209222</v>
      </c>
    </row>
    <row r="4478" spans="1:2" x14ac:dyDescent="0.25">
      <c r="A4478" s="2">
        <v>4473</v>
      </c>
      <c r="B4478" s="11" t="str">
        <f>"00209223"</f>
        <v>00209223</v>
      </c>
    </row>
    <row r="4479" spans="1:2" x14ac:dyDescent="0.25">
      <c r="A4479" s="2">
        <v>4474</v>
      </c>
      <c r="B4479" s="11" t="str">
        <f>"00209289"</f>
        <v>00209289</v>
      </c>
    </row>
    <row r="4480" spans="1:2" x14ac:dyDescent="0.25">
      <c r="A4480" s="2">
        <v>4475</v>
      </c>
      <c r="B4480" s="11" t="str">
        <f>"00209298"</f>
        <v>00209298</v>
      </c>
    </row>
    <row r="4481" spans="1:2" x14ac:dyDescent="0.25">
      <c r="A4481" s="2">
        <v>4476</v>
      </c>
      <c r="B4481" s="11" t="str">
        <f>"00209302"</f>
        <v>00209302</v>
      </c>
    </row>
    <row r="4482" spans="1:2" x14ac:dyDescent="0.25">
      <c r="A4482" s="2">
        <v>4477</v>
      </c>
      <c r="B4482" s="11" t="str">
        <f>"00209331"</f>
        <v>00209331</v>
      </c>
    </row>
    <row r="4483" spans="1:2" x14ac:dyDescent="0.25">
      <c r="A4483" s="2">
        <v>4478</v>
      </c>
      <c r="B4483" s="11" t="str">
        <f>"00209361"</f>
        <v>00209361</v>
      </c>
    </row>
    <row r="4484" spans="1:2" x14ac:dyDescent="0.25">
      <c r="A4484" s="2">
        <v>4479</v>
      </c>
      <c r="B4484" s="11" t="str">
        <f>"00209362"</f>
        <v>00209362</v>
      </c>
    </row>
    <row r="4485" spans="1:2" x14ac:dyDescent="0.25">
      <c r="A4485" s="2">
        <v>4480</v>
      </c>
      <c r="B4485" s="11" t="str">
        <f>"00209372"</f>
        <v>00209372</v>
      </c>
    </row>
    <row r="4486" spans="1:2" x14ac:dyDescent="0.25">
      <c r="A4486" s="2">
        <v>4481</v>
      </c>
      <c r="B4486" s="11" t="str">
        <f>"00209399"</f>
        <v>00209399</v>
      </c>
    </row>
    <row r="4487" spans="1:2" x14ac:dyDescent="0.25">
      <c r="A4487" s="2">
        <v>4482</v>
      </c>
      <c r="B4487" s="11" t="str">
        <f>"00209409"</f>
        <v>00209409</v>
      </c>
    </row>
    <row r="4488" spans="1:2" x14ac:dyDescent="0.25">
      <c r="A4488" s="2">
        <v>4483</v>
      </c>
      <c r="B4488" s="11" t="str">
        <f>"00209459"</f>
        <v>00209459</v>
      </c>
    </row>
    <row r="4489" spans="1:2" x14ac:dyDescent="0.25">
      <c r="A4489" s="2">
        <v>4484</v>
      </c>
      <c r="B4489" s="11" t="str">
        <f>"00209485"</f>
        <v>00209485</v>
      </c>
    </row>
    <row r="4490" spans="1:2" x14ac:dyDescent="0.25">
      <c r="A4490" s="2">
        <v>4485</v>
      </c>
      <c r="B4490" s="11" t="str">
        <f>"00209521"</f>
        <v>00209521</v>
      </c>
    </row>
    <row r="4491" spans="1:2" x14ac:dyDescent="0.25">
      <c r="A4491" s="2">
        <v>4486</v>
      </c>
      <c r="B4491" s="11" t="str">
        <f>"00209556"</f>
        <v>00209556</v>
      </c>
    </row>
    <row r="4492" spans="1:2" x14ac:dyDescent="0.25">
      <c r="A4492" s="2">
        <v>4487</v>
      </c>
      <c r="B4492" s="11" t="str">
        <f>"00209574"</f>
        <v>00209574</v>
      </c>
    </row>
    <row r="4493" spans="1:2" x14ac:dyDescent="0.25">
      <c r="A4493" s="2">
        <v>4488</v>
      </c>
      <c r="B4493" s="11" t="str">
        <f>"00209595"</f>
        <v>00209595</v>
      </c>
    </row>
    <row r="4494" spans="1:2" x14ac:dyDescent="0.25">
      <c r="A4494" s="2">
        <v>4489</v>
      </c>
      <c r="B4494" s="11" t="str">
        <f>"00209680"</f>
        <v>00209680</v>
      </c>
    </row>
    <row r="4495" spans="1:2" x14ac:dyDescent="0.25">
      <c r="A4495" s="2">
        <v>4490</v>
      </c>
      <c r="B4495" s="11" t="str">
        <f>"00209705"</f>
        <v>00209705</v>
      </c>
    </row>
    <row r="4496" spans="1:2" x14ac:dyDescent="0.25">
      <c r="A4496" s="2">
        <v>4491</v>
      </c>
      <c r="B4496" s="11" t="str">
        <f>"00209711"</f>
        <v>00209711</v>
      </c>
    </row>
    <row r="4497" spans="1:2" x14ac:dyDescent="0.25">
      <c r="A4497" s="2">
        <v>4492</v>
      </c>
      <c r="B4497" s="11" t="str">
        <f>"00209786"</f>
        <v>00209786</v>
      </c>
    </row>
    <row r="4498" spans="1:2" x14ac:dyDescent="0.25">
      <c r="A4498" s="2">
        <v>4493</v>
      </c>
      <c r="B4498" s="11" t="str">
        <f>"00209791"</f>
        <v>00209791</v>
      </c>
    </row>
    <row r="4499" spans="1:2" x14ac:dyDescent="0.25">
      <c r="A4499" s="2">
        <v>4494</v>
      </c>
      <c r="B4499" s="11" t="str">
        <f>"00209831"</f>
        <v>00209831</v>
      </c>
    </row>
    <row r="4500" spans="1:2" x14ac:dyDescent="0.25">
      <c r="A4500" s="2">
        <v>4495</v>
      </c>
      <c r="B4500" s="11" t="str">
        <f>"00209909"</f>
        <v>00209909</v>
      </c>
    </row>
    <row r="4501" spans="1:2" x14ac:dyDescent="0.25">
      <c r="A4501" s="2">
        <v>4496</v>
      </c>
      <c r="B4501" s="11" t="str">
        <f>"00209999"</f>
        <v>00209999</v>
      </c>
    </row>
    <row r="4502" spans="1:2" x14ac:dyDescent="0.25">
      <c r="A4502" s="2">
        <v>4497</v>
      </c>
      <c r="B4502" s="11" t="str">
        <f>"00210025"</f>
        <v>00210025</v>
      </c>
    </row>
    <row r="4503" spans="1:2" x14ac:dyDescent="0.25">
      <c r="A4503" s="2">
        <v>4498</v>
      </c>
      <c r="B4503" s="11" t="str">
        <f>"00210068"</f>
        <v>00210068</v>
      </c>
    </row>
    <row r="4504" spans="1:2" x14ac:dyDescent="0.25">
      <c r="A4504" s="2">
        <v>4499</v>
      </c>
      <c r="B4504" s="11" t="str">
        <f>"00210073"</f>
        <v>00210073</v>
      </c>
    </row>
    <row r="4505" spans="1:2" x14ac:dyDescent="0.25">
      <c r="A4505" s="2">
        <v>4500</v>
      </c>
      <c r="B4505" s="11" t="str">
        <f>"00210172"</f>
        <v>00210172</v>
      </c>
    </row>
    <row r="4506" spans="1:2" x14ac:dyDescent="0.25">
      <c r="A4506" s="2">
        <v>4501</v>
      </c>
      <c r="B4506" s="11" t="str">
        <f>"00210196"</f>
        <v>00210196</v>
      </c>
    </row>
    <row r="4507" spans="1:2" x14ac:dyDescent="0.25">
      <c r="A4507" s="2">
        <v>4502</v>
      </c>
      <c r="B4507" s="11" t="str">
        <f>"00210294"</f>
        <v>00210294</v>
      </c>
    </row>
    <row r="4508" spans="1:2" x14ac:dyDescent="0.25">
      <c r="A4508" s="2">
        <v>4503</v>
      </c>
      <c r="B4508" s="11" t="str">
        <f>"00210307"</f>
        <v>00210307</v>
      </c>
    </row>
    <row r="4509" spans="1:2" x14ac:dyDescent="0.25">
      <c r="A4509" s="2">
        <v>4504</v>
      </c>
      <c r="B4509" s="11" t="str">
        <f>"00210318"</f>
        <v>00210318</v>
      </c>
    </row>
    <row r="4510" spans="1:2" x14ac:dyDescent="0.25">
      <c r="A4510" s="2">
        <v>4505</v>
      </c>
      <c r="B4510" s="11" t="str">
        <f>"00210351"</f>
        <v>00210351</v>
      </c>
    </row>
    <row r="4511" spans="1:2" x14ac:dyDescent="0.25">
      <c r="A4511" s="2">
        <v>4506</v>
      </c>
      <c r="B4511" s="11" t="str">
        <f>"00210390"</f>
        <v>00210390</v>
      </c>
    </row>
    <row r="4512" spans="1:2" x14ac:dyDescent="0.25">
      <c r="A4512" s="2">
        <v>4507</v>
      </c>
      <c r="B4512" s="11" t="str">
        <f>"00210447"</f>
        <v>00210447</v>
      </c>
    </row>
    <row r="4513" spans="1:2" x14ac:dyDescent="0.25">
      <c r="A4513" s="2">
        <v>4508</v>
      </c>
      <c r="B4513" s="11" t="str">
        <f>"00210494"</f>
        <v>00210494</v>
      </c>
    </row>
    <row r="4514" spans="1:2" x14ac:dyDescent="0.25">
      <c r="A4514" s="2">
        <v>4509</v>
      </c>
      <c r="B4514" s="11" t="str">
        <f>"00210602"</f>
        <v>00210602</v>
      </c>
    </row>
    <row r="4515" spans="1:2" x14ac:dyDescent="0.25">
      <c r="A4515" s="2">
        <v>4510</v>
      </c>
      <c r="B4515" s="11" t="str">
        <f>"00211978"</f>
        <v>00211978</v>
      </c>
    </row>
    <row r="4516" spans="1:2" x14ac:dyDescent="0.25">
      <c r="A4516" s="2">
        <v>4511</v>
      </c>
      <c r="B4516" s="11" t="str">
        <f>"00211997"</f>
        <v>00211997</v>
      </c>
    </row>
    <row r="4517" spans="1:2" x14ac:dyDescent="0.25">
      <c r="A4517" s="2">
        <v>4512</v>
      </c>
      <c r="B4517" s="11" t="str">
        <f>"00212000"</f>
        <v>00212000</v>
      </c>
    </row>
    <row r="4518" spans="1:2" x14ac:dyDescent="0.25">
      <c r="A4518" s="2">
        <v>4513</v>
      </c>
      <c r="B4518" s="11" t="str">
        <f>"00212014"</f>
        <v>00212014</v>
      </c>
    </row>
    <row r="4519" spans="1:2" x14ac:dyDescent="0.25">
      <c r="A4519" s="2">
        <v>4514</v>
      </c>
      <c r="B4519" s="11" t="str">
        <f>"00212030"</f>
        <v>00212030</v>
      </c>
    </row>
    <row r="4520" spans="1:2" x14ac:dyDescent="0.25">
      <c r="A4520" s="2">
        <v>4515</v>
      </c>
      <c r="B4520" s="11" t="str">
        <f>"00212042"</f>
        <v>00212042</v>
      </c>
    </row>
    <row r="4521" spans="1:2" x14ac:dyDescent="0.25">
      <c r="A4521" s="2">
        <v>4516</v>
      </c>
      <c r="B4521" s="11" t="str">
        <f>"00212052"</f>
        <v>00212052</v>
      </c>
    </row>
    <row r="4522" spans="1:2" x14ac:dyDescent="0.25">
      <c r="A4522" s="2">
        <v>4517</v>
      </c>
      <c r="B4522" s="11" t="str">
        <f>"00212106"</f>
        <v>00212106</v>
      </c>
    </row>
    <row r="4523" spans="1:2" x14ac:dyDescent="0.25">
      <c r="A4523" s="2">
        <v>4518</v>
      </c>
      <c r="B4523" s="11" t="str">
        <f>"00212114"</f>
        <v>00212114</v>
      </c>
    </row>
    <row r="4524" spans="1:2" x14ac:dyDescent="0.25">
      <c r="A4524" s="2">
        <v>4519</v>
      </c>
      <c r="B4524" s="11" t="str">
        <f>"00212206"</f>
        <v>00212206</v>
      </c>
    </row>
    <row r="4525" spans="1:2" x14ac:dyDescent="0.25">
      <c r="A4525" s="2">
        <v>4520</v>
      </c>
      <c r="B4525" s="11" t="str">
        <f>"00212218"</f>
        <v>00212218</v>
      </c>
    </row>
    <row r="4526" spans="1:2" x14ac:dyDescent="0.25">
      <c r="A4526" s="2">
        <v>4521</v>
      </c>
      <c r="B4526" s="11" t="str">
        <f>"00212376"</f>
        <v>00212376</v>
      </c>
    </row>
    <row r="4527" spans="1:2" x14ac:dyDescent="0.25">
      <c r="A4527" s="2">
        <v>4522</v>
      </c>
      <c r="B4527" s="11" t="str">
        <f>"00212399"</f>
        <v>00212399</v>
      </c>
    </row>
    <row r="4528" spans="1:2" x14ac:dyDescent="0.25">
      <c r="A4528" s="2">
        <v>4523</v>
      </c>
      <c r="B4528" s="11" t="str">
        <f>"00212495"</f>
        <v>00212495</v>
      </c>
    </row>
    <row r="4529" spans="1:2" x14ac:dyDescent="0.25">
      <c r="A4529" s="2">
        <v>4524</v>
      </c>
      <c r="B4529" s="11" t="str">
        <f>"00212602"</f>
        <v>00212602</v>
      </c>
    </row>
    <row r="4530" spans="1:2" x14ac:dyDescent="0.25">
      <c r="A4530" s="2">
        <v>4525</v>
      </c>
      <c r="B4530" s="11" t="str">
        <f>"00212614"</f>
        <v>00212614</v>
      </c>
    </row>
    <row r="4531" spans="1:2" x14ac:dyDescent="0.25">
      <c r="A4531" s="2">
        <v>4526</v>
      </c>
      <c r="B4531" s="11" t="str">
        <f>"00212726"</f>
        <v>00212726</v>
      </c>
    </row>
    <row r="4532" spans="1:2" x14ac:dyDescent="0.25">
      <c r="A4532" s="2">
        <v>4527</v>
      </c>
      <c r="B4532" s="11" t="str">
        <f>"00212752"</f>
        <v>00212752</v>
      </c>
    </row>
    <row r="4533" spans="1:2" x14ac:dyDescent="0.25">
      <c r="A4533" s="2">
        <v>4528</v>
      </c>
      <c r="B4533" s="11" t="str">
        <f>"00212763"</f>
        <v>00212763</v>
      </c>
    </row>
    <row r="4534" spans="1:2" x14ac:dyDescent="0.25">
      <c r="A4534" s="2">
        <v>4529</v>
      </c>
      <c r="B4534" s="11" t="str">
        <f>"00212809"</f>
        <v>00212809</v>
      </c>
    </row>
    <row r="4535" spans="1:2" x14ac:dyDescent="0.25">
      <c r="A4535" s="2">
        <v>4530</v>
      </c>
      <c r="B4535" s="11" t="str">
        <f>"00212845"</f>
        <v>00212845</v>
      </c>
    </row>
    <row r="4536" spans="1:2" x14ac:dyDescent="0.25">
      <c r="A4536" s="2">
        <v>4531</v>
      </c>
      <c r="B4536" s="11" t="str">
        <f>"00212852"</f>
        <v>00212852</v>
      </c>
    </row>
    <row r="4537" spans="1:2" x14ac:dyDescent="0.25">
      <c r="A4537" s="2">
        <v>4532</v>
      </c>
      <c r="B4537" s="11" t="str">
        <f>"00212873"</f>
        <v>00212873</v>
      </c>
    </row>
    <row r="4538" spans="1:2" x14ac:dyDescent="0.25">
      <c r="A4538" s="2">
        <v>4533</v>
      </c>
      <c r="B4538" s="11" t="str">
        <f>"00213085"</f>
        <v>00213085</v>
      </c>
    </row>
    <row r="4539" spans="1:2" x14ac:dyDescent="0.25">
      <c r="A4539" s="2">
        <v>4534</v>
      </c>
      <c r="B4539" s="11" t="str">
        <f>"00213111"</f>
        <v>00213111</v>
      </c>
    </row>
    <row r="4540" spans="1:2" x14ac:dyDescent="0.25">
      <c r="A4540" s="2">
        <v>4535</v>
      </c>
      <c r="B4540" s="11" t="str">
        <f>"00213176"</f>
        <v>00213176</v>
      </c>
    </row>
    <row r="4541" spans="1:2" x14ac:dyDescent="0.25">
      <c r="A4541" s="2">
        <v>4536</v>
      </c>
      <c r="B4541" s="11" t="str">
        <f>"00213301"</f>
        <v>00213301</v>
      </c>
    </row>
    <row r="4542" spans="1:2" x14ac:dyDescent="0.25">
      <c r="A4542" s="2">
        <v>4537</v>
      </c>
      <c r="B4542" s="11" t="str">
        <f>"00213320"</f>
        <v>00213320</v>
      </c>
    </row>
    <row r="4543" spans="1:2" x14ac:dyDescent="0.25">
      <c r="A4543" s="2">
        <v>4538</v>
      </c>
      <c r="B4543" s="11" t="str">
        <f>"00213387"</f>
        <v>00213387</v>
      </c>
    </row>
    <row r="4544" spans="1:2" x14ac:dyDescent="0.25">
      <c r="A4544" s="2">
        <v>4539</v>
      </c>
      <c r="B4544" s="11" t="str">
        <f>"00213411"</f>
        <v>00213411</v>
      </c>
    </row>
    <row r="4545" spans="1:2" x14ac:dyDescent="0.25">
      <c r="A4545" s="2">
        <v>4540</v>
      </c>
      <c r="B4545" s="11" t="str">
        <f>"00213484"</f>
        <v>00213484</v>
      </c>
    </row>
    <row r="4546" spans="1:2" x14ac:dyDescent="0.25">
      <c r="A4546" s="2">
        <v>4541</v>
      </c>
      <c r="B4546" s="11" t="str">
        <f>"00213490"</f>
        <v>00213490</v>
      </c>
    </row>
    <row r="4547" spans="1:2" x14ac:dyDescent="0.25">
      <c r="A4547" s="2">
        <v>4542</v>
      </c>
      <c r="B4547" s="11" t="str">
        <f>"00213500"</f>
        <v>00213500</v>
      </c>
    </row>
    <row r="4548" spans="1:2" x14ac:dyDescent="0.25">
      <c r="A4548" s="2">
        <v>4543</v>
      </c>
      <c r="B4548" s="11" t="str">
        <f>"00213502"</f>
        <v>00213502</v>
      </c>
    </row>
    <row r="4549" spans="1:2" x14ac:dyDescent="0.25">
      <c r="A4549" s="2">
        <v>4544</v>
      </c>
      <c r="B4549" s="11" t="str">
        <f>"00213540"</f>
        <v>00213540</v>
      </c>
    </row>
    <row r="4550" spans="1:2" x14ac:dyDescent="0.25">
      <c r="A4550" s="2">
        <v>4545</v>
      </c>
      <c r="B4550" s="11" t="str">
        <f>"00214144"</f>
        <v>00214144</v>
      </c>
    </row>
    <row r="4551" spans="1:2" x14ac:dyDescent="0.25">
      <c r="A4551" s="2">
        <v>4546</v>
      </c>
      <c r="B4551" s="11" t="str">
        <f>"00214334"</f>
        <v>00214334</v>
      </c>
    </row>
    <row r="4552" spans="1:2" x14ac:dyDescent="0.25">
      <c r="A4552" s="2">
        <v>4547</v>
      </c>
      <c r="B4552" s="11" t="str">
        <f>"00214341"</f>
        <v>00214341</v>
      </c>
    </row>
    <row r="4553" spans="1:2" x14ac:dyDescent="0.25">
      <c r="A4553" s="2">
        <v>4548</v>
      </c>
      <c r="B4553" s="11" t="str">
        <f>"00214352"</f>
        <v>00214352</v>
      </c>
    </row>
    <row r="4554" spans="1:2" x14ac:dyDescent="0.25">
      <c r="A4554" s="2">
        <v>4549</v>
      </c>
      <c r="B4554" s="11" t="str">
        <f>"00214437"</f>
        <v>00214437</v>
      </c>
    </row>
    <row r="4555" spans="1:2" x14ac:dyDescent="0.25">
      <c r="A4555" s="2">
        <v>4550</v>
      </c>
      <c r="B4555" s="11" t="str">
        <f>"00214439"</f>
        <v>00214439</v>
      </c>
    </row>
    <row r="4556" spans="1:2" x14ac:dyDescent="0.25">
      <c r="A4556" s="2">
        <v>4551</v>
      </c>
      <c r="B4556" s="11" t="str">
        <f>"00214471"</f>
        <v>00214471</v>
      </c>
    </row>
    <row r="4557" spans="1:2" x14ac:dyDescent="0.25">
      <c r="A4557" s="2">
        <v>4552</v>
      </c>
      <c r="B4557" s="11" t="str">
        <f>"00214483"</f>
        <v>00214483</v>
      </c>
    </row>
    <row r="4558" spans="1:2" x14ac:dyDescent="0.25">
      <c r="A4558" s="2">
        <v>4553</v>
      </c>
      <c r="B4558" s="11" t="str">
        <f>"00214488"</f>
        <v>00214488</v>
      </c>
    </row>
    <row r="4559" spans="1:2" x14ac:dyDescent="0.25">
      <c r="A4559" s="2">
        <v>4554</v>
      </c>
      <c r="B4559" s="11" t="str">
        <f>"00214493"</f>
        <v>00214493</v>
      </c>
    </row>
    <row r="4560" spans="1:2" x14ac:dyDescent="0.25">
      <c r="A4560" s="2">
        <v>4555</v>
      </c>
      <c r="B4560" s="11" t="str">
        <f>"00214537"</f>
        <v>00214537</v>
      </c>
    </row>
    <row r="4561" spans="1:2" x14ac:dyDescent="0.25">
      <c r="A4561" s="2">
        <v>4556</v>
      </c>
      <c r="B4561" s="11" t="str">
        <f>"00214639"</f>
        <v>00214639</v>
      </c>
    </row>
    <row r="4562" spans="1:2" x14ac:dyDescent="0.25">
      <c r="A4562" s="2">
        <v>4557</v>
      </c>
      <c r="B4562" s="11" t="str">
        <f>"00214647"</f>
        <v>00214647</v>
      </c>
    </row>
    <row r="4563" spans="1:2" x14ac:dyDescent="0.25">
      <c r="A4563" s="2">
        <v>4558</v>
      </c>
      <c r="B4563" s="11" t="str">
        <f>"00214654"</f>
        <v>00214654</v>
      </c>
    </row>
    <row r="4564" spans="1:2" x14ac:dyDescent="0.25">
      <c r="A4564" s="2">
        <v>4559</v>
      </c>
      <c r="B4564" s="11" t="str">
        <f>"00214655"</f>
        <v>00214655</v>
      </c>
    </row>
    <row r="4565" spans="1:2" x14ac:dyDescent="0.25">
      <c r="A4565" s="2">
        <v>4560</v>
      </c>
      <c r="B4565" s="11" t="str">
        <f>"00214723"</f>
        <v>00214723</v>
      </c>
    </row>
    <row r="4566" spans="1:2" x14ac:dyDescent="0.25">
      <c r="A4566" s="2">
        <v>4561</v>
      </c>
      <c r="B4566" s="11" t="str">
        <f>"00214733"</f>
        <v>00214733</v>
      </c>
    </row>
    <row r="4567" spans="1:2" x14ac:dyDescent="0.25">
      <c r="A4567" s="2">
        <v>4562</v>
      </c>
      <c r="B4567" s="11" t="str">
        <f>"00214752"</f>
        <v>00214752</v>
      </c>
    </row>
    <row r="4568" spans="1:2" x14ac:dyDescent="0.25">
      <c r="A4568" s="2">
        <v>4563</v>
      </c>
      <c r="B4568" s="11" t="str">
        <f>"00214869"</f>
        <v>00214869</v>
      </c>
    </row>
    <row r="4569" spans="1:2" x14ac:dyDescent="0.25">
      <c r="A4569" s="2">
        <v>4564</v>
      </c>
      <c r="B4569" s="11" t="str">
        <f>"00214880"</f>
        <v>00214880</v>
      </c>
    </row>
    <row r="4570" spans="1:2" x14ac:dyDescent="0.25">
      <c r="A4570" s="2">
        <v>4565</v>
      </c>
      <c r="B4570" s="11" t="str">
        <f>"00214938"</f>
        <v>00214938</v>
      </c>
    </row>
    <row r="4571" spans="1:2" x14ac:dyDescent="0.25">
      <c r="A4571" s="2">
        <v>4566</v>
      </c>
      <c r="B4571" s="11" t="str">
        <f>"00215045"</f>
        <v>00215045</v>
      </c>
    </row>
    <row r="4572" spans="1:2" x14ac:dyDescent="0.25">
      <c r="A4572" s="2">
        <v>4567</v>
      </c>
      <c r="B4572" s="11" t="str">
        <f>"00215058"</f>
        <v>00215058</v>
      </c>
    </row>
    <row r="4573" spans="1:2" x14ac:dyDescent="0.25">
      <c r="A4573" s="2">
        <v>4568</v>
      </c>
      <c r="B4573" s="11" t="str">
        <f>"00215083"</f>
        <v>00215083</v>
      </c>
    </row>
    <row r="4574" spans="1:2" x14ac:dyDescent="0.25">
      <c r="A4574" s="2">
        <v>4569</v>
      </c>
      <c r="B4574" s="11" t="str">
        <f>"00215122"</f>
        <v>00215122</v>
      </c>
    </row>
    <row r="4575" spans="1:2" x14ac:dyDescent="0.25">
      <c r="A4575" s="2">
        <v>4570</v>
      </c>
      <c r="B4575" s="11" t="str">
        <f>"00215129"</f>
        <v>00215129</v>
      </c>
    </row>
    <row r="4576" spans="1:2" x14ac:dyDescent="0.25">
      <c r="A4576" s="2">
        <v>4571</v>
      </c>
      <c r="B4576" s="11" t="str">
        <f>"00215208"</f>
        <v>00215208</v>
      </c>
    </row>
    <row r="4577" spans="1:2" x14ac:dyDescent="0.25">
      <c r="A4577" s="2">
        <v>4572</v>
      </c>
      <c r="B4577" s="11" t="str">
        <f>"00215245"</f>
        <v>00215245</v>
      </c>
    </row>
    <row r="4578" spans="1:2" x14ac:dyDescent="0.25">
      <c r="A4578" s="2">
        <v>4573</v>
      </c>
      <c r="B4578" s="11" t="str">
        <f>"00215250"</f>
        <v>00215250</v>
      </c>
    </row>
    <row r="4579" spans="1:2" x14ac:dyDescent="0.25">
      <c r="A4579" s="2">
        <v>4574</v>
      </c>
      <c r="B4579" s="11" t="str">
        <f>"00215283"</f>
        <v>00215283</v>
      </c>
    </row>
    <row r="4580" spans="1:2" x14ac:dyDescent="0.25">
      <c r="A4580" s="2">
        <v>4575</v>
      </c>
      <c r="B4580" s="11" t="str">
        <f>"00215305"</f>
        <v>00215305</v>
      </c>
    </row>
    <row r="4581" spans="1:2" x14ac:dyDescent="0.25">
      <c r="A4581" s="2">
        <v>4576</v>
      </c>
      <c r="B4581" s="11" t="str">
        <f>"00215331"</f>
        <v>00215331</v>
      </c>
    </row>
    <row r="4582" spans="1:2" x14ac:dyDescent="0.25">
      <c r="A4582" s="2">
        <v>4577</v>
      </c>
      <c r="B4582" s="11" t="str">
        <f>"00215335"</f>
        <v>00215335</v>
      </c>
    </row>
    <row r="4583" spans="1:2" x14ac:dyDescent="0.25">
      <c r="A4583" s="2">
        <v>4578</v>
      </c>
      <c r="B4583" s="11" t="str">
        <f>"00215390"</f>
        <v>00215390</v>
      </c>
    </row>
    <row r="4584" spans="1:2" x14ac:dyDescent="0.25">
      <c r="A4584" s="2">
        <v>4579</v>
      </c>
      <c r="B4584" s="11" t="str">
        <f>"00215396"</f>
        <v>00215396</v>
      </c>
    </row>
    <row r="4585" spans="1:2" x14ac:dyDescent="0.25">
      <c r="A4585" s="2">
        <v>4580</v>
      </c>
      <c r="B4585" s="11" t="str">
        <f>"00215438"</f>
        <v>00215438</v>
      </c>
    </row>
    <row r="4586" spans="1:2" x14ac:dyDescent="0.25">
      <c r="A4586" s="2">
        <v>4581</v>
      </c>
      <c r="B4586" s="11" t="str">
        <f>"00215465"</f>
        <v>00215465</v>
      </c>
    </row>
    <row r="4587" spans="1:2" x14ac:dyDescent="0.25">
      <c r="A4587" s="2">
        <v>4582</v>
      </c>
      <c r="B4587" s="11" t="str">
        <f>"00215483"</f>
        <v>00215483</v>
      </c>
    </row>
    <row r="4588" spans="1:2" x14ac:dyDescent="0.25">
      <c r="A4588" s="2">
        <v>4583</v>
      </c>
      <c r="B4588" s="11" t="str">
        <f>"00215498"</f>
        <v>00215498</v>
      </c>
    </row>
    <row r="4589" spans="1:2" x14ac:dyDescent="0.25">
      <c r="A4589" s="2">
        <v>4584</v>
      </c>
      <c r="B4589" s="11" t="str">
        <f>"00215534"</f>
        <v>00215534</v>
      </c>
    </row>
    <row r="4590" spans="1:2" x14ac:dyDescent="0.25">
      <c r="A4590" s="2">
        <v>4585</v>
      </c>
      <c r="B4590" s="11" t="str">
        <f>"00215619"</f>
        <v>00215619</v>
      </c>
    </row>
    <row r="4591" spans="1:2" x14ac:dyDescent="0.25">
      <c r="A4591" s="2">
        <v>4586</v>
      </c>
      <c r="B4591" s="11" t="str">
        <f>"00215666"</f>
        <v>00215666</v>
      </c>
    </row>
    <row r="4592" spans="1:2" x14ac:dyDescent="0.25">
      <c r="A4592" s="2">
        <v>4587</v>
      </c>
      <c r="B4592" s="11" t="str">
        <f>"00215672"</f>
        <v>00215672</v>
      </c>
    </row>
    <row r="4593" spans="1:2" x14ac:dyDescent="0.25">
      <c r="A4593" s="2">
        <v>4588</v>
      </c>
      <c r="B4593" s="11" t="str">
        <f>"00215783"</f>
        <v>00215783</v>
      </c>
    </row>
    <row r="4594" spans="1:2" x14ac:dyDescent="0.25">
      <c r="A4594" s="2">
        <v>4589</v>
      </c>
      <c r="B4594" s="11" t="str">
        <f>"00215828"</f>
        <v>00215828</v>
      </c>
    </row>
    <row r="4595" spans="1:2" x14ac:dyDescent="0.25">
      <c r="A4595" s="2">
        <v>4590</v>
      </c>
      <c r="B4595" s="11" t="str">
        <f>"00215830"</f>
        <v>00215830</v>
      </c>
    </row>
    <row r="4596" spans="1:2" x14ac:dyDescent="0.25">
      <c r="A4596" s="2">
        <v>4591</v>
      </c>
      <c r="B4596" s="11" t="str">
        <f>"00215903"</f>
        <v>00215903</v>
      </c>
    </row>
    <row r="4597" spans="1:2" x14ac:dyDescent="0.25">
      <c r="A4597" s="2">
        <v>4592</v>
      </c>
      <c r="B4597" s="11" t="str">
        <f>"00216011"</f>
        <v>00216011</v>
      </c>
    </row>
    <row r="4598" spans="1:2" x14ac:dyDescent="0.25">
      <c r="A4598" s="2">
        <v>4593</v>
      </c>
      <c r="B4598" s="11" t="str">
        <f>"00216079"</f>
        <v>00216079</v>
      </c>
    </row>
    <row r="4599" spans="1:2" x14ac:dyDescent="0.25">
      <c r="A4599" s="2">
        <v>4594</v>
      </c>
      <c r="B4599" s="11" t="str">
        <f>"00216229"</f>
        <v>00216229</v>
      </c>
    </row>
    <row r="4600" spans="1:2" x14ac:dyDescent="0.25">
      <c r="A4600" s="2">
        <v>4595</v>
      </c>
      <c r="B4600" s="11" t="str">
        <f>"00216266"</f>
        <v>00216266</v>
      </c>
    </row>
    <row r="4601" spans="1:2" x14ac:dyDescent="0.25">
      <c r="A4601" s="2">
        <v>4596</v>
      </c>
      <c r="B4601" s="11" t="str">
        <f>"00216270"</f>
        <v>00216270</v>
      </c>
    </row>
    <row r="4602" spans="1:2" x14ac:dyDescent="0.25">
      <c r="A4602" s="2">
        <v>4597</v>
      </c>
      <c r="B4602" s="11" t="str">
        <f>"00216319"</f>
        <v>00216319</v>
      </c>
    </row>
    <row r="4603" spans="1:2" x14ac:dyDescent="0.25">
      <c r="A4603" s="2">
        <v>4598</v>
      </c>
      <c r="B4603" s="11" t="str">
        <f>"00216401"</f>
        <v>00216401</v>
      </c>
    </row>
    <row r="4604" spans="1:2" x14ac:dyDescent="0.25">
      <c r="A4604" s="2">
        <v>4599</v>
      </c>
      <c r="B4604" s="11" t="str">
        <f>"00216421"</f>
        <v>00216421</v>
      </c>
    </row>
    <row r="4605" spans="1:2" x14ac:dyDescent="0.25">
      <c r="A4605" s="2">
        <v>4600</v>
      </c>
      <c r="B4605" s="11" t="str">
        <f>"00216426"</f>
        <v>00216426</v>
      </c>
    </row>
    <row r="4606" spans="1:2" x14ac:dyDescent="0.25">
      <c r="A4606" s="2">
        <v>4601</v>
      </c>
      <c r="B4606" s="11" t="str">
        <f>"00216448"</f>
        <v>00216448</v>
      </c>
    </row>
    <row r="4607" spans="1:2" x14ac:dyDescent="0.25">
      <c r="A4607" s="2">
        <v>4602</v>
      </c>
      <c r="B4607" s="11" t="str">
        <f>"00216500"</f>
        <v>00216500</v>
      </c>
    </row>
    <row r="4608" spans="1:2" x14ac:dyDescent="0.25">
      <c r="A4608" s="2">
        <v>4603</v>
      </c>
      <c r="B4608" s="11" t="str">
        <f>"00216585"</f>
        <v>00216585</v>
      </c>
    </row>
    <row r="4609" spans="1:2" x14ac:dyDescent="0.25">
      <c r="A4609" s="2">
        <v>4604</v>
      </c>
      <c r="B4609" s="11" t="str">
        <f>"00216689"</f>
        <v>00216689</v>
      </c>
    </row>
    <row r="4610" spans="1:2" x14ac:dyDescent="0.25">
      <c r="A4610" s="2">
        <v>4605</v>
      </c>
      <c r="B4610" s="11" t="str">
        <f>"00216965"</f>
        <v>00216965</v>
      </c>
    </row>
    <row r="4611" spans="1:2" x14ac:dyDescent="0.25">
      <c r="A4611" s="2">
        <v>4606</v>
      </c>
      <c r="B4611" s="11" t="str">
        <f>"00217107"</f>
        <v>00217107</v>
      </c>
    </row>
    <row r="4612" spans="1:2" x14ac:dyDescent="0.25">
      <c r="A4612" s="2">
        <v>4607</v>
      </c>
      <c r="B4612" s="11" t="str">
        <f>"00217231"</f>
        <v>00217231</v>
      </c>
    </row>
    <row r="4613" spans="1:2" x14ac:dyDescent="0.25">
      <c r="A4613" s="2">
        <v>4608</v>
      </c>
      <c r="B4613" s="11" t="str">
        <f>"00217312"</f>
        <v>00217312</v>
      </c>
    </row>
    <row r="4614" spans="1:2" x14ac:dyDescent="0.25">
      <c r="A4614" s="2">
        <v>4609</v>
      </c>
      <c r="B4614" s="11" t="str">
        <f>"00217347"</f>
        <v>00217347</v>
      </c>
    </row>
    <row r="4615" spans="1:2" x14ac:dyDescent="0.25">
      <c r="A4615" s="2">
        <v>4610</v>
      </c>
      <c r="B4615" s="11" t="str">
        <f>"00217410"</f>
        <v>00217410</v>
      </c>
    </row>
    <row r="4616" spans="1:2" x14ac:dyDescent="0.25">
      <c r="A4616" s="2">
        <v>4611</v>
      </c>
      <c r="B4616" s="11" t="str">
        <f>"00217499"</f>
        <v>00217499</v>
      </c>
    </row>
    <row r="4617" spans="1:2" x14ac:dyDescent="0.25">
      <c r="A4617" s="2">
        <v>4612</v>
      </c>
      <c r="B4617" s="11" t="str">
        <f>"00217527"</f>
        <v>00217527</v>
      </c>
    </row>
    <row r="4618" spans="1:2" x14ac:dyDescent="0.25">
      <c r="A4618" s="2">
        <v>4613</v>
      </c>
      <c r="B4618" s="11" t="str">
        <f>"00217573"</f>
        <v>00217573</v>
      </c>
    </row>
    <row r="4619" spans="1:2" x14ac:dyDescent="0.25">
      <c r="A4619" s="2">
        <v>4614</v>
      </c>
      <c r="B4619" s="11" t="str">
        <f>"00217583"</f>
        <v>00217583</v>
      </c>
    </row>
    <row r="4620" spans="1:2" x14ac:dyDescent="0.25">
      <c r="A4620" s="2">
        <v>4615</v>
      </c>
      <c r="B4620" s="11" t="str">
        <f>"00217629"</f>
        <v>00217629</v>
      </c>
    </row>
    <row r="4621" spans="1:2" x14ac:dyDescent="0.25">
      <c r="A4621" s="2">
        <v>4616</v>
      </c>
      <c r="B4621" s="11" t="str">
        <f>"00217630"</f>
        <v>00217630</v>
      </c>
    </row>
    <row r="4622" spans="1:2" x14ac:dyDescent="0.25">
      <c r="A4622" s="2">
        <v>4617</v>
      </c>
      <c r="B4622" s="11" t="str">
        <f>"00217812"</f>
        <v>00217812</v>
      </c>
    </row>
    <row r="4623" spans="1:2" x14ac:dyDescent="0.25">
      <c r="A4623" s="2">
        <v>4618</v>
      </c>
      <c r="B4623" s="11" t="str">
        <f>"00217869"</f>
        <v>00217869</v>
      </c>
    </row>
    <row r="4624" spans="1:2" x14ac:dyDescent="0.25">
      <c r="A4624" s="2">
        <v>4619</v>
      </c>
      <c r="B4624" s="11" t="str">
        <f>"00217933"</f>
        <v>00217933</v>
      </c>
    </row>
    <row r="4625" spans="1:2" x14ac:dyDescent="0.25">
      <c r="A4625" s="2">
        <v>4620</v>
      </c>
      <c r="B4625" s="11" t="str">
        <f>"00217974"</f>
        <v>00217974</v>
      </c>
    </row>
    <row r="4626" spans="1:2" x14ac:dyDescent="0.25">
      <c r="A4626" s="2">
        <v>4621</v>
      </c>
      <c r="B4626" s="11" t="str">
        <f>"00217984"</f>
        <v>00217984</v>
      </c>
    </row>
    <row r="4627" spans="1:2" x14ac:dyDescent="0.25">
      <c r="A4627" s="2">
        <v>4622</v>
      </c>
      <c r="B4627" s="11" t="str">
        <f>"00217986"</f>
        <v>00217986</v>
      </c>
    </row>
    <row r="4628" spans="1:2" x14ac:dyDescent="0.25">
      <c r="A4628" s="2">
        <v>4623</v>
      </c>
      <c r="B4628" s="11" t="str">
        <f>"00218036"</f>
        <v>00218036</v>
      </c>
    </row>
    <row r="4629" spans="1:2" x14ac:dyDescent="0.25">
      <c r="A4629" s="2">
        <v>4624</v>
      </c>
      <c r="B4629" s="11" t="str">
        <f>"00218040"</f>
        <v>00218040</v>
      </c>
    </row>
    <row r="4630" spans="1:2" x14ac:dyDescent="0.25">
      <c r="A4630" s="2">
        <v>4625</v>
      </c>
      <c r="B4630" s="11" t="str">
        <f>"00218071"</f>
        <v>00218071</v>
      </c>
    </row>
    <row r="4631" spans="1:2" x14ac:dyDescent="0.25">
      <c r="A4631" s="2">
        <v>4626</v>
      </c>
      <c r="B4631" s="11" t="str">
        <f>"00218101"</f>
        <v>00218101</v>
      </c>
    </row>
    <row r="4632" spans="1:2" x14ac:dyDescent="0.25">
      <c r="A4632" s="2">
        <v>4627</v>
      </c>
      <c r="B4632" s="11" t="str">
        <f>"00218114"</f>
        <v>00218114</v>
      </c>
    </row>
    <row r="4633" spans="1:2" x14ac:dyDescent="0.25">
      <c r="A4633" s="2">
        <v>4628</v>
      </c>
      <c r="B4633" s="11" t="str">
        <f>"00218207"</f>
        <v>00218207</v>
      </c>
    </row>
    <row r="4634" spans="1:2" x14ac:dyDescent="0.25">
      <c r="A4634" s="2">
        <v>4629</v>
      </c>
      <c r="B4634" s="11" t="str">
        <f>"00218235"</f>
        <v>00218235</v>
      </c>
    </row>
    <row r="4635" spans="1:2" x14ac:dyDescent="0.25">
      <c r="A4635" s="2">
        <v>4630</v>
      </c>
      <c r="B4635" s="11" t="str">
        <f>"00218248"</f>
        <v>00218248</v>
      </c>
    </row>
    <row r="4636" spans="1:2" x14ac:dyDescent="0.25">
      <c r="A4636" s="2">
        <v>4631</v>
      </c>
      <c r="B4636" s="11" t="str">
        <f>"00218252"</f>
        <v>00218252</v>
      </c>
    </row>
    <row r="4637" spans="1:2" x14ac:dyDescent="0.25">
      <c r="A4637" s="2">
        <v>4632</v>
      </c>
      <c r="B4637" s="11" t="str">
        <f>"00218290"</f>
        <v>00218290</v>
      </c>
    </row>
    <row r="4638" spans="1:2" x14ac:dyDescent="0.25">
      <c r="A4638" s="2">
        <v>4633</v>
      </c>
      <c r="B4638" s="11" t="str">
        <f>"00218301"</f>
        <v>00218301</v>
      </c>
    </row>
    <row r="4639" spans="1:2" x14ac:dyDescent="0.25">
      <c r="A4639" s="2">
        <v>4634</v>
      </c>
      <c r="B4639" s="11" t="str">
        <f>"00218316"</f>
        <v>00218316</v>
      </c>
    </row>
    <row r="4640" spans="1:2" x14ac:dyDescent="0.25">
      <c r="A4640" s="2">
        <v>4635</v>
      </c>
      <c r="B4640" s="11" t="str">
        <f>"00218472"</f>
        <v>00218472</v>
      </c>
    </row>
    <row r="4641" spans="1:2" x14ac:dyDescent="0.25">
      <c r="A4641" s="2">
        <v>4636</v>
      </c>
      <c r="B4641" s="11" t="str">
        <f>"00218497"</f>
        <v>00218497</v>
      </c>
    </row>
    <row r="4642" spans="1:2" x14ac:dyDescent="0.25">
      <c r="A4642" s="2">
        <v>4637</v>
      </c>
      <c r="B4642" s="11" t="str">
        <f>"00218520"</f>
        <v>00218520</v>
      </c>
    </row>
    <row r="4643" spans="1:2" x14ac:dyDescent="0.25">
      <c r="A4643" s="2">
        <v>4638</v>
      </c>
      <c r="B4643" s="11" t="str">
        <f>"00218524"</f>
        <v>00218524</v>
      </c>
    </row>
    <row r="4644" spans="1:2" x14ac:dyDescent="0.25">
      <c r="A4644" s="2">
        <v>4639</v>
      </c>
      <c r="B4644" s="11" t="str">
        <f>"00218561"</f>
        <v>00218561</v>
      </c>
    </row>
    <row r="4645" spans="1:2" x14ac:dyDescent="0.25">
      <c r="A4645" s="2">
        <v>4640</v>
      </c>
      <c r="B4645" s="11" t="str">
        <f>"00218637"</f>
        <v>00218637</v>
      </c>
    </row>
    <row r="4646" spans="1:2" x14ac:dyDescent="0.25">
      <c r="A4646" s="2">
        <v>4641</v>
      </c>
      <c r="B4646" s="11" t="str">
        <f>"00218656"</f>
        <v>00218656</v>
      </c>
    </row>
    <row r="4647" spans="1:2" x14ac:dyDescent="0.25">
      <c r="A4647" s="2">
        <v>4642</v>
      </c>
      <c r="B4647" s="11" t="str">
        <f>"00218667"</f>
        <v>00218667</v>
      </c>
    </row>
    <row r="4648" spans="1:2" x14ac:dyDescent="0.25">
      <c r="A4648" s="2">
        <v>4643</v>
      </c>
      <c r="B4648" s="11" t="str">
        <f>"00218721"</f>
        <v>00218721</v>
      </c>
    </row>
    <row r="4649" spans="1:2" x14ac:dyDescent="0.25">
      <c r="A4649" s="2">
        <v>4644</v>
      </c>
      <c r="B4649" s="11" t="str">
        <f>"00218758"</f>
        <v>00218758</v>
      </c>
    </row>
    <row r="4650" spans="1:2" x14ac:dyDescent="0.25">
      <c r="A4650" s="2">
        <v>4645</v>
      </c>
      <c r="B4650" s="11" t="str">
        <f>"00218804"</f>
        <v>00218804</v>
      </c>
    </row>
    <row r="4651" spans="1:2" x14ac:dyDescent="0.25">
      <c r="A4651" s="2">
        <v>4646</v>
      </c>
      <c r="B4651" s="11" t="str">
        <f>"00218833"</f>
        <v>00218833</v>
      </c>
    </row>
    <row r="4652" spans="1:2" x14ac:dyDescent="0.25">
      <c r="A4652" s="2">
        <v>4647</v>
      </c>
      <c r="B4652" s="11" t="str">
        <f>"00218837"</f>
        <v>00218837</v>
      </c>
    </row>
    <row r="4653" spans="1:2" x14ac:dyDescent="0.25">
      <c r="A4653" s="2">
        <v>4648</v>
      </c>
      <c r="B4653" s="11" t="str">
        <f>"00218891"</f>
        <v>00218891</v>
      </c>
    </row>
    <row r="4654" spans="1:2" x14ac:dyDescent="0.25">
      <c r="A4654" s="2">
        <v>4649</v>
      </c>
      <c r="B4654" s="11" t="str">
        <f>"00218898"</f>
        <v>00218898</v>
      </c>
    </row>
    <row r="4655" spans="1:2" x14ac:dyDescent="0.25">
      <c r="A4655" s="2">
        <v>4650</v>
      </c>
      <c r="B4655" s="11" t="str">
        <f>"00218958"</f>
        <v>00218958</v>
      </c>
    </row>
    <row r="4656" spans="1:2" x14ac:dyDescent="0.25">
      <c r="A4656" s="2">
        <v>4651</v>
      </c>
      <c r="B4656" s="11" t="str">
        <f>"00219111"</f>
        <v>00219111</v>
      </c>
    </row>
    <row r="4657" spans="1:2" x14ac:dyDescent="0.25">
      <c r="A4657" s="2">
        <v>4652</v>
      </c>
      <c r="B4657" s="11" t="str">
        <f>"00219130"</f>
        <v>00219130</v>
      </c>
    </row>
    <row r="4658" spans="1:2" x14ac:dyDescent="0.25">
      <c r="A4658" s="2">
        <v>4653</v>
      </c>
      <c r="B4658" s="11" t="str">
        <f>"00219139"</f>
        <v>00219139</v>
      </c>
    </row>
    <row r="4659" spans="1:2" x14ac:dyDescent="0.25">
      <c r="A4659" s="2">
        <v>4654</v>
      </c>
      <c r="B4659" s="11" t="str">
        <f>"00219147"</f>
        <v>00219147</v>
      </c>
    </row>
    <row r="4660" spans="1:2" x14ac:dyDescent="0.25">
      <c r="A4660" s="2">
        <v>4655</v>
      </c>
      <c r="B4660" s="11" t="str">
        <f>"00219179"</f>
        <v>00219179</v>
      </c>
    </row>
    <row r="4661" spans="1:2" x14ac:dyDescent="0.25">
      <c r="A4661" s="2">
        <v>4656</v>
      </c>
      <c r="B4661" s="11" t="str">
        <f>"00219326"</f>
        <v>00219326</v>
      </c>
    </row>
    <row r="4662" spans="1:2" x14ac:dyDescent="0.25">
      <c r="A4662" s="2">
        <v>4657</v>
      </c>
      <c r="B4662" s="11" t="str">
        <f>"00219345"</f>
        <v>00219345</v>
      </c>
    </row>
    <row r="4663" spans="1:2" x14ac:dyDescent="0.25">
      <c r="A4663" s="2">
        <v>4658</v>
      </c>
      <c r="B4663" s="11" t="str">
        <f>"00219382"</f>
        <v>00219382</v>
      </c>
    </row>
    <row r="4664" spans="1:2" x14ac:dyDescent="0.25">
      <c r="A4664" s="2">
        <v>4659</v>
      </c>
      <c r="B4664" s="11" t="str">
        <f>"00219383"</f>
        <v>00219383</v>
      </c>
    </row>
    <row r="4665" spans="1:2" x14ac:dyDescent="0.25">
      <c r="A4665" s="2">
        <v>4660</v>
      </c>
      <c r="B4665" s="11" t="str">
        <f>"00219400"</f>
        <v>00219400</v>
      </c>
    </row>
    <row r="4666" spans="1:2" x14ac:dyDescent="0.25">
      <c r="A4666" s="2">
        <v>4661</v>
      </c>
      <c r="B4666" s="11" t="str">
        <f>"00219439"</f>
        <v>00219439</v>
      </c>
    </row>
    <row r="4667" spans="1:2" x14ac:dyDescent="0.25">
      <c r="A4667" s="2">
        <v>4662</v>
      </c>
      <c r="B4667" s="11" t="str">
        <f>"00219460"</f>
        <v>00219460</v>
      </c>
    </row>
    <row r="4668" spans="1:2" x14ac:dyDescent="0.25">
      <c r="A4668" s="2">
        <v>4663</v>
      </c>
      <c r="B4668" s="11" t="str">
        <f>"00219475"</f>
        <v>00219475</v>
      </c>
    </row>
    <row r="4669" spans="1:2" x14ac:dyDescent="0.25">
      <c r="A4669" s="2">
        <v>4664</v>
      </c>
      <c r="B4669" s="11" t="str">
        <f>"00219493"</f>
        <v>00219493</v>
      </c>
    </row>
    <row r="4670" spans="1:2" x14ac:dyDescent="0.25">
      <c r="A4670" s="2">
        <v>4665</v>
      </c>
      <c r="B4670" s="11" t="str">
        <f>"00219551"</f>
        <v>00219551</v>
      </c>
    </row>
    <row r="4671" spans="1:2" x14ac:dyDescent="0.25">
      <c r="A4671" s="2">
        <v>4666</v>
      </c>
      <c r="B4671" s="11" t="str">
        <f>"00219563"</f>
        <v>00219563</v>
      </c>
    </row>
    <row r="4672" spans="1:2" x14ac:dyDescent="0.25">
      <c r="A4672" s="2">
        <v>4667</v>
      </c>
      <c r="B4672" s="11" t="str">
        <f>"00219601"</f>
        <v>00219601</v>
      </c>
    </row>
    <row r="4673" spans="1:2" x14ac:dyDescent="0.25">
      <c r="A4673" s="2">
        <v>4668</v>
      </c>
      <c r="B4673" s="11" t="str">
        <f>"00219633"</f>
        <v>00219633</v>
      </c>
    </row>
    <row r="4674" spans="1:2" x14ac:dyDescent="0.25">
      <c r="A4674" s="2">
        <v>4669</v>
      </c>
      <c r="B4674" s="11" t="str">
        <f>"00219643"</f>
        <v>00219643</v>
      </c>
    </row>
    <row r="4675" spans="1:2" x14ac:dyDescent="0.25">
      <c r="A4675" s="2">
        <v>4670</v>
      </c>
      <c r="B4675" s="11" t="str">
        <f>"00219669"</f>
        <v>00219669</v>
      </c>
    </row>
    <row r="4676" spans="1:2" x14ac:dyDescent="0.25">
      <c r="A4676" s="2">
        <v>4671</v>
      </c>
      <c r="B4676" s="11" t="str">
        <f>"00219732"</f>
        <v>00219732</v>
      </c>
    </row>
    <row r="4677" spans="1:2" x14ac:dyDescent="0.25">
      <c r="A4677" s="2">
        <v>4672</v>
      </c>
      <c r="B4677" s="11" t="str">
        <f>"00219777"</f>
        <v>00219777</v>
      </c>
    </row>
    <row r="4678" spans="1:2" x14ac:dyDescent="0.25">
      <c r="A4678" s="2">
        <v>4673</v>
      </c>
      <c r="B4678" s="11" t="str">
        <f>"00219800"</f>
        <v>00219800</v>
      </c>
    </row>
    <row r="4679" spans="1:2" x14ac:dyDescent="0.25">
      <c r="A4679" s="2">
        <v>4674</v>
      </c>
      <c r="B4679" s="11" t="str">
        <f>"00219830"</f>
        <v>00219830</v>
      </c>
    </row>
    <row r="4680" spans="1:2" x14ac:dyDescent="0.25">
      <c r="A4680" s="2">
        <v>4675</v>
      </c>
      <c r="B4680" s="11" t="str">
        <f>"00219863"</f>
        <v>00219863</v>
      </c>
    </row>
    <row r="4681" spans="1:2" x14ac:dyDescent="0.25">
      <c r="A4681" s="2">
        <v>4676</v>
      </c>
      <c r="B4681" s="11" t="str">
        <f>"00219874"</f>
        <v>00219874</v>
      </c>
    </row>
    <row r="4682" spans="1:2" x14ac:dyDescent="0.25">
      <c r="A4682" s="2">
        <v>4677</v>
      </c>
      <c r="B4682" s="11" t="str">
        <f>"00219884"</f>
        <v>00219884</v>
      </c>
    </row>
    <row r="4683" spans="1:2" x14ac:dyDescent="0.25">
      <c r="A4683" s="2">
        <v>4678</v>
      </c>
      <c r="B4683" s="11" t="str">
        <f>"00219924"</f>
        <v>00219924</v>
      </c>
    </row>
    <row r="4684" spans="1:2" x14ac:dyDescent="0.25">
      <c r="A4684" s="2">
        <v>4679</v>
      </c>
      <c r="B4684" s="11" t="str">
        <f>"00219954"</f>
        <v>00219954</v>
      </c>
    </row>
    <row r="4685" spans="1:2" x14ac:dyDescent="0.25">
      <c r="A4685" s="2">
        <v>4680</v>
      </c>
      <c r="B4685" s="11" t="str">
        <f>"00219957"</f>
        <v>00219957</v>
      </c>
    </row>
    <row r="4686" spans="1:2" x14ac:dyDescent="0.25">
      <c r="A4686" s="2">
        <v>4681</v>
      </c>
      <c r="B4686" s="11" t="str">
        <f>"00219965"</f>
        <v>00219965</v>
      </c>
    </row>
    <row r="4687" spans="1:2" x14ac:dyDescent="0.25">
      <c r="A4687" s="2">
        <v>4682</v>
      </c>
      <c r="B4687" s="11" t="str">
        <f>"00220020"</f>
        <v>00220020</v>
      </c>
    </row>
    <row r="4688" spans="1:2" x14ac:dyDescent="0.25">
      <c r="A4688" s="2">
        <v>4683</v>
      </c>
      <c r="B4688" s="11" t="str">
        <f>"00220032"</f>
        <v>00220032</v>
      </c>
    </row>
    <row r="4689" spans="1:2" x14ac:dyDescent="0.25">
      <c r="A4689" s="2">
        <v>4684</v>
      </c>
      <c r="B4689" s="11" t="str">
        <f>"00220063"</f>
        <v>00220063</v>
      </c>
    </row>
    <row r="4690" spans="1:2" x14ac:dyDescent="0.25">
      <c r="A4690" s="2">
        <v>4685</v>
      </c>
      <c r="B4690" s="11" t="str">
        <f>"00220070"</f>
        <v>00220070</v>
      </c>
    </row>
    <row r="4691" spans="1:2" x14ac:dyDescent="0.25">
      <c r="A4691" s="2">
        <v>4686</v>
      </c>
      <c r="B4691" s="11" t="str">
        <f>"00220102"</f>
        <v>00220102</v>
      </c>
    </row>
    <row r="4692" spans="1:2" x14ac:dyDescent="0.25">
      <c r="A4692" s="2">
        <v>4687</v>
      </c>
      <c r="B4692" s="11" t="str">
        <f>"00220185"</f>
        <v>00220185</v>
      </c>
    </row>
    <row r="4693" spans="1:2" x14ac:dyDescent="0.25">
      <c r="A4693" s="2">
        <v>4688</v>
      </c>
      <c r="B4693" s="11" t="str">
        <f>"00220198"</f>
        <v>00220198</v>
      </c>
    </row>
    <row r="4694" spans="1:2" x14ac:dyDescent="0.25">
      <c r="A4694" s="2">
        <v>4689</v>
      </c>
      <c r="B4694" s="11" t="str">
        <f>"00220217"</f>
        <v>00220217</v>
      </c>
    </row>
    <row r="4695" spans="1:2" x14ac:dyDescent="0.25">
      <c r="A4695" s="2">
        <v>4690</v>
      </c>
      <c r="B4695" s="11" t="str">
        <f>"00220246"</f>
        <v>00220246</v>
      </c>
    </row>
    <row r="4696" spans="1:2" x14ac:dyDescent="0.25">
      <c r="A4696" s="2">
        <v>4691</v>
      </c>
      <c r="B4696" s="11" t="str">
        <f>"00220282"</f>
        <v>00220282</v>
      </c>
    </row>
    <row r="4697" spans="1:2" x14ac:dyDescent="0.25">
      <c r="A4697" s="2">
        <v>4692</v>
      </c>
      <c r="B4697" s="11" t="str">
        <f>"00220302"</f>
        <v>00220302</v>
      </c>
    </row>
    <row r="4698" spans="1:2" x14ac:dyDescent="0.25">
      <c r="A4698" s="2">
        <v>4693</v>
      </c>
      <c r="B4698" s="11" t="str">
        <f>"00220305"</f>
        <v>00220305</v>
      </c>
    </row>
    <row r="4699" spans="1:2" x14ac:dyDescent="0.25">
      <c r="A4699" s="2">
        <v>4694</v>
      </c>
      <c r="B4699" s="11" t="str">
        <f>"00220316"</f>
        <v>00220316</v>
      </c>
    </row>
    <row r="4700" spans="1:2" x14ac:dyDescent="0.25">
      <c r="A4700" s="2">
        <v>4695</v>
      </c>
      <c r="B4700" s="11" t="str">
        <f>"00220337"</f>
        <v>00220337</v>
      </c>
    </row>
    <row r="4701" spans="1:2" x14ac:dyDescent="0.25">
      <c r="A4701" s="2">
        <v>4696</v>
      </c>
      <c r="B4701" s="11" t="str">
        <f>"00220349"</f>
        <v>00220349</v>
      </c>
    </row>
    <row r="4702" spans="1:2" x14ac:dyDescent="0.25">
      <c r="A4702" s="2">
        <v>4697</v>
      </c>
      <c r="B4702" s="11" t="str">
        <f>"00220414"</f>
        <v>00220414</v>
      </c>
    </row>
    <row r="4703" spans="1:2" x14ac:dyDescent="0.25">
      <c r="A4703" s="2">
        <v>4698</v>
      </c>
      <c r="B4703" s="11" t="str">
        <f>"00220432"</f>
        <v>00220432</v>
      </c>
    </row>
    <row r="4704" spans="1:2" x14ac:dyDescent="0.25">
      <c r="A4704" s="2">
        <v>4699</v>
      </c>
      <c r="B4704" s="11" t="str">
        <f>"00220451"</f>
        <v>00220451</v>
      </c>
    </row>
    <row r="4705" spans="1:2" x14ac:dyDescent="0.25">
      <c r="A4705" s="2">
        <v>4700</v>
      </c>
      <c r="B4705" s="11" t="str">
        <f>"00220489"</f>
        <v>00220489</v>
      </c>
    </row>
    <row r="4706" spans="1:2" x14ac:dyDescent="0.25">
      <c r="A4706" s="2">
        <v>4701</v>
      </c>
      <c r="B4706" s="11" t="str">
        <f>"00220545"</f>
        <v>00220545</v>
      </c>
    </row>
    <row r="4707" spans="1:2" x14ac:dyDescent="0.25">
      <c r="A4707" s="2">
        <v>4702</v>
      </c>
      <c r="B4707" s="11" t="str">
        <f>"00220611"</f>
        <v>00220611</v>
      </c>
    </row>
    <row r="4708" spans="1:2" x14ac:dyDescent="0.25">
      <c r="A4708" s="2">
        <v>4703</v>
      </c>
      <c r="B4708" s="11" t="str">
        <f>"00220617"</f>
        <v>00220617</v>
      </c>
    </row>
    <row r="4709" spans="1:2" x14ac:dyDescent="0.25">
      <c r="A4709" s="2">
        <v>4704</v>
      </c>
      <c r="B4709" s="11" t="str">
        <f>"00220632"</f>
        <v>00220632</v>
      </c>
    </row>
    <row r="4710" spans="1:2" x14ac:dyDescent="0.25">
      <c r="A4710" s="2">
        <v>4705</v>
      </c>
      <c r="B4710" s="11" t="str">
        <f>"00220635"</f>
        <v>00220635</v>
      </c>
    </row>
    <row r="4711" spans="1:2" x14ac:dyDescent="0.25">
      <c r="A4711" s="2">
        <v>4706</v>
      </c>
      <c r="B4711" s="11" t="str">
        <f>"00220685"</f>
        <v>00220685</v>
      </c>
    </row>
    <row r="4712" spans="1:2" x14ac:dyDescent="0.25">
      <c r="A4712" s="2">
        <v>4707</v>
      </c>
      <c r="B4712" s="11" t="str">
        <f>"00220695"</f>
        <v>00220695</v>
      </c>
    </row>
    <row r="4713" spans="1:2" x14ac:dyDescent="0.25">
      <c r="A4713" s="2">
        <v>4708</v>
      </c>
      <c r="B4713" s="11" t="str">
        <f>"00220705"</f>
        <v>00220705</v>
      </c>
    </row>
    <row r="4714" spans="1:2" x14ac:dyDescent="0.25">
      <c r="A4714" s="2">
        <v>4709</v>
      </c>
      <c r="B4714" s="11" t="str">
        <f>"00220729"</f>
        <v>00220729</v>
      </c>
    </row>
    <row r="4715" spans="1:2" x14ac:dyDescent="0.25">
      <c r="A4715" s="2">
        <v>4710</v>
      </c>
      <c r="B4715" s="11" t="str">
        <f>"00220877"</f>
        <v>00220877</v>
      </c>
    </row>
    <row r="4716" spans="1:2" x14ac:dyDescent="0.25">
      <c r="A4716" s="2">
        <v>4711</v>
      </c>
      <c r="B4716" s="11" t="str">
        <f>"00220948"</f>
        <v>00220948</v>
      </c>
    </row>
    <row r="4717" spans="1:2" x14ac:dyDescent="0.25">
      <c r="A4717" s="2">
        <v>4712</v>
      </c>
      <c r="B4717" s="11" t="str">
        <f>"00221005"</f>
        <v>00221005</v>
      </c>
    </row>
    <row r="4718" spans="1:2" x14ac:dyDescent="0.25">
      <c r="A4718" s="2">
        <v>4713</v>
      </c>
      <c r="B4718" s="11" t="str">
        <f>"00221031"</f>
        <v>00221031</v>
      </c>
    </row>
    <row r="4719" spans="1:2" x14ac:dyDescent="0.25">
      <c r="A4719" s="2">
        <v>4714</v>
      </c>
      <c r="B4719" s="11" t="str">
        <f>"00221103"</f>
        <v>00221103</v>
      </c>
    </row>
    <row r="4720" spans="1:2" x14ac:dyDescent="0.25">
      <c r="A4720" s="2">
        <v>4715</v>
      </c>
      <c r="B4720" s="11" t="str">
        <f>"00221193"</f>
        <v>00221193</v>
      </c>
    </row>
    <row r="4721" spans="1:2" x14ac:dyDescent="0.25">
      <c r="A4721" s="2">
        <v>4716</v>
      </c>
      <c r="B4721" s="11" t="str">
        <f>"00221199"</f>
        <v>00221199</v>
      </c>
    </row>
    <row r="4722" spans="1:2" x14ac:dyDescent="0.25">
      <c r="A4722" s="2">
        <v>4717</v>
      </c>
      <c r="B4722" s="11" t="str">
        <f>"00221212"</f>
        <v>00221212</v>
      </c>
    </row>
    <row r="4723" spans="1:2" x14ac:dyDescent="0.25">
      <c r="A4723" s="2">
        <v>4718</v>
      </c>
      <c r="B4723" s="11" t="str">
        <f>"00221240"</f>
        <v>00221240</v>
      </c>
    </row>
    <row r="4724" spans="1:2" x14ac:dyDescent="0.25">
      <c r="A4724" s="2">
        <v>4719</v>
      </c>
      <c r="B4724" s="11" t="str">
        <f>"00221263"</f>
        <v>00221263</v>
      </c>
    </row>
    <row r="4725" spans="1:2" x14ac:dyDescent="0.25">
      <c r="A4725" s="2">
        <v>4720</v>
      </c>
      <c r="B4725" s="11" t="str">
        <f>"00221274"</f>
        <v>00221274</v>
      </c>
    </row>
    <row r="4726" spans="1:2" x14ac:dyDescent="0.25">
      <c r="A4726" s="2">
        <v>4721</v>
      </c>
      <c r="B4726" s="11" t="str">
        <f>"00221317"</f>
        <v>00221317</v>
      </c>
    </row>
    <row r="4727" spans="1:2" x14ac:dyDescent="0.25">
      <c r="A4727" s="2">
        <v>4722</v>
      </c>
      <c r="B4727" s="11" t="str">
        <f>"00221333"</f>
        <v>00221333</v>
      </c>
    </row>
    <row r="4728" spans="1:2" x14ac:dyDescent="0.25">
      <c r="A4728" s="2">
        <v>4723</v>
      </c>
      <c r="B4728" s="11" t="str">
        <f>"00221348"</f>
        <v>00221348</v>
      </c>
    </row>
    <row r="4729" spans="1:2" x14ac:dyDescent="0.25">
      <c r="A4729" s="2">
        <v>4724</v>
      </c>
      <c r="B4729" s="11" t="str">
        <f>"00221544"</f>
        <v>00221544</v>
      </c>
    </row>
    <row r="4730" spans="1:2" x14ac:dyDescent="0.25">
      <c r="A4730" s="2">
        <v>4725</v>
      </c>
      <c r="B4730" s="11" t="str">
        <f>"00221615"</f>
        <v>00221615</v>
      </c>
    </row>
    <row r="4731" spans="1:2" x14ac:dyDescent="0.25">
      <c r="A4731" s="2">
        <v>4726</v>
      </c>
      <c r="B4731" s="11" t="str">
        <f>"00221739"</f>
        <v>00221739</v>
      </c>
    </row>
    <row r="4732" spans="1:2" x14ac:dyDescent="0.25">
      <c r="A4732" s="2">
        <v>4727</v>
      </c>
      <c r="B4732" s="11" t="str">
        <f>"00221759"</f>
        <v>00221759</v>
      </c>
    </row>
    <row r="4733" spans="1:2" x14ac:dyDescent="0.25">
      <c r="A4733" s="2">
        <v>4728</v>
      </c>
      <c r="B4733" s="11" t="str">
        <f>"00221813"</f>
        <v>00221813</v>
      </c>
    </row>
    <row r="4734" spans="1:2" x14ac:dyDescent="0.25">
      <c r="A4734" s="2">
        <v>4729</v>
      </c>
      <c r="B4734" s="11" t="str">
        <f>"00221854"</f>
        <v>00221854</v>
      </c>
    </row>
    <row r="4735" spans="1:2" x14ac:dyDescent="0.25">
      <c r="A4735" s="2">
        <v>4730</v>
      </c>
      <c r="B4735" s="11" t="str">
        <f>"00221877"</f>
        <v>00221877</v>
      </c>
    </row>
    <row r="4736" spans="1:2" x14ac:dyDescent="0.25">
      <c r="A4736" s="2">
        <v>4731</v>
      </c>
      <c r="B4736" s="11" t="str">
        <f>"00222016"</f>
        <v>00222016</v>
      </c>
    </row>
    <row r="4737" spans="1:2" x14ac:dyDescent="0.25">
      <c r="A4737" s="2">
        <v>4732</v>
      </c>
      <c r="B4737" s="11" t="str">
        <f>"00222017"</f>
        <v>00222017</v>
      </c>
    </row>
    <row r="4738" spans="1:2" x14ac:dyDescent="0.25">
      <c r="A4738" s="2">
        <v>4733</v>
      </c>
      <c r="B4738" s="11" t="str">
        <f>"00222029"</f>
        <v>00222029</v>
      </c>
    </row>
    <row r="4739" spans="1:2" x14ac:dyDescent="0.25">
      <c r="A4739" s="2">
        <v>4734</v>
      </c>
      <c r="B4739" s="11" t="str">
        <f>"00222070"</f>
        <v>00222070</v>
      </c>
    </row>
    <row r="4740" spans="1:2" x14ac:dyDescent="0.25">
      <c r="A4740" s="2">
        <v>4735</v>
      </c>
      <c r="B4740" s="11" t="str">
        <f>"00222079"</f>
        <v>00222079</v>
      </c>
    </row>
    <row r="4741" spans="1:2" x14ac:dyDescent="0.25">
      <c r="A4741" s="2">
        <v>4736</v>
      </c>
      <c r="B4741" s="11" t="str">
        <f>"00222097"</f>
        <v>00222097</v>
      </c>
    </row>
    <row r="4742" spans="1:2" x14ac:dyDescent="0.25">
      <c r="A4742" s="2">
        <v>4737</v>
      </c>
      <c r="B4742" s="11" t="str">
        <f>"00222154"</f>
        <v>00222154</v>
      </c>
    </row>
    <row r="4743" spans="1:2" x14ac:dyDescent="0.25">
      <c r="A4743" s="2">
        <v>4738</v>
      </c>
      <c r="B4743" s="11" t="str">
        <f>"00222213"</f>
        <v>00222213</v>
      </c>
    </row>
    <row r="4744" spans="1:2" x14ac:dyDescent="0.25">
      <c r="A4744" s="2">
        <v>4739</v>
      </c>
      <c r="B4744" s="11" t="str">
        <f>"00222262"</f>
        <v>00222262</v>
      </c>
    </row>
    <row r="4745" spans="1:2" x14ac:dyDescent="0.25">
      <c r="A4745" s="2">
        <v>4740</v>
      </c>
      <c r="B4745" s="11" t="str">
        <f>"00222316"</f>
        <v>00222316</v>
      </c>
    </row>
    <row r="4746" spans="1:2" x14ac:dyDescent="0.25">
      <c r="A4746" s="2">
        <v>4741</v>
      </c>
      <c r="B4746" s="11" t="str">
        <f>"00222416"</f>
        <v>00222416</v>
      </c>
    </row>
    <row r="4747" spans="1:2" x14ac:dyDescent="0.25">
      <c r="A4747" s="2">
        <v>4742</v>
      </c>
      <c r="B4747" s="11" t="str">
        <f>"00222531"</f>
        <v>00222531</v>
      </c>
    </row>
    <row r="4748" spans="1:2" x14ac:dyDescent="0.25">
      <c r="A4748" s="2">
        <v>4743</v>
      </c>
      <c r="B4748" s="11" t="str">
        <f>"00222548"</f>
        <v>00222548</v>
      </c>
    </row>
    <row r="4749" spans="1:2" x14ac:dyDescent="0.25">
      <c r="A4749" s="2">
        <v>4744</v>
      </c>
      <c r="B4749" s="11" t="str">
        <f>"00222563"</f>
        <v>00222563</v>
      </c>
    </row>
    <row r="4750" spans="1:2" x14ac:dyDescent="0.25">
      <c r="A4750" s="2">
        <v>4745</v>
      </c>
      <c r="B4750" s="11" t="str">
        <f>"00222590"</f>
        <v>00222590</v>
      </c>
    </row>
    <row r="4751" spans="1:2" x14ac:dyDescent="0.25">
      <c r="A4751" s="2">
        <v>4746</v>
      </c>
      <c r="B4751" s="11" t="str">
        <f>"00222694"</f>
        <v>00222694</v>
      </c>
    </row>
    <row r="4752" spans="1:2" x14ac:dyDescent="0.25">
      <c r="A4752" s="2">
        <v>4747</v>
      </c>
      <c r="B4752" s="11" t="str">
        <f>"00222720"</f>
        <v>00222720</v>
      </c>
    </row>
    <row r="4753" spans="1:2" x14ac:dyDescent="0.25">
      <c r="A4753" s="2">
        <v>4748</v>
      </c>
      <c r="B4753" s="11" t="str">
        <f>"00222781"</f>
        <v>00222781</v>
      </c>
    </row>
    <row r="4754" spans="1:2" x14ac:dyDescent="0.25">
      <c r="A4754" s="2">
        <v>4749</v>
      </c>
      <c r="B4754" s="11" t="str">
        <f>"00222791"</f>
        <v>00222791</v>
      </c>
    </row>
    <row r="4755" spans="1:2" x14ac:dyDescent="0.25">
      <c r="A4755" s="2">
        <v>4750</v>
      </c>
      <c r="B4755" s="11" t="str">
        <f>"00222813"</f>
        <v>00222813</v>
      </c>
    </row>
    <row r="4756" spans="1:2" x14ac:dyDescent="0.25">
      <c r="A4756" s="2">
        <v>4751</v>
      </c>
      <c r="B4756" s="11" t="str">
        <f>"00222890"</f>
        <v>00222890</v>
      </c>
    </row>
    <row r="4757" spans="1:2" x14ac:dyDescent="0.25">
      <c r="A4757" s="2">
        <v>4752</v>
      </c>
      <c r="B4757" s="11" t="str">
        <f>"00222896"</f>
        <v>00222896</v>
      </c>
    </row>
    <row r="4758" spans="1:2" x14ac:dyDescent="0.25">
      <c r="A4758" s="2">
        <v>4753</v>
      </c>
      <c r="B4758" s="11" t="str">
        <f>"00222974"</f>
        <v>00222974</v>
      </c>
    </row>
    <row r="4759" spans="1:2" x14ac:dyDescent="0.25">
      <c r="A4759" s="2">
        <v>4754</v>
      </c>
      <c r="B4759" s="11" t="str">
        <f>"00223068"</f>
        <v>00223068</v>
      </c>
    </row>
    <row r="4760" spans="1:2" x14ac:dyDescent="0.25">
      <c r="A4760" s="2">
        <v>4755</v>
      </c>
      <c r="B4760" s="11" t="str">
        <f>"00223193"</f>
        <v>00223193</v>
      </c>
    </row>
    <row r="4761" spans="1:2" x14ac:dyDescent="0.25">
      <c r="A4761" s="2">
        <v>4756</v>
      </c>
      <c r="B4761" s="11" t="str">
        <f>"00223270"</f>
        <v>00223270</v>
      </c>
    </row>
    <row r="4762" spans="1:2" x14ac:dyDescent="0.25">
      <c r="A4762" s="2">
        <v>4757</v>
      </c>
      <c r="B4762" s="11" t="str">
        <f>"00223339"</f>
        <v>00223339</v>
      </c>
    </row>
    <row r="4763" spans="1:2" x14ac:dyDescent="0.25">
      <c r="A4763" s="2">
        <v>4758</v>
      </c>
      <c r="B4763" s="11" t="str">
        <f>"00223421"</f>
        <v>00223421</v>
      </c>
    </row>
    <row r="4764" spans="1:2" x14ac:dyDescent="0.25">
      <c r="A4764" s="2">
        <v>4759</v>
      </c>
      <c r="B4764" s="11" t="str">
        <f>"00223426"</f>
        <v>00223426</v>
      </c>
    </row>
    <row r="4765" spans="1:2" x14ac:dyDescent="0.25">
      <c r="A4765" s="2">
        <v>4760</v>
      </c>
      <c r="B4765" s="11" t="str">
        <f>"00223528"</f>
        <v>00223528</v>
      </c>
    </row>
    <row r="4766" spans="1:2" x14ac:dyDescent="0.25">
      <c r="A4766" s="2">
        <v>4761</v>
      </c>
      <c r="B4766" s="11" t="str">
        <f>"00223531"</f>
        <v>00223531</v>
      </c>
    </row>
    <row r="4767" spans="1:2" x14ac:dyDescent="0.25">
      <c r="A4767" s="2">
        <v>4762</v>
      </c>
      <c r="B4767" s="11" t="str">
        <f>"00223656"</f>
        <v>00223656</v>
      </c>
    </row>
    <row r="4768" spans="1:2" x14ac:dyDescent="0.25">
      <c r="A4768" s="2">
        <v>4763</v>
      </c>
      <c r="B4768" s="11" t="str">
        <f>"00223709"</f>
        <v>00223709</v>
      </c>
    </row>
    <row r="4769" spans="1:2" x14ac:dyDescent="0.25">
      <c r="A4769" s="2">
        <v>4764</v>
      </c>
      <c r="B4769" s="11" t="str">
        <f>"00223732"</f>
        <v>00223732</v>
      </c>
    </row>
    <row r="4770" spans="1:2" x14ac:dyDescent="0.25">
      <c r="A4770" s="2">
        <v>4765</v>
      </c>
      <c r="B4770" s="11" t="str">
        <f>"00223848"</f>
        <v>00223848</v>
      </c>
    </row>
    <row r="4771" spans="1:2" x14ac:dyDescent="0.25">
      <c r="A4771" s="2">
        <v>4766</v>
      </c>
      <c r="B4771" s="11" t="str">
        <f>"00223887"</f>
        <v>00223887</v>
      </c>
    </row>
    <row r="4772" spans="1:2" x14ac:dyDescent="0.25">
      <c r="A4772" s="2">
        <v>4767</v>
      </c>
      <c r="B4772" s="11" t="str">
        <f>"00223929"</f>
        <v>00223929</v>
      </c>
    </row>
    <row r="4773" spans="1:2" x14ac:dyDescent="0.25">
      <c r="A4773" s="2">
        <v>4768</v>
      </c>
      <c r="B4773" s="11" t="str">
        <f>"00223996"</f>
        <v>00223996</v>
      </c>
    </row>
    <row r="4774" spans="1:2" x14ac:dyDescent="0.25">
      <c r="A4774" s="2">
        <v>4769</v>
      </c>
      <c r="B4774" s="11" t="str">
        <f>"00224048"</f>
        <v>00224048</v>
      </c>
    </row>
    <row r="4775" spans="1:2" x14ac:dyDescent="0.25">
      <c r="A4775" s="2">
        <v>4770</v>
      </c>
      <c r="B4775" s="11" t="str">
        <f>"00224073"</f>
        <v>00224073</v>
      </c>
    </row>
    <row r="4776" spans="1:2" x14ac:dyDescent="0.25">
      <c r="A4776" s="2">
        <v>4771</v>
      </c>
      <c r="B4776" s="11" t="str">
        <f>"00224087"</f>
        <v>00224087</v>
      </c>
    </row>
    <row r="4777" spans="1:2" x14ac:dyDescent="0.25">
      <c r="A4777" s="2">
        <v>4772</v>
      </c>
      <c r="B4777" s="11" t="str">
        <f>"00224130"</f>
        <v>00224130</v>
      </c>
    </row>
    <row r="4778" spans="1:2" x14ac:dyDescent="0.25">
      <c r="A4778" s="2">
        <v>4773</v>
      </c>
      <c r="B4778" s="11" t="str">
        <f>"00224148"</f>
        <v>00224148</v>
      </c>
    </row>
    <row r="4779" spans="1:2" x14ac:dyDescent="0.25">
      <c r="A4779" s="2">
        <v>4774</v>
      </c>
      <c r="B4779" s="11" t="str">
        <f>"00224209"</f>
        <v>00224209</v>
      </c>
    </row>
    <row r="4780" spans="1:2" x14ac:dyDescent="0.25">
      <c r="A4780" s="2">
        <v>4775</v>
      </c>
      <c r="B4780" s="11" t="str">
        <f>"00224212"</f>
        <v>00224212</v>
      </c>
    </row>
    <row r="4781" spans="1:2" x14ac:dyDescent="0.25">
      <c r="A4781" s="2">
        <v>4776</v>
      </c>
      <c r="B4781" s="11" t="str">
        <f>"00224284"</f>
        <v>00224284</v>
      </c>
    </row>
    <row r="4782" spans="1:2" x14ac:dyDescent="0.25">
      <c r="A4782" s="2">
        <v>4777</v>
      </c>
      <c r="B4782" s="11" t="str">
        <f>"00224357"</f>
        <v>00224357</v>
      </c>
    </row>
    <row r="4783" spans="1:2" x14ac:dyDescent="0.25">
      <c r="A4783" s="2">
        <v>4778</v>
      </c>
      <c r="B4783" s="11" t="str">
        <f>"00224365"</f>
        <v>00224365</v>
      </c>
    </row>
    <row r="4784" spans="1:2" x14ac:dyDescent="0.25">
      <c r="A4784" s="2">
        <v>4779</v>
      </c>
      <c r="B4784" s="11" t="str">
        <f>"00224371"</f>
        <v>00224371</v>
      </c>
    </row>
    <row r="4785" spans="1:2" x14ac:dyDescent="0.25">
      <c r="A4785" s="2">
        <v>4780</v>
      </c>
      <c r="B4785" s="11" t="str">
        <f>"00224376"</f>
        <v>00224376</v>
      </c>
    </row>
    <row r="4786" spans="1:2" x14ac:dyDescent="0.25">
      <c r="A4786" s="2">
        <v>4781</v>
      </c>
      <c r="B4786" s="11" t="str">
        <f>"00224386"</f>
        <v>00224386</v>
      </c>
    </row>
    <row r="4787" spans="1:2" x14ac:dyDescent="0.25">
      <c r="A4787" s="2">
        <v>4782</v>
      </c>
      <c r="B4787" s="11" t="str">
        <f>"00224439"</f>
        <v>00224439</v>
      </c>
    </row>
    <row r="4788" spans="1:2" x14ac:dyDescent="0.25">
      <c r="A4788" s="2">
        <v>4783</v>
      </c>
      <c r="B4788" s="11" t="str">
        <f>"00224491"</f>
        <v>00224491</v>
      </c>
    </row>
    <row r="4789" spans="1:2" x14ac:dyDescent="0.25">
      <c r="A4789" s="2">
        <v>4784</v>
      </c>
      <c r="B4789" s="11" t="str">
        <f>"00224503"</f>
        <v>00224503</v>
      </c>
    </row>
    <row r="4790" spans="1:2" x14ac:dyDescent="0.25">
      <c r="A4790" s="2">
        <v>4785</v>
      </c>
      <c r="B4790" s="11" t="str">
        <f>"00224629"</f>
        <v>00224629</v>
      </c>
    </row>
    <row r="4791" spans="1:2" x14ac:dyDescent="0.25">
      <c r="A4791" s="2">
        <v>4786</v>
      </c>
      <c r="B4791" s="11" t="str">
        <f>"00224632"</f>
        <v>00224632</v>
      </c>
    </row>
    <row r="4792" spans="1:2" x14ac:dyDescent="0.25">
      <c r="A4792" s="2">
        <v>4787</v>
      </c>
      <c r="B4792" s="11" t="str">
        <f>"00224698"</f>
        <v>00224698</v>
      </c>
    </row>
    <row r="4793" spans="1:2" x14ac:dyDescent="0.25">
      <c r="A4793" s="2">
        <v>4788</v>
      </c>
      <c r="B4793" s="11" t="str">
        <f>"00224777"</f>
        <v>00224777</v>
      </c>
    </row>
    <row r="4794" spans="1:2" x14ac:dyDescent="0.25">
      <c r="A4794" s="2">
        <v>4789</v>
      </c>
      <c r="B4794" s="11" t="str">
        <f>"00224804"</f>
        <v>00224804</v>
      </c>
    </row>
    <row r="4795" spans="1:2" x14ac:dyDescent="0.25">
      <c r="A4795" s="2">
        <v>4790</v>
      </c>
      <c r="B4795" s="11" t="str">
        <f>"00224807"</f>
        <v>00224807</v>
      </c>
    </row>
    <row r="4796" spans="1:2" x14ac:dyDescent="0.25">
      <c r="A4796" s="2">
        <v>4791</v>
      </c>
      <c r="B4796" s="11" t="str">
        <f>"00224821"</f>
        <v>00224821</v>
      </c>
    </row>
    <row r="4797" spans="1:2" x14ac:dyDescent="0.25">
      <c r="A4797" s="2">
        <v>4792</v>
      </c>
      <c r="B4797" s="11" t="str">
        <f>"00224830"</f>
        <v>00224830</v>
      </c>
    </row>
    <row r="4798" spans="1:2" x14ac:dyDescent="0.25">
      <c r="A4798" s="2">
        <v>4793</v>
      </c>
      <c r="B4798" s="11" t="str">
        <f>"00224838"</f>
        <v>00224838</v>
      </c>
    </row>
    <row r="4799" spans="1:2" x14ac:dyDescent="0.25">
      <c r="A4799" s="2">
        <v>4794</v>
      </c>
      <c r="B4799" s="11" t="str">
        <f>"00224954"</f>
        <v>00224954</v>
      </c>
    </row>
    <row r="4800" spans="1:2" x14ac:dyDescent="0.25">
      <c r="A4800" s="2">
        <v>4795</v>
      </c>
      <c r="B4800" s="11" t="str">
        <f>"00225006"</f>
        <v>00225006</v>
      </c>
    </row>
    <row r="4801" spans="1:2" x14ac:dyDescent="0.25">
      <c r="A4801" s="2">
        <v>4796</v>
      </c>
      <c r="B4801" s="11" t="str">
        <f>"00225096"</f>
        <v>00225096</v>
      </c>
    </row>
    <row r="4802" spans="1:2" x14ac:dyDescent="0.25">
      <c r="A4802" s="2">
        <v>4797</v>
      </c>
      <c r="B4802" s="11" t="str">
        <f>"00225111"</f>
        <v>00225111</v>
      </c>
    </row>
    <row r="4803" spans="1:2" x14ac:dyDescent="0.25">
      <c r="A4803" s="2">
        <v>4798</v>
      </c>
      <c r="B4803" s="11" t="str">
        <f>"00225136"</f>
        <v>00225136</v>
      </c>
    </row>
    <row r="4804" spans="1:2" x14ac:dyDescent="0.25">
      <c r="A4804" s="2">
        <v>4799</v>
      </c>
      <c r="B4804" s="11" t="str">
        <f>"00225138"</f>
        <v>00225138</v>
      </c>
    </row>
    <row r="4805" spans="1:2" x14ac:dyDescent="0.25">
      <c r="A4805" s="2">
        <v>4800</v>
      </c>
      <c r="B4805" s="11" t="str">
        <f>"00225256"</f>
        <v>00225256</v>
      </c>
    </row>
    <row r="4806" spans="1:2" x14ac:dyDescent="0.25">
      <c r="A4806" s="2">
        <v>4801</v>
      </c>
      <c r="B4806" s="11" t="str">
        <f>"00225264"</f>
        <v>00225264</v>
      </c>
    </row>
    <row r="4807" spans="1:2" x14ac:dyDescent="0.25">
      <c r="A4807" s="2">
        <v>4802</v>
      </c>
      <c r="B4807" s="11" t="str">
        <f>"00225272"</f>
        <v>00225272</v>
      </c>
    </row>
    <row r="4808" spans="1:2" x14ac:dyDescent="0.25">
      <c r="A4808" s="2">
        <v>4803</v>
      </c>
      <c r="B4808" s="11" t="str">
        <f>"00225312"</f>
        <v>00225312</v>
      </c>
    </row>
    <row r="4809" spans="1:2" x14ac:dyDescent="0.25">
      <c r="A4809" s="2">
        <v>4804</v>
      </c>
      <c r="B4809" s="11" t="str">
        <f>"00225364"</f>
        <v>00225364</v>
      </c>
    </row>
    <row r="4810" spans="1:2" x14ac:dyDescent="0.25">
      <c r="A4810" s="2">
        <v>4805</v>
      </c>
      <c r="B4810" s="11" t="str">
        <f>"00225375"</f>
        <v>00225375</v>
      </c>
    </row>
    <row r="4811" spans="1:2" x14ac:dyDescent="0.25">
      <c r="A4811" s="2">
        <v>4806</v>
      </c>
      <c r="B4811" s="11" t="str">
        <f>"00225393"</f>
        <v>00225393</v>
      </c>
    </row>
    <row r="4812" spans="1:2" x14ac:dyDescent="0.25">
      <c r="A4812" s="2">
        <v>4807</v>
      </c>
      <c r="B4812" s="11" t="str">
        <f>"00225434"</f>
        <v>00225434</v>
      </c>
    </row>
    <row r="4813" spans="1:2" x14ac:dyDescent="0.25">
      <c r="A4813" s="2">
        <v>4808</v>
      </c>
      <c r="B4813" s="11" t="str">
        <f>"00225511"</f>
        <v>00225511</v>
      </c>
    </row>
    <row r="4814" spans="1:2" x14ac:dyDescent="0.25">
      <c r="A4814" s="2">
        <v>4809</v>
      </c>
      <c r="B4814" s="11" t="str">
        <f>"00225520"</f>
        <v>00225520</v>
      </c>
    </row>
    <row r="4815" spans="1:2" x14ac:dyDescent="0.25">
      <c r="A4815" s="2">
        <v>4810</v>
      </c>
      <c r="B4815" s="11" t="str">
        <f>"00225552"</f>
        <v>00225552</v>
      </c>
    </row>
    <row r="4816" spans="1:2" x14ac:dyDescent="0.25">
      <c r="A4816" s="2">
        <v>4811</v>
      </c>
      <c r="B4816" s="11" t="str">
        <f>"00225555"</f>
        <v>00225555</v>
      </c>
    </row>
    <row r="4817" spans="1:2" x14ac:dyDescent="0.25">
      <c r="A4817" s="2">
        <v>4812</v>
      </c>
      <c r="B4817" s="11" t="str">
        <f>"00225583"</f>
        <v>00225583</v>
      </c>
    </row>
    <row r="4818" spans="1:2" x14ac:dyDescent="0.25">
      <c r="A4818" s="2">
        <v>4813</v>
      </c>
      <c r="B4818" s="11" t="str">
        <f>"00225646"</f>
        <v>00225646</v>
      </c>
    </row>
    <row r="4819" spans="1:2" x14ac:dyDescent="0.25">
      <c r="A4819" s="2">
        <v>4814</v>
      </c>
      <c r="B4819" s="11" t="str">
        <f>"00225690"</f>
        <v>00225690</v>
      </c>
    </row>
    <row r="4820" spans="1:2" x14ac:dyDescent="0.25">
      <c r="A4820" s="2">
        <v>4815</v>
      </c>
      <c r="B4820" s="11" t="str">
        <f>"00225753"</f>
        <v>00225753</v>
      </c>
    </row>
    <row r="4821" spans="1:2" x14ac:dyDescent="0.25">
      <c r="A4821" s="2">
        <v>4816</v>
      </c>
      <c r="B4821" s="11" t="str">
        <f>"00225759"</f>
        <v>00225759</v>
      </c>
    </row>
    <row r="4822" spans="1:2" x14ac:dyDescent="0.25">
      <c r="A4822" s="2">
        <v>4817</v>
      </c>
      <c r="B4822" s="11" t="str">
        <f>"00225766"</f>
        <v>00225766</v>
      </c>
    </row>
    <row r="4823" spans="1:2" x14ac:dyDescent="0.25">
      <c r="A4823" s="2">
        <v>4818</v>
      </c>
      <c r="B4823" s="11" t="str">
        <f>"00225774"</f>
        <v>00225774</v>
      </c>
    </row>
    <row r="4824" spans="1:2" x14ac:dyDescent="0.25">
      <c r="A4824" s="2">
        <v>4819</v>
      </c>
      <c r="B4824" s="11" t="str">
        <f>"00225845"</f>
        <v>00225845</v>
      </c>
    </row>
    <row r="4825" spans="1:2" x14ac:dyDescent="0.25">
      <c r="A4825" s="2">
        <v>4820</v>
      </c>
      <c r="B4825" s="11" t="str">
        <f>"00225859"</f>
        <v>00225859</v>
      </c>
    </row>
    <row r="4826" spans="1:2" x14ac:dyDescent="0.25">
      <c r="A4826" s="2">
        <v>4821</v>
      </c>
      <c r="B4826" s="11" t="str">
        <f>"00225863"</f>
        <v>00225863</v>
      </c>
    </row>
    <row r="4827" spans="1:2" x14ac:dyDescent="0.25">
      <c r="A4827" s="2">
        <v>4822</v>
      </c>
      <c r="B4827" s="11" t="str">
        <f>"00225871"</f>
        <v>00225871</v>
      </c>
    </row>
    <row r="4828" spans="1:2" x14ac:dyDescent="0.25">
      <c r="A4828" s="2">
        <v>4823</v>
      </c>
      <c r="B4828" s="11" t="str">
        <f>"00225873"</f>
        <v>00225873</v>
      </c>
    </row>
    <row r="4829" spans="1:2" x14ac:dyDescent="0.25">
      <c r="A4829" s="2">
        <v>4824</v>
      </c>
      <c r="B4829" s="11" t="str">
        <f>"00225909"</f>
        <v>00225909</v>
      </c>
    </row>
    <row r="4830" spans="1:2" x14ac:dyDescent="0.25">
      <c r="A4830" s="2">
        <v>4825</v>
      </c>
      <c r="B4830" s="11" t="str">
        <f>"00225919"</f>
        <v>00225919</v>
      </c>
    </row>
    <row r="4831" spans="1:2" x14ac:dyDescent="0.25">
      <c r="A4831" s="2">
        <v>4826</v>
      </c>
      <c r="B4831" s="11" t="str">
        <f>"00225954"</f>
        <v>00225954</v>
      </c>
    </row>
    <row r="4832" spans="1:2" x14ac:dyDescent="0.25">
      <c r="A4832" s="2">
        <v>4827</v>
      </c>
      <c r="B4832" s="11" t="str">
        <f>"00225956"</f>
        <v>00225956</v>
      </c>
    </row>
    <row r="4833" spans="1:2" x14ac:dyDescent="0.25">
      <c r="A4833" s="2">
        <v>4828</v>
      </c>
      <c r="B4833" s="11" t="str">
        <f>"00225977"</f>
        <v>00225977</v>
      </c>
    </row>
    <row r="4834" spans="1:2" x14ac:dyDescent="0.25">
      <c r="A4834" s="2">
        <v>4829</v>
      </c>
      <c r="B4834" s="11" t="str">
        <f>"00226006"</f>
        <v>00226006</v>
      </c>
    </row>
    <row r="4835" spans="1:2" x14ac:dyDescent="0.25">
      <c r="A4835" s="2">
        <v>4830</v>
      </c>
      <c r="B4835" s="11" t="str">
        <f>"00226021"</f>
        <v>00226021</v>
      </c>
    </row>
    <row r="4836" spans="1:2" x14ac:dyDescent="0.25">
      <c r="A4836" s="2">
        <v>4831</v>
      </c>
      <c r="B4836" s="11" t="str">
        <f>"00226026"</f>
        <v>00226026</v>
      </c>
    </row>
    <row r="4837" spans="1:2" x14ac:dyDescent="0.25">
      <c r="A4837" s="2">
        <v>4832</v>
      </c>
      <c r="B4837" s="11" t="str">
        <f>"00226275"</f>
        <v>00226275</v>
      </c>
    </row>
    <row r="4838" spans="1:2" x14ac:dyDescent="0.25">
      <c r="A4838" s="2">
        <v>4833</v>
      </c>
      <c r="B4838" s="11" t="str">
        <f>"00226277"</f>
        <v>00226277</v>
      </c>
    </row>
    <row r="4839" spans="1:2" x14ac:dyDescent="0.25">
      <c r="A4839" s="2">
        <v>4834</v>
      </c>
      <c r="B4839" s="11" t="str">
        <f>"00226281"</f>
        <v>00226281</v>
      </c>
    </row>
    <row r="4840" spans="1:2" x14ac:dyDescent="0.25">
      <c r="A4840" s="2">
        <v>4835</v>
      </c>
      <c r="B4840" s="11" t="str">
        <f>"00226369"</f>
        <v>00226369</v>
      </c>
    </row>
    <row r="4841" spans="1:2" x14ac:dyDescent="0.25">
      <c r="A4841" s="2">
        <v>4836</v>
      </c>
      <c r="B4841" s="11" t="str">
        <f>"00226370"</f>
        <v>00226370</v>
      </c>
    </row>
    <row r="4842" spans="1:2" x14ac:dyDescent="0.25">
      <c r="A4842" s="2">
        <v>4837</v>
      </c>
      <c r="B4842" s="11" t="str">
        <f>"00226372"</f>
        <v>00226372</v>
      </c>
    </row>
    <row r="4843" spans="1:2" x14ac:dyDescent="0.25">
      <c r="A4843" s="2">
        <v>4838</v>
      </c>
      <c r="B4843" s="11" t="str">
        <f>"00226381"</f>
        <v>00226381</v>
      </c>
    </row>
    <row r="4844" spans="1:2" x14ac:dyDescent="0.25">
      <c r="A4844" s="2">
        <v>4839</v>
      </c>
      <c r="B4844" s="11" t="str">
        <f>"00226434"</f>
        <v>00226434</v>
      </c>
    </row>
    <row r="4845" spans="1:2" x14ac:dyDescent="0.25">
      <c r="A4845" s="2">
        <v>4840</v>
      </c>
      <c r="B4845" s="11" t="str">
        <f>"00226543"</f>
        <v>00226543</v>
      </c>
    </row>
    <row r="4846" spans="1:2" x14ac:dyDescent="0.25">
      <c r="A4846" s="2">
        <v>4841</v>
      </c>
      <c r="B4846" s="11" t="str">
        <f>"00226552"</f>
        <v>00226552</v>
      </c>
    </row>
    <row r="4847" spans="1:2" x14ac:dyDescent="0.25">
      <c r="A4847" s="2">
        <v>4842</v>
      </c>
      <c r="B4847" s="11" t="str">
        <f>"00226712"</f>
        <v>00226712</v>
      </c>
    </row>
    <row r="4848" spans="1:2" x14ac:dyDescent="0.25">
      <c r="A4848" s="2">
        <v>4843</v>
      </c>
      <c r="B4848" s="11" t="str">
        <f>"00226758"</f>
        <v>00226758</v>
      </c>
    </row>
    <row r="4849" spans="1:2" x14ac:dyDescent="0.25">
      <c r="A4849" s="2">
        <v>4844</v>
      </c>
      <c r="B4849" s="11" t="str">
        <f>"00226809"</f>
        <v>00226809</v>
      </c>
    </row>
    <row r="4850" spans="1:2" x14ac:dyDescent="0.25">
      <c r="A4850" s="2">
        <v>4845</v>
      </c>
      <c r="B4850" s="11" t="str">
        <f>"00226861"</f>
        <v>00226861</v>
      </c>
    </row>
    <row r="4851" spans="1:2" x14ac:dyDescent="0.25">
      <c r="A4851" s="2">
        <v>4846</v>
      </c>
      <c r="B4851" s="11" t="str">
        <f>"00226873"</f>
        <v>00226873</v>
      </c>
    </row>
    <row r="4852" spans="1:2" x14ac:dyDescent="0.25">
      <c r="A4852" s="2">
        <v>4847</v>
      </c>
      <c r="B4852" s="11" t="str">
        <f>"00226899"</f>
        <v>00226899</v>
      </c>
    </row>
    <row r="4853" spans="1:2" x14ac:dyDescent="0.25">
      <c r="A4853" s="2">
        <v>4848</v>
      </c>
      <c r="B4853" s="11" t="str">
        <f>"00226905"</f>
        <v>00226905</v>
      </c>
    </row>
    <row r="4854" spans="1:2" x14ac:dyDescent="0.25">
      <c r="A4854" s="2">
        <v>4849</v>
      </c>
      <c r="B4854" s="11" t="str">
        <f>"00226941"</f>
        <v>00226941</v>
      </c>
    </row>
    <row r="4855" spans="1:2" x14ac:dyDescent="0.25">
      <c r="A4855" s="2">
        <v>4850</v>
      </c>
      <c r="B4855" s="11" t="str">
        <f>"00227097"</f>
        <v>00227097</v>
      </c>
    </row>
    <row r="4856" spans="1:2" x14ac:dyDescent="0.25">
      <c r="A4856" s="2">
        <v>4851</v>
      </c>
      <c r="B4856" s="11" t="str">
        <f>"00227109"</f>
        <v>00227109</v>
      </c>
    </row>
    <row r="4857" spans="1:2" x14ac:dyDescent="0.25">
      <c r="A4857" s="2">
        <v>4852</v>
      </c>
      <c r="B4857" s="11" t="str">
        <f>"00227130"</f>
        <v>00227130</v>
      </c>
    </row>
    <row r="4858" spans="1:2" x14ac:dyDescent="0.25">
      <c r="A4858" s="2">
        <v>4853</v>
      </c>
      <c r="B4858" s="11" t="str">
        <f>"00227157"</f>
        <v>00227157</v>
      </c>
    </row>
    <row r="4859" spans="1:2" x14ac:dyDescent="0.25">
      <c r="A4859" s="2">
        <v>4854</v>
      </c>
      <c r="B4859" s="11" t="str">
        <f>"00227276"</f>
        <v>00227276</v>
      </c>
    </row>
    <row r="4860" spans="1:2" x14ac:dyDescent="0.25">
      <c r="A4860" s="2">
        <v>4855</v>
      </c>
      <c r="B4860" s="11" t="str">
        <f>"00227290"</f>
        <v>00227290</v>
      </c>
    </row>
    <row r="4861" spans="1:2" x14ac:dyDescent="0.25">
      <c r="A4861" s="2">
        <v>4856</v>
      </c>
      <c r="B4861" s="11" t="str">
        <f>"00227317"</f>
        <v>00227317</v>
      </c>
    </row>
    <row r="4862" spans="1:2" x14ac:dyDescent="0.25">
      <c r="A4862" s="2">
        <v>4857</v>
      </c>
      <c r="B4862" s="11" t="str">
        <f>"00227364"</f>
        <v>00227364</v>
      </c>
    </row>
    <row r="4863" spans="1:2" x14ac:dyDescent="0.25">
      <c r="A4863" s="2">
        <v>4858</v>
      </c>
      <c r="B4863" s="11" t="str">
        <f>"00227372"</f>
        <v>00227372</v>
      </c>
    </row>
    <row r="4864" spans="1:2" x14ac:dyDescent="0.25">
      <c r="A4864" s="2">
        <v>4859</v>
      </c>
      <c r="B4864" s="11" t="str">
        <f>"00227377"</f>
        <v>00227377</v>
      </c>
    </row>
    <row r="4865" spans="1:2" x14ac:dyDescent="0.25">
      <c r="A4865" s="2">
        <v>4860</v>
      </c>
      <c r="B4865" s="11" t="str">
        <f>"00227382"</f>
        <v>00227382</v>
      </c>
    </row>
    <row r="4866" spans="1:2" x14ac:dyDescent="0.25">
      <c r="A4866" s="2">
        <v>4861</v>
      </c>
      <c r="B4866" s="11" t="str">
        <f>"00227391"</f>
        <v>00227391</v>
      </c>
    </row>
    <row r="4867" spans="1:2" x14ac:dyDescent="0.25">
      <c r="A4867" s="2">
        <v>4862</v>
      </c>
      <c r="B4867" s="11" t="str">
        <f>"00227437"</f>
        <v>00227437</v>
      </c>
    </row>
    <row r="4868" spans="1:2" x14ac:dyDescent="0.25">
      <c r="A4868" s="2">
        <v>4863</v>
      </c>
      <c r="B4868" s="11" t="str">
        <f>"00227439"</f>
        <v>00227439</v>
      </c>
    </row>
    <row r="4869" spans="1:2" x14ac:dyDescent="0.25">
      <c r="A4869" s="2">
        <v>4864</v>
      </c>
      <c r="B4869" s="11" t="str">
        <f>"00227452"</f>
        <v>00227452</v>
      </c>
    </row>
    <row r="4870" spans="1:2" x14ac:dyDescent="0.25">
      <c r="A4870" s="2">
        <v>4865</v>
      </c>
      <c r="B4870" s="11" t="str">
        <f>"00227478"</f>
        <v>00227478</v>
      </c>
    </row>
    <row r="4871" spans="1:2" x14ac:dyDescent="0.25">
      <c r="A4871" s="2">
        <v>4866</v>
      </c>
      <c r="B4871" s="11" t="str">
        <f>"00227490"</f>
        <v>00227490</v>
      </c>
    </row>
    <row r="4872" spans="1:2" x14ac:dyDescent="0.25">
      <c r="A4872" s="2">
        <v>4867</v>
      </c>
      <c r="B4872" s="11" t="str">
        <f>"00227505"</f>
        <v>00227505</v>
      </c>
    </row>
    <row r="4873" spans="1:2" x14ac:dyDescent="0.25">
      <c r="A4873" s="2">
        <v>4868</v>
      </c>
      <c r="B4873" s="11" t="str">
        <f>"00227646"</f>
        <v>00227646</v>
      </c>
    </row>
    <row r="4874" spans="1:2" x14ac:dyDescent="0.25">
      <c r="A4874" s="2">
        <v>4869</v>
      </c>
      <c r="B4874" s="11" t="str">
        <f>"00227666"</f>
        <v>00227666</v>
      </c>
    </row>
    <row r="4875" spans="1:2" x14ac:dyDescent="0.25">
      <c r="A4875" s="2">
        <v>4870</v>
      </c>
      <c r="B4875" s="11" t="str">
        <f>"00227695"</f>
        <v>00227695</v>
      </c>
    </row>
    <row r="4876" spans="1:2" x14ac:dyDescent="0.25">
      <c r="A4876" s="2">
        <v>4871</v>
      </c>
      <c r="B4876" s="11" t="str">
        <f>"00227706"</f>
        <v>00227706</v>
      </c>
    </row>
    <row r="4877" spans="1:2" x14ac:dyDescent="0.25">
      <c r="A4877" s="2">
        <v>4872</v>
      </c>
      <c r="B4877" s="11" t="str">
        <f>"00227710"</f>
        <v>00227710</v>
      </c>
    </row>
    <row r="4878" spans="1:2" x14ac:dyDescent="0.25">
      <c r="A4878" s="2">
        <v>4873</v>
      </c>
      <c r="B4878" s="11" t="str">
        <f>"00227746"</f>
        <v>00227746</v>
      </c>
    </row>
    <row r="4879" spans="1:2" x14ac:dyDescent="0.25">
      <c r="A4879" s="2">
        <v>4874</v>
      </c>
      <c r="B4879" s="11" t="str">
        <f>"00227794"</f>
        <v>00227794</v>
      </c>
    </row>
    <row r="4880" spans="1:2" x14ac:dyDescent="0.25">
      <c r="A4880" s="2">
        <v>4875</v>
      </c>
      <c r="B4880" s="11" t="str">
        <f>"00227827"</f>
        <v>00227827</v>
      </c>
    </row>
    <row r="4881" spans="1:2" x14ac:dyDescent="0.25">
      <c r="A4881" s="2">
        <v>4876</v>
      </c>
      <c r="B4881" s="11" t="str">
        <f>"00227958"</f>
        <v>00227958</v>
      </c>
    </row>
    <row r="4882" spans="1:2" x14ac:dyDescent="0.25">
      <c r="A4882" s="2">
        <v>4877</v>
      </c>
      <c r="B4882" s="11" t="str">
        <f>"00228058"</f>
        <v>00228058</v>
      </c>
    </row>
    <row r="4883" spans="1:2" x14ac:dyDescent="0.25">
      <c r="A4883" s="2">
        <v>4878</v>
      </c>
      <c r="B4883" s="11" t="str">
        <f>"00228063"</f>
        <v>00228063</v>
      </c>
    </row>
    <row r="4884" spans="1:2" x14ac:dyDescent="0.25">
      <c r="A4884" s="2">
        <v>4879</v>
      </c>
      <c r="B4884" s="11" t="str">
        <f>"00228064"</f>
        <v>00228064</v>
      </c>
    </row>
    <row r="4885" spans="1:2" x14ac:dyDescent="0.25">
      <c r="A4885" s="2">
        <v>4880</v>
      </c>
      <c r="B4885" s="11" t="str">
        <f>"00228090"</f>
        <v>00228090</v>
      </c>
    </row>
    <row r="4886" spans="1:2" x14ac:dyDescent="0.25">
      <c r="A4886" s="2">
        <v>4881</v>
      </c>
      <c r="B4886" s="11" t="str">
        <f>"00228096"</f>
        <v>00228096</v>
      </c>
    </row>
    <row r="4887" spans="1:2" x14ac:dyDescent="0.25">
      <c r="A4887" s="2">
        <v>4882</v>
      </c>
      <c r="B4887" s="11" t="str">
        <f>"00228141"</f>
        <v>00228141</v>
      </c>
    </row>
    <row r="4888" spans="1:2" x14ac:dyDescent="0.25">
      <c r="A4888" s="2">
        <v>4883</v>
      </c>
      <c r="B4888" s="11" t="str">
        <f>"00228227"</f>
        <v>00228227</v>
      </c>
    </row>
    <row r="4889" spans="1:2" x14ac:dyDescent="0.25">
      <c r="A4889" s="2">
        <v>4884</v>
      </c>
      <c r="B4889" s="11" t="str">
        <f>"00228297"</f>
        <v>00228297</v>
      </c>
    </row>
    <row r="4890" spans="1:2" x14ac:dyDescent="0.25">
      <c r="A4890" s="2">
        <v>4885</v>
      </c>
      <c r="B4890" s="11" t="str">
        <f>"00228400"</f>
        <v>00228400</v>
      </c>
    </row>
    <row r="4891" spans="1:2" x14ac:dyDescent="0.25">
      <c r="A4891" s="2">
        <v>4886</v>
      </c>
      <c r="B4891" s="11" t="str">
        <f>"00228444"</f>
        <v>00228444</v>
      </c>
    </row>
    <row r="4892" spans="1:2" x14ac:dyDescent="0.25">
      <c r="A4892" s="2">
        <v>4887</v>
      </c>
      <c r="B4892" s="11" t="str">
        <f>"00228571"</f>
        <v>00228571</v>
      </c>
    </row>
    <row r="4893" spans="1:2" x14ac:dyDescent="0.25">
      <c r="A4893" s="2">
        <v>4888</v>
      </c>
      <c r="B4893" s="11" t="str">
        <f>"00228575"</f>
        <v>00228575</v>
      </c>
    </row>
    <row r="4894" spans="1:2" x14ac:dyDescent="0.25">
      <c r="A4894" s="2">
        <v>4889</v>
      </c>
      <c r="B4894" s="11" t="str">
        <f>"00228586"</f>
        <v>00228586</v>
      </c>
    </row>
    <row r="4895" spans="1:2" x14ac:dyDescent="0.25">
      <c r="A4895" s="2">
        <v>4890</v>
      </c>
      <c r="B4895" s="11" t="str">
        <f>"00228603"</f>
        <v>00228603</v>
      </c>
    </row>
    <row r="4896" spans="1:2" x14ac:dyDescent="0.25">
      <c r="A4896" s="2">
        <v>4891</v>
      </c>
      <c r="B4896" s="11" t="str">
        <f>"00228607"</f>
        <v>00228607</v>
      </c>
    </row>
    <row r="4897" spans="1:2" x14ac:dyDescent="0.25">
      <c r="A4897" s="2">
        <v>4892</v>
      </c>
      <c r="B4897" s="11" t="str">
        <f>"00228608"</f>
        <v>00228608</v>
      </c>
    </row>
    <row r="4898" spans="1:2" x14ac:dyDescent="0.25">
      <c r="A4898" s="2">
        <v>4893</v>
      </c>
      <c r="B4898" s="11" t="str">
        <f>"00228612"</f>
        <v>00228612</v>
      </c>
    </row>
    <row r="4899" spans="1:2" x14ac:dyDescent="0.25">
      <c r="A4899" s="2">
        <v>4894</v>
      </c>
      <c r="B4899" s="11" t="str">
        <f>"00228709"</f>
        <v>00228709</v>
      </c>
    </row>
    <row r="4900" spans="1:2" x14ac:dyDescent="0.25">
      <c r="A4900" s="2">
        <v>4895</v>
      </c>
      <c r="B4900" s="11" t="str">
        <f>"00228744"</f>
        <v>00228744</v>
      </c>
    </row>
    <row r="4901" spans="1:2" x14ac:dyDescent="0.25">
      <c r="A4901" s="2">
        <v>4896</v>
      </c>
      <c r="B4901" s="11" t="str">
        <f>"00228785"</f>
        <v>00228785</v>
      </c>
    </row>
    <row r="4902" spans="1:2" x14ac:dyDescent="0.25">
      <c r="A4902" s="2">
        <v>4897</v>
      </c>
      <c r="B4902" s="11" t="str">
        <f>"00228849"</f>
        <v>00228849</v>
      </c>
    </row>
    <row r="4903" spans="1:2" x14ac:dyDescent="0.25">
      <c r="A4903" s="2">
        <v>4898</v>
      </c>
      <c r="B4903" s="11" t="str">
        <f>"00228863"</f>
        <v>00228863</v>
      </c>
    </row>
    <row r="4904" spans="1:2" x14ac:dyDescent="0.25">
      <c r="A4904" s="2">
        <v>4899</v>
      </c>
      <c r="B4904" s="11" t="str">
        <f>"00228919"</f>
        <v>00228919</v>
      </c>
    </row>
    <row r="4905" spans="1:2" x14ac:dyDescent="0.25">
      <c r="A4905" s="2">
        <v>4900</v>
      </c>
      <c r="B4905" s="11" t="str">
        <f>"00228933"</f>
        <v>00228933</v>
      </c>
    </row>
    <row r="4906" spans="1:2" x14ac:dyDescent="0.25">
      <c r="A4906" s="2">
        <v>4901</v>
      </c>
      <c r="B4906" s="11" t="str">
        <f>"00228954"</f>
        <v>00228954</v>
      </c>
    </row>
    <row r="4907" spans="1:2" x14ac:dyDescent="0.25">
      <c r="A4907" s="2">
        <v>4902</v>
      </c>
      <c r="B4907" s="11" t="str">
        <f>"00228978"</f>
        <v>00228978</v>
      </c>
    </row>
    <row r="4908" spans="1:2" x14ac:dyDescent="0.25">
      <c r="A4908" s="2">
        <v>4903</v>
      </c>
      <c r="B4908" s="11" t="str">
        <f>"00229033"</f>
        <v>00229033</v>
      </c>
    </row>
    <row r="4909" spans="1:2" x14ac:dyDescent="0.25">
      <c r="A4909" s="2">
        <v>4904</v>
      </c>
      <c r="B4909" s="11" t="str">
        <f>"00229061"</f>
        <v>00229061</v>
      </c>
    </row>
    <row r="4910" spans="1:2" x14ac:dyDescent="0.25">
      <c r="A4910" s="2">
        <v>4905</v>
      </c>
      <c r="B4910" s="11" t="str">
        <f>"00229110"</f>
        <v>00229110</v>
      </c>
    </row>
    <row r="4911" spans="1:2" x14ac:dyDescent="0.25">
      <c r="A4911" s="2">
        <v>4906</v>
      </c>
      <c r="B4911" s="11" t="str">
        <f>"00229166"</f>
        <v>00229166</v>
      </c>
    </row>
    <row r="4912" spans="1:2" x14ac:dyDescent="0.25">
      <c r="A4912" s="2">
        <v>4907</v>
      </c>
      <c r="B4912" s="11" t="str">
        <f>"00229298"</f>
        <v>00229298</v>
      </c>
    </row>
    <row r="4913" spans="1:2" x14ac:dyDescent="0.25">
      <c r="A4913" s="2">
        <v>4908</v>
      </c>
      <c r="B4913" s="11" t="str">
        <f>"00229299"</f>
        <v>00229299</v>
      </c>
    </row>
    <row r="4914" spans="1:2" x14ac:dyDescent="0.25">
      <c r="A4914" s="2">
        <v>4909</v>
      </c>
      <c r="B4914" s="11" t="str">
        <f>"00229307"</f>
        <v>00229307</v>
      </c>
    </row>
    <row r="4915" spans="1:2" x14ac:dyDescent="0.25">
      <c r="A4915" s="2">
        <v>4910</v>
      </c>
      <c r="B4915" s="11" t="str">
        <f>"00229350"</f>
        <v>00229350</v>
      </c>
    </row>
    <row r="4916" spans="1:2" x14ac:dyDescent="0.25">
      <c r="A4916" s="2">
        <v>4911</v>
      </c>
      <c r="B4916" s="11" t="str">
        <f>"00229537"</f>
        <v>00229537</v>
      </c>
    </row>
    <row r="4917" spans="1:2" x14ac:dyDescent="0.25">
      <c r="A4917" s="2">
        <v>4912</v>
      </c>
      <c r="B4917" s="11" t="str">
        <f>"00229551"</f>
        <v>00229551</v>
      </c>
    </row>
    <row r="4918" spans="1:2" x14ac:dyDescent="0.25">
      <c r="A4918" s="2">
        <v>4913</v>
      </c>
      <c r="B4918" s="11" t="str">
        <f>"00229591"</f>
        <v>00229591</v>
      </c>
    </row>
    <row r="4919" spans="1:2" x14ac:dyDescent="0.25">
      <c r="A4919" s="2">
        <v>4914</v>
      </c>
      <c r="B4919" s="11" t="str">
        <f>"00229626"</f>
        <v>00229626</v>
      </c>
    </row>
    <row r="4920" spans="1:2" x14ac:dyDescent="0.25">
      <c r="A4920" s="2">
        <v>4915</v>
      </c>
      <c r="B4920" s="11" t="str">
        <f>"00229656"</f>
        <v>00229656</v>
      </c>
    </row>
    <row r="4921" spans="1:2" x14ac:dyDescent="0.25">
      <c r="A4921" s="2">
        <v>4916</v>
      </c>
      <c r="B4921" s="11" t="str">
        <f>"00229731"</f>
        <v>00229731</v>
      </c>
    </row>
    <row r="4922" spans="1:2" x14ac:dyDescent="0.25">
      <c r="A4922" s="2">
        <v>4917</v>
      </c>
      <c r="B4922" s="11" t="str">
        <f>"00229821"</f>
        <v>00229821</v>
      </c>
    </row>
    <row r="4923" spans="1:2" x14ac:dyDescent="0.25">
      <c r="A4923" s="2">
        <v>4918</v>
      </c>
      <c r="B4923" s="11" t="str">
        <f>"00229930"</f>
        <v>00229930</v>
      </c>
    </row>
    <row r="4924" spans="1:2" x14ac:dyDescent="0.25">
      <c r="A4924" s="2">
        <v>4919</v>
      </c>
      <c r="B4924" s="11" t="str">
        <f>"00229958"</f>
        <v>00229958</v>
      </c>
    </row>
    <row r="4925" spans="1:2" x14ac:dyDescent="0.25">
      <c r="A4925" s="2">
        <v>4920</v>
      </c>
      <c r="B4925" s="11" t="str">
        <f>"00230023"</f>
        <v>00230023</v>
      </c>
    </row>
    <row r="4926" spans="1:2" x14ac:dyDescent="0.25">
      <c r="A4926" s="2">
        <v>4921</v>
      </c>
      <c r="B4926" s="11" t="str">
        <f>"00230086"</f>
        <v>00230086</v>
      </c>
    </row>
    <row r="4927" spans="1:2" x14ac:dyDescent="0.25">
      <c r="A4927" s="2">
        <v>4922</v>
      </c>
      <c r="B4927" s="11" t="str">
        <f>"00230091"</f>
        <v>00230091</v>
      </c>
    </row>
    <row r="4928" spans="1:2" x14ac:dyDescent="0.25">
      <c r="A4928" s="2">
        <v>4923</v>
      </c>
      <c r="B4928" s="11" t="str">
        <f>"00230160"</f>
        <v>00230160</v>
      </c>
    </row>
    <row r="4929" spans="1:2" x14ac:dyDescent="0.25">
      <c r="A4929" s="2">
        <v>4924</v>
      </c>
      <c r="B4929" s="11" t="str">
        <f>"00230182"</f>
        <v>00230182</v>
      </c>
    </row>
    <row r="4930" spans="1:2" x14ac:dyDescent="0.25">
      <c r="A4930" s="2">
        <v>4925</v>
      </c>
      <c r="B4930" s="11" t="str">
        <f>"00230219"</f>
        <v>00230219</v>
      </c>
    </row>
    <row r="4931" spans="1:2" x14ac:dyDescent="0.25">
      <c r="A4931" s="2">
        <v>4926</v>
      </c>
      <c r="B4931" s="11" t="str">
        <f>"00230241"</f>
        <v>00230241</v>
      </c>
    </row>
    <row r="4932" spans="1:2" x14ac:dyDescent="0.25">
      <c r="A4932" s="2">
        <v>4927</v>
      </c>
      <c r="B4932" s="11" t="str">
        <f>"00230264"</f>
        <v>00230264</v>
      </c>
    </row>
    <row r="4933" spans="1:2" x14ac:dyDescent="0.25">
      <c r="A4933" s="2">
        <v>4928</v>
      </c>
      <c r="B4933" s="11" t="str">
        <f>"00230280"</f>
        <v>00230280</v>
      </c>
    </row>
    <row r="4934" spans="1:2" x14ac:dyDescent="0.25">
      <c r="A4934" s="2">
        <v>4929</v>
      </c>
      <c r="B4934" s="11" t="str">
        <f>"00230286"</f>
        <v>00230286</v>
      </c>
    </row>
    <row r="4935" spans="1:2" x14ac:dyDescent="0.25">
      <c r="A4935" s="2">
        <v>4930</v>
      </c>
      <c r="B4935" s="11" t="str">
        <f>"00230313"</f>
        <v>00230313</v>
      </c>
    </row>
    <row r="4936" spans="1:2" x14ac:dyDescent="0.25">
      <c r="A4936" s="2">
        <v>4931</v>
      </c>
      <c r="B4936" s="11" t="str">
        <f>"00230352"</f>
        <v>00230352</v>
      </c>
    </row>
    <row r="4937" spans="1:2" x14ac:dyDescent="0.25">
      <c r="A4937" s="2">
        <v>4932</v>
      </c>
      <c r="B4937" s="11" t="str">
        <f>"00230353"</f>
        <v>00230353</v>
      </c>
    </row>
    <row r="4938" spans="1:2" x14ac:dyDescent="0.25">
      <c r="A4938" s="2">
        <v>4933</v>
      </c>
      <c r="B4938" s="11" t="str">
        <f>"00230402"</f>
        <v>00230402</v>
      </c>
    </row>
    <row r="4939" spans="1:2" x14ac:dyDescent="0.25">
      <c r="A4939" s="2">
        <v>4934</v>
      </c>
      <c r="B4939" s="11" t="str">
        <f>"00230419"</f>
        <v>00230419</v>
      </c>
    </row>
    <row r="4940" spans="1:2" x14ac:dyDescent="0.25">
      <c r="A4940" s="2">
        <v>4935</v>
      </c>
      <c r="B4940" s="11" t="str">
        <f>"00230472"</f>
        <v>00230472</v>
      </c>
    </row>
    <row r="4941" spans="1:2" x14ac:dyDescent="0.25">
      <c r="A4941" s="2">
        <v>4936</v>
      </c>
      <c r="B4941" s="11" t="str">
        <f>"00230564"</f>
        <v>00230564</v>
      </c>
    </row>
    <row r="4942" spans="1:2" x14ac:dyDescent="0.25">
      <c r="A4942" s="2">
        <v>4937</v>
      </c>
      <c r="B4942" s="11" t="str">
        <f>"00230597"</f>
        <v>00230597</v>
      </c>
    </row>
    <row r="4943" spans="1:2" x14ac:dyDescent="0.25">
      <c r="A4943" s="2">
        <v>4938</v>
      </c>
      <c r="B4943" s="11" t="str">
        <f>"00230621"</f>
        <v>00230621</v>
      </c>
    </row>
    <row r="4944" spans="1:2" x14ac:dyDescent="0.25">
      <c r="A4944" s="2">
        <v>4939</v>
      </c>
      <c r="B4944" s="11" t="str">
        <f>"00230680"</f>
        <v>00230680</v>
      </c>
    </row>
    <row r="4945" spans="1:2" x14ac:dyDescent="0.25">
      <c r="A4945" s="2">
        <v>4940</v>
      </c>
      <c r="B4945" s="11" t="str">
        <f>"00230722"</f>
        <v>00230722</v>
      </c>
    </row>
    <row r="4946" spans="1:2" x14ac:dyDescent="0.25">
      <c r="A4946" s="2">
        <v>4941</v>
      </c>
      <c r="B4946" s="11" t="str">
        <f>"00230782"</f>
        <v>00230782</v>
      </c>
    </row>
    <row r="4947" spans="1:2" x14ac:dyDescent="0.25">
      <c r="A4947" s="2">
        <v>4942</v>
      </c>
      <c r="B4947" s="11" t="str">
        <f>"00230785"</f>
        <v>00230785</v>
      </c>
    </row>
    <row r="4948" spans="1:2" x14ac:dyDescent="0.25">
      <c r="A4948" s="2">
        <v>4943</v>
      </c>
      <c r="B4948" s="11" t="str">
        <f>"00230824"</f>
        <v>00230824</v>
      </c>
    </row>
    <row r="4949" spans="1:2" x14ac:dyDescent="0.25">
      <c r="A4949" s="2">
        <v>4944</v>
      </c>
      <c r="B4949" s="11" t="str">
        <f>"00230895"</f>
        <v>00230895</v>
      </c>
    </row>
    <row r="4950" spans="1:2" x14ac:dyDescent="0.25">
      <c r="A4950" s="2">
        <v>4945</v>
      </c>
      <c r="B4950" s="11" t="str">
        <f>"00230897"</f>
        <v>00230897</v>
      </c>
    </row>
    <row r="4951" spans="1:2" x14ac:dyDescent="0.25">
      <c r="A4951" s="2">
        <v>4946</v>
      </c>
      <c r="B4951" s="11" t="str">
        <f>"00230946"</f>
        <v>00230946</v>
      </c>
    </row>
    <row r="4952" spans="1:2" x14ac:dyDescent="0.25">
      <c r="A4952" s="2">
        <v>4947</v>
      </c>
      <c r="B4952" s="11" t="str">
        <f>"00230950"</f>
        <v>00230950</v>
      </c>
    </row>
    <row r="4953" spans="1:2" x14ac:dyDescent="0.25">
      <c r="A4953" s="2">
        <v>4948</v>
      </c>
      <c r="B4953" s="11" t="str">
        <f>"00230979"</f>
        <v>00230979</v>
      </c>
    </row>
    <row r="4954" spans="1:2" x14ac:dyDescent="0.25">
      <c r="A4954" s="2">
        <v>4949</v>
      </c>
      <c r="B4954" s="11" t="str">
        <f>"00231045"</f>
        <v>00231045</v>
      </c>
    </row>
    <row r="4955" spans="1:2" x14ac:dyDescent="0.25">
      <c r="A4955" s="2">
        <v>4950</v>
      </c>
      <c r="B4955" s="11" t="str">
        <f>"00231092"</f>
        <v>00231092</v>
      </c>
    </row>
    <row r="4956" spans="1:2" x14ac:dyDescent="0.25">
      <c r="A4956" s="2">
        <v>4951</v>
      </c>
      <c r="B4956" s="11" t="str">
        <f>"00231102"</f>
        <v>00231102</v>
      </c>
    </row>
    <row r="4957" spans="1:2" x14ac:dyDescent="0.25">
      <c r="A4957" s="2">
        <v>4952</v>
      </c>
      <c r="B4957" s="11" t="str">
        <f>"00231147"</f>
        <v>00231147</v>
      </c>
    </row>
    <row r="4958" spans="1:2" x14ac:dyDescent="0.25">
      <c r="A4958" s="2">
        <v>4953</v>
      </c>
      <c r="B4958" s="11" t="str">
        <f>"00231159"</f>
        <v>00231159</v>
      </c>
    </row>
    <row r="4959" spans="1:2" x14ac:dyDescent="0.25">
      <c r="A4959" s="2">
        <v>4954</v>
      </c>
      <c r="B4959" s="11" t="str">
        <f>"00231328"</f>
        <v>00231328</v>
      </c>
    </row>
    <row r="4960" spans="1:2" x14ac:dyDescent="0.25">
      <c r="A4960" s="2">
        <v>4955</v>
      </c>
      <c r="B4960" s="11" t="str">
        <f>"00231363"</f>
        <v>00231363</v>
      </c>
    </row>
    <row r="4961" spans="1:2" x14ac:dyDescent="0.25">
      <c r="A4961" s="2">
        <v>4956</v>
      </c>
      <c r="B4961" s="11" t="str">
        <f>"00231381"</f>
        <v>00231381</v>
      </c>
    </row>
    <row r="4962" spans="1:2" x14ac:dyDescent="0.25">
      <c r="A4962" s="2">
        <v>4957</v>
      </c>
      <c r="B4962" s="11" t="str">
        <f>"00231426"</f>
        <v>00231426</v>
      </c>
    </row>
    <row r="4963" spans="1:2" x14ac:dyDescent="0.25">
      <c r="A4963" s="2">
        <v>4958</v>
      </c>
      <c r="B4963" s="11" t="str">
        <f>"00231428"</f>
        <v>00231428</v>
      </c>
    </row>
    <row r="4964" spans="1:2" x14ac:dyDescent="0.25">
      <c r="A4964" s="2">
        <v>4959</v>
      </c>
      <c r="B4964" s="11" t="str">
        <f>"00231456"</f>
        <v>00231456</v>
      </c>
    </row>
    <row r="4965" spans="1:2" x14ac:dyDescent="0.25">
      <c r="A4965" s="2">
        <v>4960</v>
      </c>
      <c r="B4965" s="11" t="str">
        <f>"00231509"</f>
        <v>00231509</v>
      </c>
    </row>
    <row r="4966" spans="1:2" x14ac:dyDescent="0.25">
      <c r="A4966" s="2">
        <v>4961</v>
      </c>
      <c r="B4966" s="11" t="str">
        <f>"00231529"</f>
        <v>00231529</v>
      </c>
    </row>
    <row r="4967" spans="1:2" x14ac:dyDescent="0.25">
      <c r="A4967" s="2">
        <v>4962</v>
      </c>
      <c r="B4967" s="11" t="str">
        <f>"00231608"</f>
        <v>00231608</v>
      </c>
    </row>
    <row r="4968" spans="1:2" x14ac:dyDescent="0.25">
      <c r="A4968" s="2">
        <v>4963</v>
      </c>
      <c r="B4968" s="11" t="str">
        <f>"00231667"</f>
        <v>00231667</v>
      </c>
    </row>
    <row r="4969" spans="1:2" x14ac:dyDescent="0.25">
      <c r="A4969" s="2">
        <v>4964</v>
      </c>
      <c r="B4969" s="11" t="str">
        <f>"00231688"</f>
        <v>00231688</v>
      </c>
    </row>
    <row r="4970" spans="1:2" x14ac:dyDescent="0.25">
      <c r="A4970" s="2">
        <v>4965</v>
      </c>
      <c r="B4970" s="11" t="str">
        <f>"00231718"</f>
        <v>00231718</v>
      </c>
    </row>
    <row r="4971" spans="1:2" x14ac:dyDescent="0.25">
      <c r="A4971" s="2">
        <v>4966</v>
      </c>
      <c r="B4971" s="11" t="str">
        <f>"00231789"</f>
        <v>00231789</v>
      </c>
    </row>
    <row r="4972" spans="1:2" x14ac:dyDescent="0.25">
      <c r="A4972" s="2">
        <v>4967</v>
      </c>
      <c r="B4972" s="11" t="str">
        <f>"00231808"</f>
        <v>00231808</v>
      </c>
    </row>
    <row r="4973" spans="1:2" x14ac:dyDescent="0.25">
      <c r="A4973" s="2">
        <v>4968</v>
      </c>
      <c r="B4973" s="11" t="str">
        <f>"00231815"</f>
        <v>00231815</v>
      </c>
    </row>
    <row r="4974" spans="1:2" x14ac:dyDescent="0.25">
      <c r="A4974" s="2">
        <v>4969</v>
      </c>
      <c r="B4974" s="11" t="str">
        <f>"00231872"</f>
        <v>00231872</v>
      </c>
    </row>
    <row r="4975" spans="1:2" x14ac:dyDescent="0.25">
      <c r="A4975" s="2">
        <v>4970</v>
      </c>
      <c r="B4975" s="11" t="str">
        <f>"00231874"</f>
        <v>00231874</v>
      </c>
    </row>
    <row r="4976" spans="1:2" x14ac:dyDescent="0.25">
      <c r="A4976" s="2">
        <v>4971</v>
      </c>
      <c r="B4976" s="11" t="str">
        <f>"00231938"</f>
        <v>00231938</v>
      </c>
    </row>
    <row r="4977" spans="1:2" x14ac:dyDescent="0.25">
      <c r="A4977" s="2">
        <v>4972</v>
      </c>
      <c r="B4977" s="11" t="str">
        <f>"00232048"</f>
        <v>00232048</v>
      </c>
    </row>
    <row r="4978" spans="1:2" x14ac:dyDescent="0.25">
      <c r="A4978" s="2">
        <v>4973</v>
      </c>
      <c r="B4978" s="11" t="str">
        <f>"00232053"</f>
        <v>00232053</v>
      </c>
    </row>
    <row r="4979" spans="1:2" x14ac:dyDescent="0.25">
      <c r="A4979" s="2">
        <v>4974</v>
      </c>
      <c r="B4979" s="11" t="str">
        <f>"00232091"</f>
        <v>00232091</v>
      </c>
    </row>
    <row r="4980" spans="1:2" x14ac:dyDescent="0.25">
      <c r="A4980" s="2">
        <v>4975</v>
      </c>
      <c r="B4980" s="11" t="str">
        <f>"00232659"</f>
        <v>00232659</v>
      </c>
    </row>
    <row r="4981" spans="1:2" x14ac:dyDescent="0.25">
      <c r="A4981" s="2">
        <v>4976</v>
      </c>
      <c r="B4981" s="11" t="str">
        <f>"00232863"</f>
        <v>00232863</v>
      </c>
    </row>
    <row r="4982" spans="1:2" x14ac:dyDescent="0.25">
      <c r="A4982" s="2">
        <v>4977</v>
      </c>
      <c r="B4982" s="11" t="str">
        <f>"00232953"</f>
        <v>00232953</v>
      </c>
    </row>
    <row r="4983" spans="1:2" x14ac:dyDescent="0.25">
      <c r="A4983" s="2">
        <v>4978</v>
      </c>
      <c r="B4983" s="11" t="str">
        <f>"00232979"</f>
        <v>00232979</v>
      </c>
    </row>
    <row r="4984" spans="1:2" x14ac:dyDescent="0.25">
      <c r="A4984" s="2">
        <v>4979</v>
      </c>
      <c r="B4984" s="11" t="str">
        <f>"00233180"</f>
        <v>00233180</v>
      </c>
    </row>
    <row r="4985" spans="1:2" x14ac:dyDescent="0.25">
      <c r="A4985" s="2">
        <v>4980</v>
      </c>
      <c r="B4985" s="11" t="str">
        <f>"00233250"</f>
        <v>00233250</v>
      </c>
    </row>
    <row r="4986" spans="1:2" x14ac:dyDescent="0.25">
      <c r="A4986" s="2">
        <v>4981</v>
      </c>
      <c r="B4986" s="11" t="str">
        <f>"00233339"</f>
        <v>00233339</v>
      </c>
    </row>
    <row r="4987" spans="1:2" x14ac:dyDescent="0.25">
      <c r="A4987" s="2">
        <v>4982</v>
      </c>
      <c r="B4987" s="11" t="str">
        <f>"00233399"</f>
        <v>00233399</v>
      </c>
    </row>
    <row r="4988" spans="1:2" x14ac:dyDescent="0.25">
      <c r="A4988" s="2">
        <v>4983</v>
      </c>
      <c r="B4988" s="11" t="str">
        <f>"00233431"</f>
        <v>00233431</v>
      </c>
    </row>
    <row r="4989" spans="1:2" x14ac:dyDescent="0.25">
      <c r="A4989" s="2">
        <v>4984</v>
      </c>
      <c r="B4989" s="11" t="str">
        <f>"00233469"</f>
        <v>00233469</v>
      </c>
    </row>
    <row r="4990" spans="1:2" x14ac:dyDescent="0.25">
      <c r="A4990" s="2">
        <v>4985</v>
      </c>
      <c r="B4990" s="11" t="str">
        <f>"00233595"</f>
        <v>00233595</v>
      </c>
    </row>
    <row r="4991" spans="1:2" x14ac:dyDescent="0.25">
      <c r="A4991" s="2">
        <v>4986</v>
      </c>
      <c r="B4991" s="11" t="str">
        <f>"00233621"</f>
        <v>00233621</v>
      </c>
    </row>
    <row r="4992" spans="1:2" x14ac:dyDescent="0.25">
      <c r="A4992" s="2">
        <v>4987</v>
      </c>
      <c r="B4992" s="11" t="str">
        <f>"00233738"</f>
        <v>00233738</v>
      </c>
    </row>
    <row r="4993" spans="1:2" x14ac:dyDescent="0.25">
      <c r="A4993" s="2">
        <v>4988</v>
      </c>
      <c r="B4993" s="11" t="str">
        <f>"00233778"</f>
        <v>00233778</v>
      </c>
    </row>
    <row r="4994" spans="1:2" x14ac:dyDescent="0.25">
      <c r="A4994" s="2">
        <v>4989</v>
      </c>
      <c r="B4994" s="11" t="str">
        <f>"00233873"</f>
        <v>00233873</v>
      </c>
    </row>
    <row r="4995" spans="1:2" x14ac:dyDescent="0.25">
      <c r="A4995" s="2">
        <v>4990</v>
      </c>
      <c r="B4995" s="11" t="str">
        <f>"00233952"</f>
        <v>00233952</v>
      </c>
    </row>
    <row r="4996" spans="1:2" x14ac:dyDescent="0.25">
      <c r="A4996" s="2">
        <v>4991</v>
      </c>
      <c r="B4996" s="11" t="str">
        <f>"00233998"</f>
        <v>00233998</v>
      </c>
    </row>
    <row r="4997" spans="1:2" x14ac:dyDescent="0.25">
      <c r="A4997" s="2">
        <v>4992</v>
      </c>
      <c r="B4997" s="11" t="str">
        <f>"00234010"</f>
        <v>00234010</v>
      </c>
    </row>
    <row r="4998" spans="1:2" x14ac:dyDescent="0.25">
      <c r="A4998" s="2">
        <v>4993</v>
      </c>
      <c r="B4998" s="11" t="str">
        <f>"00234037"</f>
        <v>00234037</v>
      </c>
    </row>
    <row r="4999" spans="1:2" x14ac:dyDescent="0.25">
      <c r="A4999" s="2">
        <v>4994</v>
      </c>
      <c r="B4999" s="11" t="str">
        <f>"00234042"</f>
        <v>00234042</v>
      </c>
    </row>
    <row r="5000" spans="1:2" x14ac:dyDescent="0.25">
      <c r="A5000" s="2">
        <v>4995</v>
      </c>
      <c r="B5000" s="11" t="str">
        <f>"00234251"</f>
        <v>00234251</v>
      </c>
    </row>
    <row r="5001" spans="1:2" x14ac:dyDescent="0.25">
      <c r="A5001" s="2">
        <v>4996</v>
      </c>
      <c r="B5001" s="11" t="str">
        <f>"00234411"</f>
        <v>00234411</v>
      </c>
    </row>
    <row r="5002" spans="1:2" x14ac:dyDescent="0.25">
      <c r="A5002" s="2">
        <v>4997</v>
      </c>
      <c r="B5002" s="11" t="str">
        <f>"00234416"</f>
        <v>00234416</v>
      </c>
    </row>
    <row r="5003" spans="1:2" x14ac:dyDescent="0.25">
      <c r="A5003" s="2">
        <v>4998</v>
      </c>
      <c r="B5003" s="11" t="str">
        <f>"00234422"</f>
        <v>00234422</v>
      </c>
    </row>
    <row r="5004" spans="1:2" x14ac:dyDescent="0.25">
      <c r="A5004" s="2">
        <v>4999</v>
      </c>
      <c r="B5004" s="11" t="str">
        <f>"00234450"</f>
        <v>00234450</v>
      </c>
    </row>
    <row r="5005" spans="1:2" x14ac:dyDescent="0.25">
      <c r="A5005" s="2">
        <v>5000</v>
      </c>
      <c r="B5005" s="11" t="str">
        <f>"00234493"</f>
        <v>00234493</v>
      </c>
    </row>
    <row r="5006" spans="1:2" x14ac:dyDescent="0.25">
      <c r="A5006" s="2">
        <v>5001</v>
      </c>
      <c r="B5006" s="11" t="str">
        <f>"00234529"</f>
        <v>00234529</v>
      </c>
    </row>
    <row r="5007" spans="1:2" x14ac:dyDescent="0.25">
      <c r="A5007" s="2">
        <v>5002</v>
      </c>
      <c r="B5007" s="11" t="str">
        <f>"00234739"</f>
        <v>00234739</v>
      </c>
    </row>
    <row r="5008" spans="1:2" x14ac:dyDescent="0.25">
      <c r="A5008" s="2">
        <v>5003</v>
      </c>
      <c r="B5008" s="11" t="str">
        <f>"00234753"</f>
        <v>00234753</v>
      </c>
    </row>
    <row r="5009" spans="1:2" x14ac:dyDescent="0.25">
      <c r="A5009" s="2">
        <v>5004</v>
      </c>
      <c r="B5009" s="11" t="str">
        <f>"00234912"</f>
        <v>00234912</v>
      </c>
    </row>
    <row r="5010" spans="1:2" x14ac:dyDescent="0.25">
      <c r="A5010" s="2">
        <v>5005</v>
      </c>
      <c r="B5010" s="11" t="str">
        <f>"00235017"</f>
        <v>00235017</v>
      </c>
    </row>
    <row r="5011" spans="1:2" x14ac:dyDescent="0.25">
      <c r="A5011" s="2">
        <v>5006</v>
      </c>
      <c r="B5011" s="11" t="str">
        <f>"00235096"</f>
        <v>00235096</v>
      </c>
    </row>
    <row r="5012" spans="1:2" x14ac:dyDescent="0.25">
      <c r="A5012" s="2">
        <v>5007</v>
      </c>
      <c r="B5012" s="11" t="str">
        <f>"00235102"</f>
        <v>00235102</v>
      </c>
    </row>
    <row r="5013" spans="1:2" x14ac:dyDescent="0.25">
      <c r="A5013" s="2">
        <v>5008</v>
      </c>
      <c r="B5013" s="11" t="str">
        <f>"00235175"</f>
        <v>00235175</v>
      </c>
    </row>
    <row r="5014" spans="1:2" x14ac:dyDescent="0.25">
      <c r="A5014" s="2">
        <v>5009</v>
      </c>
      <c r="B5014" s="11" t="str">
        <f>"00235289"</f>
        <v>00235289</v>
      </c>
    </row>
    <row r="5015" spans="1:2" x14ac:dyDescent="0.25">
      <c r="A5015" s="2">
        <v>5010</v>
      </c>
      <c r="B5015" s="11" t="str">
        <f>"00235432"</f>
        <v>00235432</v>
      </c>
    </row>
    <row r="5016" spans="1:2" x14ac:dyDescent="0.25">
      <c r="A5016" s="2">
        <v>5011</v>
      </c>
      <c r="B5016" s="11" t="str">
        <f>"00235744"</f>
        <v>00235744</v>
      </c>
    </row>
    <row r="5017" spans="1:2" x14ac:dyDescent="0.25">
      <c r="A5017" s="2">
        <v>5012</v>
      </c>
      <c r="B5017" s="11" t="str">
        <f>"00235823"</f>
        <v>00235823</v>
      </c>
    </row>
    <row r="5018" spans="1:2" x14ac:dyDescent="0.25">
      <c r="A5018" s="2">
        <v>5013</v>
      </c>
      <c r="B5018" s="11" t="str">
        <f>"00236011"</f>
        <v>00236011</v>
      </c>
    </row>
    <row r="5019" spans="1:2" x14ac:dyDescent="0.25">
      <c r="A5019" s="2">
        <v>5014</v>
      </c>
      <c r="B5019" s="11" t="str">
        <f>"00236045"</f>
        <v>00236045</v>
      </c>
    </row>
    <row r="5020" spans="1:2" x14ac:dyDescent="0.25">
      <c r="A5020" s="2">
        <v>5015</v>
      </c>
      <c r="B5020" s="11" t="str">
        <f>"00236273"</f>
        <v>00236273</v>
      </c>
    </row>
    <row r="5021" spans="1:2" x14ac:dyDescent="0.25">
      <c r="A5021" s="2">
        <v>5016</v>
      </c>
      <c r="B5021" s="11" t="str">
        <f>"00236475"</f>
        <v>00236475</v>
      </c>
    </row>
    <row r="5022" spans="1:2" x14ac:dyDescent="0.25">
      <c r="A5022" s="2">
        <v>5017</v>
      </c>
      <c r="B5022" s="11" t="str">
        <f>"00236565"</f>
        <v>00236565</v>
      </c>
    </row>
    <row r="5023" spans="1:2" x14ac:dyDescent="0.25">
      <c r="A5023" s="2">
        <v>5018</v>
      </c>
      <c r="B5023" s="11" t="str">
        <f>"00236640"</f>
        <v>00236640</v>
      </c>
    </row>
    <row r="5024" spans="1:2" x14ac:dyDescent="0.25">
      <c r="A5024" s="2">
        <v>5019</v>
      </c>
      <c r="B5024" s="11" t="str">
        <f>"00236798"</f>
        <v>00236798</v>
      </c>
    </row>
    <row r="5025" spans="1:2" x14ac:dyDescent="0.25">
      <c r="A5025" s="2">
        <v>5020</v>
      </c>
      <c r="B5025" s="11" t="str">
        <f>"00236807"</f>
        <v>00236807</v>
      </c>
    </row>
    <row r="5026" spans="1:2" x14ac:dyDescent="0.25">
      <c r="A5026" s="2">
        <v>5021</v>
      </c>
      <c r="B5026" s="11" t="str">
        <f>"00236858"</f>
        <v>00236858</v>
      </c>
    </row>
    <row r="5027" spans="1:2" x14ac:dyDescent="0.25">
      <c r="A5027" s="2">
        <v>5022</v>
      </c>
      <c r="B5027" s="11" t="str">
        <f>"00236868"</f>
        <v>00236868</v>
      </c>
    </row>
    <row r="5028" spans="1:2" x14ac:dyDescent="0.25">
      <c r="A5028" s="2">
        <v>5023</v>
      </c>
      <c r="B5028" s="11" t="str">
        <f>"00236886"</f>
        <v>00236886</v>
      </c>
    </row>
    <row r="5029" spans="1:2" x14ac:dyDescent="0.25">
      <c r="A5029" s="2">
        <v>5024</v>
      </c>
      <c r="B5029" s="11" t="str">
        <f>"00237014"</f>
        <v>00237014</v>
      </c>
    </row>
    <row r="5030" spans="1:2" x14ac:dyDescent="0.25">
      <c r="A5030" s="2">
        <v>5025</v>
      </c>
      <c r="B5030" s="11" t="str">
        <f>"00237024"</f>
        <v>00237024</v>
      </c>
    </row>
    <row r="5031" spans="1:2" x14ac:dyDescent="0.25">
      <c r="A5031" s="2">
        <v>5026</v>
      </c>
      <c r="B5031" s="11" t="str">
        <f>"00237144"</f>
        <v>00237144</v>
      </c>
    </row>
    <row r="5032" spans="1:2" x14ac:dyDescent="0.25">
      <c r="A5032" s="2">
        <v>5027</v>
      </c>
      <c r="B5032" s="11" t="str">
        <f>"00237161"</f>
        <v>00237161</v>
      </c>
    </row>
    <row r="5033" spans="1:2" x14ac:dyDescent="0.25">
      <c r="A5033" s="2">
        <v>5028</v>
      </c>
      <c r="B5033" s="11" t="str">
        <f>"00237211"</f>
        <v>00237211</v>
      </c>
    </row>
    <row r="5034" spans="1:2" x14ac:dyDescent="0.25">
      <c r="A5034" s="2">
        <v>5029</v>
      </c>
      <c r="B5034" s="11" t="str">
        <f>"00237223"</f>
        <v>00237223</v>
      </c>
    </row>
    <row r="5035" spans="1:2" x14ac:dyDescent="0.25">
      <c r="A5035" s="2">
        <v>5030</v>
      </c>
      <c r="B5035" s="11" t="str">
        <f>"00237313"</f>
        <v>00237313</v>
      </c>
    </row>
    <row r="5036" spans="1:2" x14ac:dyDescent="0.25">
      <c r="A5036" s="2">
        <v>5031</v>
      </c>
      <c r="B5036" s="11" t="str">
        <f>"00237386"</f>
        <v>00237386</v>
      </c>
    </row>
    <row r="5037" spans="1:2" x14ac:dyDescent="0.25">
      <c r="A5037" s="2">
        <v>5032</v>
      </c>
      <c r="B5037" s="11" t="str">
        <f>"00237421"</f>
        <v>00237421</v>
      </c>
    </row>
    <row r="5038" spans="1:2" x14ac:dyDescent="0.25">
      <c r="A5038" s="2">
        <v>5033</v>
      </c>
      <c r="B5038" s="11" t="str">
        <f>"00237440"</f>
        <v>00237440</v>
      </c>
    </row>
    <row r="5039" spans="1:2" x14ac:dyDescent="0.25">
      <c r="A5039" s="2">
        <v>5034</v>
      </c>
      <c r="B5039" s="11" t="str">
        <f>"00237505"</f>
        <v>00237505</v>
      </c>
    </row>
    <row r="5040" spans="1:2" x14ac:dyDescent="0.25">
      <c r="A5040" s="2">
        <v>5035</v>
      </c>
      <c r="B5040" s="11" t="str">
        <f>"00237599"</f>
        <v>00237599</v>
      </c>
    </row>
    <row r="5041" spans="1:2" x14ac:dyDescent="0.25">
      <c r="A5041" s="2">
        <v>5036</v>
      </c>
      <c r="B5041" s="11" t="str">
        <f>"00237654"</f>
        <v>00237654</v>
      </c>
    </row>
    <row r="5042" spans="1:2" x14ac:dyDescent="0.25">
      <c r="A5042" s="2">
        <v>5037</v>
      </c>
      <c r="B5042" s="11" t="str">
        <f>"00237660"</f>
        <v>00237660</v>
      </c>
    </row>
    <row r="5043" spans="1:2" x14ac:dyDescent="0.25">
      <c r="A5043" s="2">
        <v>5038</v>
      </c>
      <c r="B5043" s="11" t="str">
        <f>"00237668"</f>
        <v>00237668</v>
      </c>
    </row>
    <row r="5044" spans="1:2" x14ac:dyDescent="0.25">
      <c r="A5044" s="2">
        <v>5039</v>
      </c>
      <c r="B5044" s="11" t="str">
        <f>"00237693"</f>
        <v>00237693</v>
      </c>
    </row>
    <row r="5045" spans="1:2" x14ac:dyDescent="0.25">
      <c r="A5045" s="2">
        <v>5040</v>
      </c>
      <c r="B5045" s="11" t="str">
        <f>"00237724"</f>
        <v>00237724</v>
      </c>
    </row>
    <row r="5046" spans="1:2" x14ac:dyDescent="0.25">
      <c r="A5046" s="2">
        <v>5041</v>
      </c>
      <c r="B5046" s="11" t="str">
        <f>"00237769"</f>
        <v>00237769</v>
      </c>
    </row>
    <row r="5047" spans="1:2" x14ac:dyDescent="0.25">
      <c r="A5047" s="2">
        <v>5042</v>
      </c>
      <c r="B5047" s="11" t="str">
        <f>"00237800"</f>
        <v>00237800</v>
      </c>
    </row>
    <row r="5048" spans="1:2" x14ac:dyDescent="0.25">
      <c r="A5048" s="2">
        <v>5043</v>
      </c>
      <c r="B5048" s="11" t="str">
        <f>"00237820"</f>
        <v>00237820</v>
      </c>
    </row>
    <row r="5049" spans="1:2" x14ac:dyDescent="0.25">
      <c r="A5049" s="2">
        <v>5044</v>
      </c>
      <c r="B5049" s="11" t="str">
        <f>"00237871"</f>
        <v>00237871</v>
      </c>
    </row>
    <row r="5050" spans="1:2" x14ac:dyDescent="0.25">
      <c r="A5050" s="2">
        <v>5045</v>
      </c>
      <c r="B5050" s="11" t="str">
        <f>"00237892"</f>
        <v>00237892</v>
      </c>
    </row>
    <row r="5051" spans="1:2" x14ac:dyDescent="0.25">
      <c r="A5051" s="2">
        <v>5046</v>
      </c>
      <c r="B5051" s="11" t="str">
        <f>"00237938"</f>
        <v>00237938</v>
      </c>
    </row>
    <row r="5052" spans="1:2" x14ac:dyDescent="0.25">
      <c r="A5052" s="2">
        <v>5047</v>
      </c>
      <c r="B5052" s="11" t="str">
        <f>"00237957"</f>
        <v>00237957</v>
      </c>
    </row>
    <row r="5053" spans="1:2" x14ac:dyDescent="0.25">
      <c r="A5053" s="2">
        <v>5048</v>
      </c>
      <c r="B5053" s="11" t="str">
        <f>"00237969"</f>
        <v>00237969</v>
      </c>
    </row>
    <row r="5054" spans="1:2" x14ac:dyDescent="0.25">
      <c r="A5054" s="2">
        <v>5049</v>
      </c>
      <c r="B5054" s="11" t="str">
        <f>"00237971"</f>
        <v>00237971</v>
      </c>
    </row>
    <row r="5055" spans="1:2" x14ac:dyDescent="0.25">
      <c r="A5055" s="2">
        <v>5050</v>
      </c>
      <c r="B5055" s="11" t="str">
        <f>"00238006"</f>
        <v>00238006</v>
      </c>
    </row>
    <row r="5056" spans="1:2" x14ac:dyDescent="0.25">
      <c r="A5056" s="2">
        <v>5051</v>
      </c>
      <c r="B5056" s="11" t="str">
        <f>"00238121"</f>
        <v>00238121</v>
      </c>
    </row>
    <row r="5057" spans="1:2" x14ac:dyDescent="0.25">
      <c r="A5057" s="2">
        <v>5052</v>
      </c>
      <c r="B5057" s="11" t="str">
        <f>"00238141"</f>
        <v>00238141</v>
      </c>
    </row>
    <row r="5058" spans="1:2" x14ac:dyDescent="0.25">
      <c r="A5058" s="2">
        <v>5053</v>
      </c>
      <c r="B5058" s="11" t="str">
        <f>"00238149"</f>
        <v>00238149</v>
      </c>
    </row>
    <row r="5059" spans="1:2" x14ac:dyDescent="0.25">
      <c r="A5059" s="2">
        <v>5054</v>
      </c>
      <c r="B5059" s="11" t="str">
        <f>"00238163"</f>
        <v>00238163</v>
      </c>
    </row>
    <row r="5060" spans="1:2" x14ac:dyDescent="0.25">
      <c r="A5060" s="2">
        <v>5055</v>
      </c>
      <c r="B5060" s="11" t="str">
        <f>"00238172"</f>
        <v>00238172</v>
      </c>
    </row>
    <row r="5061" spans="1:2" x14ac:dyDescent="0.25">
      <c r="A5061" s="2">
        <v>5056</v>
      </c>
      <c r="B5061" s="11" t="str">
        <f>"00238181"</f>
        <v>00238181</v>
      </c>
    </row>
    <row r="5062" spans="1:2" x14ac:dyDescent="0.25">
      <c r="A5062" s="2">
        <v>5057</v>
      </c>
      <c r="B5062" s="11" t="str">
        <f>"00238282"</f>
        <v>00238282</v>
      </c>
    </row>
    <row r="5063" spans="1:2" x14ac:dyDescent="0.25">
      <c r="A5063" s="2">
        <v>5058</v>
      </c>
      <c r="B5063" s="11" t="str">
        <f>"00238285"</f>
        <v>00238285</v>
      </c>
    </row>
    <row r="5064" spans="1:2" x14ac:dyDescent="0.25">
      <c r="A5064" s="2">
        <v>5059</v>
      </c>
      <c r="B5064" s="11" t="str">
        <f>"00238290"</f>
        <v>00238290</v>
      </c>
    </row>
    <row r="5065" spans="1:2" x14ac:dyDescent="0.25">
      <c r="A5065" s="2">
        <v>5060</v>
      </c>
      <c r="B5065" s="11" t="str">
        <f>"00238395"</f>
        <v>00238395</v>
      </c>
    </row>
    <row r="5066" spans="1:2" x14ac:dyDescent="0.25">
      <c r="A5066" s="2">
        <v>5061</v>
      </c>
      <c r="B5066" s="11" t="str">
        <f>"00238428"</f>
        <v>00238428</v>
      </c>
    </row>
    <row r="5067" spans="1:2" x14ac:dyDescent="0.25">
      <c r="A5067" s="2">
        <v>5062</v>
      </c>
      <c r="B5067" s="11" t="str">
        <f>"00238497"</f>
        <v>00238497</v>
      </c>
    </row>
    <row r="5068" spans="1:2" x14ac:dyDescent="0.25">
      <c r="A5068" s="2">
        <v>5063</v>
      </c>
      <c r="B5068" s="11" t="str">
        <f>"00238569"</f>
        <v>00238569</v>
      </c>
    </row>
    <row r="5069" spans="1:2" x14ac:dyDescent="0.25">
      <c r="A5069" s="2">
        <v>5064</v>
      </c>
      <c r="B5069" s="11" t="str">
        <f>"00238592"</f>
        <v>00238592</v>
      </c>
    </row>
    <row r="5070" spans="1:2" x14ac:dyDescent="0.25">
      <c r="A5070" s="2">
        <v>5065</v>
      </c>
      <c r="B5070" s="11" t="str">
        <f>"00238629"</f>
        <v>00238629</v>
      </c>
    </row>
    <row r="5071" spans="1:2" x14ac:dyDescent="0.25">
      <c r="A5071" s="2">
        <v>5066</v>
      </c>
      <c r="B5071" s="11" t="str">
        <f>"00238695"</f>
        <v>00238695</v>
      </c>
    </row>
    <row r="5072" spans="1:2" x14ac:dyDescent="0.25">
      <c r="A5072" s="2">
        <v>5067</v>
      </c>
      <c r="B5072" s="11" t="str">
        <f>"00238751"</f>
        <v>00238751</v>
      </c>
    </row>
    <row r="5073" spans="1:2" x14ac:dyDescent="0.25">
      <c r="A5073" s="2">
        <v>5068</v>
      </c>
      <c r="B5073" s="11" t="str">
        <f>"00238769"</f>
        <v>00238769</v>
      </c>
    </row>
    <row r="5074" spans="1:2" x14ac:dyDescent="0.25">
      <c r="A5074" s="2">
        <v>5069</v>
      </c>
      <c r="B5074" s="11" t="str">
        <f>"00238822"</f>
        <v>00238822</v>
      </c>
    </row>
    <row r="5075" spans="1:2" x14ac:dyDescent="0.25">
      <c r="A5075" s="2">
        <v>5070</v>
      </c>
      <c r="B5075" s="11" t="str">
        <f>"00238843"</f>
        <v>00238843</v>
      </c>
    </row>
    <row r="5076" spans="1:2" x14ac:dyDescent="0.25">
      <c r="A5076" s="2">
        <v>5071</v>
      </c>
      <c r="B5076" s="11" t="str">
        <f>"00238858"</f>
        <v>00238858</v>
      </c>
    </row>
    <row r="5077" spans="1:2" x14ac:dyDescent="0.25">
      <c r="A5077" s="2">
        <v>5072</v>
      </c>
      <c r="B5077" s="11" t="str">
        <f>"00239010"</f>
        <v>00239010</v>
      </c>
    </row>
    <row r="5078" spans="1:2" x14ac:dyDescent="0.25">
      <c r="A5078" s="2">
        <v>5073</v>
      </c>
      <c r="B5078" s="11" t="str">
        <f>"00239119"</f>
        <v>00239119</v>
      </c>
    </row>
    <row r="5079" spans="1:2" x14ac:dyDescent="0.25">
      <c r="A5079" s="2">
        <v>5074</v>
      </c>
      <c r="B5079" s="11" t="str">
        <f>"00239124"</f>
        <v>00239124</v>
      </c>
    </row>
    <row r="5080" spans="1:2" x14ac:dyDescent="0.25">
      <c r="A5080" s="2">
        <v>5075</v>
      </c>
      <c r="B5080" s="11" t="str">
        <f>"00239148"</f>
        <v>00239148</v>
      </c>
    </row>
    <row r="5081" spans="1:2" x14ac:dyDescent="0.25">
      <c r="A5081" s="2">
        <v>5076</v>
      </c>
      <c r="B5081" s="11" t="str">
        <f>"00239256"</f>
        <v>00239256</v>
      </c>
    </row>
    <row r="5082" spans="1:2" x14ac:dyDescent="0.25">
      <c r="A5082" s="2">
        <v>5077</v>
      </c>
      <c r="B5082" s="11" t="str">
        <f>"00239332"</f>
        <v>00239332</v>
      </c>
    </row>
    <row r="5083" spans="1:2" x14ac:dyDescent="0.25">
      <c r="A5083" s="2">
        <v>5078</v>
      </c>
      <c r="B5083" s="11" t="str">
        <f>"00239387"</f>
        <v>00239387</v>
      </c>
    </row>
    <row r="5084" spans="1:2" x14ac:dyDescent="0.25">
      <c r="A5084" s="2">
        <v>5079</v>
      </c>
      <c r="B5084" s="11" t="str">
        <f>"00239480"</f>
        <v>00239480</v>
      </c>
    </row>
    <row r="5085" spans="1:2" x14ac:dyDescent="0.25">
      <c r="A5085" s="2">
        <v>5080</v>
      </c>
      <c r="B5085" s="11" t="str">
        <f>"00239481"</f>
        <v>00239481</v>
      </c>
    </row>
    <row r="5086" spans="1:2" x14ac:dyDescent="0.25">
      <c r="A5086" s="2">
        <v>5081</v>
      </c>
      <c r="B5086" s="11" t="str">
        <f>"00239518"</f>
        <v>00239518</v>
      </c>
    </row>
    <row r="5087" spans="1:2" x14ac:dyDescent="0.25">
      <c r="A5087" s="2">
        <v>5082</v>
      </c>
      <c r="B5087" s="11" t="str">
        <f>"00239576"</f>
        <v>00239576</v>
      </c>
    </row>
    <row r="5088" spans="1:2" x14ac:dyDescent="0.25">
      <c r="A5088" s="2">
        <v>5083</v>
      </c>
      <c r="B5088" s="11" t="str">
        <f>"00239607"</f>
        <v>00239607</v>
      </c>
    </row>
    <row r="5089" spans="1:2" x14ac:dyDescent="0.25">
      <c r="A5089" s="2">
        <v>5084</v>
      </c>
      <c r="B5089" s="11" t="str">
        <f>"00239876"</f>
        <v>00239876</v>
      </c>
    </row>
    <row r="5090" spans="1:2" x14ac:dyDescent="0.25">
      <c r="A5090" s="2">
        <v>5085</v>
      </c>
      <c r="B5090" s="11" t="str">
        <f>"00239963"</f>
        <v>00239963</v>
      </c>
    </row>
    <row r="5091" spans="1:2" x14ac:dyDescent="0.25">
      <c r="A5091" s="2">
        <v>5086</v>
      </c>
      <c r="B5091" s="11" t="str">
        <f>"00240036"</f>
        <v>00240036</v>
      </c>
    </row>
    <row r="5092" spans="1:2" x14ac:dyDescent="0.25">
      <c r="A5092" s="2">
        <v>5087</v>
      </c>
      <c r="B5092" s="11" t="str">
        <f>"00240167"</f>
        <v>00240167</v>
      </c>
    </row>
    <row r="5093" spans="1:2" x14ac:dyDescent="0.25">
      <c r="A5093" s="2">
        <v>5088</v>
      </c>
      <c r="B5093" s="11" t="str">
        <f>"00240175"</f>
        <v>00240175</v>
      </c>
    </row>
    <row r="5094" spans="1:2" x14ac:dyDescent="0.25">
      <c r="A5094" s="2">
        <v>5089</v>
      </c>
      <c r="B5094" s="11" t="str">
        <f>"00240193"</f>
        <v>00240193</v>
      </c>
    </row>
    <row r="5095" spans="1:2" x14ac:dyDescent="0.25">
      <c r="A5095" s="2">
        <v>5090</v>
      </c>
      <c r="B5095" s="11" t="str">
        <f>"00240276"</f>
        <v>00240276</v>
      </c>
    </row>
    <row r="5096" spans="1:2" x14ac:dyDescent="0.25">
      <c r="A5096" s="2">
        <v>5091</v>
      </c>
      <c r="B5096" s="11" t="str">
        <f>"00240301"</f>
        <v>00240301</v>
      </c>
    </row>
    <row r="5097" spans="1:2" x14ac:dyDescent="0.25">
      <c r="A5097" s="2">
        <v>5092</v>
      </c>
      <c r="B5097" s="11" t="str">
        <f>"00240405"</f>
        <v>00240405</v>
      </c>
    </row>
    <row r="5098" spans="1:2" x14ac:dyDescent="0.25">
      <c r="A5098" s="2">
        <v>5093</v>
      </c>
      <c r="B5098" s="11" t="str">
        <f>"00240461"</f>
        <v>00240461</v>
      </c>
    </row>
    <row r="5099" spans="1:2" x14ac:dyDescent="0.25">
      <c r="A5099" s="2">
        <v>5094</v>
      </c>
      <c r="B5099" s="11" t="str">
        <f>"00240486"</f>
        <v>00240486</v>
      </c>
    </row>
    <row r="5100" spans="1:2" x14ac:dyDescent="0.25">
      <c r="A5100" s="2">
        <v>5095</v>
      </c>
      <c r="B5100" s="11" t="str">
        <f>"00240513"</f>
        <v>00240513</v>
      </c>
    </row>
    <row r="5101" spans="1:2" x14ac:dyDescent="0.25">
      <c r="A5101" s="2">
        <v>5096</v>
      </c>
      <c r="B5101" s="11" t="str">
        <f>"00240539"</f>
        <v>00240539</v>
      </c>
    </row>
    <row r="5102" spans="1:2" x14ac:dyDescent="0.25">
      <c r="A5102" s="2">
        <v>5097</v>
      </c>
      <c r="B5102" s="11" t="str">
        <f>"00240541"</f>
        <v>00240541</v>
      </c>
    </row>
    <row r="5103" spans="1:2" x14ac:dyDescent="0.25">
      <c r="A5103" s="2">
        <v>5098</v>
      </c>
      <c r="B5103" s="11" t="str">
        <f>"00240582"</f>
        <v>00240582</v>
      </c>
    </row>
    <row r="5104" spans="1:2" x14ac:dyDescent="0.25">
      <c r="A5104" s="2">
        <v>5099</v>
      </c>
      <c r="B5104" s="11" t="str">
        <f>"00240590"</f>
        <v>00240590</v>
      </c>
    </row>
    <row r="5105" spans="1:2" x14ac:dyDescent="0.25">
      <c r="A5105" s="2">
        <v>5100</v>
      </c>
      <c r="B5105" s="11" t="str">
        <f>"00240736"</f>
        <v>00240736</v>
      </c>
    </row>
    <row r="5106" spans="1:2" x14ac:dyDescent="0.25">
      <c r="A5106" s="2">
        <v>5101</v>
      </c>
      <c r="B5106" s="11" t="str">
        <f>"00240914"</f>
        <v>00240914</v>
      </c>
    </row>
    <row r="5107" spans="1:2" x14ac:dyDescent="0.25">
      <c r="A5107" s="2">
        <v>5102</v>
      </c>
      <c r="B5107" s="11" t="str">
        <f>"00240961"</f>
        <v>00240961</v>
      </c>
    </row>
    <row r="5108" spans="1:2" x14ac:dyDescent="0.25">
      <c r="A5108" s="2">
        <v>5103</v>
      </c>
      <c r="B5108" s="11" t="str">
        <f>"00241014"</f>
        <v>00241014</v>
      </c>
    </row>
    <row r="5109" spans="1:2" x14ac:dyDescent="0.25">
      <c r="A5109" s="2">
        <v>5104</v>
      </c>
      <c r="B5109" s="11" t="str">
        <f>"00241055"</f>
        <v>00241055</v>
      </c>
    </row>
    <row r="5110" spans="1:2" x14ac:dyDescent="0.25">
      <c r="A5110" s="2">
        <v>5105</v>
      </c>
      <c r="B5110" s="11" t="str">
        <f>"00241309"</f>
        <v>00241309</v>
      </c>
    </row>
    <row r="5111" spans="1:2" x14ac:dyDescent="0.25">
      <c r="A5111" s="2">
        <v>5106</v>
      </c>
      <c r="B5111" s="11" t="str">
        <f>"00241334"</f>
        <v>00241334</v>
      </c>
    </row>
    <row r="5112" spans="1:2" x14ac:dyDescent="0.25">
      <c r="A5112" s="2">
        <v>5107</v>
      </c>
      <c r="B5112" s="11" t="str">
        <f>"00241547"</f>
        <v>00241547</v>
      </c>
    </row>
    <row r="5113" spans="1:2" x14ac:dyDescent="0.25">
      <c r="A5113" s="2">
        <v>5108</v>
      </c>
      <c r="B5113" s="11" t="str">
        <f>"00241590"</f>
        <v>00241590</v>
      </c>
    </row>
    <row r="5114" spans="1:2" x14ac:dyDescent="0.25">
      <c r="A5114" s="2">
        <v>5109</v>
      </c>
      <c r="B5114" s="11" t="str">
        <f>"00241686"</f>
        <v>00241686</v>
      </c>
    </row>
    <row r="5115" spans="1:2" x14ac:dyDescent="0.25">
      <c r="A5115" s="2">
        <v>5110</v>
      </c>
      <c r="B5115" s="11" t="str">
        <f>"00241697"</f>
        <v>00241697</v>
      </c>
    </row>
    <row r="5116" spans="1:2" x14ac:dyDescent="0.25">
      <c r="A5116" s="2">
        <v>5111</v>
      </c>
      <c r="B5116" s="11" t="str">
        <f>"00241717"</f>
        <v>00241717</v>
      </c>
    </row>
    <row r="5117" spans="1:2" x14ac:dyDescent="0.25">
      <c r="A5117" s="2">
        <v>5112</v>
      </c>
      <c r="B5117" s="11" t="str">
        <f>"00241728"</f>
        <v>00241728</v>
      </c>
    </row>
    <row r="5118" spans="1:2" x14ac:dyDescent="0.25">
      <c r="A5118" s="2">
        <v>5113</v>
      </c>
      <c r="B5118" s="11" t="str">
        <f>"00241763"</f>
        <v>00241763</v>
      </c>
    </row>
    <row r="5119" spans="1:2" x14ac:dyDescent="0.25">
      <c r="A5119" s="2">
        <v>5114</v>
      </c>
      <c r="B5119" s="11" t="str">
        <f>"00241793"</f>
        <v>00241793</v>
      </c>
    </row>
    <row r="5120" spans="1:2" x14ac:dyDescent="0.25">
      <c r="A5120" s="2">
        <v>5115</v>
      </c>
      <c r="B5120" s="11" t="str">
        <f>"00241822"</f>
        <v>00241822</v>
      </c>
    </row>
    <row r="5121" spans="1:2" x14ac:dyDescent="0.25">
      <c r="A5121" s="2">
        <v>5116</v>
      </c>
      <c r="B5121" s="11" t="str">
        <f>"00241827"</f>
        <v>00241827</v>
      </c>
    </row>
    <row r="5122" spans="1:2" x14ac:dyDescent="0.25">
      <c r="A5122" s="2">
        <v>5117</v>
      </c>
      <c r="B5122" s="11" t="str">
        <f>"00241834"</f>
        <v>00241834</v>
      </c>
    </row>
    <row r="5123" spans="1:2" x14ac:dyDescent="0.25">
      <c r="A5123" s="2">
        <v>5118</v>
      </c>
      <c r="B5123" s="11" t="str">
        <f>"00241889"</f>
        <v>00241889</v>
      </c>
    </row>
    <row r="5124" spans="1:2" x14ac:dyDescent="0.25">
      <c r="A5124" s="2">
        <v>5119</v>
      </c>
      <c r="B5124" s="11" t="str">
        <f>"00241919"</f>
        <v>00241919</v>
      </c>
    </row>
    <row r="5125" spans="1:2" x14ac:dyDescent="0.25">
      <c r="A5125" s="2">
        <v>5120</v>
      </c>
      <c r="B5125" s="11" t="str">
        <f>"00241938"</f>
        <v>00241938</v>
      </c>
    </row>
    <row r="5126" spans="1:2" x14ac:dyDescent="0.25">
      <c r="A5126" s="2">
        <v>5121</v>
      </c>
      <c r="B5126" s="11" t="str">
        <f>"00242007"</f>
        <v>00242007</v>
      </c>
    </row>
    <row r="5127" spans="1:2" x14ac:dyDescent="0.25">
      <c r="A5127" s="2">
        <v>5122</v>
      </c>
      <c r="B5127" s="11" t="str">
        <f>"00242043"</f>
        <v>00242043</v>
      </c>
    </row>
    <row r="5128" spans="1:2" x14ac:dyDescent="0.25">
      <c r="A5128" s="2">
        <v>5123</v>
      </c>
      <c r="B5128" s="11" t="str">
        <f>"00242179"</f>
        <v>00242179</v>
      </c>
    </row>
    <row r="5129" spans="1:2" x14ac:dyDescent="0.25">
      <c r="A5129" s="2">
        <v>5124</v>
      </c>
      <c r="B5129" s="11" t="str">
        <f>"00242226"</f>
        <v>00242226</v>
      </c>
    </row>
    <row r="5130" spans="1:2" x14ac:dyDescent="0.25">
      <c r="A5130" s="2">
        <v>5125</v>
      </c>
      <c r="B5130" s="11" t="str">
        <f>"00242294"</f>
        <v>00242294</v>
      </c>
    </row>
    <row r="5131" spans="1:2" x14ac:dyDescent="0.25">
      <c r="A5131" s="2">
        <v>5126</v>
      </c>
      <c r="B5131" s="11" t="str">
        <f>"00242457"</f>
        <v>00242457</v>
      </c>
    </row>
    <row r="5132" spans="1:2" x14ac:dyDescent="0.25">
      <c r="A5132" s="2">
        <v>5127</v>
      </c>
      <c r="B5132" s="11" t="str">
        <f>"00242458"</f>
        <v>00242458</v>
      </c>
    </row>
    <row r="5133" spans="1:2" x14ac:dyDescent="0.25">
      <c r="A5133" s="2">
        <v>5128</v>
      </c>
      <c r="B5133" s="11" t="str">
        <f>"00242468"</f>
        <v>00242468</v>
      </c>
    </row>
    <row r="5134" spans="1:2" x14ac:dyDescent="0.25">
      <c r="A5134" s="2">
        <v>5129</v>
      </c>
      <c r="B5134" s="11" t="str">
        <f>"00242577"</f>
        <v>00242577</v>
      </c>
    </row>
    <row r="5135" spans="1:2" x14ac:dyDescent="0.25">
      <c r="A5135" s="2">
        <v>5130</v>
      </c>
      <c r="B5135" s="11" t="str">
        <f>"00242633"</f>
        <v>00242633</v>
      </c>
    </row>
    <row r="5136" spans="1:2" x14ac:dyDescent="0.25">
      <c r="A5136" s="2">
        <v>5131</v>
      </c>
      <c r="B5136" s="11" t="str">
        <f>"00242644"</f>
        <v>00242644</v>
      </c>
    </row>
    <row r="5137" spans="1:2" x14ac:dyDescent="0.25">
      <c r="A5137" s="2">
        <v>5132</v>
      </c>
      <c r="B5137" s="11" t="str">
        <f>"00242719"</f>
        <v>00242719</v>
      </c>
    </row>
    <row r="5138" spans="1:2" x14ac:dyDescent="0.25">
      <c r="A5138" s="2">
        <v>5133</v>
      </c>
      <c r="B5138" s="11" t="str">
        <f>"00242814"</f>
        <v>00242814</v>
      </c>
    </row>
    <row r="5139" spans="1:2" x14ac:dyDescent="0.25">
      <c r="A5139" s="2">
        <v>5134</v>
      </c>
      <c r="B5139" s="11" t="str">
        <f>"00242817"</f>
        <v>00242817</v>
      </c>
    </row>
    <row r="5140" spans="1:2" x14ac:dyDescent="0.25">
      <c r="A5140" s="2">
        <v>5135</v>
      </c>
      <c r="B5140" s="11" t="str">
        <f>"00242865"</f>
        <v>00242865</v>
      </c>
    </row>
    <row r="5141" spans="1:2" x14ac:dyDescent="0.25">
      <c r="A5141" s="2">
        <v>5136</v>
      </c>
      <c r="B5141" s="11" t="str">
        <f>"00242878"</f>
        <v>00242878</v>
      </c>
    </row>
    <row r="5142" spans="1:2" x14ac:dyDescent="0.25">
      <c r="A5142" s="2">
        <v>5137</v>
      </c>
      <c r="B5142" s="11" t="str">
        <f>"00242977"</f>
        <v>00242977</v>
      </c>
    </row>
    <row r="5143" spans="1:2" x14ac:dyDescent="0.25">
      <c r="A5143" s="2">
        <v>5138</v>
      </c>
      <c r="B5143" s="11" t="str">
        <f>"00243007"</f>
        <v>00243007</v>
      </c>
    </row>
    <row r="5144" spans="1:2" x14ac:dyDescent="0.25">
      <c r="A5144" s="2">
        <v>5139</v>
      </c>
      <c r="B5144" s="11" t="str">
        <f>"00243016"</f>
        <v>00243016</v>
      </c>
    </row>
    <row r="5145" spans="1:2" x14ac:dyDescent="0.25">
      <c r="A5145" s="2">
        <v>5140</v>
      </c>
      <c r="B5145" s="11" t="str">
        <f>"00243036"</f>
        <v>00243036</v>
      </c>
    </row>
    <row r="5146" spans="1:2" x14ac:dyDescent="0.25">
      <c r="A5146" s="2">
        <v>5141</v>
      </c>
      <c r="B5146" s="11" t="str">
        <f>"00243145"</f>
        <v>00243145</v>
      </c>
    </row>
    <row r="5147" spans="1:2" x14ac:dyDescent="0.25">
      <c r="A5147" s="2">
        <v>5142</v>
      </c>
      <c r="B5147" s="11" t="str">
        <f>"00243201"</f>
        <v>00243201</v>
      </c>
    </row>
    <row r="5148" spans="1:2" x14ac:dyDescent="0.25">
      <c r="A5148" s="2">
        <v>5143</v>
      </c>
      <c r="B5148" s="11" t="str">
        <f>"00243306"</f>
        <v>00243306</v>
      </c>
    </row>
    <row r="5149" spans="1:2" x14ac:dyDescent="0.25">
      <c r="A5149" s="2">
        <v>5144</v>
      </c>
      <c r="B5149" s="11" t="str">
        <f>"00243383"</f>
        <v>00243383</v>
      </c>
    </row>
    <row r="5150" spans="1:2" x14ac:dyDescent="0.25">
      <c r="A5150" s="2">
        <v>5145</v>
      </c>
      <c r="B5150" s="11" t="str">
        <f>"00243408"</f>
        <v>00243408</v>
      </c>
    </row>
    <row r="5151" spans="1:2" x14ac:dyDescent="0.25">
      <c r="A5151" s="2">
        <v>5146</v>
      </c>
      <c r="B5151" s="11" t="str">
        <f>"00243628"</f>
        <v>00243628</v>
      </c>
    </row>
    <row r="5152" spans="1:2" x14ac:dyDescent="0.25">
      <c r="A5152" s="2">
        <v>5147</v>
      </c>
      <c r="B5152" s="11" t="str">
        <f>"00243650"</f>
        <v>00243650</v>
      </c>
    </row>
    <row r="5153" spans="1:2" x14ac:dyDescent="0.25">
      <c r="A5153" s="2">
        <v>5148</v>
      </c>
      <c r="B5153" s="11" t="str">
        <f>"00243675"</f>
        <v>00243675</v>
      </c>
    </row>
    <row r="5154" spans="1:2" x14ac:dyDescent="0.25">
      <c r="A5154" s="2">
        <v>5149</v>
      </c>
      <c r="B5154" s="11" t="str">
        <f>"00243769"</f>
        <v>00243769</v>
      </c>
    </row>
    <row r="5155" spans="1:2" x14ac:dyDescent="0.25">
      <c r="A5155" s="2">
        <v>5150</v>
      </c>
      <c r="B5155" s="11" t="str">
        <f>"00243860"</f>
        <v>00243860</v>
      </c>
    </row>
    <row r="5156" spans="1:2" x14ac:dyDescent="0.25">
      <c r="A5156" s="2">
        <v>5151</v>
      </c>
      <c r="B5156" s="11" t="str">
        <f>"00244065"</f>
        <v>00244065</v>
      </c>
    </row>
    <row r="5157" spans="1:2" x14ac:dyDescent="0.25">
      <c r="A5157" s="2">
        <v>5152</v>
      </c>
      <c r="B5157" s="11" t="str">
        <f>"00244107"</f>
        <v>00244107</v>
      </c>
    </row>
    <row r="5158" spans="1:2" x14ac:dyDescent="0.25">
      <c r="A5158" s="2">
        <v>5153</v>
      </c>
      <c r="B5158" s="11" t="str">
        <f>"00244138"</f>
        <v>00244138</v>
      </c>
    </row>
    <row r="5159" spans="1:2" x14ac:dyDescent="0.25">
      <c r="A5159" s="2">
        <v>5154</v>
      </c>
      <c r="B5159" s="11" t="str">
        <f>"00244147"</f>
        <v>00244147</v>
      </c>
    </row>
    <row r="5160" spans="1:2" x14ac:dyDescent="0.25">
      <c r="A5160" s="2">
        <v>5155</v>
      </c>
      <c r="B5160" s="11" t="str">
        <f>"00244246"</f>
        <v>00244246</v>
      </c>
    </row>
    <row r="5161" spans="1:2" x14ac:dyDescent="0.25">
      <c r="A5161" s="2">
        <v>5156</v>
      </c>
      <c r="B5161" s="11" t="str">
        <f>"00244293"</f>
        <v>00244293</v>
      </c>
    </row>
    <row r="5162" spans="1:2" x14ac:dyDescent="0.25">
      <c r="A5162" s="2">
        <v>5157</v>
      </c>
      <c r="B5162" s="11" t="str">
        <f>"00244296"</f>
        <v>00244296</v>
      </c>
    </row>
    <row r="5163" spans="1:2" x14ac:dyDescent="0.25">
      <c r="A5163" s="2">
        <v>5158</v>
      </c>
      <c r="B5163" s="11" t="str">
        <f>"00244393"</f>
        <v>00244393</v>
      </c>
    </row>
    <row r="5164" spans="1:2" x14ac:dyDescent="0.25">
      <c r="A5164" s="2">
        <v>5159</v>
      </c>
      <c r="B5164" s="11" t="str">
        <f>"00244403"</f>
        <v>00244403</v>
      </c>
    </row>
    <row r="5165" spans="1:2" x14ac:dyDescent="0.25">
      <c r="A5165" s="2">
        <v>5160</v>
      </c>
      <c r="B5165" s="11" t="str">
        <f>"00244518"</f>
        <v>00244518</v>
      </c>
    </row>
    <row r="5166" spans="1:2" x14ac:dyDescent="0.25">
      <c r="A5166" s="2">
        <v>5161</v>
      </c>
      <c r="B5166" s="11" t="str">
        <f>"00244539"</f>
        <v>00244539</v>
      </c>
    </row>
    <row r="5167" spans="1:2" x14ac:dyDescent="0.25">
      <c r="A5167" s="2">
        <v>5162</v>
      </c>
      <c r="B5167" s="11" t="str">
        <f>"00244553"</f>
        <v>00244553</v>
      </c>
    </row>
    <row r="5168" spans="1:2" x14ac:dyDescent="0.25">
      <c r="A5168" s="2">
        <v>5163</v>
      </c>
      <c r="B5168" s="11" t="str">
        <f>"00244667"</f>
        <v>00244667</v>
      </c>
    </row>
    <row r="5169" spans="1:2" x14ac:dyDescent="0.25">
      <c r="A5169" s="2">
        <v>5164</v>
      </c>
      <c r="B5169" s="11" t="str">
        <f>"00244729"</f>
        <v>00244729</v>
      </c>
    </row>
    <row r="5170" spans="1:2" x14ac:dyDescent="0.25">
      <c r="A5170" s="2">
        <v>5165</v>
      </c>
      <c r="B5170" s="11" t="str">
        <f>"00244768"</f>
        <v>00244768</v>
      </c>
    </row>
    <row r="5171" spans="1:2" x14ac:dyDescent="0.25">
      <c r="A5171" s="2">
        <v>5166</v>
      </c>
      <c r="B5171" s="11" t="str">
        <f>"00244866"</f>
        <v>00244866</v>
      </c>
    </row>
    <row r="5172" spans="1:2" x14ac:dyDescent="0.25">
      <c r="A5172" s="2">
        <v>5167</v>
      </c>
      <c r="B5172" s="11" t="str">
        <f>"00244924"</f>
        <v>00244924</v>
      </c>
    </row>
    <row r="5173" spans="1:2" x14ac:dyDescent="0.25">
      <c r="A5173" s="2">
        <v>5168</v>
      </c>
      <c r="B5173" s="11" t="str">
        <f>"00244978"</f>
        <v>00244978</v>
      </c>
    </row>
    <row r="5174" spans="1:2" x14ac:dyDescent="0.25">
      <c r="A5174" s="2">
        <v>5169</v>
      </c>
      <c r="B5174" s="11" t="str">
        <f>"00244998"</f>
        <v>00244998</v>
      </c>
    </row>
    <row r="5175" spans="1:2" x14ac:dyDescent="0.25">
      <c r="A5175" s="2">
        <v>5170</v>
      </c>
      <c r="B5175" s="11" t="str">
        <f>"00245029"</f>
        <v>00245029</v>
      </c>
    </row>
    <row r="5176" spans="1:2" x14ac:dyDescent="0.25">
      <c r="A5176" s="2">
        <v>5171</v>
      </c>
      <c r="B5176" s="11" t="str">
        <f>"00245105"</f>
        <v>00245105</v>
      </c>
    </row>
    <row r="5177" spans="1:2" x14ac:dyDescent="0.25">
      <c r="A5177" s="2">
        <v>5172</v>
      </c>
      <c r="B5177" s="11" t="str">
        <f>"00245122"</f>
        <v>00245122</v>
      </c>
    </row>
    <row r="5178" spans="1:2" x14ac:dyDescent="0.25">
      <c r="A5178" s="2">
        <v>5173</v>
      </c>
      <c r="B5178" s="11" t="str">
        <f>"00245150"</f>
        <v>00245150</v>
      </c>
    </row>
    <row r="5179" spans="1:2" x14ac:dyDescent="0.25">
      <c r="A5179" s="2">
        <v>5174</v>
      </c>
      <c r="B5179" s="11" t="str">
        <f>"00245248"</f>
        <v>00245248</v>
      </c>
    </row>
    <row r="5180" spans="1:2" x14ac:dyDescent="0.25">
      <c r="A5180" s="2">
        <v>5175</v>
      </c>
      <c r="B5180" s="11" t="str">
        <f>"00245261"</f>
        <v>00245261</v>
      </c>
    </row>
    <row r="5181" spans="1:2" x14ac:dyDescent="0.25">
      <c r="A5181" s="2">
        <v>5176</v>
      </c>
      <c r="B5181" s="11" t="str">
        <f>"00245284"</f>
        <v>00245284</v>
      </c>
    </row>
    <row r="5182" spans="1:2" x14ac:dyDescent="0.25">
      <c r="A5182" s="2">
        <v>5177</v>
      </c>
      <c r="B5182" s="11" t="str">
        <f>"00245324"</f>
        <v>00245324</v>
      </c>
    </row>
    <row r="5183" spans="1:2" x14ac:dyDescent="0.25">
      <c r="A5183" s="2">
        <v>5178</v>
      </c>
      <c r="B5183" s="11" t="str">
        <f>"00245550"</f>
        <v>00245550</v>
      </c>
    </row>
    <row r="5184" spans="1:2" x14ac:dyDescent="0.25">
      <c r="A5184" s="2">
        <v>5179</v>
      </c>
      <c r="B5184" s="11" t="str">
        <f>"00245588"</f>
        <v>00245588</v>
      </c>
    </row>
    <row r="5185" spans="1:2" x14ac:dyDescent="0.25">
      <c r="A5185" s="2">
        <v>5180</v>
      </c>
      <c r="B5185" s="11" t="str">
        <f>"00245589"</f>
        <v>00245589</v>
      </c>
    </row>
    <row r="5186" spans="1:2" x14ac:dyDescent="0.25">
      <c r="A5186" s="2">
        <v>5181</v>
      </c>
      <c r="B5186" s="11" t="str">
        <f>"00245660"</f>
        <v>00245660</v>
      </c>
    </row>
    <row r="5187" spans="1:2" x14ac:dyDescent="0.25">
      <c r="A5187" s="2">
        <v>5182</v>
      </c>
      <c r="B5187" s="11" t="str">
        <f>"00245708"</f>
        <v>00245708</v>
      </c>
    </row>
    <row r="5188" spans="1:2" x14ac:dyDescent="0.25">
      <c r="A5188" s="2">
        <v>5183</v>
      </c>
      <c r="B5188" s="11" t="str">
        <f>"00245726"</f>
        <v>00245726</v>
      </c>
    </row>
    <row r="5189" spans="1:2" x14ac:dyDescent="0.25">
      <c r="A5189" s="2">
        <v>5184</v>
      </c>
      <c r="B5189" s="11" t="str">
        <f>"00245816"</f>
        <v>00245816</v>
      </c>
    </row>
    <row r="5190" spans="1:2" x14ac:dyDescent="0.25">
      <c r="A5190" s="2">
        <v>5185</v>
      </c>
      <c r="B5190" s="11" t="str">
        <f>"00245827"</f>
        <v>00245827</v>
      </c>
    </row>
    <row r="5191" spans="1:2" x14ac:dyDescent="0.25">
      <c r="A5191" s="2">
        <v>5186</v>
      </c>
      <c r="B5191" s="11" t="str">
        <f>"00245861"</f>
        <v>00245861</v>
      </c>
    </row>
    <row r="5192" spans="1:2" x14ac:dyDescent="0.25">
      <c r="A5192" s="2">
        <v>5187</v>
      </c>
      <c r="B5192" s="11" t="str">
        <f>"00245977"</f>
        <v>00245977</v>
      </c>
    </row>
    <row r="5193" spans="1:2" x14ac:dyDescent="0.25">
      <c r="A5193" s="2">
        <v>5188</v>
      </c>
      <c r="B5193" s="11" t="str">
        <f>"00245994"</f>
        <v>00245994</v>
      </c>
    </row>
    <row r="5194" spans="1:2" x14ac:dyDescent="0.25">
      <c r="A5194" s="2">
        <v>5189</v>
      </c>
      <c r="B5194" s="11" t="str">
        <f>"00246065"</f>
        <v>00246065</v>
      </c>
    </row>
    <row r="5195" spans="1:2" x14ac:dyDescent="0.25">
      <c r="A5195" s="2">
        <v>5190</v>
      </c>
      <c r="B5195" s="11" t="str">
        <f>"00246143"</f>
        <v>00246143</v>
      </c>
    </row>
    <row r="5196" spans="1:2" x14ac:dyDescent="0.25">
      <c r="A5196" s="2">
        <v>5191</v>
      </c>
      <c r="B5196" s="11" t="str">
        <f>"00246146"</f>
        <v>00246146</v>
      </c>
    </row>
    <row r="5197" spans="1:2" x14ac:dyDescent="0.25">
      <c r="A5197" s="2">
        <v>5192</v>
      </c>
      <c r="B5197" s="11" t="str">
        <f>"00246147"</f>
        <v>00246147</v>
      </c>
    </row>
    <row r="5198" spans="1:2" x14ac:dyDescent="0.25">
      <c r="A5198" s="2">
        <v>5193</v>
      </c>
      <c r="B5198" s="11" t="str">
        <f>"00246176"</f>
        <v>00246176</v>
      </c>
    </row>
    <row r="5199" spans="1:2" x14ac:dyDescent="0.25">
      <c r="A5199" s="2">
        <v>5194</v>
      </c>
      <c r="B5199" s="11" t="str">
        <f>"00246219"</f>
        <v>00246219</v>
      </c>
    </row>
    <row r="5200" spans="1:2" x14ac:dyDescent="0.25">
      <c r="A5200" s="2">
        <v>5195</v>
      </c>
      <c r="B5200" s="11" t="str">
        <f>"00246256"</f>
        <v>00246256</v>
      </c>
    </row>
    <row r="5201" spans="1:2" x14ac:dyDescent="0.25">
      <c r="A5201" s="2">
        <v>5196</v>
      </c>
      <c r="B5201" s="11" t="str">
        <f>"00246383"</f>
        <v>00246383</v>
      </c>
    </row>
    <row r="5202" spans="1:2" x14ac:dyDescent="0.25">
      <c r="A5202" s="2">
        <v>5197</v>
      </c>
      <c r="B5202" s="11" t="str">
        <f>"00246409"</f>
        <v>00246409</v>
      </c>
    </row>
    <row r="5203" spans="1:2" x14ac:dyDescent="0.25">
      <c r="A5203" s="2">
        <v>5198</v>
      </c>
      <c r="B5203" s="11" t="str">
        <f>"00246436"</f>
        <v>00246436</v>
      </c>
    </row>
    <row r="5204" spans="1:2" x14ac:dyDescent="0.25">
      <c r="A5204" s="2">
        <v>5199</v>
      </c>
      <c r="B5204" s="11" t="str">
        <f>"00246538"</f>
        <v>00246538</v>
      </c>
    </row>
    <row r="5205" spans="1:2" x14ac:dyDescent="0.25">
      <c r="A5205" s="2">
        <v>5200</v>
      </c>
      <c r="B5205" s="11" t="str">
        <f>"00246600"</f>
        <v>00246600</v>
      </c>
    </row>
    <row r="5206" spans="1:2" x14ac:dyDescent="0.25">
      <c r="A5206" s="2">
        <v>5201</v>
      </c>
      <c r="B5206" s="11" t="str">
        <f>"00246756"</f>
        <v>00246756</v>
      </c>
    </row>
    <row r="5207" spans="1:2" x14ac:dyDescent="0.25">
      <c r="A5207" s="2">
        <v>5202</v>
      </c>
      <c r="B5207" s="11" t="str">
        <f>"00246767"</f>
        <v>00246767</v>
      </c>
    </row>
    <row r="5208" spans="1:2" x14ac:dyDescent="0.25">
      <c r="A5208" s="2">
        <v>5203</v>
      </c>
      <c r="B5208" s="11" t="str">
        <f>"00246804"</f>
        <v>00246804</v>
      </c>
    </row>
    <row r="5209" spans="1:2" x14ac:dyDescent="0.25">
      <c r="A5209" s="2">
        <v>5204</v>
      </c>
      <c r="B5209" s="11" t="str">
        <f>"00246915"</f>
        <v>00246915</v>
      </c>
    </row>
    <row r="5210" spans="1:2" x14ac:dyDescent="0.25">
      <c r="A5210" s="2">
        <v>5205</v>
      </c>
      <c r="B5210" s="11" t="str">
        <f>"00246973"</f>
        <v>00246973</v>
      </c>
    </row>
    <row r="5211" spans="1:2" x14ac:dyDescent="0.25">
      <c r="A5211" s="2">
        <v>5206</v>
      </c>
      <c r="B5211" s="11" t="str">
        <f>"00247039"</f>
        <v>00247039</v>
      </c>
    </row>
    <row r="5212" spans="1:2" x14ac:dyDescent="0.25">
      <c r="A5212" s="2">
        <v>5207</v>
      </c>
      <c r="B5212" s="11" t="str">
        <f>"00247054"</f>
        <v>00247054</v>
      </c>
    </row>
    <row r="5213" spans="1:2" x14ac:dyDescent="0.25">
      <c r="A5213" s="2">
        <v>5208</v>
      </c>
      <c r="B5213" s="11" t="str">
        <f>"00247161"</f>
        <v>00247161</v>
      </c>
    </row>
    <row r="5214" spans="1:2" x14ac:dyDescent="0.25">
      <c r="A5214" s="2">
        <v>5209</v>
      </c>
      <c r="B5214" s="11" t="str">
        <f>"00247173"</f>
        <v>00247173</v>
      </c>
    </row>
    <row r="5215" spans="1:2" x14ac:dyDescent="0.25">
      <c r="A5215" s="2">
        <v>5210</v>
      </c>
      <c r="B5215" s="11" t="str">
        <f>"00247333"</f>
        <v>00247333</v>
      </c>
    </row>
    <row r="5216" spans="1:2" x14ac:dyDescent="0.25">
      <c r="A5216" s="2">
        <v>5211</v>
      </c>
      <c r="B5216" s="11" t="str">
        <f>"00247375"</f>
        <v>00247375</v>
      </c>
    </row>
    <row r="5217" spans="1:2" x14ac:dyDescent="0.25">
      <c r="A5217" s="2">
        <v>5212</v>
      </c>
      <c r="B5217" s="11" t="str">
        <f>"00247390"</f>
        <v>00247390</v>
      </c>
    </row>
    <row r="5218" spans="1:2" x14ac:dyDescent="0.25">
      <c r="A5218" s="2">
        <v>5213</v>
      </c>
      <c r="B5218" s="11" t="str">
        <f>"00247397"</f>
        <v>00247397</v>
      </c>
    </row>
    <row r="5219" spans="1:2" x14ac:dyDescent="0.25">
      <c r="A5219" s="2">
        <v>5214</v>
      </c>
      <c r="B5219" s="11" t="str">
        <f>"00247438"</f>
        <v>00247438</v>
      </c>
    </row>
    <row r="5220" spans="1:2" x14ac:dyDescent="0.25">
      <c r="A5220" s="2">
        <v>5215</v>
      </c>
      <c r="B5220" s="11" t="str">
        <f>"00247444"</f>
        <v>00247444</v>
      </c>
    </row>
    <row r="5221" spans="1:2" x14ac:dyDescent="0.25">
      <c r="A5221" s="2">
        <v>5216</v>
      </c>
      <c r="B5221" s="11" t="str">
        <f>"00247511"</f>
        <v>00247511</v>
      </c>
    </row>
    <row r="5222" spans="1:2" x14ac:dyDescent="0.25">
      <c r="A5222" s="2">
        <v>5217</v>
      </c>
      <c r="B5222" s="11" t="str">
        <f>"00247616"</f>
        <v>00247616</v>
      </c>
    </row>
    <row r="5223" spans="1:2" x14ac:dyDescent="0.25">
      <c r="A5223" s="2">
        <v>5218</v>
      </c>
      <c r="B5223" s="11" t="str">
        <f>"00247651"</f>
        <v>00247651</v>
      </c>
    </row>
    <row r="5224" spans="1:2" x14ac:dyDescent="0.25">
      <c r="A5224" s="2">
        <v>5219</v>
      </c>
      <c r="B5224" s="11" t="str">
        <f>"00247718"</f>
        <v>00247718</v>
      </c>
    </row>
    <row r="5225" spans="1:2" x14ac:dyDescent="0.25">
      <c r="A5225" s="2">
        <v>5220</v>
      </c>
      <c r="B5225" s="11" t="str">
        <f>"00247786"</f>
        <v>00247786</v>
      </c>
    </row>
    <row r="5226" spans="1:2" x14ac:dyDescent="0.25">
      <c r="A5226" s="2">
        <v>5221</v>
      </c>
      <c r="B5226" s="11" t="str">
        <f>"00247798"</f>
        <v>00247798</v>
      </c>
    </row>
    <row r="5227" spans="1:2" x14ac:dyDescent="0.25">
      <c r="A5227" s="2">
        <v>5222</v>
      </c>
      <c r="B5227" s="11" t="str">
        <f>"00247800"</f>
        <v>00247800</v>
      </c>
    </row>
    <row r="5228" spans="1:2" x14ac:dyDescent="0.25">
      <c r="A5228" s="2">
        <v>5223</v>
      </c>
      <c r="B5228" s="11" t="str">
        <f>"00247814"</f>
        <v>00247814</v>
      </c>
    </row>
    <row r="5229" spans="1:2" x14ac:dyDescent="0.25">
      <c r="A5229" s="2">
        <v>5224</v>
      </c>
      <c r="B5229" s="11" t="str">
        <f>"00247815"</f>
        <v>00247815</v>
      </c>
    </row>
    <row r="5230" spans="1:2" x14ac:dyDescent="0.25">
      <c r="A5230" s="2">
        <v>5225</v>
      </c>
      <c r="B5230" s="11" t="str">
        <f>"00247817"</f>
        <v>00247817</v>
      </c>
    </row>
    <row r="5231" spans="1:2" x14ac:dyDescent="0.25">
      <c r="A5231" s="2">
        <v>5226</v>
      </c>
      <c r="B5231" s="11" t="str">
        <f>"00247876"</f>
        <v>00247876</v>
      </c>
    </row>
    <row r="5232" spans="1:2" x14ac:dyDescent="0.25">
      <c r="A5232" s="2">
        <v>5227</v>
      </c>
      <c r="B5232" s="11" t="str">
        <f>"00247894"</f>
        <v>00247894</v>
      </c>
    </row>
    <row r="5233" spans="1:2" x14ac:dyDescent="0.25">
      <c r="A5233" s="2">
        <v>5228</v>
      </c>
      <c r="B5233" s="11" t="str">
        <f>"00248071"</f>
        <v>00248071</v>
      </c>
    </row>
    <row r="5234" spans="1:2" x14ac:dyDescent="0.25">
      <c r="A5234" s="2">
        <v>5229</v>
      </c>
      <c r="B5234" s="11" t="str">
        <f>"00248099"</f>
        <v>00248099</v>
      </c>
    </row>
    <row r="5235" spans="1:2" x14ac:dyDescent="0.25">
      <c r="A5235" s="2">
        <v>5230</v>
      </c>
      <c r="B5235" s="11" t="str">
        <f>"00248115"</f>
        <v>00248115</v>
      </c>
    </row>
    <row r="5236" spans="1:2" x14ac:dyDescent="0.25">
      <c r="A5236" s="2">
        <v>5231</v>
      </c>
      <c r="B5236" s="11" t="str">
        <f>"00248247"</f>
        <v>00248247</v>
      </c>
    </row>
    <row r="5237" spans="1:2" x14ac:dyDescent="0.25">
      <c r="A5237" s="2">
        <v>5232</v>
      </c>
      <c r="B5237" s="11" t="str">
        <f>"00248261"</f>
        <v>00248261</v>
      </c>
    </row>
    <row r="5238" spans="1:2" x14ac:dyDescent="0.25">
      <c r="A5238" s="2">
        <v>5233</v>
      </c>
      <c r="B5238" s="11" t="str">
        <f>"00248350"</f>
        <v>00248350</v>
      </c>
    </row>
    <row r="5239" spans="1:2" x14ac:dyDescent="0.25">
      <c r="A5239" s="2">
        <v>5234</v>
      </c>
      <c r="B5239" s="11" t="str">
        <f>"00248389"</f>
        <v>00248389</v>
      </c>
    </row>
    <row r="5240" spans="1:2" x14ac:dyDescent="0.25">
      <c r="A5240" s="2">
        <v>5235</v>
      </c>
      <c r="B5240" s="11" t="str">
        <f>"00248398"</f>
        <v>00248398</v>
      </c>
    </row>
    <row r="5241" spans="1:2" x14ac:dyDescent="0.25">
      <c r="A5241" s="2">
        <v>5236</v>
      </c>
      <c r="B5241" s="11" t="str">
        <f>"00248454"</f>
        <v>00248454</v>
      </c>
    </row>
    <row r="5242" spans="1:2" x14ac:dyDescent="0.25">
      <c r="A5242" s="2">
        <v>5237</v>
      </c>
      <c r="B5242" s="11" t="str">
        <f>"00248484"</f>
        <v>00248484</v>
      </c>
    </row>
    <row r="5243" spans="1:2" x14ac:dyDescent="0.25">
      <c r="A5243" s="2">
        <v>5238</v>
      </c>
      <c r="B5243" s="11" t="str">
        <f>"00248486"</f>
        <v>00248486</v>
      </c>
    </row>
    <row r="5244" spans="1:2" x14ac:dyDescent="0.25">
      <c r="A5244" s="2">
        <v>5239</v>
      </c>
      <c r="B5244" s="11" t="str">
        <f>"00248553"</f>
        <v>00248553</v>
      </c>
    </row>
    <row r="5245" spans="1:2" x14ac:dyDescent="0.25">
      <c r="A5245" s="2">
        <v>5240</v>
      </c>
      <c r="B5245" s="11" t="str">
        <f>"00248587"</f>
        <v>00248587</v>
      </c>
    </row>
    <row r="5246" spans="1:2" x14ac:dyDescent="0.25">
      <c r="A5246" s="2">
        <v>5241</v>
      </c>
      <c r="B5246" s="11" t="str">
        <f>"00248620"</f>
        <v>00248620</v>
      </c>
    </row>
    <row r="5247" spans="1:2" x14ac:dyDescent="0.25">
      <c r="A5247" s="2">
        <v>5242</v>
      </c>
      <c r="B5247" s="11" t="str">
        <f>"00248659"</f>
        <v>00248659</v>
      </c>
    </row>
    <row r="5248" spans="1:2" x14ac:dyDescent="0.25">
      <c r="A5248" s="2">
        <v>5243</v>
      </c>
      <c r="B5248" s="11" t="str">
        <f>"00248684"</f>
        <v>00248684</v>
      </c>
    </row>
    <row r="5249" spans="1:2" x14ac:dyDescent="0.25">
      <c r="A5249" s="2">
        <v>5244</v>
      </c>
      <c r="B5249" s="11" t="str">
        <f>"00248700"</f>
        <v>00248700</v>
      </c>
    </row>
    <row r="5250" spans="1:2" x14ac:dyDescent="0.25">
      <c r="A5250" s="2">
        <v>5245</v>
      </c>
      <c r="B5250" s="11" t="str">
        <f>"00248766"</f>
        <v>00248766</v>
      </c>
    </row>
    <row r="5251" spans="1:2" x14ac:dyDescent="0.25">
      <c r="A5251" s="2">
        <v>5246</v>
      </c>
      <c r="B5251" s="11" t="str">
        <f>"00248825"</f>
        <v>00248825</v>
      </c>
    </row>
    <row r="5252" spans="1:2" x14ac:dyDescent="0.25">
      <c r="A5252" s="2">
        <v>5247</v>
      </c>
      <c r="B5252" s="11" t="str">
        <f>"00248833"</f>
        <v>00248833</v>
      </c>
    </row>
    <row r="5253" spans="1:2" x14ac:dyDescent="0.25">
      <c r="A5253" s="2">
        <v>5248</v>
      </c>
      <c r="B5253" s="11" t="str">
        <f>"00248855"</f>
        <v>00248855</v>
      </c>
    </row>
    <row r="5254" spans="1:2" x14ac:dyDescent="0.25">
      <c r="A5254" s="2">
        <v>5249</v>
      </c>
      <c r="B5254" s="11" t="str">
        <f>"00248861"</f>
        <v>00248861</v>
      </c>
    </row>
    <row r="5255" spans="1:2" x14ac:dyDescent="0.25">
      <c r="A5255" s="2">
        <v>5250</v>
      </c>
      <c r="B5255" s="11" t="str">
        <f>"00248895"</f>
        <v>00248895</v>
      </c>
    </row>
    <row r="5256" spans="1:2" x14ac:dyDescent="0.25">
      <c r="A5256" s="2">
        <v>5251</v>
      </c>
      <c r="B5256" s="11" t="str">
        <f>"00248927"</f>
        <v>00248927</v>
      </c>
    </row>
    <row r="5257" spans="1:2" x14ac:dyDescent="0.25">
      <c r="A5257" s="2">
        <v>5252</v>
      </c>
      <c r="B5257" s="11" t="str">
        <f>"00248991"</f>
        <v>00248991</v>
      </c>
    </row>
    <row r="5258" spans="1:2" x14ac:dyDescent="0.25">
      <c r="A5258" s="2">
        <v>5253</v>
      </c>
      <c r="B5258" s="11" t="str">
        <f>"00249076"</f>
        <v>00249076</v>
      </c>
    </row>
    <row r="5259" spans="1:2" x14ac:dyDescent="0.25">
      <c r="A5259" s="2">
        <v>5254</v>
      </c>
      <c r="B5259" s="11" t="str">
        <f>"00249088"</f>
        <v>00249088</v>
      </c>
    </row>
    <row r="5260" spans="1:2" x14ac:dyDescent="0.25">
      <c r="A5260" s="2">
        <v>5255</v>
      </c>
      <c r="B5260" s="11" t="str">
        <f>"00249196"</f>
        <v>00249196</v>
      </c>
    </row>
    <row r="5261" spans="1:2" x14ac:dyDescent="0.25">
      <c r="A5261" s="2">
        <v>5256</v>
      </c>
      <c r="B5261" s="11" t="str">
        <f>"00249279"</f>
        <v>00249279</v>
      </c>
    </row>
    <row r="5262" spans="1:2" x14ac:dyDescent="0.25">
      <c r="A5262" s="2">
        <v>5257</v>
      </c>
      <c r="B5262" s="11" t="str">
        <f>"00249287"</f>
        <v>00249287</v>
      </c>
    </row>
    <row r="5263" spans="1:2" x14ac:dyDescent="0.25">
      <c r="A5263" s="2">
        <v>5258</v>
      </c>
      <c r="B5263" s="11" t="str">
        <f>"00249290"</f>
        <v>00249290</v>
      </c>
    </row>
    <row r="5264" spans="1:2" x14ac:dyDescent="0.25">
      <c r="A5264" s="2">
        <v>5259</v>
      </c>
      <c r="B5264" s="11" t="str">
        <f>"00249343"</f>
        <v>00249343</v>
      </c>
    </row>
    <row r="5265" spans="1:2" x14ac:dyDescent="0.25">
      <c r="A5265" s="2">
        <v>5260</v>
      </c>
      <c r="B5265" s="11" t="str">
        <f>"00249346"</f>
        <v>00249346</v>
      </c>
    </row>
    <row r="5266" spans="1:2" x14ac:dyDescent="0.25">
      <c r="A5266" s="2">
        <v>5261</v>
      </c>
      <c r="B5266" s="11" t="str">
        <f>"00249413"</f>
        <v>00249413</v>
      </c>
    </row>
    <row r="5267" spans="1:2" x14ac:dyDescent="0.25">
      <c r="A5267" s="2">
        <v>5262</v>
      </c>
      <c r="B5267" s="11" t="str">
        <f>"00249529"</f>
        <v>00249529</v>
      </c>
    </row>
    <row r="5268" spans="1:2" x14ac:dyDescent="0.25">
      <c r="A5268" s="2">
        <v>5263</v>
      </c>
      <c r="B5268" s="11" t="str">
        <f>"00249613"</f>
        <v>00249613</v>
      </c>
    </row>
    <row r="5269" spans="1:2" x14ac:dyDescent="0.25">
      <c r="A5269" s="2">
        <v>5264</v>
      </c>
      <c r="B5269" s="11" t="str">
        <f>"00249619"</f>
        <v>00249619</v>
      </c>
    </row>
    <row r="5270" spans="1:2" x14ac:dyDescent="0.25">
      <c r="A5270" s="2">
        <v>5265</v>
      </c>
      <c r="B5270" s="11" t="str">
        <f>"00249652"</f>
        <v>00249652</v>
      </c>
    </row>
    <row r="5271" spans="1:2" x14ac:dyDescent="0.25">
      <c r="A5271" s="2">
        <v>5266</v>
      </c>
      <c r="B5271" s="11" t="str">
        <f>"00249661"</f>
        <v>00249661</v>
      </c>
    </row>
    <row r="5272" spans="1:2" x14ac:dyDescent="0.25">
      <c r="A5272" s="2">
        <v>5267</v>
      </c>
      <c r="B5272" s="11" t="str">
        <f>"00249667"</f>
        <v>00249667</v>
      </c>
    </row>
    <row r="5273" spans="1:2" x14ac:dyDescent="0.25">
      <c r="A5273" s="2">
        <v>5268</v>
      </c>
      <c r="B5273" s="11" t="str">
        <f>"00249757"</f>
        <v>00249757</v>
      </c>
    </row>
    <row r="5274" spans="1:2" x14ac:dyDescent="0.25">
      <c r="A5274" s="2">
        <v>5269</v>
      </c>
      <c r="B5274" s="11" t="str">
        <f>"00249996"</f>
        <v>00249996</v>
      </c>
    </row>
    <row r="5275" spans="1:2" x14ac:dyDescent="0.25">
      <c r="A5275" s="2">
        <v>5270</v>
      </c>
      <c r="B5275" s="11" t="str">
        <f>"00249997"</f>
        <v>00249997</v>
      </c>
    </row>
    <row r="5276" spans="1:2" x14ac:dyDescent="0.25">
      <c r="A5276" s="2">
        <v>5271</v>
      </c>
      <c r="B5276" s="11" t="str">
        <f>"00250046"</f>
        <v>00250046</v>
      </c>
    </row>
    <row r="5277" spans="1:2" x14ac:dyDescent="0.25">
      <c r="A5277" s="2">
        <v>5272</v>
      </c>
      <c r="B5277" s="11" t="str">
        <f>"00250073"</f>
        <v>00250073</v>
      </c>
    </row>
    <row r="5278" spans="1:2" x14ac:dyDescent="0.25">
      <c r="A5278" s="2">
        <v>5273</v>
      </c>
      <c r="B5278" s="11" t="str">
        <f>"00250161"</f>
        <v>00250161</v>
      </c>
    </row>
    <row r="5279" spans="1:2" x14ac:dyDescent="0.25">
      <c r="A5279" s="2">
        <v>5274</v>
      </c>
      <c r="B5279" s="11" t="str">
        <f>"00250173"</f>
        <v>00250173</v>
      </c>
    </row>
    <row r="5280" spans="1:2" x14ac:dyDescent="0.25">
      <c r="A5280" s="2">
        <v>5275</v>
      </c>
      <c r="B5280" s="11" t="str">
        <f>"00250259"</f>
        <v>00250259</v>
      </c>
    </row>
    <row r="5281" spans="1:2" x14ac:dyDescent="0.25">
      <c r="A5281" s="2">
        <v>5276</v>
      </c>
      <c r="B5281" s="11" t="str">
        <f>"00250339"</f>
        <v>00250339</v>
      </c>
    </row>
    <row r="5282" spans="1:2" x14ac:dyDescent="0.25">
      <c r="A5282" s="2">
        <v>5277</v>
      </c>
      <c r="B5282" s="11" t="str">
        <f>"00250406"</f>
        <v>00250406</v>
      </c>
    </row>
    <row r="5283" spans="1:2" x14ac:dyDescent="0.25">
      <c r="A5283" s="2">
        <v>5278</v>
      </c>
      <c r="B5283" s="11" t="str">
        <f>"00250419"</f>
        <v>00250419</v>
      </c>
    </row>
    <row r="5284" spans="1:2" x14ac:dyDescent="0.25">
      <c r="A5284" s="2">
        <v>5279</v>
      </c>
      <c r="B5284" s="11" t="str">
        <f>"00250429"</f>
        <v>00250429</v>
      </c>
    </row>
    <row r="5285" spans="1:2" x14ac:dyDescent="0.25">
      <c r="A5285" s="2">
        <v>5280</v>
      </c>
      <c r="B5285" s="11" t="str">
        <f>"00250447"</f>
        <v>00250447</v>
      </c>
    </row>
    <row r="5286" spans="1:2" x14ac:dyDescent="0.25">
      <c r="A5286" s="2">
        <v>5281</v>
      </c>
      <c r="B5286" s="11" t="str">
        <f>"00250450"</f>
        <v>00250450</v>
      </c>
    </row>
    <row r="5287" spans="1:2" x14ac:dyDescent="0.25">
      <c r="A5287" s="2">
        <v>5282</v>
      </c>
      <c r="B5287" s="11" t="str">
        <f>"00250456"</f>
        <v>00250456</v>
      </c>
    </row>
    <row r="5288" spans="1:2" x14ac:dyDescent="0.25">
      <c r="A5288" s="2">
        <v>5283</v>
      </c>
      <c r="B5288" s="11" t="str">
        <f>"00250502"</f>
        <v>00250502</v>
      </c>
    </row>
    <row r="5289" spans="1:2" x14ac:dyDescent="0.25">
      <c r="A5289" s="2">
        <v>5284</v>
      </c>
      <c r="B5289" s="11" t="str">
        <f>"00250550"</f>
        <v>00250550</v>
      </c>
    </row>
    <row r="5290" spans="1:2" x14ac:dyDescent="0.25">
      <c r="A5290" s="2">
        <v>5285</v>
      </c>
      <c r="B5290" s="11" t="str">
        <f>"00250563"</f>
        <v>00250563</v>
      </c>
    </row>
    <row r="5291" spans="1:2" x14ac:dyDescent="0.25">
      <c r="A5291" s="2">
        <v>5286</v>
      </c>
      <c r="B5291" s="11" t="str">
        <f>"00250583"</f>
        <v>00250583</v>
      </c>
    </row>
    <row r="5292" spans="1:2" x14ac:dyDescent="0.25">
      <c r="A5292" s="2">
        <v>5287</v>
      </c>
      <c r="B5292" s="11" t="str">
        <f>"00250619"</f>
        <v>00250619</v>
      </c>
    </row>
    <row r="5293" spans="1:2" x14ac:dyDescent="0.25">
      <c r="A5293" s="2">
        <v>5288</v>
      </c>
      <c r="B5293" s="11" t="str">
        <f>"00250692"</f>
        <v>00250692</v>
      </c>
    </row>
    <row r="5294" spans="1:2" x14ac:dyDescent="0.25">
      <c r="A5294" s="2">
        <v>5289</v>
      </c>
      <c r="B5294" s="11" t="str">
        <f>"00250694"</f>
        <v>00250694</v>
      </c>
    </row>
    <row r="5295" spans="1:2" x14ac:dyDescent="0.25">
      <c r="A5295" s="2">
        <v>5290</v>
      </c>
      <c r="B5295" s="11" t="str">
        <f>"00250703"</f>
        <v>00250703</v>
      </c>
    </row>
    <row r="5296" spans="1:2" x14ac:dyDescent="0.25">
      <c r="A5296" s="2">
        <v>5291</v>
      </c>
      <c r="B5296" s="11" t="str">
        <f>"00250823"</f>
        <v>00250823</v>
      </c>
    </row>
    <row r="5297" spans="1:2" x14ac:dyDescent="0.25">
      <c r="A5297" s="2">
        <v>5292</v>
      </c>
      <c r="B5297" s="11" t="str">
        <f>"00250837"</f>
        <v>00250837</v>
      </c>
    </row>
    <row r="5298" spans="1:2" x14ac:dyDescent="0.25">
      <c r="A5298" s="2">
        <v>5293</v>
      </c>
      <c r="B5298" s="11" t="str">
        <f>"00250940"</f>
        <v>00250940</v>
      </c>
    </row>
    <row r="5299" spans="1:2" x14ac:dyDescent="0.25">
      <c r="A5299" s="2">
        <v>5294</v>
      </c>
      <c r="B5299" s="11" t="str">
        <f>"00250947"</f>
        <v>00250947</v>
      </c>
    </row>
    <row r="5300" spans="1:2" x14ac:dyDescent="0.25">
      <c r="A5300" s="2">
        <v>5295</v>
      </c>
      <c r="B5300" s="11" t="str">
        <f>"00251031"</f>
        <v>00251031</v>
      </c>
    </row>
    <row r="5301" spans="1:2" x14ac:dyDescent="0.25">
      <c r="A5301" s="2">
        <v>5296</v>
      </c>
      <c r="B5301" s="11" t="str">
        <f>"00251066"</f>
        <v>00251066</v>
      </c>
    </row>
    <row r="5302" spans="1:2" x14ac:dyDescent="0.25">
      <c r="A5302" s="2">
        <v>5297</v>
      </c>
      <c r="B5302" s="11" t="str">
        <f>"00251114"</f>
        <v>00251114</v>
      </c>
    </row>
    <row r="5303" spans="1:2" x14ac:dyDescent="0.25">
      <c r="A5303" s="2">
        <v>5298</v>
      </c>
      <c r="B5303" s="11" t="str">
        <f>"00251180"</f>
        <v>00251180</v>
      </c>
    </row>
    <row r="5304" spans="1:2" x14ac:dyDescent="0.25">
      <c r="A5304" s="2">
        <v>5299</v>
      </c>
      <c r="B5304" s="11" t="str">
        <f>"00251201"</f>
        <v>00251201</v>
      </c>
    </row>
    <row r="5305" spans="1:2" x14ac:dyDescent="0.25">
      <c r="A5305" s="2">
        <v>5300</v>
      </c>
      <c r="B5305" s="11" t="str">
        <f>"00251217"</f>
        <v>00251217</v>
      </c>
    </row>
    <row r="5306" spans="1:2" x14ac:dyDescent="0.25">
      <c r="A5306" s="2">
        <v>5301</v>
      </c>
      <c r="B5306" s="11" t="str">
        <f>"00251231"</f>
        <v>00251231</v>
      </c>
    </row>
    <row r="5307" spans="1:2" x14ac:dyDescent="0.25">
      <c r="A5307" s="2">
        <v>5302</v>
      </c>
      <c r="B5307" s="11" t="str">
        <f>"00251354"</f>
        <v>00251354</v>
      </c>
    </row>
    <row r="5308" spans="1:2" x14ac:dyDescent="0.25">
      <c r="A5308" s="2">
        <v>5303</v>
      </c>
      <c r="B5308" s="11" t="str">
        <f>"00251363"</f>
        <v>00251363</v>
      </c>
    </row>
    <row r="5309" spans="1:2" x14ac:dyDescent="0.25">
      <c r="A5309" s="2">
        <v>5304</v>
      </c>
      <c r="B5309" s="11" t="str">
        <f>"00251377"</f>
        <v>00251377</v>
      </c>
    </row>
    <row r="5310" spans="1:2" x14ac:dyDescent="0.25">
      <c r="A5310" s="2">
        <v>5305</v>
      </c>
      <c r="B5310" s="11" t="str">
        <f>"00251385"</f>
        <v>00251385</v>
      </c>
    </row>
    <row r="5311" spans="1:2" x14ac:dyDescent="0.25">
      <c r="A5311" s="2">
        <v>5306</v>
      </c>
      <c r="B5311" s="11" t="str">
        <f>"00251428"</f>
        <v>00251428</v>
      </c>
    </row>
    <row r="5312" spans="1:2" x14ac:dyDescent="0.25">
      <c r="A5312" s="2">
        <v>5307</v>
      </c>
      <c r="B5312" s="11" t="str">
        <f>"00251437"</f>
        <v>00251437</v>
      </c>
    </row>
    <row r="5313" spans="1:2" x14ac:dyDescent="0.25">
      <c r="A5313" s="2">
        <v>5308</v>
      </c>
      <c r="B5313" s="11" t="str">
        <f>"00251469"</f>
        <v>00251469</v>
      </c>
    </row>
    <row r="5314" spans="1:2" x14ac:dyDescent="0.25">
      <c r="A5314" s="2">
        <v>5309</v>
      </c>
      <c r="B5314" s="11" t="str">
        <f>"00251498"</f>
        <v>00251498</v>
      </c>
    </row>
    <row r="5315" spans="1:2" x14ac:dyDescent="0.25">
      <c r="A5315" s="2">
        <v>5310</v>
      </c>
      <c r="B5315" s="11" t="str">
        <f>"00251644"</f>
        <v>00251644</v>
      </c>
    </row>
    <row r="5316" spans="1:2" x14ac:dyDescent="0.25">
      <c r="A5316" s="2">
        <v>5311</v>
      </c>
      <c r="B5316" s="11" t="str">
        <f>"00251654"</f>
        <v>00251654</v>
      </c>
    </row>
    <row r="5317" spans="1:2" x14ac:dyDescent="0.25">
      <c r="A5317" s="2">
        <v>5312</v>
      </c>
      <c r="B5317" s="11" t="str">
        <f>"00252012"</f>
        <v>00252012</v>
      </c>
    </row>
    <row r="5318" spans="1:2" x14ac:dyDescent="0.25">
      <c r="A5318" s="2">
        <v>5313</v>
      </c>
      <c r="B5318" s="11" t="str">
        <f>"00252030"</f>
        <v>00252030</v>
      </c>
    </row>
    <row r="5319" spans="1:2" x14ac:dyDescent="0.25">
      <c r="A5319" s="2">
        <v>5314</v>
      </c>
      <c r="B5319" s="11" t="str">
        <f>"00252137"</f>
        <v>00252137</v>
      </c>
    </row>
    <row r="5320" spans="1:2" x14ac:dyDescent="0.25">
      <c r="A5320" s="2">
        <v>5315</v>
      </c>
      <c r="B5320" s="11" t="str">
        <f>"00252220"</f>
        <v>00252220</v>
      </c>
    </row>
    <row r="5321" spans="1:2" x14ac:dyDescent="0.25">
      <c r="A5321" s="2">
        <v>5316</v>
      </c>
      <c r="B5321" s="11" t="str">
        <f>"00252249"</f>
        <v>00252249</v>
      </c>
    </row>
    <row r="5322" spans="1:2" x14ac:dyDescent="0.25">
      <c r="A5322" s="2">
        <v>5317</v>
      </c>
      <c r="B5322" s="11" t="str">
        <f>"00252316"</f>
        <v>00252316</v>
      </c>
    </row>
    <row r="5323" spans="1:2" x14ac:dyDescent="0.25">
      <c r="A5323" s="2">
        <v>5318</v>
      </c>
      <c r="B5323" s="11" t="str">
        <f>"00252321"</f>
        <v>00252321</v>
      </c>
    </row>
    <row r="5324" spans="1:2" x14ac:dyDescent="0.25">
      <c r="A5324" s="2">
        <v>5319</v>
      </c>
      <c r="B5324" s="11" t="str">
        <f>"00252323"</f>
        <v>00252323</v>
      </c>
    </row>
    <row r="5325" spans="1:2" x14ac:dyDescent="0.25">
      <c r="A5325" s="2">
        <v>5320</v>
      </c>
      <c r="B5325" s="11" t="str">
        <f>"00252376"</f>
        <v>00252376</v>
      </c>
    </row>
    <row r="5326" spans="1:2" x14ac:dyDescent="0.25">
      <c r="A5326" s="2">
        <v>5321</v>
      </c>
      <c r="B5326" s="11" t="str">
        <f>"00252390"</f>
        <v>00252390</v>
      </c>
    </row>
    <row r="5327" spans="1:2" x14ac:dyDescent="0.25">
      <c r="A5327" s="2">
        <v>5322</v>
      </c>
      <c r="B5327" s="11" t="str">
        <f>"00252461"</f>
        <v>00252461</v>
      </c>
    </row>
    <row r="5328" spans="1:2" x14ac:dyDescent="0.25">
      <c r="A5328" s="2">
        <v>5323</v>
      </c>
      <c r="B5328" s="11" t="str">
        <f>"00252466"</f>
        <v>00252466</v>
      </c>
    </row>
    <row r="5329" spans="1:2" x14ac:dyDescent="0.25">
      <c r="A5329" s="2">
        <v>5324</v>
      </c>
      <c r="B5329" s="11" t="str">
        <f>"00252510"</f>
        <v>00252510</v>
      </c>
    </row>
    <row r="5330" spans="1:2" x14ac:dyDescent="0.25">
      <c r="A5330" s="2">
        <v>5325</v>
      </c>
      <c r="B5330" s="11" t="str">
        <f>"00252608"</f>
        <v>00252608</v>
      </c>
    </row>
    <row r="5331" spans="1:2" x14ac:dyDescent="0.25">
      <c r="A5331" s="2">
        <v>5326</v>
      </c>
      <c r="B5331" s="11" t="str">
        <f>"00252623"</f>
        <v>00252623</v>
      </c>
    </row>
    <row r="5332" spans="1:2" x14ac:dyDescent="0.25">
      <c r="A5332" s="2">
        <v>5327</v>
      </c>
      <c r="B5332" s="11" t="str">
        <f>"00252649"</f>
        <v>00252649</v>
      </c>
    </row>
    <row r="5333" spans="1:2" x14ac:dyDescent="0.25">
      <c r="A5333" s="2">
        <v>5328</v>
      </c>
      <c r="B5333" s="11" t="str">
        <f>"00252724"</f>
        <v>00252724</v>
      </c>
    </row>
    <row r="5334" spans="1:2" x14ac:dyDescent="0.25">
      <c r="A5334" s="2">
        <v>5329</v>
      </c>
      <c r="B5334" s="11" t="str">
        <f>"00252735"</f>
        <v>00252735</v>
      </c>
    </row>
    <row r="5335" spans="1:2" x14ac:dyDescent="0.25">
      <c r="A5335" s="2">
        <v>5330</v>
      </c>
      <c r="B5335" s="11" t="str">
        <f>"00252891"</f>
        <v>00252891</v>
      </c>
    </row>
    <row r="5336" spans="1:2" x14ac:dyDescent="0.25">
      <c r="A5336" s="2">
        <v>5331</v>
      </c>
      <c r="B5336" s="11" t="str">
        <f>"00252930"</f>
        <v>00252930</v>
      </c>
    </row>
    <row r="5337" spans="1:2" x14ac:dyDescent="0.25">
      <c r="A5337" s="2">
        <v>5332</v>
      </c>
      <c r="B5337" s="11" t="str">
        <f>"00253067"</f>
        <v>00253067</v>
      </c>
    </row>
    <row r="5338" spans="1:2" x14ac:dyDescent="0.25">
      <c r="A5338" s="2">
        <v>5333</v>
      </c>
      <c r="B5338" s="11" t="str">
        <f>"00253073"</f>
        <v>00253073</v>
      </c>
    </row>
    <row r="5339" spans="1:2" x14ac:dyDescent="0.25">
      <c r="A5339" s="2">
        <v>5334</v>
      </c>
      <c r="B5339" s="11" t="str">
        <f>"00253074"</f>
        <v>00253074</v>
      </c>
    </row>
    <row r="5340" spans="1:2" x14ac:dyDescent="0.25">
      <c r="A5340" s="2">
        <v>5335</v>
      </c>
      <c r="B5340" s="11" t="str">
        <f>"00253141"</f>
        <v>00253141</v>
      </c>
    </row>
    <row r="5341" spans="1:2" x14ac:dyDescent="0.25">
      <c r="A5341" s="2">
        <v>5336</v>
      </c>
      <c r="B5341" s="11" t="str">
        <f>"00253185"</f>
        <v>00253185</v>
      </c>
    </row>
    <row r="5342" spans="1:2" x14ac:dyDescent="0.25">
      <c r="A5342" s="2">
        <v>5337</v>
      </c>
      <c r="B5342" s="11" t="str">
        <f>"00253199"</f>
        <v>00253199</v>
      </c>
    </row>
    <row r="5343" spans="1:2" x14ac:dyDescent="0.25">
      <c r="A5343" s="2">
        <v>5338</v>
      </c>
      <c r="B5343" s="11" t="str">
        <f>"00253212"</f>
        <v>00253212</v>
      </c>
    </row>
    <row r="5344" spans="1:2" x14ac:dyDescent="0.25">
      <c r="A5344" s="2">
        <v>5339</v>
      </c>
      <c r="B5344" s="11" t="str">
        <f>"00253216"</f>
        <v>00253216</v>
      </c>
    </row>
    <row r="5345" spans="1:2" x14ac:dyDescent="0.25">
      <c r="A5345" s="2">
        <v>5340</v>
      </c>
      <c r="B5345" s="11" t="str">
        <f>"00253256"</f>
        <v>00253256</v>
      </c>
    </row>
    <row r="5346" spans="1:2" x14ac:dyDescent="0.25">
      <c r="A5346" s="2">
        <v>5341</v>
      </c>
      <c r="B5346" s="11" t="str">
        <f>"00253329"</f>
        <v>00253329</v>
      </c>
    </row>
    <row r="5347" spans="1:2" x14ac:dyDescent="0.25">
      <c r="A5347" s="2">
        <v>5342</v>
      </c>
      <c r="B5347" s="11" t="str">
        <f>"00253395"</f>
        <v>00253395</v>
      </c>
    </row>
    <row r="5348" spans="1:2" x14ac:dyDescent="0.25">
      <c r="A5348" s="2">
        <v>5343</v>
      </c>
      <c r="B5348" s="11" t="str">
        <f>"00253412"</f>
        <v>00253412</v>
      </c>
    </row>
    <row r="5349" spans="1:2" x14ac:dyDescent="0.25">
      <c r="A5349" s="2">
        <v>5344</v>
      </c>
      <c r="B5349" s="11" t="str">
        <f>"00253430"</f>
        <v>00253430</v>
      </c>
    </row>
    <row r="5350" spans="1:2" x14ac:dyDescent="0.25">
      <c r="A5350" s="2">
        <v>5345</v>
      </c>
      <c r="B5350" s="11" t="str">
        <f>"00253447"</f>
        <v>00253447</v>
      </c>
    </row>
    <row r="5351" spans="1:2" x14ac:dyDescent="0.25">
      <c r="A5351" s="2">
        <v>5346</v>
      </c>
      <c r="B5351" s="11" t="str">
        <f>"00253450"</f>
        <v>00253450</v>
      </c>
    </row>
    <row r="5352" spans="1:2" x14ac:dyDescent="0.25">
      <c r="A5352" s="2">
        <v>5347</v>
      </c>
      <c r="B5352" s="11" t="str">
        <f>"00253500"</f>
        <v>00253500</v>
      </c>
    </row>
    <row r="5353" spans="1:2" x14ac:dyDescent="0.25">
      <c r="A5353" s="2">
        <v>5348</v>
      </c>
      <c r="B5353" s="11" t="str">
        <f>"00253513"</f>
        <v>00253513</v>
      </c>
    </row>
    <row r="5354" spans="1:2" x14ac:dyDescent="0.25">
      <c r="A5354" s="2">
        <v>5349</v>
      </c>
      <c r="B5354" s="11" t="str">
        <f>"00253516"</f>
        <v>00253516</v>
      </c>
    </row>
    <row r="5355" spans="1:2" x14ac:dyDescent="0.25">
      <c r="A5355" s="2">
        <v>5350</v>
      </c>
      <c r="B5355" s="11" t="str">
        <f>"00253521"</f>
        <v>00253521</v>
      </c>
    </row>
    <row r="5356" spans="1:2" x14ac:dyDescent="0.25">
      <c r="A5356" s="2">
        <v>5351</v>
      </c>
      <c r="B5356" s="11" t="str">
        <f>"00253548"</f>
        <v>00253548</v>
      </c>
    </row>
    <row r="5357" spans="1:2" x14ac:dyDescent="0.25">
      <c r="A5357" s="2">
        <v>5352</v>
      </c>
      <c r="B5357" s="11" t="str">
        <f>"00253625"</f>
        <v>00253625</v>
      </c>
    </row>
    <row r="5358" spans="1:2" x14ac:dyDescent="0.25">
      <c r="A5358" s="2">
        <v>5353</v>
      </c>
      <c r="B5358" s="11" t="str">
        <f>"00253637"</f>
        <v>00253637</v>
      </c>
    </row>
    <row r="5359" spans="1:2" x14ac:dyDescent="0.25">
      <c r="A5359" s="2">
        <v>5354</v>
      </c>
      <c r="B5359" s="11" t="str">
        <f>"00253779"</f>
        <v>00253779</v>
      </c>
    </row>
    <row r="5360" spans="1:2" x14ac:dyDescent="0.25">
      <c r="A5360" s="2">
        <v>5355</v>
      </c>
      <c r="B5360" s="11" t="str">
        <f>"00253803"</f>
        <v>00253803</v>
      </c>
    </row>
    <row r="5361" spans="1:2" x14ac:dyDescent="0.25">
      <c r="A5361" s="2">
        <v>5356</v>
      </c>
      <c r="B5361" s="11" t="str">
        <f>"00253859"</f>
        <v>00253859</v>
      </c>
    </row>
    <row r="5362" spans="1:2" x14ac:dyDescent="0.25">
      <c r="A5362" s="2">
        <v>5357</v>
      </c>
      <c r="B5362" s="11" t="str">
        <f>"00253877"</f>
        <v>00253877</v>
      </c>
    </row>
    <row r="5363" spans="1:2" x14ac:dyDescent="0.25">
      <c r="A5363" s="2">
        <v>5358</v>
      </c>
      <c r="B5363" s="11" t="str">
        <f>"00253918"</f>
        <v>00253918</v>
      </c>
    </row>
    <row r="5364" spans="1:2" x14ac:dyDescent="0.25">
      <c r="A5364" s="2">
        <v>5359</v>
      </c>
      <c r="B5364" s="11" t="str">
        <f>"00253934"</f>
        <v>00253934</v>
      </c>
    </row>
    <row r="5365" spans="1:2" x14ac:dyDescent="0.25">
      <c r="A5365" s="2">
        <v>5360</v>
      </c>
      <c r="B5365" s="11" t="str">
        <f>"00253998"</f>
        <v>00253998</v>
      </c>
    </row>
    <row r="5366" spans="1:2" x14ac:dyDescent="0.25">
      <c r="A5366" s="2">
        <v>5361</v>
      </c>
      <c r="B5366" s="11" t="str">
        <f>"00254008"</f>
        <v>00254008</v>
      </c>
    </row>
    <row r="5367" spans="1:2" x14ac:dyDescent="0.25">
      <c r="A5367" s="2">
        <v>5362</v>
      </c>
      <c r="B5367" s="11" t="str">
        <f>"00254012"</f>
        <v>00254012</v>
      </c>
    </row>
    <row r="5368" spans="1:2" x14ac:dyDescent="0.25">
      <c r="A5368" s="2">
        <v>5363</v>
      </c>
      <c r="B5368" s="11" t="str">
        <f>"00254261"</f>
        <v>00254261</v>
      </c>
    </row>
    <row r="5369" spans="1:2" x14ac:dyDescent="0.25">
      <c r="A5369" s="2">
        <v>5364</v>
      </c>
      <c r="B5369" s="11" t="str">
        <f>"00254306"</f>
        <v>00254306</v>
      </c>
    </row>
    <row r="5370" spans="1:2" x14ac:dyDescent="0.25">
      <c r="A5370" s="2">
        <v>5365</v>
      </c>
      <c r="B5370" s="11" t="str">
        <f>"00254413"</f>
        <v>00254413</v>
      </c>
    </row>
    <row r="5371" spans="1:2" x14ac:dyDescent="0.25">
      <c r="A5371" s="2">
        <v>5366</v>
      </c>
      <c r="B5371" s="11" t="str">
        <f>"00254415"</f>
        <v>00254415</v>
      </c>
    </row>
    <row r="5372" spans="1:2" x14ac:dyDescent="0.25">
      <c r="A5372" s="2">
        <v>5367</v>
      </c>
      <c r="B5372" s="11" t="str">
        <f>"00254421"</f>
        <v>00254421</v>
      </c>
    </row>
    <row r="5373" spans="1:2" x14ac:dyDescent="0.25">
      <c r="A5373" s="2">
        <v>5368</v>
      </c>
      <c r="B5373" s="11" t="str">
        <f>"00254425"</f>
        <v>00254425</v>
      </c>
    </row>
    <row r="5374" spans="1:2" x14ac:dyDescent="0.25">
      <c r="A5374" s="2">
        <v>5369</v>
      </c>
      <c r="B5374" s="11" t="str">
        <f>"00254428"</f>
        <v>00254428</v>
      </c>
    </row>
    <row r="5375" spans="1:2" x14ac:dyDescent="0.25">
      <c r="A5375" s="2">
        <v>5370</v>
      </c>
      <c r="B5375" s="11" t="str">
        <f>"00254435"</f>
        <v>00254435</v>
      </c>
    </row>
    <row r="5376" spans="1:2" x14ac:dyDescent="0.25">
      <c r="A5376" s="2">
        <v>5371</v>
      </c>
      <c r="B5376" s="11" t="str">
        <f>"00254446"</f>
        <v>00254446</v>
      </c>
    </row>
    <row r="5377" spans="1:2" x14ac:dyDescent="0.25">
      <c r="A5377" s="2">
        <v>5372</v>
      </c>
      <c r="B5377" s="11" t="str">
        <f>"00254469"</f>
        <v>00254469</v>
      </c>
    </row>
    <row r="5378" spans="1:2" x14ac:dyDescent="0.25">
      <c r="A5378" s="2">
        <v>5373</v>
      </c>
      <c r="B5378" s="11" t="str">
        <f>"00254522"</f>
        <v>00254522</v>
      </c>
    </row>
    <row r="5379" spans="1:2" x14ac:dyDescent="0.25">
      <c r="A5379" s="2">
        <v>5374</v>
      </c>
      <c r="B5379" s="11" t="str">
        <f>"00254581"</f>
        <v>00254581</v>
      </c>
    </row>
    <row r="5380" spans="1:2" x14ac:dyDescent="0.25">
      <c r="A5380" s="2">
        <v>5375</v>
      </c>
      <c r="B5380" s="11" t="str">
        <f>"00254618"</f>
        <v>00254618</v>
      </c>
    </row>
    <row r="5381" spans="1:2" x14ac:dyDescent="0.25">
      <c r="A5381" s="2">
        <v>5376</v>
      </c>
      <c r="B5381" s="11" t="str">
        <f>"00254652"</f>
        <v>00254652</v>
      </c>
    </row>
    <row r="5382" spans="1:2" x14ac:dyDescent="0.25">
      <c r="A5382" s="2">
        <v>5377</v>
      </c>
      <c r="B5382" s="11" t="str">
        <f>"00254714"</f>
        <v>00254714</v>
      </c>
    </row>
    <row r="5383" spans="1:2" x14ac:dyDescent="0.25">
      <c r="A5383" s="2">
        <v>5378</v>
      </c>
      <c r="B5383" s="11" t="str">
        <f>"00254768"</f>
        <v>00254768</v>
      </c>
    </row>
    <row r="5384" spans="1:2" x14ac:dyDescent="0.25">
      <c r="A5384" s="2">
        <v>5379</v>
      </c>
      <c r="B5384" s="11" t="str">
        <f>"00254876"</f>
        <v>00254876</v>
      </c>
    </row>
    <row r="5385" spans="1:2" x14ac:dyDescent="0.25">
      <c r="A5385" s="2">
        <v>5380</v>
      </c>
      <c r="B5385" s="11" t="str">
        <f>"00254909"</f>
        <v>00254909</v>
      </c>
    </row>
    <row r="5386" spans="1:2" x14ac:dyDescent="0.25">
      <c r="A5386" s="2">
        <v>5381</v>
      </c>
      <c r="B5386" s="11" t="str">
        <f>"00254936"</f>
        <v>00254936</v>
      </c>
    </row>
    <row r="5387" spans="1:2" x14ac:dyDescent="0.25">
      <c r="A5387" s="2">
        <v>5382</v>
      </c>
      <c r="B5387" s="11" t="str">
        <f>"00254947"</f>
        <v>00254947</v>
      </c>
    </row>
    <row r="5388" spans="1:2" x14ac:dyDescent="0.25">
      <c r="A5388" s="2">
        <v>5383</v>
      </c>
      <c r="B5388" s="11" t="str">
        <f>"00254951"</f>
        <v>00254951</v>
      </c>
    </row>
    <row r="5389" spans="1:2" x14ac:dyDescent="0.25">
      <c r="A5389" s="2">
        <v>5384</v>
      </c>
      <c r="B5389" s="11" t="str">
        <f>"00255002"</f>
        <v>00255002</v>
      </c>
    </row>
    <row r="5390" spans="1:2" x14ac:dyDescent="0.25">
      <c r="A5390" s="2">
        <v>5385</v>
      </c>
      <c r="B5390" s="11" t="str">
        <f>"00255030"</f>
        <v>00255030</v>
      </c>
    </row>
    <row r="5391" spans="1:2" x14ac:dyDescent="0.25">
      <c r="A5391" s="2">
        <v>5386</v>
      </c>
      <c r="B5391" s="11" t="str">
        <f>"00255074"</f>
        <v>00255074</v>
      </c>
    </row>
    <row r="5392" spans="1:2" x14ac:dyDescent="0.25">
      <c r="A5392" s="2">
        <v>5387</v>
      </c>
      <c r="B5392" s="11" t="str">
        <f>"00255155"</f>
        <v>00255155</v>
      </c>
    </row>
    <row r="5393" spans="1:2" x14ac:dyDescent="0.25">
      <c r="A5393" s="2">
        <v>5388</v>
      </c>
      <c r="B5393" s="11" t="str">
        <f>"00255192"</f>
        <v>00255192</v>
      </c>
    </row>
    <row r="5394" spans="1:2" x14ac:dyDescent="0.25">
      <c r="A5394" s="2">
        <v>5389</v>
      </c>
      <c r="B5394" s="11" t="str">
        <f>"00255214"</f>
        <v>00255214</v>
      </c>
    </row>
    <row r="5395" spans="1:2" x14ac:dyDescent="0.25">
      <c r="A5395" s="2">
        <v>5390</v>
      </c>
      <c r="B5395" s="11" t="str">
        <f>"00255298"</f>
        <v>00255298</v>
      </c>
    </row>
    <row r="5396" spans="1:2" x14ac:dyDescent="0.25">
      <c r="A5396" s="2">
        <v>5391</v>
      </c>
      <c r="B5396" s="11" t="str">
        <f>"00255344"</f>
        <v>00255344</v>
      </c>
    </row>
    <row r="5397" spans="1:2" x14ac:dyDescent="0.25">
      <c r="A5397" s="2">
        <v>5392</v>
      </c>
      <c r="B5397" s="11" t="str">
        <f>"00255451"</f>
        <v>00255451</v>
      </c>
    </row>
    <row r="5398" spans="1:2" x14ac:dyDescent="0.25">
      <c r="A5398" s="2">
        <v>5393</v>
      </c>
      <c r="B5398" s="11" t="str">
        <f>"00255487"</f>
        <v>00255487</v>
      </c>
    </row>
    <row r="5399" spans="1:2" x14ac:dyDescent="0.25">
      <c r="A5399" s="2">
        <v>5394</v>
      </c>
      <c r="B5399" s="11" t="str">
        <f>"00255507"</f>
        <v>00255507</v>
      </c>
    </row>
    <row r="5400" spans="1:2" x14ac:dyDescent="0.25">
      <c r="A5400" s="2">
        <v>5395</v>
      </c>
      <c r="B5400" s="11" t="str">
        <f>"00255512"</f>
        <v>00255512</v>
      </c>
    </row>
    <row r="5401" spans="1:2" x14ac:dyDescent="0.25">
      <c r="A5401" s="2">
        <v>5396</v>
      </c>
      <c r="B5401" s="11" t="str">
        <f>"00255538"</f>
        <v>00255538</v>
      </c>
    </row>
    <row r="5402" spans="1:2" x14ac:dyDescent="0.25">
      <c r="A5402" s="2">
        <v>5397</v>
      </c>
      <c r="B5402" s="11" t="str">
        <f>"00255548"</f>
        <v>00255548</v>
      </c>
    </row>
    <row r="5403" spans="1:2" x14ac:dyDescent="0.25">
      <c r="A5403" s="2">
        <v>5398</v>
      </c>
      <c r="B5403" s="11" t="str">
        <f>"00255606"</f>
        <v>00255606</v>
      </c>
    </row>
    <row r="5404" spans="1:2" x14ac:dyDescent="0.25">
      <c r="A5404" s="2">
        <v>5399</v>
      </c>
      <c r="B5404" s="11" t="str">
        <f>"00255623"</f>
        <v>00255623</v>
      </c>
    </row>
    <row r="5405" spans="1:2" x14ac:dyDescent="0.25">
      <c r="A5405" s="2">
        <v>5400</v>
      </c>
      <c r="B5405" s="11" t="str">
        <f>"00255652"</f>
        <v>00255652</v>
      </c>
    </row>
    <row r="5406" spans="1:2" x14ac:dyDescent="0.25">
      <c r="A5406" s="2">
        <v>5401</v>
      </c>
      <c r="B5406" s="11" t="str">
        <f>"00255660"</f>
        <v>00255660</v>
      </c>
    </row>
    <row r="5407" spans="1:2" x14ac:dyDescent="0.25">
      <c r="A5407" s="2">
        <v>5402</v>
      </c>
      <c r="B5407" s="11" t="str">
        <f>"00255687"</f>
        <v>00255687</v>
      </c>
    </row>
    <row r="5408" spans="1:2" x14ac:dyDescent="0.25">
      <c r="A5408" s="2">
        <v>5403</v>
      </c>
      <c r="B5408" s="11" t="str">
        <f>"00255724"</f>
        <v>00255724</v>
      </c>
    </row>
    <row r="5409" spans="1:2" x14ac:dyDescent="0.25">
      <c r="A5409" s="2">
        <v>5404</v>
      </c>
      <c r="B5409" s="11" t="str">
        <f>"00255732"</f>
        <v>00255732</v>
      </c>
    </row>
    <row r="5410" spans="1:2" x14ac:dyDescent="0.25">
      <c r="A5410" s="2">
        <v>5405</v>
      </c>
      <c r="B5410" s="11" t="str">
        <f>"00255812"</f>
        <v>00255812</v>
      </c>
    </row>
    <row r="5411" spans="1:2" x14ac:dyDescent="0.25">
      <c r="A5411" s="2">
        <v>5406</v>
      </c>
      <c r="B5411" s="11" t="str">
        <f>"00255821"</f>
        <v>00255821</v>
      </c>
    </row>
    <row r="5412" spans="1:2" x14ac:dyDescent="0.25">
      <c r="A5412" s="2">
        <v>5407</v>
      </c>
      <c r="B5412" s="11" t="str">
        <f>"00255826"</f>
        <v>00255826</v>
      </c>
    </row>
    <row r="5413" spans="1:2" x14ac:dyDescent="0.25">
      <c r="A5413" s="2">
        <v>5408</v>
      </c>
      <c r="B5413" s="11" t="str">
        <f>"00255835"</f>
        <v>00255835</v>
      </c>
    </row>
    <row r="5414" spans="1:2" x14ac:dyDescent="0.25">
      <c r="A5414" s="2">
        <v>5409</v>
      </c>
      <c r="B5414" s="11" t="str">
        <f>"00255862"</f>
        <v>00255862</v>
      </c>
    </row>
    <row r="5415" spans="1:2" x14ac:dyDescent="0.25">
      <c r="A5415" s="2">
        <v>5410</v>
      </c>
      <c r="B5415" s="11" t="str">
        <f>"00255866"</f>
        <v>00255866</v>
      </c>
    </row>
    <row r="5416" spans="1:2" x14ac:dyDescent="0.25">
      <c r="A5416" s="2">
        <v>5411</v>
      </c>
      <c r="B5416" s="11" t="str">
        <f>"00255910"</f>
        <v>00255910</v>
      </c>
    </row>
    <row r="5417" spans="1:2" x14ac:dyDescent="0.25">
      <c r="A5417" s="2">
        <v>5412</v>
      </c>
      <c r="B5417" s="11" t="str">
        <f>"00256016"</f>
        <v>00256016</v>
      </c>
    </row>
    <row r="5418" spans="1:2" x14ac:dyDescent="0.25">
      <c r="A5418" s="2">
        <v>5413</v>
      </c>
      <c r="B5418" s="11" t="str">
        <f>"00256059"</f>
        <v>00256059</v>
      </c>
    </row>
    <row r="5419" spans="1:2" x14ac:dyDescent="0.25">
      <c r="A5419" s="2">
        <v>5414</v>
      </c>
      <c r="B5419" s="11" t="str">
        <f>"00256098"</f>
        <v>00256098</v>
      </c>
    </row>
    <row r="5420" spans="1:2" x14ac:dyDescent="0.25">
      <c r="A5420" s="2">
        <v>5415</v>
      </c>
      <c r="B5420" s="11" t="str">
        <f>"00256159"</f>
        <v>00256159</v>
      </c>
    </row>
    <row r="5421" spans="1:2" x14ac:dyDescent="0.25">
      <c r="A5421" s="2">
        <v>5416</v>
      </c>
      <c r="B5421" s="11" t="str">
        <f>"00256235"</f>
        <v>00256235</v>
      </c>
    </row>
    <row r="5422" spans="1:2" x14ac:dyDescent="0.25">
      <c r="A5422" s="2">
        <v>5417</v>
      </c>
      <c r="B5422" s="11" t="str">
        <f>"00256298"</f>
        <v>00256298</v>
      </c>
    </row>
    <row r="5423" spans="1:2" x14ac:dyDescent="0.25">
      <c r="A5423" s="2">
        <v>5418</v>
      </c>
      <c r="B5423" s="11" t="str">
        <f>"00256331"</f>
        <v>00256331</v>
      </c>
    </row>
    <row r="5424" spans="1:2" x14ac:dyDescent="0.25">
      <c r="A5424" s="2">
        <v>5419</v>
      </c>
      <c r="B5424" s="11" t="str">
        <f>"00256474"</f>
        <v>00256474</v>
      </c>
    </row>
    <row r="5425" spans="1:2" x14ac:dyDescent="0.25">
      <c r="A5425" s="2">
        <v>5420</v>
      </c>
      <c r="B5425" s="11" t="str">
        <f>"00256476"</f>
        <v>00256476</v>
      </c>
    </row>
    <row r="5426" spans="1:2" x14ac:dyDescent="0.25">
      <c r="A5426" s="2">
        <v>5421</v>
      </c>
      <c r="B5426" s="11" t="str">
        <f>"00256639"</f>
        <v>00256639</v>
      </c>
    </row>
    <row r="5427" spans="1:2" x14ac:dyDescent="0.25">
      <c r="A5427" s="2">
        <v>5422</v>
      </c>
      <c r="B5427" s="11" t="str">
        <f>"00256760"</f>
        <v>00256760</v>
      </c>
    </row>
    <row r="5428" spans="1:2" x14ac:dyDescent="0.25">
      <c r="A5428" s="2">
        <v>5423</v>
      </c>
      <c r="B5428" s="11" t="str">
        <f>"00256767"</f>
        <v>00256767</v>
      </c>
    </row>
    <row r="5429" spans="1:2" x14ac:dyDescent="0.25">
      <c r="A5429" s="2">
        <v>5424</v>
      </c>
      <c r="B5429" s="11" t="str">
        <f>"00256781"</f>
        <v>00256781</v>
      </c>
    </row>
    <row r="5430" spans="1:2" x14ac:dyDescent="0.25">
      <c r="A5430" s="2">
        <v>5425</v>
      </c>
      <c r="B5430" s="11" t="str">
        <f>"00256854"</f>
        <v>00256854</v>
      </c>
    </row>
    <row r="5431" spans="1:2" x14ac:dyDescent="0.25">
      <c r="A5431" s="2">
        <v>5426</v>
      </c>
      <c r="B5431" s="11" t="str">
        <f>"00256867"</f>
        <v>00256867</v>
      </c>
    </row>
    <row r="5432" spans="1:2" x14ac:dyDescent="0.25">
      <c r="A5432" s="2">
        <v>5427</v>
      </c>
      <c r="B5432" s="11" t="str">
        <f>"00256879"</f>
        <v>00256879</v>
      </c>
    </row>
    <row r="5433" spans="1:2" x14ac:dyDescent="0.25">
      <c r="A5433" s="2">
        <v>5428</v>
      </c>
      <c r="B5433" s="11" t="str">
        <f>"00256890"</f>
        <v>00256890</v>
      </c>
    </row>
    <row r="5434" spans="1:2" x14ac:dyDescent="0.25">
      <c r="A5434" s="2">
        <v>5429</v>
      </c>
      <c r="B5434" s="11" t="str">
        <f>"00256924"</f>
        <v>00256924</v>
      </c>
    </row>
    <row r="5435" spans="1:2" x14ac:dyDescent="0.25">
      <c r="A5435" s="2">
        <v>5430</v>
      </c>
      <c r="B5435" s="11" t="str">
        <f>"00257023"</f>
        <v>00257023</v>
      </c>
    </row>
    <row r="5436" spans="1:2" x14ac:dyDescent="0.25">
      <c r="A5436" s="2">
        <v>5431</v>
      </c>
      <c r="B5436" s="11" t="str">
        <f>"00257087"</f>
        <v>00257087</v>
      </c>
    </row>
    <row r="5437" spans="1:2" x14ac:dyDescent="0.25">
      <c r="A5437" s="2">
        <v>5432</v>
      </c>
      <c r="B5437" s="11" t="str">
        <f>"00257093"</f>
        <v>00257093</v>
      </c>
    </row>
    <row r="5438" spans="1:2" x14ac:dyDescent="0.25">
      <c r="A5438" s="2">
        <v>5433</v>
      </c>
      <c r="B5438" s="11" t="str">
        <f>"00257158"</f>
        <v>00257158</v>
      </c>
    </row>
    <row r="5439" spans="1:2" x14ac:dyDescent="0.25">
      <c r="A5439" s="2">
        <v>5434</v>
      </c>
      <c r="B5439" s="11" t="str">
        <f>"00257205"</f>
        <v>00257205</v>
      </c>
    </row>
    <row r="5440" spans="1:2" x14ac:dyDescent="0.25">
      <c r="A5440" s="2">
        <v>5435</v>
      </c>
      <c r="B5440" s="11" t="str">
        <f>"00257224"</f>
        <v>00257224</v>
      </c>
    </row>
    <row r="5441" spans="1:2" x14ac:dyDescent="0.25">
      <c r="A5441" s="2">
        <v>5436</v>
      </c>
      <c r="B5441" s="11" t="str">
        <f>"00257239"</f>
        <v>00257239</v>
      </c>
    </row>
    <row r="5442" spans="1:2" x14ac:dyDescent="0.25">
      <c r="A5442" s="2">
        <v>5437</v>
      </c>
      <c r="B5442" s="11" t="str">
        <f>"00257272"</f>
        <v>00257272</v>
      </c>
    </row>
    <row r="5443" spans="1:2" x14ac:dyDescent="0.25">
      <c r="A5443" s="2">
        <v>5438</v>
      </c>
      <c r="B5443" s="11" t="str">
        <f>"00257325"</f>
        <v>00257325</v>
      </c>
    </row>
    <row r="5444" spans="1:2" x14ac:dyDescent="0.25">
      <c r="A5444" s="2">
        <v>5439</v>
      </c>
      <c r="B5444" s="11" t="str">
        <f>"00257327"</f>
        <v>00257327</v>
      </c>
    </row>
    <row r="5445" spans="1:2" x14ac:dyDescent="0.25">
      <c r="A5445" s="2">
        <v>5440</v>
      </c>
      <c r="B5445" s="11" t="str">
        <f>"00257414"</f>
        <v>00257414</v>
      </c>
    </row>
    <row r="5446" spans="1:2" x14ac:dyDescent="0.25">
      <c r="A5446" s="2">
        <v>5441</v>
      </c>
      <c r="B5446" s="11" t="str">
        <f>"00257481"</f>
        <v>00257481</v>
      </c>
    </row>
    <row r="5447" spans="1:2" x14ac:dyDescent="0.25">
      <c r="A5447" s="2">
        <v>5442</v>
      </c>
      <c r="B5447" s="11" t="str">
        <f>"00257551"</f>
        <v>00257551</v>
      </c>
    </row>
    <row r="5448" spans="1:2" x14ac:dyDescent="0.25">
      <c r="A5448" s="2">
        <v>5443</v>
      </c>
      <c r="B5448" s="11" t="str">
        <f>"00257556"</f>
        <v>00257556</v>
      </c>
    </row>
    <row r="5449" spans="1:2" x14ac:dyDescent="0.25">
      <c r="A5449" s="2">
        <v>5444</v>
      </c>
      <c r="B5449" s="11" t="str">
        <f>"00257649"</f>
        <v>00257649</v>
      </c>
    </row>
    <row r="5450" spans="1:2" x14ac:dyDescent="0.25">
      <c r="A5450" s="2">
        <v>5445</v>
      </c>
      <c r="B5450" s="11" t="str">
        <f>"00257714"</f>
        <v>00257714</v>
      </c>
    </row>
    <row r="5451" spans="1:2" x14ac:dyDescent="0.25">
      <c r="A5451" s="2">
        <v>5446</v>
      </c>
      <c r="B5451" s="11" t="str">
        <f>"00257748"</f>
        <v>00257748</v>
      </c>
    </row>
    <row r="5452" spans="1:2" x14ac:dyDescent="0.25">
      <c r="A5452" s="2">
        <v>5447</v>
      </c>
      <c r="B5452" s="11" t="str">
        <f>"00257786"</f>
        <v>00257786</v>
      </c>
    </row>
    <row r="5453" spans="1:2" x14ac:dyDescent="0.25">
      <c r="A5453" s="2">
        <v>5448</v>
      </c>
      <c r="B5453" s="11" t="str">
        <f>"00257818"</f>
        <v>00257818</v>
      </c>
    </row>
    <row r="5454" spans="1:2" x14ac:dyDescent="0.25">
      <c r="A5454" s="2">
        <v>5449</v>
      </c>
      <c r="B5454" s="11" t="str">
        <f>"00257824"</f>
        <v>00257824</v>
      </c>
    </row>
    <row r="5455" spans="1:2" x14ac:dyDescent="0.25">
      <c r="A5455" s="2">
        <v>5450</v>
      </c>
      <c r="B5455" s="11" t="str">
        <f>"00257843"</f>
        <v>00257843</v>
      </c>
    </row>
    <row r="5456" spans="1:2" x14ac:dyDescent="0.25">
      <c r="A5456" s="2">
        <v>5451</v>
      </c>
      <c r="B5456" s="11" t="str">
        <f>"00257953"</f>
        <v>00257953</v>
      </c>
    </row>
    <row r="5457" spans="1:2" x14ac:dyDescent="0.25">
      <c r="A5457" s="2">
        <v>5452</v>
      </c>
      <c r="B5457" s="11" t="str">
        <f>"00257970"</f>
        <v>00257970</v>
      </c>
    </row>
    <row r="5458" spans="1:2" x14ac:dyDescent="0.25">
      <c r="A5458" s="2">
        <v>5453</v>
      </c>
      <c r="B5458" s="11" t="str">
        <f>"00258068"</f>
        <v>00258068</v>
      </c>
    </row>
    <row r="5459" spans="1:2" x14ac:dyDescent="0.25">
      <c r="A5459" s="2">
        <v>5454</v>
      </c>
      <c r="B5459" s="11" t="str">
        <f>"00258200"</f>
        <v>00258200</v>
      </c>
    </row>
    <row r="5460" spans="1:2" x14ac:dyDescent="0.25">
      <c r="A5460" s="2">
        <v>5455</v>
      </c>
      <c r="B5460" s="11" t="str">
        <f>"00258207"</f>
        <v>00258207</v>
      </c>
    </row>
    <row r="5461" spans="1:2" x14ac:dyDescent="0.25">
      <c r="A5461" s="2">
        <v>5456</v>
      </c>
      <c r="B5461" s="11" t="str">
        <f>"00258211"</f>
        <v>00258211</v>
      </c>
    </row>
    <row r="5462" spans="1:2" x14ac:dyDescent="0.25">
      <c r="A5462" s="2">
        <v>5457</v>
      </c>
      <c r="B5462" s="11" t="str">
        <f>"00258278"</f>
        <v>00258278</v>
      </c>
    </row>
    <row r="5463" spans="1:2" x14ac:dyDescent="0.25">
      <c r="A5463" s="2">
        <v>5458</v>
      </c>
      <c r="B5463" s="11" t="str">
        <f>"00258284"</f>
        <v>00258284</v>
      </c>
    </row>
    <row r="5464" spans="1:2" x14ac:dyDescent="0.25">
      <c r="A5464" s="2">
        <v>5459</v>
      </c>
      <c r="B5464" s="11" t="str">
        <f>"00258349"</f>
        <v>00258349</v>
      </c>
    </row>
    <row r="5465" spans="1:2" x14ac:dyDescent="0.25">
      <c r="A5465" s="2">
        <v>5460</v>
      </c>
      <c r="B5465" s="11" t="str">
        <f>"00258403"</f>
        <v>00258403</v>
      </c>
    </row>
    <row r="5466" spans="1:2" x14ac:dyDescent="0.25">
      <c r="A5466" s="2">
        <v>5461</v>
      </c>
      <c r="B5466" s="11" t="str">
        <f>"00258446"</f>
        <v>00258446</v>
      </c>
    </row>
    <row r="5467" spans="1:2" x14ac:dyDescent="0.25">
      <c r="A5467" s="2">
        <v>5462</v>
      </c>
      <c r="B5467" s="11" t="str">
        <f>"00258460"</f>
        <v>00258460</v>
      </c>
    </row>
    <row r="5468" spans="1:2" x14ac:dyDescent="0.25">
      <c r="A5468" s="2">
        <v>5463</v>
      </c>
      <c r="B5468" s="11" t="str">
        <f>"00258524"</f>
        <v>00258524</v>
      </c>
    </row>
    <row r="5469" spans="1:2" x14ac:dyDescent="0.25">
      <c r="A5469" s="2">
        <v>5464</v>
      </c>
      <c r="B5469" s="11" t="str">
        <f>"00258527"</f>
        <v>00258527</v>
      </c>
    </row>
    <row r="5470" spans="1:2" x14ac:dyDescent="0.25">
      <c r="A5470" s="2">
        <v>5465</v>
      </c>
      <c r="B5470" s="11" t="str">
        <f>"00258605"</f>
        <v>00258605</v>
      </c>
    </row>
    <row r="5471" spans="1:2" x14ac:dyDescent="0.25">
      <c r="A5471" s="2">
        <v>5466</v>
      </c>
      <c r="B5471" s="11" t="str">
        <f>"00258706"</f>
        <v>00258706</v>
      </c>
    </row>
    <row r="5472" spans="1:2" x14ac:dyDescent="0.25">
      <c r="A5472" s="2">
        <v>5467</v>
      </c>
      <c r="B5472" s="11" t="str">
        <f>"00258767"</f>
        <v>00258767</v>
      </c>
    </row>
    <row r="5473" spans="1:2" x14ac:dyDescent="0.25">
      <c r="A5473" s="2">
        <v>5468</v>
      </c>
      <c r="B5473" s="11" t="str">
        <f>"00258829"</f>
        <v>00258829</v>
      </c>
    </row>
    <row r="5474" spans="1:2" x14ac:dyDescent="0.25">
      <c r="A5474" s="2">
        <v>5469</v>
      </c>
      <c r="B5474" s="11" t="str">
        <f>"00258913"</f>
        <v>00258913</v>
      </c>
    </row>
    <row r="5475" spans="1:2" x14ac:dyDescent="0.25">
      <c r="A5475" s="2">
        <v>5470</v>
      </c>
      <c r="B5475" s="11" t="str">
        <f>"00258935"</f>
        <v>00258935</v>
      </c>
    </row>
    <row r="5476" spans="1:2" x14ac:dyDescent="0.25">
      <c r="A5476" s="2">
        <v>5471</v>
      </c>
      <c r="B5476" s="11" t="str">
        <f>"00258982"</f>
        <v>00258982</v>
      </c>
    </row>
    <row r="5477" spans="1:2" x14ac:dyDescent="0.25">
      <c r="A5477" s="2">
        <v>5472</v>
      </c>
      <c r="B5477" s="11" t="str">
        <f>"00259057"</f>
        <v>00259057</v>
      </c>
    </row>
    <row r="5478" spans="1:2" x14ac:dyDescent="0.25">
      <c r="A5478" s="2">
        <v>5473</v>
      </c>
      <c r="B5478" s="11" t="str">
        <f>"00259073"</f>
        <v>00259073</v>
      </c>
    </row>
    <row r="5479" spans="1:2" x14ac:dyDescent="0.25">
      <c r="A5479" s="2">
        <v>5474</v>
      </c>
      <c r="B5479" s="11" t="str">
        <f>"00259099"</f>
        <v>00259099</v>
      </c>
    </row>
    <row r="5480" spans="1:2" x14ac:dyDescent="0.25">
      <c r="A5480" s="2">
        <v>5475</v>
      </c>
      <c r="B5480" s="11" t="str">
        <f>"00259134"</f>
        <v>00259134</v>
      </c>
    </row>
    <row r="5481" spans="1:2" x14ac:dyDescent="0.25">
      <c r="A5481" s="2">
        <v>5476</v>
      </c>
      <c r="B5481" s="11" t="str">
        <f>"00259137"</f>
        <v>00259137</v>
      </c>
    </row>
    <row r="5482" spans="1:2" x14ac:dyDescent="0.25">
      <c r="A5482" s="2">
        <v>5477</v>
      </c>
      <c r="B5482" s="11" t="str">
        <f>"00259153"</f>
        <v>00259153</v>
      </c>
    </row>
    <row r="5483" spans="1:2" x14ac:dyDescent="0.25">
      <c r="A5483" s="2">
        <v>5478</v>
      </c>
      <c r="B5483" s="11" t="str">
        <f>"00259157"</f>
        <v>00259157</v>
      </c>
    </row>
    <row r="5484" spans="1:2" x14ac:dyDescent="0.25">
      <c r="A5484" s="2">
        <v>5479</v>
      </c>
      <c r="B5484" s="11" t="str">
        <f>"00259276"</f>
        <v>00259276</v>
      </c>
    </row>
    <row r="5485" spans="1:2" x14ac:dyDescent="0.25">
      <c r="A5485" s="2">
        <v>5480</v>
      </c>
      <c r="B5485" s="11" t="str">
        <f>"00259309"</f>
        <v>00259309</v>
      </c>
    </row>
    <row r="5486" spans="1:2" x14ac:dyDescent="0.25">
      <c r="A5486" s="2">
        <v>5481</v>
      </c>
      <c r="B5486" s="11" t="str">
        <f>"00259529"</f>
        <v>00259529</v>
      </c>
    </row>
    <row r="5487" spans="1:2" x14ac:dyDescent="0.25">
      <c r="A5487" s="2">
        <v>5482</v>
      </c>
      <c r="B5487" s="11" t="str">
        <f>"00259593"</f>
        <v>00259593</v>
      </c>
    </row>
    <row r="5488" spans="1:2" x14ac:dyDescent="0.25">
      <c r="A5488" s="2">
        <v>5483</v>
      </c>
      <c r="B5488" s="11" t="str">
        <f>"00259609"</f>
        <v>00259609</v>
      </c>
    </row>
    <row r="5489" spans="1:2" x14ac:dyDescent="0.25">
      <c r="A5489" s="2">
        <v>5484</v>
      </c>
      <c r="B5489" s="11" t="str">
        <f>"00259613"</f>
        <v>00259613</v>
      </c>
    </row>
    <row r="5490" spans="1:2" x14ac:dyDescent="0.25">
      <c r="A5490" s="2">
        <v>5485</v>
      </c>
      <c r="B5490" s="11" t="str">
        <f>"00259625"</f>
        <v>00259625</v>
      </c>
    </row>
    <row r="5491" spans="1:2" x14ac:dyDescent="0.25">
      <c r="A5491" s="2">
        <v>5486</v>
      </c>
      <c r="B5491" s="11" t="str">
        <f>"00259712"</f>
        <v>00259712</v>
      </c>
    </row>
    <row r="5492" spans="1:2" x14ac:dyDescent="0.25">
      <c r="A5492" s="2">
        <v>5487</v>
      </c>
      <c r="B5492" s="11" t="str">
        <f>"00259808"</f>
        <v>00259808</v>
      </c>
    </row>
    <row r="5493" spans="1:2" x14ac:dyDescent="0.25">
      <c r="A5493" s="2">
        <v>5488</v>
      </c>
      <c r="B5493" s="11" t="str">
        <f>"00259842"</f>
        <v>00259842</v>
      </c>
    </row>
    <row r="5494" spans="1:2" x14ac:dyDescent="0.25">
      <c r="A5494" s="2">
        <v>5489</v>
      </c>
      <c r="B5494" s="11" t="str">
        <f>"00259863"</f>
        <v>00259863</v>
      </c>
    </row>
    <row r="5495" spans="1:2" x14ac:dyDescent="0.25">
      <c r="A5495" s="2">
        <v>5490</v>
      </c>
      <c r="B5495" s="11" t="str">
        <f>"00259877"</f>
        <v>00259877</v>
      </c>
    </row>
    <row r="5496" spans="1:2" x14ac:dyDescent="0.25">
      <c r="A5496" s="2">
        <v>5491</v>
      </c>
      <c r="B5496" s="11" t="str">
        <f>"00259894"</f>
        <v>00259894</v>
      </c>
    </row>
    <row r="5497" spans="1:2" x14ac:dyDescent="0.25">
      <c r="A5497" s="2">
        <v>5492</v>
      </c>
      <c r="B5497" s="11" t="str">
        <f>"00259906"</f>
        <v>00259906</v>
      </c>
    </row>
    <row r="5498" spans="1:2" x14ac:dyDescent="0.25">
      <c r="A5498" s="2">
        <v>5493</v>
      </c>
      <c r="B5498" s="11" t="str">
        <f>"00260261"</f>
        <v>00260261</v>
      </c>
    </row>
    <row r="5499" spans="1:2" x14ac:dyDescent="0.25">
      <c r="A5499" s="2">
        <v>5494</v>
      </c>
      <c r="B5499" s="11" t="str">
        <f>"00260275"</f>
        <v>00260275</v>
      </c>
    </row>
    <row r="5500" spans="1:2" x14ac:dyDescent="0.25">
      <c r="A5500" s="2">
        <v>5495</v>
      </c>
      <c r="B5500" s="11" t="str">
        <f>"00260288"</f>
        <v>00260288</v>
      </c>
    </row>
    <row r="5501" spans="1:2" x14ac:dyDescent="0.25">
      <c r="A5501" s="2">
        <v>5496</v>
      </c>
      <c r="B5501" s="11" t="str">
        <f>"00260321"</f>
        <v>00260321</v>
      </c>
    </row>
    <row r="5502" spans="1:2" x14ac:dyDescent="0.25">
      <c r="A5502" s="2">
        <v>5497</v>
      </c>
      <c r="B5502" s="11" t="str">
        <f>"00260333"</f>
        <v>00260333</v>
      </c>
    </row>
    <row r="5503" spans="1:2" x14ac:dyDescent="0.25">
      <c r="A5503" s="2">
        <v>5498</v>
      </c>
      <c r="B5503" s="11" t="str">
        <f>"00260350"</f>
        <v>00260350</v>
      </c>
    </row>
    <row r="5504" spans="1:2" x14ac:dyDescent="0.25">
      <c r="A5504" s="2">
        <v>5499</v>
      </c>
      <c r="B5504" s="11" t="str">
        <f>"00260378"</f>
        <v>00260378</v>
      </c>
    </row>
    <row r="5505" spans="1:2" x14ac:dyDescent="0.25">
      <c r="A5505" s="2">
        <v>5500</v>
      </c>
      <c r="B5505" s="11" t="str">
        <f>"00260396"</f>
        <v>00260396</v>
      </c>
    </row>
    <row r="5506" spans="1:2" x14ac:dyDescent="0.25">
      <c r="A5506" s="2">
        <v>5501</v>
      </c>
      <c r="B5506" s="11" t="str">
        <f>"00260511"</f>
        <v>00260511</v>
      </c>
    </row>
    <row r="5507" spans="1:2" x14ac:dyDescent="0.25">
      <c r="A5507" s="2">
        <v>5502</v>
      </c>
      <c r="B5507" s="11" t="str">
        <f>"00260589"</f>
        <v>00260589</v>
      </c>
    </row>
    <row r="5508" spans="1:2" x14ac:dyDescent="0.25">
      <c r="A5508" s="2">
        <v>5503</v>
      </c>
      <c r="B5508" s="11" t="str">
        <f>"00260600"</f>
        <v>00260600</v>
      </c>
    </row>
    <row r="5509" spans="1:2" x14ac:dyDescent="0.25">
      <c r="A5509" s="2">
        <v>5504</v>
      </c>
      <c r="B5509" s="11" t="str">
        <f>"00260631"</f>
        <v>00260631</v>
      </c>
    </row>
    <row r="5510" spans="1:2" x14ac:dyDescent="0.25">
      <c r="A5510" s="2">
        <v>5505</v>
      </c>
      <c r="B5510" s="11" t="str">
        <f>"00260638"</f>
        <v>00260638</v>
      </c>
    </row>
    <row r="5511" spans="1:2" x14ac:dyDescent="0.25">
      <c r="A5511" s="2">
        <v>5506</v>
      </c>
      <c r="B5511" s="11" t="str">
        <f>"00260656"</f>
        <v>00260656</v>
      </c>
    </row>
    <row r="5512" spans="1:2" x14ac:dyDescent="0.25">
      <c r="A5512" s="2">
        <v>5507</v>
      </c>
      <c r="B5512" s="11" t="str">
        <f>"00260660"</f>
        <v>00260660</v>
      </c>
    </row>
    <row r="5513" spans="1:2" x14ac:dyDescent="0.25">
      <c r="A5513" s="2">
        <v>5508</v>
      </c>
      <c r="B5513" s="11" t="str">
        <f>"00260707"</f>
        <v>00260707</v>
      </c>
    </row>
    <row r="5514" spans="1:2" x14ac:dyDescent="0.25">
      <c r="A5514" s="2">
        <v>5509</v>
      </c>
      <c r="B5514" s="11" t="str">
        <f>"00260813"</f>
        <v>00260813</v>
      </c>
    </row>
    <row r="5515" spans="1:2" x14ac:dyDescent="0.25">
      <c r="A5515" s="2">
        <v>5510</v>
      </c>
      <c r="B5515" s="11" t="str">
        <f>"00260817"</f>
        <v>00260817</v>
      </c>
    </row>
    <row r="5516" spans="1:2" x14ac:dyDescent="0.25">
      <c r="A5516" s="2">
        <v>5511</v>
      </c>
      <c r="B5516" s="11" t="str">
        <f>"00260983"</f>
        <v>00260983</v>
      </c>
    </row>
    <row r="5517" spans="1:2" x14ac:dyDescent="0.25">
      <c r="A5517" s="2">
        <v>5512</v>
      </c>
      <c r="B5517" s="11" t="str">
        <f>"00261029"</f>
        <v>00261029</v>
      </c>
    </row>
    <row r="5518" spans="1:2" x14ac:dyDescent="0.25">
      <c r="A5518" s="2">
        <v>5513</v>
      </c>
      <c r="B5518" s="11" t="str">
        <f>"00261061"</f>
        <v>00261061</v>
      </c>
    </row>
    <row r="5519" spans="1:2" x14ac:dyDescent="0.25">
      <c r="A5519" s="2">
        <v>5514</v>
      </c>
      <c r="B5519" s="11" t="str">
        <f>"00261078"</f>
        <v>00261078</v>
      </c>
    </row>
    <row r="5520" spans="1:2" x14ac:dyDescent="0.25">
      <c r="A5520" s="2">
        <v>5515</v>
      </c>
      <c r="B5520" s="11" t="str">
        <f>"00261124"</f>
        <v>00261124</v>
      </c>
    </row>
    <row r="5521" spans="1:2" x14ac:dyDescent="0.25">
      <c r="A5521" s="2">
        <v>5516</v>
      </c>
      <c r="B5521" s="11" t="str">
        <f>"00261187"</f>
        <v>00261187</v>
      </c>
    </row>
    <row r="5522" spans="1:2" x14ac:dyDescent="0.25">
      <c r="A5522" s="2">
        <v>5517</v>
      </c>
      <c r="B5522" s="11" t="str">
        <f>"00261191"</f>
        <v>00261191</v>
      </c>
    </row>
    <row r="5523" spans="1:2" x14ac:dyDescent="0.25">
      <c r="A5523" s="2">
        <v>5518</v>
      </c>
      <c r="B5523" s="11" t="str">
        <f>"00261201"</f>
        <v>00261201</v>
      </c>
    </row>
    <row r="5524" spans="1:2" x14ac:dyDescent="0.25">
      <c r="A5524" s="2">
        <v>5519</v>
      </c>
      <c r="B5524" s="11" t="str">
        <f>"00261231"</f>
        <v>00261231</v>
      </c>
    </row>
    <row r="5525" spans="1:2" x14ac:dyDescent="0.25">
      <c r="A5525" s="2">
        <v>5520</v>
      </c>
      <c r="B5525" s="11" t="str">
        <f>"00261294"</f>
        <v>00261294</v>
      </c>
    </row>
    <row r="5526" spans="1:2" x14ac:dyDescent="0.25">
      <c r="A5526" s="2">
        <v>5521</v>
      </c>
      <c r="B5526" s="11" t="str">
        <f>"00261301"</f>
        <v>00261301</v>
      </c>
    </row>
    <row r="5527" spans="1:2" x14ac:dyDescent="0.25">
      <c r="A5527" s="2">
        <v>5522</v>
      </c>
      <c r="B5527" s="11" t="str">
        <f>"00261327"</f>
        <v>00261327</v>
      </c>
    </row>
    <row r="5528" spans="1:2" x14ac:dyDescent="0.25">
      <c r="A5528" s="2">
        <v>5523</v>
      </c>
      <c r="B5528" s="11" t="str">
        <f>"00261349"</f>
        <v>00261349</v>
      </c>
    </row>
    <row r="5529" spans="1:2" x14ac:dyDescent="0.25">
      <c r="A5529" s="2">
        <v>5524</v>
      </c>
      <c r="B5529" s="11" t="str">
        <f>"00261420"</f>
        <v>00261420</v>
      </c>
    </row>
    <row r="5530" spans="1:2" x14ac:dyDescent="0.25">
      <c r="A5530" s="2">
        <v>5525</v>
      </c>
      <c r="B5530" s="11" t="str">
        <f>"00261426"</f>
        <v>00261426</v>
      </c>
    </row>
    <row r="5531" spans="1:2" x14ac:dyDescent="0.25">
      <c r="A5531" s="2">
        <v>5526</v>
      </c>
      <c r="B5531" s="11" t="str">
        <f>"00261436"</f>
        <v>00261436</v>
      </c>
    </row>
    <row r="5532" spans="1:2" x14ac:dyDescent="0.25">
      <c r="A5532" s="2">
        <v>5527</v>
      </c>
      <c r="B5532" s="11" t="str">
        <f>"00261489"</f>
        <v>00261489</v>
      </c>
    </row>
    <row r="5533" spans="1:2" x14ac:dyDescent="0.25">
      <c r="A5533" s="2">
        <v>5528</v>
      </c>
      <c r="B5533" s="11" t="str">
        <f>"00261533"</f>
        <v>00261533</v>
      </c>
    </row>
    <row r="5534" spans="1:2" x14ac:dyDescent="0.25">
      <c r="A5534" s="2">
        <v>5529</v>
      </c>
      <c r="B5534" s="11" t="str">
        <f>"00261542"</f>
        <v>00261542</v>
      </c>
    </row>
    <row r="5535" spans="1:2" x14ac:dyDescent="0.25">
      <c r="A5535" s="2">
        <v>5530</v>
      </c>
      <c r="B5535" s="11" t="str">
        <f>"00261571"</f>
        <v>00261571</v>
      </c>
    </row>
    <row r="5536" spans="1:2" x14ac:dyDescent="0.25">
      <c r="A5536" s="2">
        <v>5531</v>
      </c>
      <c r="B5536" s="11" t="str">
        <f>"00261607"</f>
        <v>00261607</v>
      </c>
    </row>
    <row r="5537" spans="1:2" x14ac:dyDescent="0.25">
      <c r="A5537" s="2">
        <v>5532</v>
      </c>
      <c r="B5537" s="11" t="str">
        <f>"00261680"</f>
        <v>00261680</v>
      </c>
    </row>
    <row r="5538" spans="1:2" x14ac:dyDescent="0.25">
      <c r="A5538" s="2">
        <v>5533</v>
      </c>
      <c r="B5538" s="11" t="str">
        <f>"00261733"</f>
        <v>00261733</v>
      </c>
    </row>
    <row r="5539" spans="1:2" x14ac:dyDescent="0.25">
      <c r="A5539" s="2">
        <v>5534</v>
      </c>
      <c r="B5539" s="11" t="str">
        <f>"00261763"</f>
        <v>00261763</v>
      </c>
    </row>
    <row r="5540" spans="1:2" x14ac:dyDescent="0.25">
      <c r="A5540" s="2">
        <v>5535</v>
      </c>
      <c r="B5540" s="11" t="str">
        <f>"00261800"</f>
        <v>00261800</v>
      </c>
    </row>
    <row r="5541" spans="1:2" x14ac:dyDescent="0.25">
      <c r="A5541" s="2">
        <v>5536</v>
      </c>
      <c r="B5541" s="11" t="str">
        <f>"00261845"</f>
        <v>00261845</v>
      </c>
    </row>
    <row r="5542" spans="1:2" x14ac:dyDescent="0.25">
      <c r="A5542" s="2">
        <v>5537</v>
      </c>
      <c r="B5542" s="11" t="str">
        <f>"00261862"</f>
        <v>00261862</v>
      </c>
    </row>
    <row r="5543" spans="1:2" x14ac:dyDescent="0.25">
      <c r="A5543" s="2">
        <v>5538</v>
      </c>
      <c r="B5543" s="11" t="str">
        <f>"00261885"</f>
        <v>00261885</v>
      </c>
    </row>
    <row r="5544" spans="1:2" x14ac:dyDescent="0.25">
      <c r="A5544" s="2">
        <v>5539</v>
      </c>
      <c r="B5544" s="11" t="str">
        <f>"00261904"</f>
        <v>00261904</v>
      </c>
    </row>
    <row r="5545" spans="1:2" x14ac:dyDescent="0.25">
      <c r="A5545" s="2">
        <v>5540</v>
      </c>
      <c r="B5545" s="11" t="str">
        <f>"00261989"</f>
        <v>00261989</v>
      </c>
    </row>
    <row r="5546" spans="1:2" x14ac:dyDescent="0.25">
      <c r="A5546" s="2">
        <v>5541</v>
      </c>
      <c r="B5546" s="11" t="str">
        <f>"00262033"</f>
        <v>00262033</v>
      </c>
    </row>
    <row r="5547" spans="1:2" x14ac:dyDescent="0.25">
      <c r="A5547" s="2">
        <v>5542</v>
      </c>
      <c r="B5547" s="11" t="str">
        <f>"00262035"</f>
        <v>00262035</v>
      </c>
    </row>
    <row r="5548" spans="1:2" x14ac:dyDescent="0.25">
      <c r="A5548" s="2">
        <v>5543</v>
      </c>
      <c r="B5548" s="11" t="str">
        <f>"00262066"</f>
        <v>00262066</v>
      </c>
    </row>
    <row r="5549" spans="1:2" x14ac:dyDescent="0.25">
      <c r="A5549" s="2">
        <v>5544</v>
      </c>
      <c r="B5549" s="11" t="str">
        <f>"00262077"</f>
        <v>00262077</v>
      </c>
    </row>
    <row r="5550" spans="1:2" x14ac:dyDescent="0.25">
      <c r="A5550" s="2">
        <v>5545</v>
      </c>
      <c r="B5550" s="11" t="str">
        <f>"00262081"</f>
        <v>00262081</v>
      </c>
    </row>
    <row r="5551" spans="1:2" x14ac:dyDescent="0.25">
      <c r="A5551" s="2">
        <v>5546</v>
      </c>
      <c r="B5551" s="11" t="str">
        <f>"00262091"</f>
        <v>00262091</v>
      </c>
    </row>
    <row r="5552" spans="1:2" x14ac:dyDescent="0.25">
      <c r="A5552" s="2">
        <v>5547</v>
      </c>
      <c r="B5552" s="11" t="str">
        <f>"00262181"</f>
        <v>00262181</v>
      </c>
    </row>
    <row r="5553" spans="1:2" x14ac:dyDescent="0.25">
      <c r="A5553" s="2">
        <v>5548</v>
      </c>
      <c r="B5553" s="11" t="str">
        <f>"00262289"</f>
        <v>00262289</v>
      </c>
    </row>
    <row r="5554" spans="1:2" x14ac:dyDescent="0.25">
      <c r="A5554" s="2">
        <v>5549</v>
      </c>
      <c r="B5554" s="11" t="str">
        <f>"00262330"</f>
        <v>00262330</v>
      </c>
    </row>
    <row r="5555" spans="1:2" x14ac:dyDescent="0.25">
      <c r="A5555" s="2">
        <v>5550</v>
      </c>
      <c r="B5555" s="11" t="str">
        <f>"00262345"</f>
        <v>00262345</v>
      </c>
    </row>
    <row r="5556" spans="1:2" x14ac:dyDescent="0.25">
      <c r="A5556" s="2">
        <v>5551</v>
      </c>
      <c r="B5556" s="11" t="str">
        <f>"00262504"</f>
        <v>00262504</v>
      </c>
    </row>
    <row r="5557" spans="1:2" x14ac:dyDescent="0.25">
      <c r="A5557" s="2">
        <v>5552</v>
      </c>
      <c r="B5557" s="11" t="str">
        <f>"00262668"</f>
        <v>00262668</v>
      </c>
    </row>
    <row r="5558" spans="1:2" x14ac:dyDescent="0.25">
      <c r="A5558" s="2">
        <v>5553</v>
      </c>
      <c r="B5558" s="11" t="str">
        <f>"00262711"</f>
        <v>00262711</v>
      </c>
    </row>
    <row r="5559" spans="1:2" x14ac:dyDescent="0.25">
      <c r="A5559" s="2">
        <v>5554</v>
      </c>
      <c r="B5559" s="11" t="str">
        <f>"00262760"</f>
        <v>00262760</v>
      </c>
    </row>
    <row r="5560" spans="1:2" x14ac:dyDescent="0.25">
      <c r="A5560" s="2">
        <v>5555</v>
      </c>
      <c r="B5560" s="11" t="str">
        <f>"00262781"</f>
        <v>00262781</v>
      </c>
    </row>
    <row r="5561" spans="1:2" x14ac:dyDescent="0.25">
      <c r="A5561" s="2">
        <v>5556</v>
      </c>
      <c r="B5561" s="11" t="str">
        <f>"00262889"</f>
        <v>00262889</v>
      </c>
    </row>
    <row r="5562" spans="1:2" x14ac:dyDescent="0.25">
      <c r="A5562" s="2">
        <v>5557</v>
      </c>
      <c r="B5562" s="11" t="str">
        <f>"00262899"</f>
        <v>00262899</v>
      </c>
    </row>
    <row r="5563" spans="1:2" x14ac:dyDescent="0.25">
      <c r="A5563" s="2">
        <v>5558</v>
      </c>
      <c r="B5563" s="11" t="str">
        <f>"00262942"</f>
        <v>00262942</v>
      </c>
    </row>
    <row r="5564" spans="1:2" x14ac:dyDescent="0.25">
      <c r="A5564" s="2">
        <v>5559</v>
      </c>
      <c r="B5564" s="11" t="str">
        <f>"00263030"</f>
        <v>00263030</v>
      </c>
    </row>
    <row r="5565" spans="1:2" x14ac:dyDescent="0.25">
      <c r="A5565" s="2">
        <v>5560</v>
      </c>
      <c r="B5565" s="11" t="str">
        <f>"00263038"</f>
        <v>00263038</v>
      </c>
    </row>
    <row r="5566" spans="1:2" x14ac:dyDescent="0.25">
      <c r="A5566" s="2">
        <v>5561</v>
      </c>
      <c r="B5566" s="11" t="str">
        <f>"00263136"</f>
        <v>00263136</v>
      </c>
    </row>
    <row r="5567" spans="1:2" x14ac:dyDescent="0.25">
      <c r="A5567" s="2">
        <v>5562</v>
      </c>
      <c r="B5567" s="11" t="str">
        <f>"00263171"</f>
        <v>00263171</v>
      </c>
    </row>
    <row r="5568" spans="1:2" x14ac:dyDescent="0.25">
      <c r="A5568" s="2">
        <v>5563</v>
      </c>
      <c r="B5568" s="11" t="str">
        <f>"00263196"</f>
        <v>00263196</v>
      </c>
    </row>
    <row r="5569" spans="1:2" x14ac:dyDescent="0.25">
      <c r="A5569" s="2">
        <v>5564</v>
      </c>
      <c r="B5569" s="11" t="str">
        <f>"00263246"</f>
        <v>00263246</v>
      </c>
    </row>
    <row r="5570" spans="1:2" x14ac:dyDescent="0.25">
      <c r="A5570" s="2">
        <v>5565</v>
      </c>
      <c r="B5570" s="11" t="str">
        <f>"00263252"</f>
        <v>00263252</v>
      </c>
    </row>
    <row r="5571" spans="1:2" x14ac:dyDescent="0.25">
      <c r="A5571" s="2">
        <v>5566</v>
      </c>
      <c r="B5571" s="11" t="str">
        <f>"00263421"</f>
        <v>00263421</v>
      </c>
    </row>
    <row r="5572" spans="1:2" x14ac:dyDescent="0.25">
      <c r="A5572" s="2">
        <v>5567</v>
      </c>
      <c r="B5572" s="11" t="str">
        <f>"00263441"</f>
        <v>00263441</v>
      </c>
    </row>
    <row r="5573" spans="1:2" x14ac:dyDescent="0.25">
      <c r="A5573" s="2">
        <v>5568</v>
      </c>
      <c r="B5573" s="11" t="str">
        <f>"00263521"</f>
        <v>00263521</v>
      </c>
    </row>
    <row r="5574" spans="1:2" x14ac:dyDescent="0.25">
      <c r="A5574" s="2">
        <v>5569</v>
      </c>
      <c r="B5574" s="11" t="str">
        <f>"00263576"</f>
        <v>00263576</v>
      </c>
    </row>
    <row r="5575" spans="1:2" x14ac:dyDescent="0.25">
      <c r="A5575" s="2">
        <v>5570</v>
      </c>
      <c r="B5575" s="11" t="str">
        <f>"00263620"</f>
        <v>00263620</v>
      </c>
    </row>
    <row r="5576" spans="1:2" x14ac:dyDescent="0.25">
      <c r="A5576" s="2">
        <v>5571</v>
      </c>
      <c r="B5576" s="11" t="str">
        <f>"00263682"</f>
        <v>00263682</v>
      </c>
    </row>
    <row r="5577" spans="1:2" x14ac:dyDescent="0.25">
      <c r="A5577" s="2">
        <v>5572</v>
      </c>
      <c r="B5577" s="11" t="str">
        <f>"00263783"</f>
        <v>00263783</v>
      </c>
    </row>
    <row r="5578" spans="1:2" x14ac:dyDescent="0.25">
      <c r="A5578" s="2">
        <v>5573</v>
      </c>
      <c r="B5578" s="11" t="str">
        <f>"00263852"</f>
        <v>00263852</v>
      </c>
    </row>
    <row r="5579" spans="1:2" x14ac:dyDescent="0.25">
      <c r="A5579" s="2">
        <v>5574</v>
      </c>
      <c r="B5579" s="11" t="str">
        <f>"00263885"</f>
        <v>00263885</v>
      </c>
    </row>
    <row r="5580" spans="1:2" x14ac:dyDescent="0.25">
      <c r="A5580" s="2">
        <v>5575</v>
      </c>
      <c r="B5580" s="11" t="str">
        <f>"00264035"</f>
        <v>00264035</v>
      </c>
    </row>
    <row r="5581" spans="1:2" x14ac:dyDescent="0.25">
      <c r="A5581" s="2">
        <v>5576</v>
      </c>
      <c r="B5581" s="11" t="str">
        <f>"00264072"</f>
        <v>00264072</v>
      </c>
    </row>
    <row r="5582" spans="1:2" x14ac:dyDescent="0.25">
      <c r="A5582" s="2">
        <v>5577</v>
      </c>
      <c r="B5582" s="11" t="str">
        <f>"00264124"</f>
        <v>00264124</v>
      </c>
    </row>
    <row r="5583" spans="1:2" x14ac:dyDescent="0.25">
      <c r="A5583" s="2">
        <v>5578</v>
      </c>
      <c r="B5583" s="11" t="str">
        <f>"00264139"</f>
        <v>00264139</v>
      </c>
    </row>
    <row r="5584" spans="1:2" x14ac:dyDescent="0.25">
      <c r="A5584" s="2">
        <v>5579</v>
      </c>
      <c r="B5584" s="11" t="str">
        <f>"00264158"</f>
        <v>00264158</v>
      </c>
    </row>
    <row r="5585" spans="1:2" x14ac:dyDescent="0.25">
      <c r="A5585" s="2">
        <v>5580</v>
      </c>
      <c r="B5585" s="11" t="str">
        <f>"00264166"</f>
        <v>00264166</v>
      </c>
    </row>
    <row r="5586" spans="1:2" x14ac:dyDescent="0.25">
      <c r="A5586" s="2">
        <v>5581</v>
      </c>
      <c r="B5586" s="11" t="str">
        <f>"00264187"</f>
        <v>00264187</v>
      </c>
    </row>
    <row r="5587" spans="1:2" x14ac:dyDescent="0.25">
      <c r="A5587" s="2">
        <v>5582</v>
      </c>
      <c r="B5587" s="11" t="str">
        <f>"00264261"</f>
        <v>00264261</v>
      </c>
    </row>
    <row r="5588" spans="1:2" x14ac:dyDescent="0.25">
      <c r="A5588" s="2">
        <v>5583</v>
      </c>
      <c r="B5588" s="11" t="str">
        <f>"00264266"</f>
        <v>00264266</v>
      </c>
    </row>
    <row r="5589" spans="1:2" x14ac:dyDescent="0.25">
      <c r="A5589" s="2">
        <v>5584</v>
      </c>
      <c r="B5589" s="11" t="str">
        <f>"00264413"</f>
        <v>00264413</v>
      </c>
    </row>
    <row r="5590" spans="1:2" x14ac:dyDescent="0.25">
      <c r="A5590" s="2">
        <v>5585</v>
      </c>
      <c r="B5590" s="11" t="str">
        <f>"00264422"</f>
        <v>00264422</v>
      </c>
    </row>
    <row r="5591" spans="1:2" x14ac:dyDescent="0.25">
      <c r="A5591" s="2">
        <v>5586</v>
      </c>
      <c r="B5591" s="11" t="str">
        <f>"00264597"</f>
        <v>00264597</v>
      </c>
    </row>
    <row r="5592" spans="1:2" x14ac:dyDescent="0.25">
      <c r="A5592" s="2">
        <v>5587</v>
      </c>
      <c r="B5592" s="11" t="str">
        <f>"00264606"</f>
        <v>00264606</v>
      </c>
    </row>
    <row r="5593" spans="1:2" x14ac:dyDescent="0.25">
      <c r="A5593" s="2">
        <v>5588</v>
      </c>
      <c r="B5593" s="11" t="str">
        <f>"00264653"</f>
        <v>00264653</v>
      </c>
    </row>
    <row r="5594" spans="1:2" x14ac:dyDescent="0.25">
      <c r="A5594" s="2">
        <v>5589</v>
      </c>
      <c r="B5594" s="11" t="str">
        <f>"00264685"</f>
        <v>00264685</v>
      </c>
    </row>
    <row r="5595" spans="1:2" x14ac:dyDescent="0.25">
      <c r="A5595" s="2">
        <v>5590</v>
      </c>
      <c r="B5595" s="11" t="str">
        <f>"00264713"</f>
        <v>00264713</v>
      </c>
    </row>
    <row r="5596" spans="1:2" x14ac:dyDescent="0.25">
      <c r="A5596" s="2">
        <v>5591</v>
      </c>
      <c r="B5596" s="11" t="str">
        <f>"00264714"</f>
        <v>00264714</v>
      </c>
    </row>
    <row r="5597" spans="1:2" x14ac:dyDescent="0.25">
      <c r="A5597" s="2">
        <v>5592</v>
      </c>
      <c r="B5597" s="11" t="str">
        <f>"00264720"</f>
        <v>00264720</v>
      </c>
    </row>
    <row r="5598" spans="1:2" x14ac:dyDescent="0.25">
      <c r="A5598" s="2">
        <v>5593</v>
      </c>
      <c r="B5598" s="11" t="str">
        <f>"00264741"</f>
        <v>00264741</v>
      </c>
    </row>
    <row r="5599" spans="1:2" x14ac:dyDescent="0.25">
      <c r="A5599" s="2">
        <v>5594</v>
      </c>
      <c r="B5599" s="11" t="str">
        <f>"00264752"</f>
        <v>00264752</v>
      </c>
    </row>
    <row r="5600" spans="1:2" x14ac:dyDescent="0.25">
      <c r="A5600" s="2">
        <v>5595</v>
      </c>
      <c r="B5600" s="11" t="str">
        <f>"00264764"</f>
        <v>00264764</v>
      </c>
    </row>
    <row r="5601" spans="1:2" x14ac:dyDescent="0.25">
      <c r="A5601" s="2">
        <v>5596</v>
      </c>
      <c r="B5601" s="11" t="str">
        <f>"00264771"</f>
        <v>00264771</v>
      </c>
    </row>
    <row r="5602" spans="1:2" x14ac:dyDescent="0.25">
      <c r="A5602" s="2">
        <v>5597</v>
      </c>
      <c r="B5602" s="11" t="str">
        <f>"00264865"</f>
        <v>00264865</v>
      </c>
    </row>
    <row r="5603" spans="1:2" x14ac:dyDescent="0.25">
      <c r="A5603" s="2">
        <v>5598</v>
      </c>
      <c r="B5603" s="11" t="str">
        <f>"00264944"</f>
        <v>00264944</v>
      </c>
    </row>
    <row r="5604" spans="1:2" x14ac:dyDescent="0.25">
      <c r="A5604" s="2">
        <v>5599</v>
      </c>
      <c r="B5604" s="11" t="str">
        <f>"00264969"</f>
        <v>00264969</v>
      </c>
    </row>
    <row r="5605" spans="1:2" x14ac:dyDescent="0.25">
      <c r="A5605" s="2">
        <v>5600</v>
      </c>
      <c r="B5605" s="11" t="str">
        <f>"00264975"</f>
        <v>00264975</v>
      </c>
    </row>
    <row r="5606" spans="1:2" x14ac:dyDescent="0.25">
      <c r="A5606" s="2">
        <v>5601</v>
      </c>
      <c r="B5606" s="11" t="str">
        <f>"00264991"</f>
        <v>00264991</v>
      </c>
    </row>
    <row r="5607" spans="1:2" x14ac:dyDescent="0.25">
      <c r="A5607" s="2">
        <v>5602</v>
      </c>
      <c r="B5607" s="11" t="str">
        <f>"00265070"</f>
        <v>00265070</v>
      </c>
    </row>
    <row r="5608" spans="1:2" x14ac:dyDescent="0.25">
      <c r="A5608" s="2">
        <v>5603</v>
      </c>
      <c r="B5608" s="11" t="str">
        <f>"00265104"</f>
        <v>00265104</v>
      </c>
    </row>
    <row r="5609" spans="1:2" x14ac:dyDescent="0.25">
      <c r="A5609" s="2">
        <v>5604</v>
      </c>
      <c r="B5609" s="11" t="str">
        <f>"00265194"</f>
        <v>00265194</v>
      </c>
    </row>
    <row r="5610" spans="1:2" x14ac:dyDescent="0.25">
      <c r="A5610" s="2">
        <v>5605</v>
      </c>
      <c r="B5610" s="11" t="str">
        <f>"00265216"</f>
        <v>00265216</v>
      </c>
    </row>
    <row r="5611" spans="1:2" x14ac:dyDescent="0.25">
      <c r="A5611" s="2">
        <v>5606</v>
      </c>
      <c r="B5611" s="11" t="str">
        <f>"00265229"</f>
        <v>00265229</v>
      </c>
    </row>
    <row r="5612" spans="1:2" x14ac:dyDescent="0.25">
      <c r="A5612" s="2">
        <v>5607</v>
      </c>
      <c r="B5612" s="11" t="str">
        <f>"00265302"</f>
        <v>00265302</v>
      </c>
    </row>
    <row r="5613" spans="1:2" x14ac:dyDescent="0.25">
      <c r="A5613" s="2">
        <v>5608</v>
      </c>
      <c r="B5613" s="11" t="str">
        <f>"00265368"</f>
        <v>00265368</v>
      </c>
    </row>
    <row r="5614" spans="1:2" x14ac:dyDescent="0.25">
      <c r="A5614" s="2">
        <v>5609</v>
      </c>
      <c r="B5614" s="11" t="str">
        <f>"00265379"</f>
        <v>00265379</v>
      </c>
    </row>
    <row r="5615" spans="1:2" x14ac:dyDescent="0.25">
      <c r="A5615" s="2">
        <v>5610</v>
      </c>
      <c r="B5615" s="11" t="str">
        <f>"00265392"</f>
        <v>00265392</v>
      </c>
    </row>
    <row r="5616" spans="1:2" x14ac:dyDescent="0.25">
      <c r="A5616" s="2">
        <v>5611</v>
      </c>
      <c r="B5616" s="11" t="str">
        <f>"00265395"</f>
        <v>00265395</v>
      </c>
    </row>
    <row r="5617" spans="1:2" x14ac:dyDescent="0.25">
      <c r="A5617" s="2">
        <v>5612</v>
      </c>
      <c r="B5617" s="11" t="str">
        <f>"00265538"</f>
        <v>00265538</v>
      </c>
    </row>
    <row r="5618" spans="1:2" x14ac:dyDescent="0.25">
      <c r="A5618" s="2">
        <v>5613</v>
      </c>
      <c r="B5618" s="11" t="str">
        <f>"00265543"</f>
        <v>00265543</v>
      </c>
    </row>
    <row r="5619" spans="1:2" x14ac:dyDescent="0.25">
      <c r="A5619" s="2">
        <v>5614</v>
      </c>
      <c r="B5619" s="11" t="str">
        <f>"00265562"</f>
        <v>00265562</v>
      </c>
    </row>
    <row r="5620" spans="1:2" x14ac:dyDescent="0.25">
      <c r="A5620" s="2">
        <v>5615</v>
      </c>
      <c r="B5620" s="11" t="str">
        <f>"00265568"</f>
        <v>00265568</v>
      </c>
    </row>
    <row r="5621" spans="1:2" x14ac:dyDescent="0.25">
      <c r="A5621" s="2">
        <v>5616</v>
      </c>
      <c r="B5621" s="11" t="str">
        <f>"00265626"</f>
        <v>00265626</v>
      </c>
    </row>
    <row r="5622" spans="1:2" x14ac:dyDescent="0.25">
      <c r="A5622" s="2">
        <v>5617</v>
      </c>
      <c r="B5622" s="11" t="str">
        <f>"00265653"</f>
        <v>00265653</v>
      </c>
    </row>
    <row r="5623" spans="1:2" x14ac:dyDescent="0.25">
      <c r="A5623" s="2">
        <v>5618</v>
      </c>
      <c r="B5623" s="11" t="str">
        <f>"00265673"</f>
        <v>00265673</v>
      </c>
    </row>
    <row r="5624" spans="1:2" x14ac:dyDescent="0.25">
      <c r="A5624" s="2">
        <v>5619</v>
      </c>
      <c r="B5624" s="11" t="str">
        <f>"00265674"</f>
        <v>00265674</v>
      </c>
    </row>
    <row r="5625" spans="1:2" x14ac:dyDescent="0.25">
      <c r="A5625" s="2">
        <v>5620</v>
      </c>
      <c r="B5625" s="11" t="str">
        <f>"00265759"</f>
        <v>00265759</v>
      </c>
    </row>
    <row r="5626" spans="1:2" x14ac:dyDescent="0.25">
      <c r="A5626" s="2">
        <v>5621</v>
      </c>
      <c r="B5626" s="11" t="str">
        <f>"00265786"</f>
        <v>00265786</v>
      </c>
    </row>
    <row r="5627" spans="1:2" x14ac:dyDescent="0.25">
      <c r="A5627" s="2">
        <v>5622</v>
      </c>
      <c r="B5627" s="11" t="str">
        <f>"00265873"</f>
        <v>00265873</v>
      </c>
    </row>
    <row r="5628" spans="1:2" x14ac:dyDescent="0.25">
      <c r="A5628" s="2">
        <v>5623</v>
      </c>
      <c r="B5628" s="11" t="str">
        <f>"00265878"</f>
        <v>00265878</v>
      </c>
    </row>
    <row r="5629" spans="1:2" x14ac:dyDescent="0.25">
      <c r="A5629" s="2">
        <v>5624</v>
      </c>
      <c r="B5629" s="11" t="str">
        <f>"00265887"</f>
        <v>00265887</v>
      </c>
    </row>
    <row r="5630" spans="1:2" x14ac:dyDescent="0.25">
      <c r="A5630" s="2">
        <v>5625</v>
      </c>
      <c r="B5630" s="11" t="str">
        <f>"00265939"</f>
        <v>00265939</v>
      </c>
    </row>
    <row r="5631" spans="1:2" x14ac:dyDescent="0.25">
      <c r="A5631" s="2">
        <v>5626</v>
      </c>
      <c r="B5631" s="11" t="str">
        <f>"00265997"</f>
        <v>00265997</v>
      </c>
    </row>
    <row r="5632" spans="1:2" x14ac:dyDescent="0.25">
      <c r="A5632" s="2">
        <v>5627</v>
      </c>
      <c r="B5632" s="11" t="str">
        <f>"00266006"</f>
        <v>00266006</v>
      </c>
    </row>
    <row r="5633" spans="1:2" x14ac:dyDescent="0.25">
      <c r="A5633" s="2">
        <v>5628</v>
      </c>
      <c r="B5633" s="11" t="str">
        <f>"00266090"</f>
        <v>00266090</v>
      </c>
    </row>
    <row r="5634" spans="1:2" x14ac:dyDescent="0.25">
      <c r="A5634" s="2">
        <v>5629</v>
      </c>
      <c r="B5634" s="11" t="str">
        <f>"00266101"</f>
        <v>00266101</v>
      </c>
    </row>
    <row r="5635" spans="1:2" x14ac:dyDescent="0.25">
      <c r="A5635" s="2">
        <v>5630</v>
      </c>
      <c r="B5635" s="11" t="str">
        <f>"00266106"</f>
        <v>00266106</v>
      </c>
    </row>
    <row r="5636" spans="1:2" x14ac:dyDescent="0.25">
      <c r="A5636" s="2">
        <v>5631</v>
      </c>
      <c r="B5636" s="11" t="str">
        <f>"00266206"</f>
        <v>00266206</v>
      </c>
    </row>
    <row r="5637" spans="1:2" x14ac:dyDescent="0.25">
      <c r="A5637" s="2">
        <v>5632</v>
      </c>
      <c r="B5637" s="11" t="str">
        <f>"00266211"</f>
        <v>00266211</v>
      </c>
    </row>
    <row r="5638" spans="1:2" x14ac:dyDescent="0.25">
      <c r="A5638" s="2">
        <v>5633</v>
      </c>
      <c r="B5638" s="11" t="str">
        <f>"00266231"</f>
        <v>00266231</v>
      </c>
    </row>
    <row r="5639" spans="1:2" x14ac:dyDescent="0.25">
      <c r="A5639" s="2">
        <v>5634</v>
      </c>
      <c r="B5639" s="11" t="str">
        <f>"00266328"</f>
        <v>00266328</v>
      </c>
    </row>
    <row r="5640" spans="1:2" x14ac:dyDescent="0.25">
      <c r="A5640" s="2">
        <v>5635</v>
      </c>
      <c r="B5640" s="11" t="str">
        <f>"00266334"</f>
        <v>00266334</v>
      </c>
    </row>
    <row r="5641" spans="1:2" x14ac:dyDescent="0.25">
      <c r="A5641" s="2">
        <v>5636</v>
      </c>
      <c r="B5641" s="11" t="str">
        <f>"00266373"</f>
        <v>00266373</v>
      </c>
    </row>
    <row r="5642" spans="1:2" x14ac:dyDescent="0.25">
      <c r="A5642" s="2">
        <v>5637</v>
      </c>
      <c r="B5642" s="11" t="str">
        <f>"00266414"</f>
        <v>00266414</v>
      </c>
    </row>
    <row r="5643" spans="1:2" x14ac:dyDescent="0.25">
      <c r="A5643" s="2">
        <v>5638</v>
      </c>
      <c r="B5643" s="11" t="str">
        <f>"00266423"</f>
        <v>00266423</v>
      </c>
    </row>
    <row r="5644" spans="1:2" x14ac:dyDescent="0.25">
      <c r="A5644" s="2">
        <v>5639</v>
      </c>
      <c r="B5644" s="11" t="str">
        <f>"00266456"</f>
        <v>00266456</v>
      </c>
    </row>
    <row r="5645" spans="1:2" x14ac:dyDescent="0.25">
      <c r="A5645" s="2">
        <v>5640</v>
      </c>
      <c r="B5645" s="11" t="str">
        <f>"00266473"</f>
        <v>00266473</v>
      </c>
    </row>
    <row r="5646" spans="1:2" x14ac:dyDescent="0.25">
      <c r="A5646" s="2">
        <v>5641</v>
      </c>
      <c r="B5646" s="11" t="str">
        <f>"00266556"</f>
        <v>00266556</v>
      </c>
    </row>
    <row r="5647" spans="1:2" x14ac:dyDescent="0.25">
      <c r="A5647" s="2">
        <v>5642</v>
      </c>
      <c r="B5647" s="11" t="str">
        <f>"00266563"</f>
        <v>00266563</v>
      </c>
    </row>
    <row r="5648" spans="1:2" x14ac:dyDescent="0.25">
      <c r="A5648" s="2">
        <v>5643</v>
      </c>
      <c r="B5648" s="11" t="str">
        <f>"00266572"</f>
        <v>00266572</v>
      </c>
    </row>
    <row r="5649" spans="1:2" x14ac:dyDescent="0.25">
      <c r="A5649" s="2">
        <v>5644</v>
      </c>
      <c r="B5649" s="11" t="str">
        <f>"00266584"</f>
        <v>00266584</v>
      </c>
    </row>
    <row r="5650" spans="1:2" x14ac:dyDescent="0.25">
      <c r="A5650" s="2">
        <v>5645</v>
      </c>
      <c r="B5650" s="11" t="str">
        <f>"00266626"</f>
        <v>00266626</v>
      </c>
    </row>
    <row r="5651" spans="1:2" x14ac:dyDescent="0.25">
      <c r="A5651" s="2">
        <v>5646</v>
      </c>
      <c r="B5651" s="11" t="str">
        <f>"00266686"</f>
        <v>00266686</v>
      </c>
    </row>
    <row r="5652" spans="1:2" x14ac:dyDescent="0.25">
      <c r="A5652" s="2">
        <v>5647</v>
      </c>
      <c r="B5652" s="11" t="str">
        <f>"00266731"</f>
        <v>00266731</v>
      </c>
    </row>
    <row r="5653" spans="1:2" x14ac:dyDescent="0.25">
      <c r="A5653" s="2">
        <v>5648</v>
      </c>
      <c r="B5653" s="11" t="str">
        <f>"00266748"</f>
        <v>00266748</v>
      </c>
    </row>
    <row r="5654" spans="1:2" x14ac:dyDescent="0.25">
      <c r="A5654" s="2">
        <v>5649</v>
      </c>
      <c r="B5654" s="11" t="str">
        <f>"00266766"</f>
        <v>00266766</v>
      </c>
    </row>
    <row r="5655" spans="1:2" x14ac:dyDescent="0.25">
      <c r="A5655" s="2">
        <v>5650</v>
      </c>
      <c r="B5655" s="11" t="str">
        <f>"00266818"</f>
        <v>00266818</v>
      </c>
    </row>
    <row r="5656" spans="1:2" x14ac:dyDescent="0.25">
      <c r="A5656" s="2">
        <v>5651</v>
      </c>
      <c r="B5656" s="11" t="str">
        <f>"00266973"</f>
        <v>00266973</v>
      </c>
    </row>
    <row r="5657" spans="1:2" x14ac:dyDescent="0.25">
      <c r="A5657" s="2">
        <v>5652</v>
      </c>
      <c r="B5657" s="11" t="str">
        <f>"00267057"</f>
        <v>00267057</v>
      </c>
    </row>
    <row r="5658" spans="1:2" x14ac:dyDescent="0.25">
      <c r="A5658" s="2">
        <v>5653</v>
      </c>
      <c r="B5658" s="11" t="str">
        <f>"00267158"</f>
        <v>00267158</v>
      </c>
    </row>
    <row r="5659" spans="1:2" x14ac:dyDescent="0.25">
      <c r="A5659" s="2">
        <v>5654</v>
      </c>
      <c r="B5659" s="11" t="str">
        <f>"00267163"</f>
        <v>00267163</v>
      </c>
    </row>
    <row r="5660" spans="1:2" x14ac:dyDescent="0.25">
      <c r="A5660" s="2">
        <v>5655</v>
      </c>
      <c r="B5660" s="11" t="str">
        <f>"00267246"</f>
        <v>00267246</v>
      </c>
    </row>
    <row r="5661" spans="1:2" x14ac:dyDescent="0.25">
      <c r="A5661" s="2">
        <v>5656</v>
      </c>
      <c r="B5661" s="11" t="str">
        <f>"00267264"</f>
        <v>00267264</v>
      </c>
    </row>
    <row r="5662" spans="1:2" x14ac:dyDescent="0.25">
      <c r="A5662" s="2">
        <v>5657</v>
      </c>
      <c r="B5662" s="11" t="str">
        <f>"00267270"</f>
        <v>00267270</v>
      </c>
    </row>
    <row r="5663" spans="1:2" x14ac:dyDescent="0.25">
      <c r="A5663" s="2">
        <v>5658</v>
      </c>
      <c r="B5663" s="11" t="str">
        <f>"00267375"</f>
        <v>00267375</v>
      </c>
    </row>
    <row r="5664" spans="1:2" x14ac:dyDescent="0.25">
      <c r="A5664" s="2">
        <v>5659</v>
      </c>
      <c r="B5664" s="11" t="str">
        <f>"00267391"</f>
        <v>00267391</v>
      </c>
    </row>
    <row r="5665" spans="1:2" x14ac:dyDescent="0.25">
      <c r="A5665" s="2">
        <v>5660</v>
      </c>
      <c r="B5665" s="11" t="str">
        <f>"00267450"</f>
        <v>00267450</v>
      </c>
    </row>
    <row r="5666" spans="1:2" x14ac:dyDescent="0.25">
      <c r="A5666" s="2">
        <v>5661</v>
      </c>
      <c r="B5666" s="11" t="str">
        <f>"00267595"</f>
        <v>00267595</v>
      </c>
    </row>
    <row r="5667" spans="1:2" x14ac:dyDescent="0.25">
      <c r="A5667" s="2">
        <v>5662</v>
      </c>
      <c r="B5667" s="11" t="str">
        <f>"00267628"</f>
        <v>00267628</v>
      </c>
    </row>
    <row r="5668" spans="1:2" x14ac:dyDescent="0.25">
      <c r="A5668" s="2">
        <v>5663</v>
      </c>
      <c r="B5668" s="11" t="str">
        <f>"00267650"</f>
        <v>00267650</v>
      </c>
    </row>
    <row r="5669" spans="1:2" x14ac:dyDescent="0.25">
      <c r="A5669" s="2">
        <v>5664</v>
      </c>
      <c r="B5669" s="11" t="str">
        <f>"00267742"</f>
        <v>00267742</v>
      </c>
    </row>
    <row r="5670" spans="1:2" x14ac:dyDescent="0.25">
      <c r="A5670" s="2">
        <v>5665</v>
      </c>
      <c r="B5670" s="11" t="str">
        <f>"00267755"</f>
        <v>00267755</v>
      </c>
    </row>
    <row r="5671" spans="1:2" x14ac:dyDescent="0.25">
      <c r="A5671" s="2">
        <v>5666</v>
      </c>
      <c r="B5671" s="11" t="str">
        <f>"00267847"</f>
        <v>00267847</v>
      </c>
    </row>
    <row r="5672" spans="1:2" x14ac:dyDescent="0.25">
      <c r="A5672" s="2">
        <v>5667</v>
      </c>
      <c r="B5672" s="11" t="str">
        <f>"00267888"</f>
        <v>00267888</v>
      </c>
    </row>
    <row r="5673" spans="1:2" x14ac:dyDescent="0.25">
      <c r="A5673" s="2">
        <v>5668</v>
      </c>
      <c r="B5673" s="11" t="str">
        <f>"00267959"</f>
        <v>00267959</v>
      </c>
    </row>
    <row r="5674" spans="1:2" x14ac:dyDescent="0.25">
      <c r="A5674" s="2">
        <v>5669</v>
      </c>
      <c r="B5674" s="11" t="str">
        <f>"00268039"</f>
        <v>00268039</v>
      </c>
    </row>
    <row r="5675" spans="1:2" x14ac:dyDescent="0.25">
      <c r="A5675" s="2">
        <v>5670</v>
      </c>
      <c r="B5675" s="11" t="str">
        <f>"00268045"</f>
        <v>00268045</v>
      </c>
    </row>
    <row r="5676" spans="1:2" x14ac:dyDescent="0.25">
      <c r="A5676" s="2">
        <v>5671</v>
      </c>
      <c r="B5676" s="11" t="str">
        <f>"00268093"</f>
        <v>00268093</v>
      </c>
    </row>
    <row r="5677" spans="1:2" x14ac:dyDescent="0.25">
      <c r="A5677" s="2">
        <v>5672</v>
      </c>
      <c r="B5677" s="11" t="str">
        <f>"00268213"</f>
        <v>00268213</v>
      </c>
    </row>
    <row r="5678" spans="1:2" x14ac:dyDescent="0.25">
      <c r="A5678" s="2">
        <v>5673</v>
      </c>
      <c r="B5678" s="11" t="str">
        <f>"00268225"</f>
        <v>00268225</v>
      </c>
    </row>
    <row r="5679" spans="1:2" x14ac:dyDescent="0.25">
      <c r="A5679" s="2">
        <v>5674</v>
      </c>
      <c r="B5679" s="11" t="str">
        <f>"00268233"</f>
        <v>00268233</v>
      </c>
    </row>
    <row r="5680" spans="1:2" x14ac:dyDescent="0.25">
      <c r="A5680" s="2">
        <v>5675</v>
      </c>
      <c r="B5680" s="11" t="str">
        <f>"00268270"</f>
        <v>00268270</v>
      </c>
    </row>
    <row r="5681" spans="1:2" x14ac:dyDescent="0.25">
      <c r="A5681" s="2">
        <v>5676</v>
      </c>
      <c r="B5681" s="11" t="str">
        <f>"00268349"</f>
        <v>00268349</v>
      </c>
    </row>
    <row r="5682" spans="1:2" x14ac:dyDescent="0.25">
      <c r="A5682" s="2">
        <v>5677</v>
      </c>
      <c r="B5682" s="11" t="str">
        <f>"00268373"</f>
        <v>00268373</v>
      </c>
    </row>
    <row r="5683" spans="1:2" x14ac:dyDescent="0.25">
      <c r="A5683" s="2">
        <v>5678</v>
      </c>
      <c r="B5683" s="11" t="str">
        <f>"00268457"</f>
        <v>00268457</v>
      </c>
    </row>
    <row r="5684" spans="1:2" x14ac:dyDescent="0.25">
      <c r="A5684" s="2">
        <v>5679</v>
      </c>
      <c r="B5684" s="11" t="str">
        <f>"00268564"</f>
        <v>00268564</v>
      </c>
    </row>
    <row r="5685" spans="1:2" x14ac:dyDescent="0.25">
      <c r="A5685" s="2">
        <v>5680</v>
      </c>
      <c r="B5685" s="11" t="str">
        <f>"00268650"</f>
        <v>00268650</v>
      </c>
    </row>
    <row r="5686" spans="1:2" x14ac:dyDescent="0.25">
      <c r="A5686" s="2">
        <v>5681</v>
      </c>
      <c r="B5686" s="11" t="str">
        <f>"00268658"</f>
        <v>00268658</v>
      </c>
    </row>
    <row r="5687" spans="1:2" x14ac:dyDescent="0.25">
      <c r="A5687" s="2">
        <v>5682</v>
      </c>
      <c r="B5687" s="11" t="str">
        <f>"00268747"</f>
        <v>00268747</v>
      </c>
    </row>
    <row r="5688" spans="1:2" x14ac:dyDescent="0.25">
      <c r="A5688" s="2">
        <v>5683</v>
      </c>
      <c r="B5688" s="11" t="str">
        <f>"00268761"</f>
        <v>00268761</v>
      </c>
    </row>
    <row r="5689" spans="1:2" x14ac:dyDescent="0.25">
      <c r="A5689" s="2">
        <v>5684</v>
      </c>
      <c r="B5689" s="11" t="str">
        <f>"00268767"</f>
        <v>00268767</v>
      </c>
    </row>
    <row r="5690" spans="1:2" x14ac:dyDescent="0.25">
      <c r="A5690" s="2">
        <v>5685</v>
      </c>
      <c r="B5690" s="11" t="str">
        <f>"00268821"</f>
        <v>00268821</v>
      </c>
    </row>
    <row r="5691" spans="1:2" x14ac:dyDescent="0.25">
      <c r="A5691" s="2">
        <v>5686</v>
      </c>
      <c r="B5691" s="11" t="str">
        <f>"00268866"</f>
        <v>00268866</v>
      </c>
    </row>
    <row r="5692" spans="1:2" x14ac:dyDescent="0.25">
      <c r="A5692" s="2">
        <v>5687</v>
      </c>
      <c r="B5692" s="11" t="str">
        <f>"00268871"</f>
        <v>00268871</v>
      </c>
    </row>
    <row r="5693" spans="1:2" x14ac:dyDescent="0.25">
      <c r="A5693" s="2">
        <v>5688</v>
      </c>
      <c r="B5693" s="11" t="str">
        <f>"00268875"</f>
        <v>00268875</v>
      </c>
    </row>
    <row r="5694" spans="1:2" x14ac:dyDescent="0.25">
      <c r="A5694" s="2">
        <v>5689</v>
      </c>
      <c r="B5694" s="11" t="str">
        <f>"00268887"</f>
        <v>00268887</v>
      </c>
    </row>
    <row r="5695" spans="1:2" x14ac:dyDescent="0.25">
      <c r="A5695" s="2">
        <v>5690</v>
      </c>
      <c r="B5695" s="11" t="str">
        <f>"00268956"</f>
        <v>00268956</v>
      </c>
    </row>
    <row r="5696" spans="1:2" x14ac:dyDescent="0.25">
      <c r="A5696" s="2">
        <v>5691</v>
      </c>
      <c r="B5696" s="11" t="str">
        <f>"00268965"</f>
        <v>00268965</v>
      </c>
    </row>
    <row r="5697" spans="1:2" x14ac:dyDescent="0.25">
      <c r="A5697" s="2">
        <v>5692</v>
      </c>
      <c r="B5697" s="11" t="str">
        <f>"00269037"</f>
        <v>00269037</v>
      </c>
    </row>
    <row r="5698" spans="1:2" x14ac:dyDescent="0.25">
      <c r="A5698" s="2">
        <v>5693</v>
      </c>
      <c r="B5698" s="11" t="str">
        <f>"00269113"</f>
        <v>00269113</v>
      </c>
    </row>
    <row r="5699" spans="1:2" x14ac:dyDescent="0.25">
      <c r="A5699" s="2">
        <v>5694</v>
      </c>
      <c r="B5699" s="11" t="str">
        <f>"00269134"</f>
        <v>00269134</v>
      </c>
    </row>
    <row r="5700" spans="1:2" x14ac:dyDescent="0.25">
      <c r="A5700" s="2">
        <v>5695</v>
      </c>
      <c r="B5700" s="11" t="str">
        <f>"00269244"</f>
        <v>00269244</v>
      </c>
    </row>
    <row r="5701" spans="1:2" x14ac:dyDescent="0.25">
      <c r="A5701" s="2">
        <v>5696</v>
      </c>
      <c r="B5701" s="11" t="str">
        <f>"00269520"</f>
        <v>00269520</v>
      </c>
    </row>
    <row r="5702" spans="1:2" x14ac:dyDescent="0.25">
      <c r="A5702" s="2">
        <v>5697</v>
      </c>
      <c r="B5702" s="11" t="str">
        <f>"00269541"</f>
        <v>00269541</v>
      </c>
    </row>
    <row r="5703" spans="1:2" x14ac:dyDescent="0.25">
      <c r="A5703" s="2">
        <v>5698</v>
      </c>
      <c r="B5703" s="11" t="str">
        <f>"00269561"</f>
        <v>00269561</v>
      </c>
    </row>
    <row r="5704" spans="1:2" x14ac:dyDescent="0.25">
      <c r="A5704" s="2">
        <v>5699</v>
      </c>
      <c r="B5704" s="11" t="str">
        <f>"00269633"</f>
        <v>00269633</v>
      </c>
    </row>
    <row r="5705" spans="1:2" x14ac:dyDescent="0.25">
      <c r="A5705" s="2">
        <v>5700</v>
      </c>
      <c r="B5705" s="11" t="str">
        <f>"00269652"</f>
        <v>00269652</v>
      </c>
    </row>
    <row r="5706" spans="1:2" x14ac:dyDescent="0.25">
      <c r="A5706" s="2">
        <v>5701</v>
      </c>
      <c r="B5706" s="11" t="str">
        <f>"00269702"</f>
        <v>00269702</v>
      </c>
    </row>
    <row r="5707" spans="1:2" x14ac:dyDescent="0.25">
      <c r="A5707" s="2">
        <v>5702</v>
      </c>
      <c r="B5707" s="11" t="str">
        <f>"00269748"</f>
        <v>00269748</v>
      </c>
    </row>
    <row r="5708" spans="1:2" x14ac:dyDescent="0.25">
      <c r="A5708" s="2">
        <v>5703</v>
      </c>
      <c r="B5708" s="11" t="str">
        <f>"00269757"</f>
        <v>00269757</v>
      </c>
    </row>
    <row r="5709" spans="1:2" x14ac:dyDescent="0.25">
      <c r="A5709" s="2">
        <v>5704</v>
      </c>
      <c r="B5709" s="11" t="str">
        <f>"00269776"</f>
        <v>00269776</v>
      </c>
    </row>
    <row r="5710" spans="1:2" x14ac:dyDescent="0.25">
      <c r="A5710" s="2">
        <v>5705</v>
      </c>
      <c r="B5710" s="11" t="str">
        <f>"00269809"</f>
        <v>00269809</v>
      </c>
    </row>
    <row r="5711" spans="1:2" x14ac:dyDescent="0.25">
      <c r="A5711" s="2">
        <v>5706</v>
      </c>
      <c r="B5711" s="11" t="str">
        <f>"00269925"</f>
        <v>00269925</v>
      </c>
    </row>
    <row r="5712" spans="1:2" x14ac:dyDescent="0.25">
      <c r="A5712" s="2">
        <v>5707</v>
      </c>
      <c r="B5712" s="11" t="str">
        <f>"00270000"</f>
        <v>00270000</v>
      </c>
    </row>
    <row r="5713" spans="1:2" x14ac:dyDescent="0.25">
      <c r="A5713" s="2">
        <v>5708</v>
      </c>
      <c r="B5713" s="11" t="str">
        <f>"00270026"</f>
        <v>00270026</v>
      </c>
    </row>
    <row r="5714" spans="1:2" x14ac:dyDescent="0.25">
      <c r="A5714" s="2">
        <v>5709</v>
      </c>
      <c r="B5714" s="11" t="str">
        <f>"00270032"</f>
        <v>00270032</v>
      </c>
    </row>
    <row r="5715" spans="1:2" x14ac:dyDescent="0.25">
      <c r="A5715" s="2">
        <v>5710</v>
      </c>
      <c r="B5715" s="11" t="str">
        <f>"00270085"</f>
        <v>00270085</v>
      </c>
    </row>
    <row r="5716" spans="1:2" x14ac:dyDescent="0.25">
      <c r="A5716" s="2">
        <v>5711</v>
      </c>
      <c r="B5716" s="11" t="str">
        <f>"00270163"</f>
        <v>00270163</v>
      </c>
    </row>
    <row r="5717" spans="1:2" x14ac:dyDescent="0.25">
      <c r="A5717" s="2">
        <v>5712</v>
      </c>
      <c r="B5717" s="11" t="str">
        <f>"00270194"</f>
        <v>00270194</v>
      </c>
    </row>
    <row r="5718" spans="1:2" x14ac:dyDescent="0.25">
      <c r="A5718" s="2">
        <v>5713</v>
      </c>
      <c r="B5718" s="11" t="str">
        <f>"00270198"</f>
        <v>00270198</v>
      </c>
    </row>
    <row r="5719" spans="1:2" x14ac:dyDescent="0.25">
      <c r="A5719" s="2">
        <v>5714</v>
      </c>
      <c r="B5719" s="11" t="str">
        <f>"00270361"</f>
        <v>00270361</v>
      </c>
    </row>
    <row r="5720" spans="1:2" x14ac:dyDescent="0.25">
      <c r="A5720" s="2">
        <v>5715</v>
      </c>
      <c r="B5720" s="11" t="str">
        <f>"00270375"</f>
        <v>00270375</v>
      </c>
    </row>
    <row r="5721" spans="1:2" x14ac:dyDescent="0.25">
      <c r="A5721" s="2">
        <v>5716</v>
      </c>
      <c r="B5721" s="11" t="str">
        <f>"00270501"</f>
        <v>00270501</v>
      </c>
    </row>
    <row r="5722" spans="1:2" x14ac:dyDescent="0.25">
      <c r="A5722" s="2">
        <v>5717</v>
      </c>
      <c r="B5722" s="11" t="str">
        <f>"00270514"</f>
        <v>00270514</v>
      </c>
    </row>
    <row r="5723" spans="1:2" x14ac:dyDescent="0.25">
      <c r="A5723" s="2">
        <v>5718</v>
      </c>
      <c r="B5723" s="11" t="str">
        <f>"00270562"</f>
        <v>00270562</v>
      </c>
    </row>
    <row r="5724" spans="1:2" x14ac:dyDescent="0.25">
      <c r="A5724" s="2">
        <v>5719</v>
      </c>
      <c r="B5724" s="11" t="str">
        <f>"00270580"</f>
        <v>00270580</v>
      </c>
    </row>
    <row r="5725" spans="1:2" x14ac:dyDescent="0.25">
      <c r="A5725" s="2">
        <v>5720</v>
      </c>
      <c r="B5725" s="11" t="str">
        <f>"00270587"</f>
        <v>00270587</v>
      </c>
    </row>
    <row r="5726" spans="1:2" x14ac:dyDescent="0.25">
      <c r="A5726" s="2">
        <v>5721</v>
      </c>
      <c r="B5726" s="11" t="str">
        <f>"00270604"</f>
        <v>00270604</v>
      </c>
    </row>
    <row r="5727" spans="1:2" x14ac:dyDescent="0.25">
      <c r="A5727" s="2">
        <v>5722</v>
      </c>
      <c r="B5727" s="11" t="str">
        <f>"00270647"</f>
        <v>00270647</v>
      </c>
    </row>
    <row r="5728" spans="1:2" x14ac:dyDescent="0.25">
      <c r="A5728" s="2">
        <v>5723</v>
      </c>
      <c r="B5728" s="11" t="str">
        <f>"00270653"</f>
        <v>00270653</v>
      </c>
    </row>
    <row r="5729" spans="1:2" x14ac:dyDescent="0.25">
      <c r="A5729" s="2">
        <v>5724</v>
      </c>
      <c r="B5729" s="11" t="str">
        <f>"00270744"</f>
        <v>00270744</v>
      </c>
    </row>
    <row r="5730" spans="1:2" x14ac:dyDescent="0.25">
      <c r="A5730" s="2">
        <v>5725</v>
      </c>
      <c r="B5730" s="11" t="str">
        <f>"00270746"</f>
        <v>00270746</v>
      </c>
    </row>
    <row r="5731" spans="1:2" x14ac:dyDescent="0.25">
      <c r="A5731" s="2">
        <v>5726</v>
      </c>
      <c r="B5731" s="11" t="str">
        <f>"00270804"</f>
        <v>00270804</v>
      </c>
    </row>
    <row r="5732" spans="1:2" x14ac:dyDescent="0.25">
      <c r="A5732" s="2">
        <v>5727</v>
      </c>
      <c r="B5732" s="11" t="str">
        <f>"00270841"</f>
        <v>00270841</v>
      </c>
    </row>
    <row r="5733" spans="1:2" x14ac:dyDescent="0.25">
      <c r="A5733" s="2">
        <v>5728</v>
      </c>
      <c r="B5733" s="11" t="str">
        <f>"00270845"</f>
        <v>00270845</v>
      </c>
    </row>
    <row r="5734" spans="1:2" x14ac:dyDescent="0.25">
      <c r="A5734" s="2">
        <v>5729</v>
      </c>
      <c r="B5734" s="11" t="str">
        <f>"00270872"</f>
        <v>00270872</v>
      </c>
    </row>
    <row r="5735" spans="1:2" x14ac:dyDescent="0.25">
      <c r="A5735" s="2">
        <v>5730</v>
      </c>
      <c r="B5735" s="11" t="str">
        <f>"00270964"</f>
        <v>00270964</v>
      </c>
    </row>
    <row r="5736" spans="1:2" x14ac:dyDescent="0.25">
      <c r="A5736" s="2">
        <v>5731</v>
      </c>
      <c r="B5736" s="11" t="str">
        <f>"00271301"</f>
        <v>00271301</v>
      </c>
    </row>
    <row r="5737" spans="1:2" x14ac:dyDescent="0.25">
      <c r="A5737" s="2">
        <v>5732</v>
      </c>
      <c r="B5737" s="11" t="str">
        <f>"00271362"</f>
        <v>00271362</v>
      </c>
    </row>
    <row r="5738" spans="1:2" x14ac:dyDescent="0.25">
      <c r="A5738" s="2">
        <v>5733</v>
      </c>
      <c r="B5738" s="11" t="str">
        <f>"00271474"</f>
        <v>00271474</v>
      </c>
    </row>
    <row r="5739" spans="1:2" x14ac:dyDescent="0.25">
      <c r="A5739" s="2">
        <v>5734</v>
      </c>
      <c r="B5739" s="11" t="str">
        <f>"00271487"</f>
        <v>00271487</v>
      </c>
    </row>
    <row r="5740" spans="1:2" x14ac:dyDescent="0.25">
      <c r="A5740" s="2">
        <v>5735</v>
      </c>
      <c r="B5740" s="11" t="str">
        <f>"00271522"</f>
        <v>00271522</v>
      </c>
    </row>
    <row r="5741" spans="1:2" x14ac:dyDescent="0.25">
      <c r="A5741" s="2">
        <v>5736</v>
      </c>
      <c r="B5741" s="11" t="str">
        <f>"00271729"</f>
        <v>00271729</v>
      </c>
    </row>
    <row r="5742" spans="1:2" x14ac:dyDescent="0.25">
      <c r="A5742" s="2">
        <v>5737</v>
      </c>
      <c r="B5742" s="11" t="str">
        <f>"00272002"</f>
        <v>00272002</v>
      </c>
    </row>
    <row r="5743" spans="1:2" x14ac:dyDescent="0.25">
      <c r="A5743" s="2">
        <v>5738</v>
      </c>
      <c r="B5743" s="11" t="str">
        <f>"00272146"</f>
        <v>00272146</v>
      </c>
    </row>
    <row r="5744" spans="1:2" x14ac:dyDescent="0.25">
      <c r="A5744" s="2">
        <v>5739</v>
      </c>
      <c r="B5744" s="11" t="str">
        <f>"00272249"</f>
        <v>00272249</v>
      </c>
    </row>
    <row r="5745" spans="1:2" x14ac:dyDescent="0.25">
      <c r="A5745" s="2">
        <v>5740</v>
      </c>
      <c r="B5745" s="11" t="str">
        <f>"00272252"</f>
        <v>00272252</v>
      </c>
    </row>
    <row r="5746" spans="1:2" x14ac:dyDescent="0.25">
      <c r="A5746" s="2">
        <v>5741</v>
      </c>
      <c r="B5746" s="11" t="str">
        <f>"00272269"</f>
        <v>00272269</v>
      </c>
    </row>
    <row r="5747" spans="1:2" x14ac:dyDescent="0.25">
      <c r="A5747" s="2">
        <v>5742</v>
      </c>
      <c r="B5747" s="11" t="str">
        <f>"00272276"</f>
        <v>00272276</v>
      </c>
    </row>
    <row r="5748" spans="1:2" x14ac:dyDescent="0.25">
      <c r="A5748" s="2">
        <v>5743</v>
      </c>
      <c r="B5748" s="11" t="str">
        <f>"00272284"</f>
        <v>00272284</v>
      </c>
    </row>
    <row r="5749" spans="1:2" x14ac:dyDescent="0.25">
      <c r="A5749" s="2">
        <v>5744</v>
      </c>
      <c r="B5749" s="11" t="str">
        <f>"00272320"</f>
        <v>00272320</v>
      </c>
    </row>
    <row r="5750" spans="1:2" x14ac:dyDescent="0.25">
      <c r="A5750" s="2">
        <v>5745</v>
      </c>
      <c r="B5750" s="11" t="str">
        <f>"00272403"</f>
        <v>00272403</v>
      </c>
    </row>
    <row r="5751" spans="1:2" x14ac:dyDescent="0.25">
      <c r="A5751" s="2">
        <v>5746</v>
      </c>
      <c r="B5751" s="11" t="str">
        <f>"00272425"</f>
        <v>00272425</v>
      </c>
    </row>
    <row r="5752" spans="1:2" x14ac:dyDescent="0.25">
      <c r="A5752" s="2">
        <v>5747</v>
      </c>
      <c r="B5752" s="11" t="str">
        <f>"00272431"</f>
        <v>00272431</v>
      </c>
    </row>
    <row r="5753" spans="1:2" x14ac:dyDescent="0.25">
      <c r="A5753" s="2">
        <v>5748</v>
      </c>
      <c r="B5753" s="11" t="str">
        <f>"00272475"</f>
        <v>00272475</v>
      </c>
    </row>
    <row r="5754" spans="1:2" x14ac:dyDescent="0.25">
      <c r="A5754" s="2">
        <v>5749</v>
      </c>
      <c r="B5754" s="11" t="str">
        <f>"00272501"</f>
        <v>00272501</v>
      </c>
    </row>
    <row r="5755" spans="1:2" x14ac:dyDescent="0.25">
      <c r="A5755" s="2">
        <v>5750</v>
      </c>
      <c r="B5755" s="11" t="str">
        <f>"00272506"</f>
        <v>00272506</v>
      </c>
    </row>
    <row r="5756" spans="1:2" x14ac:dyDescent="0.25">
      <c r="A5756" s="2">
        <v>5751</v>
      </c>
      <c r="B5756" s="11" t="str">
        <f>"00272534"</f>
        <v>00272534</v>
      </c>
    </row>
    <row r="5757" spans="1:2" x14ac:dyDescent="0.25">
      <c r="A5757" s="2">
        <v>5752</v>
      </c>
      <c r="B5757" s="11" t="str">
        <f>"00272540"</f>
        <v>00272540</v>
      </c>
    </row>
    <row r="5758" spans="1:2" x14ac:dyDescent="0.25">
      <c r="A5758" s="2">
        <v>5753</v>
      </c>
      <c r="B5758" s="11" t="str">
        <f>"00272650"</f>
        <v>00272650</v>
      </c>
    </row>
    <row r="5759" spans="1:2" x14ac:dyDescent="0.25">
      <c r="A5759" s="2">
        <v>5754</v>
      </c>
      <c r="B5759" s="11" t="str">
        <f>"00272724"</f>
        <v>00272724</v>
      </c>
    </row>
    <row r="5760" spans="1:2" x14ac:dyDescent="0.25">
      <c r="A5760" s="2">
        <v>5755</v>
      </c>
      <c r="B5760" s="11" t="str">
        <f>"00272767"</f>
        <v>00272767</v>
      </c>
    </row>
    <row r="5761" spans="1:2" x14ac:dyDescent="0.25">
      <c r="A5761" s="2">
        <v>5756</v>
      </c>
      <c r="B5761" s="11" t="str">
        <f>"00272784"</f>
        <v>00272784</v>
      </c>
    </row>
    <row r="5762" spans="1:2" x14ac:dyDescent="0.25">
      <c r="A5762" s="2">
        <v>5757</v>
      </c>
      <c r="B5762" s="11" t="str">
        <f>"00272883"</f>
        <v>00272883</v>
      </c>
    </row>
    <row r="5763" spans="1:2" x14ac:dyDescent="0.25">
      <c r="A5763" s="2">
        <v>5758</v>
      </c>
      <c r="B5763" s="11" t="str">
        <f>"00272890"</f>
        <v>00272890</v>
      </c>
    </row>
    <row r="5764" spans="1:2" x14ac:dyDescent="0.25">
      <c r="A5764" s="2">
        <v>5759</v>
      </c>
      <c r="B5764" s="11" t="str">
        <f>"00272941"</f>
        <v>00272941</v>
      </c>
    </row>
    <row r="5765" spans="1:2" x14ac:dyDescent="0.25">
      <c r="A5765" s="2">
        <v>5760</v>
      </c>
      <c r="B5765" s="11" t="str">
        <f>"00272985"</f>
        <v>00272985</v>
      </c>
    </row>
    <row r="5766" spans="1:2" x14ac:dyDescent="0.25">
      <c r="A5766" s="2">
        <v>5761</v>
      </c>
      <c r="B5766" s="11" t="str">
        <f>"00273049"</f>
        <v>00273049</v>
      </c>
    </row>
    <row r="5767" spans="1:2" x14ac:dyDescent="0.25">
      <c r="A5767" s="2">
        <v>5762</v>
      </c>
      <c r="B5767" s="11" t="str">
        <f>"00273104"</f>
        <v>00273104</v>
      </c>
    </row>
    <row r="5768" spans="1:2" x14ac:dyDescent="0.25">
      <c r="A5768" s="2">
        <v>5763</v>
      </c>
      <c r="B5768" s="11" t="str">
        <f>"00273117"</f>
        <v>00273117</v>
      </c>
    </row>
    <row r="5769" spans="1:2" x14ac:dyDescent="0.25">
      <c r="A5769" s="2">
        <v>5764</v>
      </c>
      <c r="B5769" s="11" t="str">
        <f>"00273184"</f>
        <v>00273184</v>
      </c>
    </row>
    <row r="5770" spans="1:2" x14ac:dyDescent="0.25">
      <c r="A5770" s="2">
        <v>5765</v>
      </c>
      <c r="B5770" s="11" t="str">
        <f>"00273191"</f>
        <v>00273191</v>
      </c>
    </row>
    <row r="5771" spans="1:2" x14ac:dyDescent="0.25">
      <c r="A5771" s="2">
        <v>5766</v>
      </c>
      <c r="B5771" s="11" t="str">
        <f>"00273192"</f>
        <v>00273192</v>
      </c>
    </row>
    <row r="5772" spans="1:2" x14ac:dyDescent="0.25">
      <c r="A5772" s="2">
        <v>5767</v>
      </c>
      <c r="B5772" s="11" t="str">
        <f>"00273212"</f>
        <v>00273212</v>
      </c>
    </row>
    <row r="5773" spans="1:2" x14ac:dyDescent="0.25">
      <c r="A5773" s="2">
        <v>5768</v>
      </c>
      <c r="B5773" s="11" t="str">
        <f>"00273232"</f>
        <v>00273232</v>
      </c>
    </row>
    <row r="5774" spans="1:2" x14ac:dyDescent="0.25">
      <c r="A5774" s="2">
        <v>5769</v>
      </c>
      <c r="B5774" s="11" t="str">
        <f>"00273258"</f>
        <v>00273258</v>
      </c>
    </row>
    <row r="5775" spans="1:2" x14ac:dyDescent="0.25">
      <c r="A5775" s="2">
        <v>5770</v>
      </c>
      <c r="B5775" s="11" t="str">
        <f>"00273335"</f>
        <v>00273335</v>
      </c>
    </row>
    <row r="5776" spans="1:2" x14ac:dyDescent="0.25">
      <c r="A5776" s="2">
        <v>5771</v>
      </c>
      <c r="B5776" s="11" t="str">
        <f>"00273367"</f>
        <v>00273367</v>
      </c>
    </row>
    <row r="5777" spans="1:2" x14ac:dyDescent="0.25">
      <c r="A5777" s="2">
        <v>5772</v>
      </c>
      <c r="B5777" s="11" t="str">
        <f>"00273388"</f>
        <v>00273388</v>
      </c>
    </row>
    <row r="5778" spans="1:2" x14ac:dyDescent="0.25">
      <c r="A5778" s="2">
        <v>5773</v>
      </c>
      <c r="B5778" s="11" t="str">
        <f>"00273394"</f>
        <v>00273394</v>
      </c>
    </row>
    <row r="5779" spans="1:2" x14ac:dyDescent="0.25">
      <c r="A5779" s="2">
        <v>5774</v>
      </c>
      <c r="B5779" s="11" t="str">
        <f>"00273465"</f>
        <v>00273465</v>
      </c>
    </row>
    <row r="5780" spans="1:2" x14ac:dyDescent="0.25">
      <c r="A5780" s="2">
        <v>5775</v>
      </c>
      <c r="B5780" s="11" t="str">
        <f>"00273473"</f>
        <v>00273473</v>
      </c>
    </row>
    <row r="5781" spans="1:2" x14ac:dyDescent="0.25">
      <c r="A5781" s="2">
        <v>5776</v>
      </c>
      <c r="B5781" s="11" t="str">
        <f>"00273541"</f>
        <v>00273541</v>
      </c>
    </row>
    <row r="5782" spans="1:2" x14ac:dyDescent="0.25">
      <c r="A5782" s="2">
        <v>5777</v>
      </c>
      <c r="B5782" s="11" t="str">
        <f>"00273772"</f>
        <v>00273772</v>
      </c>
    </row>
    <row r="5783" spans="1:2" x14ac:dyDescent="0.25">
      <c r="A5783" s="2">
        <v>5778</v>
      </c>
      <c r="B5783" s="11" t="str">
        <f>"00273774"</f>
        <v>00273774</v>
      </c>
    </row>
    <row r="5784" spans="1:2" x14ac:dyDescent="0.25">
      <c r="A5784" s="2">
        <v>5779</v>
      </c>
      <c r="B5784" s="11" t="str">
        <f>"00273793"</f>
        <v>00273793</v>
      </c>
    </row>
    <row r="5785" spans="1:2" x14ac:dyDescent="0.25">
      <c r="A5785" s="2">
        <v>5780</v>
      </c>
      <c r="B5785" s="11" t="str">
        <f>"00273830"</f>
        <v>00273830</v>
      </c>
    </row>
    <row r="5786" spans="1:2" x14ac:dyDescent="0.25">
      <c r="A5786" s="2">
        <v>5781</v>
      </c>
      <c r="B5786" s="11" t="str">
        <f>"00273942"</f>
        <v>00273942</v>
      </c>
    </row>
    <row r="5787" spans="1:2" x14ac:dyDescent="0.25">
      <c r="A5787" s="2">
        <v>5782</v>
      </c>
      <c r="B5787" s="11" t="str">
        <f>"00273948"</f>
        <v>00273948</v>
      </c>
    </row>
    <row r="5788" spans="1:2" x14ac:dyDescent="0.25">
      <c r="A5788" s="2">
        <v>5783</v>
      </c>
      <c r="B5788" s="11" t="str">
        <f>"00274074"</f>
        <v>00274074</v>
      </c>
    </row>
    <row r="5789" spans="1:2" x14ac:dyDescent="0.25">
      <c r="A5789" s="2">
        <v>5784</v>
      </c>
      <c r="B5789" s="11" t="str">
        <f>"00274232"</f>
        <v>00274232</v>
      </c>
    </row>
    <row r="5790" spans="1:2" x14ac:dyDescent="0.25">
      <c r="A5790" s="2">
        <v>5785</v>
      </c>
      <c r="B5790" s="11" t="str">
        <f>"00274331"</f>
        <v>00274331</v>
      </c>
    </row>
    <row r="5791" spans="1:2" x14ac:dyDescent="0.25">
      <c r="A5791" s="2">
        <v>5786</v>
      </c>
      <c r="B5791" s="11" t="str">
        <f>"00274562"</f>
        <v>00274562</v>
      </c>
    </row>
    <row r="5792" spans="1:2" x14ac:dyDescent="0.25">
      <c r="A5792" s="2">
        <v>5787</v>
      </c>
      <c r="B5792" s="11" t="str">
        <f>"00274577"</f>
        <v>00274577</v>
      </c>
    </row>
    <row r="5793" spans="1:2" x14ac:dyDescent="0.25">
      <c r="A5793" s="2">
        <v>5788</v>
      </c>
      <c r="B5793" s="11" t="str">
        <f>"00274747"</f>
        <v>00274747</v>
      </c>
    </row>
    <row r="5794" spans="1:2" x14ac:dyDescent="0.25">
      <c r="A5794" s="2">
        <v>5789</v>
      </c>
      <c r="B5794" s="11" t="str">
        <f>"00274756"</f>
        <v>00274756</v>
      </c>
    </row>
    <row r="5795" spans="1:2" x14ac:dyDescent="0.25">
      <c r="A5795" s="2">
        <v>5790</v>
      </c>
      <c r="B5795" s="11" t="str">
        <f>"00274813"</f>
        <v>00274813</v>
      </c>
    </row>
    <row r="5796" spans="1:2" x14ac:dyDescent="0.25">
      <c r="A5796" s="2">
        <v>5791</v>
      </c>
      <c r="B5796" s="11" t="str">
        <f>"00274850"</f>
        <v>00274850</v>
      </c>
    </row>
    <row r="5797" spans="1:2" x14ac:dyDescent="0.25">
      <c r="A5797" s="2">
        <v>5792</v>
      </c>
      <c r="B5797" s="11" t="str">
        <f>"00274907"</f>
        <v>00274907</v>
      </c>
    </row>
    <row r="5798" spans="1:2" x14ac:dyDescent="0.25">
      <c r="A5798" s="2">
        <v>5793</v>
      </c>
      <c r="B5798" s="11" t="str">
        <f>"00274942"</f>
        <v>00274942</v>
      </c>
    </row>
    <row r="5799" spans="1:2" x14ac:dyDescent="0.25">
      <c r="A5799" s="2">
        <v>5794</v>
      </c>
      <c r="B5799" s="11" t="str">
        <f>"00274945"</f>
        <v>00274945</v>
      </c>
    </row>
    <row r="5800" spans="1:2" x14ac:dyDescent="0.25">
      <c r="A5800" s="2">
        <v>5795</v>
      </c>
      <c r="B5800" s="11" t="str">
        <f>"00275058"</f>
        <v>00275058</v>
      </c>
    </row>
    <row r="5801" spans="1:2" x14ac:dyDescent="0.25">
      <c r="A5801" s="2">
        <v>5796</v>
      </c>
      <c r="B5801" s="11" t="str">
        <f>"00275088"</f>
        <v>00275088</v>
      </c>
    </row>
    <row r="5802" spans="1:2" x14ac:dyDescent="0.25">
      <c r="A5802" s="2">
        <v>5797</v>
      </c>
      <c r="B5802" s="11" t="str">
        <f>"00275091"</f>
        <v>00275091</v>
      </c>
    </row>
    <row r="5803" spans="1:2" x14ac:dyDescent="0.25">
      <c r="A5803" s="2">
        <v>5798</v>
      </c>
      <c r="B5803" s="11" t="str">
        <f>"00275147"</f>
        <v>00275147</v>
      </c>
    </row>
    <row r="5804" spans="1:2" x14ac:dyDescent="0.25">
      <c r="A5804" s="2">
        <v>5799</v>
      </c>
      <c r="B5804" s="11" t="str">
        <f>"00275150"</f>
        <v>00275150</v>
      </c>
    </row>
    <row r="5805" spans="1:2" x14ac:dyDescent="0.25">
      <c r="A5805" s="2">
        <v>5800</v>
      </c>
      <c r="B5805" s="11" t="str">
        <f>"00275178"</f>
        <v>00275178</v>
      </c>
    </row>
    <row r="5806" spans="1:2" x14ac:dyDescent="0.25">
      <c r="A5806" s="2">
        <v>5801</v>
      </c>
      <c r="B5806" s="11" t="str">
        <f>"00275220"</f>
        <v>00275220</v>
      </c>
    </row>
    <row r="5807" spans="1:2" x14ac:dyDescent="0.25">
      <c r="A5807" s="2">
        <v>5802</v>
      </c>
      <c r="B5807" s="11" t="str">
        <f>"00275234"</f>
        <v>00275234</v>
      </c>
    </row>
    <row r="5808" spans="1:2" x14ac:dyDescent="0.25">
      <c r="A5808" s="2">
        <v>5803</v>
      </c>
      <c r="B5808" s="11" t="str">
        <f>"00275235"</f>
        <v>00275235</v>
      </c>
    </row>
    <row r="5809" spans="1:2" x14ac:dyDescent="0.25">
      <c r="A5809" s="2">
        <v>5804</v>
      </c>
      <c r="B5809" s="11" t="str">
        <f>"00275251"</f>
        <v>00275251</v>
      </c>
    </row>
    <row r="5810" spans="1:2" x14ac:dyDescent="0.25">
      <c r="A5810" s="2">
        <v>5805</v>
      </c>
      <c r="B5810" s="11" t="str">
        <f>"00275320"</f>
        <v>00275320</v>
      </c>
    </row>
    <row r="5811" spans="1:2" x14ac:dyDescent="0.25">
      <c r="A5811" s="2">
        <v>5806</v>
      </c>
      <c r="B5811" s="11" t="str">
        <f>"00275411"</f>
        <v>00275411</v>
      </c>
    </row>
    <row r="5812" spans="1:2" x14ac:dyDescent="0.25">
      <c r="A5812" s="2">
        <v>5807</v>
      </c>
      <c r="B5812" s="11" t="str">
        <f>"00275416"</f>
        <v>00275416</v>
      </c>
    </row>
    <row r="5813" spans="1:2" x14ac:dyDescent="0.25">
      <c r="A5813" s="2">
        <v>5808</v>
      </c>
      <c r="B5813" s="11" t="str">
        <f>"00275438"</f>
        <v>00275438</v>
      </c>
    </row>
    <row r="5814" spans="1:2" x14ac:dyDescent="0.25">
      <c r="A5814" s="2">
        <v>5809</v>
      </c>
      <c r="B5814" s="11" t="str">
        <f>"00275486"</f>
        <v>00275486</v>
      </c>
    </row>
    <row r="5815" spans="1:2" x14ac:dyDescent="0.25">
      <c r="A5815" s="2">
        <v>5810</v>
      </c>
      <c r="B5815" s="11" t="str">
        <f>"00275502"</f>
        <v>00275502</v>
      </c>
    </row>
    <row r="5816" spans="1:2" x14ac:dyDescent="0.25">
      <c r="A5816" s="2">
        <v>5811</v>
      </c>
      <c r="B5816" s="11" t="str">
        <f>"00275533"</f>
        <v>00275533</v>
      </c>
    </row>
    <row r="5817" spans="1:2" x14ac:dyDescent="0.25">
      <c r="A5817" s="2">
        <v>5812</v>
      </c>
      <c r="B5817" s="11" t="str">
        <f>"00275546"</f>
        <v>00275546</v>
      </c>
    </row>
    <row r="5818" spans="1:2" x14ac:dyDescent="0.25">
      <c r="A5818" s="2">
        <v>5813</v>
      </c>
      <c r="B5818" s="11" t="str">
        <f>"00275658"</f>
        <v>00275658</v>
      </c>
    </row>
    <row r="5819" spans="1:2" x14ac:dyDescent="0.25">
      <c r="A5819" s="2">
        <v>5814</v>
      </c>
      <c r="B5819" s="11" t="str">
        <f>"00275668"</f>
        <v>00275668</v>
      </c>
    </row>
    <row r="5820" spans="1:2" x14ac:dyDescent="0.25">
      <c r="A5820" s="2">
        <v>5815</v>
      </c>
      <c r="B5820" s="11" t="str">
        <f>"00275738"</f>
        <v>00275738</v>
      </c>
    </row>
    <row r="5821" spans="1:2" x14ac:dyDescent="0.25">
      <c r="A5821" s="2">
        <v>5816</v>
      </c>
      <c r="B5821" s="11" t="str">
        <f>"00275765"</f>
        <v>00275765</v>
      </c>
    </row>
    <row r="5822" spans="1:2" x14ac:dyDescent="0.25">
      <c r="A5822" s="2">
        <v>5817</v>
      </c>
      <c r="B5822" s="11" t="str">
        <f>"00275803"</f>
        <v>00275803</v>
      </c>
    </row>
    <row r="5823" spans="1:2" x14ac:dyDescent="0.25">
      <c r="A5823" s="2">
        <v>5818</v>
      </c>
      <c r="B5823" s="11" t="str">
        <f>"00275829"</f>
        <v>00275829</v>
      </c>
    </row>
    <row r="5824" spans="1:2" x14ac:dyDescent="0.25">
      <c r="A5824" s="2">
        <v>5819</v>
      </c>
      <c r="B5824" s="11" t="str">
        <f>"00275878"</f>
        <v>00275878</v>
      </c>
    </row>
    <row r="5825" spans="1:2" x14ac:dyDescent="0.25">
      <c r="A5825" s="2">
        <v>5820</v>
      </c>
      <c r="B5825" s="11" t="str">
        <f>"00275993"</f>
        <v>00275993</v>
      </c>
    </row>
    <row r="5826" spans="1:2" x14ac:dyDescent="0.25">
      <c r="A5826" s="2">
        <v>5821</v>
      </c>
      <c r="B5826" s="11" t="str">
        <f>"00276089"</f>
        <v>00276089</v>
      </c>
    </row>
    <row r="5827" spans="1:2" x14ac:dyDescent="0.25">
      <c r="A5827" s="2">
        <v>5822</v>
      </c>
      <c r="B5827" s="11" t="str">
        <f>"00276122"</f>
        <v>00276122</v>
      </c>
    </row>
    <row r="5828" spans="1:2" x14ac:dyDescent="0.25">
      <c r="A5828" s="2">
        <v>5823</v>
      </c>
      <c r="B5828" s="11" t="str">
        <f>"00276315"</f>
        <v>00276315</v>
      </c>
    </row>
    <row r="5829" spans="1:2" x14ac:dyDescent="0.25">
      <c r="A5829" s="2">
        <v>5824</v>
      </c>
      <c r="B5829" s="11" t="str">
        <f>"00276390"</f>
        <v>00276390</v>
      </c>
    </row>
    <row r="5830" spans="1:2" x14ac:dyDescent="0.25">
      <c r="A5830" s="2">
        <v>5825</v>
      </c>
      <c r="B5830" s="11" t="str">
        <f>"00276404"</f>
        <v>00276404</v>
      </c>
    </row>
    <row r="5831" spans="1:2" x14ac:dyDescent="0.25">
      <c r="A5831" s="2">
        <v>5826</v>
      </c>
      <c r="B5831" s="11" t="str">
        <f>"00276434"</f>
        <v>00276434</v>
      </c>
    </row>
    <row r="5832" spans="1:2" x14ac:dyDescent="0.25">
      <c r="A5832" s="2">
        <v>5827</v>
      </c>
      <c r="B5832" s="11" t="str">
        <f>"00276439"</f>
        <v>00276439</v>
      </c>
    </row>
    <row r="5833" spans="1:2" x14ac:dyDescent="0.25">
      <c r="A5833" s="2">
        <v>5828</v>
      </c>
      <c r="B5833" s="11" t="str">
        <f>"00276502"</f>
        <v>00276502</v>
      </c>
    </row>
    <row r="5834" spans="1:2" x14ac:dyDescent="0.25">
      <c r="A5834" s="2">
        <v>5829</v>
      </c>
      <c r="B5834" s="11" t="str">
        <f>"00276566"</f>
        <v>00276566</v>
      </c>
    </row>
    <row r="5835" spans="1:2" x14ac:dyDescent="0.25">
      <c r="A5835" s="2">
        <v>5830</v>
      </c>
      <c r="B5835" s="11" t="str">
        <f>"00276573"</f>
        <v>00276573</v>
      </c>
    </row>
    <row r="5836" spans="1:2" x14ac:dyDescent="0.25">
      <c r="A5836" s="2">
        <v>5831</v>
      </c>
      <c r="B5836" s="11" t="str">
        <f>"00276587"</f>
        <v>00276587</v>
      </c>
    </row>
    <row r="5837" spans="1:2" x14ac:dyDescent="0.25">
      <c r="A5837" s="2">
        <v>5832</v>
      </c>
      <c r="B5837" s="11" t="str">
        <f>"00276638"</f>
        <v>00276638</v>
      </c>
    </row>
    <row r="5838" spans="1:2" x14ac:dyDescent="0.25">
      <c r="A5838" s="2">
        <v>5833</v>
      </c>
      <c r="B5838" s="11" t="str">
        <f>"00276666"</f>
        <v>00276666</v>
      </c>
    </row>
    <row r="5839" spans="1:2" x14ac:dyDescent="0.25">
      <c r="A5839" s="2">
        <v>5834</v>
      </c>
      <c r="B5839" s="11" t="str">
        <f>"00276685"</f>
        <v>00276685</v>
      </c>
    </row>
    <row r="5840" spans="1:2" x14ac:dyDescent="0.25">
      <c r="A5840" s="2">
        <v>5835</v>
      </c>
      <c r="B5840" s="11" t="str">
        <f>"00276711"</f>
        <v>00276711</v>
      </c>
    </row>
    <row r="5841" spans="1:2" x14ac:dyDescent="0.25">
      <c r="A5841" s="2">
        <v>5836</v>
      </c>
      <c r="B5841" s="11" t="str">
        <f>"00276718"</f>
        <v>00276718</v>
      </c>
    </row>
    <row r="5842" spans="1:2" x14ac:dyDescent="0.25">
      <c r="A5842" s="2">
        <v>5837</v>
      </c>
      <c r="B5842" s="11" t="str">
        <f>"00276724"</f>
        <v>00276724</v>
      </c>
    </row>
    <row r="5843" spans="1:2" x14ac:dyDescent="0.25">
      <c r="A5843" s="2">
        <v>5838</v>
      </c>
      <c r="B5843" s="11" t="str">
        <f>"00276814"</f>
        <v>00276814</v>
      </c>
    </row>
    <row r="5844" spans="1:2" x14ac:dyDescent="0.25">
      <c r="A5844" s="2">
        <v>5839</v>
      </c>
      <c r="B5844" s="11" t="str">
        <f>"00276865"</f>
        <v>00276865</v>
      </c>
    </row>
    <row r="5845" spans="1:2" x14ac:dyDescent="0.25">
      <c r="A5845" s="2">
        <v>5840</v>
      </c>
      <c r="B5845" s="11" t="str">
        <f>"00276877"</f>
        <v>00276877</v>
      </c>
    </row>
    <row r="5846" spans="1:2" x14ac:dyDescent="0.25">
      <c r="A5846" s="2">
        <v>5841</v>
      </c>
      <c r="B5846" s="11" t="str">
        <f>"00276939"</f>
        <v>00276939</v>
      </c>
    </row>
    <row r="5847" spans="1:2" x14ac:dyDescent="0.25">
      <c r="A5847" s="2">
        <v>5842</v>
      </c>
      <c r="B5847" s="11" t="str">
        <f>"00276958"</f>
        <v>00276958</v>
      </c>
    </row>
    <row r="5848" spans="1:2" x14ac:dyDescent="0.25">
      <c r="A5848" s="2">
        <v>5843</v>
      </c>
      <c r="B5848" s="11" t="str">
        <f>"00276970"</f>
        <v>00276970</v>
      </c>
    </row>
    <row r="5849" spans="1:2" x14ac:dyDescent="0.25">
      <c r="A5849" s="2">
        <v>5844</v>
      </c>
      <c r="B5849" s="11" t="str">
        <f>"00277221"</f>
        <v>00277221</v>
      </c>
    </row>
    <row r="5850" spans="1:2" x14ac:dyDescent="0.25">
      <c r="A5850" s="2">
        <v>5845</v>
      </c>
      <c r="B5850" s="11" t="str">
        <f>"00277231"</f>
        <v>00277231</v>
      </c>
    </row>
    <row r="5851" spans="1:2" x14ac:dyDescent="0.25">
      <c r="A5851" s="2">
        <v>5846</v>
      </c>
      <c r="B5851" s="11" t="str">
        <f>"00277232"</f>
        <v>00277232</v>
      </c>
    </row>
    <row r="5852" spans="1:2" x14ac:dyDescent="0.25">
      <c r="A5852" s="2">
        <v>5847</v>
      </c>
      <c r="B5852" s="11" t="str">
        <f>"00277274"</f>
        <v>00277274</v>
      </c>
    </row>
    <row r="5853" spans="1:2" x14ac:dyDescent="0.25">
      <c r="A5853" s="2">
        <v>5848</v>
      </c>
      <c r="B5853" s="11" t="str">
        <f>"00277368"</f>
        <v>00277368</v>
      </c>
    </row>
    <row r="5854" spans="1:2" x14ac:dyDescent="0.25">
      <c r="A5854" s="2">
        <v>5849</v>
      </c>
      <c r="B5854" s="11" t="str">
        <f>"00277401"</f>
        <v>00277401</v>
      </c>
    </row>
    <row r="5855" spans="1:2" x14ac:dyDescent="0.25">
      <c r="A5855" s="2">
        <v>5850</v>
      </c>
      <c r="B5855" s="11" t="str">
        <f>"00277471"</f>
        <v>00277471</v>
      </c>
    </row>
    <row r="5856" spans="1:2" x14ac:dyDescent="0.25">
      <c r="A5856" s="2">
        <v>5851</v>
      </c>
      <c r="B5856" s="11" t="str">
        <f>"00277486"</f>
        <v>00277486</v>
      </c>
    </row>
    <row r="5857" spans="1:2" x14ac:dyDescent="0.25">
      <c r="A5857" s="2">
        <v>5852</v>
      </c>
      <c r="B5857" s="11" t="str">
        <f>"00277490"</f>
        <v>00277490</v>
      </c>
    </row>
    <row r="5858" spans="1:2" x14ac:dyDescent="0.25">
      <c r="A5858" s="2">
        <v>5853</v>
      </c>
      <c r="B5858" s="11" t="str">
        <f>"00277589"</f>
        <v>00277589</v>
      </c>
    </row>
    <row r="5859" spans="1:2" x14ac:dyDescent="0.25">
      <c r="A5859" s="2">
        <v>5854</v>
      </c>
      <c r="B5859" s="11" t="str">
        <f>"00277600"</f>
        <v>00277600</v>
      </c>
    </row>
    <row r="5860" spans="1:2" x14ac:dyDescent="0.25">
      <c r="A5860" s="2">
        <v>5855</v>
      </c>
      <c r="B5860" s="11" t="str">
        <f>"00277708"</f>
        <v>00277708</v>
      </c>
    </row>
    <row r="5861" spans="1:2" x14ac:dyDescent="0.25">
      <c r="A5861" s="2">
        <v>5856</v>
      </c>
      <c r="B5861" s="11" t="str">
        <f>"00277719"</f>
        <v>00277719</v>
      </c>
    </row>
    <row r="5862" spans="1:2" x14ac:dyDescent="0.25">
      <c r="A5862" s="2">
        <v>5857</v>
      </c>
      <c r="B5862" s="11" t="str">
        <f>"00277754"</f>
        <v>00277754</v>
      </c>
    </row>
    <row r="5863" spans="1:2" x14ac:dyDescent="0.25">
      <c r="A5863" s="2">
        <v>5858</v>
      </c>
      <c r="B5863" s="11" t="str">
        <f>"00277815"</f>
        <v>00277815</v>
      </c>
    </row>
    <row r="5864" spans="1:2" x14ac:dyDescent="0.25">
      <c r="A5864" s="2">
        <v>5859</v>
      </c>
      <c r="B5864" s="11" t="str">
        <f>"00277826"</f>
        <v>00277826</v>
      </c>
    </row>
    <row r="5865" spans="1:2" x14ac:dyDescent="0.25">
      <c r="A5865" s="2">
        <v>5860</v>
      </c>
      <c r="B5865" s="11" t="str">
        <f>"00277828"</f>
        <v>00277828</v>
      </c>
    </row>
    <row r="5866" spans="1:2" x14ac:dyDescent="0.25">
      <c r="A5866" s="2">
        <v>5861</v>
      </c>
      <c r="B5866" s="11" t="str">
        <f>"00278017"</f>
        <v>00278017</v>
      </c>
    </row>
    <row r="5867" spans="1:2" x14ac:dyDescent="0.25">
      <c r="A5867" s="2">
        <v>5862</v>
      </c>
      <c r="B5867" s="11" t="str">
        <f>"00278048"</f>
        <v>00278048</v>
      </c>
    </row>
    <row r="5868" spans="1:2" x14ac:dyDescent="0.25">
      <c r="A5868" s="2">
        <v>5863</v>
      </c>
      <c r="B5868" s="11" t="str">
        <f>"00278085"</f>
        <v>00278085</v>
      </c>
    </row>
    <row r="5869" spans="1:2" x14ac:dyDescent="0.25">
      <c r="A5869" s="2">
        <v>5864</v>
      </c>
      <c r="B5869" s="11" t="str">
        <f>"00278096"</f>
        <v>00278096</v>
      </c>
    </row>
    <row r="5870" spans="1:2" x14ac:dyDescent="0.25">
      <c r="A5870" s="2">
        <v>5865</v>
      </c>
      <c r="B5870" s="11" t="str">
        <f>"00278198"</f>
        <v>00278198</v>
      </c>
    </row>
    <row r="5871" spans="1:2" x14ac:dyDescent="0.25">
      <c r="A5871" s="2">
        <v>5866</v>
      </c>
      <c r="B5871" s="11" t="str">
        <f>"00278202"</f>
        <v>00278202</v>
      </c>
    </row>
    <row r="5872" spans="1:2" x14ac:dyDescent="0.25">
      <c r="A5872" s="2">
        <v>5867</v>
      </c>
      <c r="B5872" s="11" t="str">
        <f>"00278208"</f>
        <v>00278208</v>
      </c>
    </row>
    <row r="5873" spans="1:2" x14ac:dyDescent="0.25">
      <c r="A5873" s="2">
        <v>5868</v>
      </c>
      <c r="B5873" s="11" t="str">
        <f>"00278213"</f>
        <v>00278213</v>
      </c>
    </row>
    <row r="5874" spans="1:2" x14ac:dyDescent="0.25">
      <c r="A5874" s="2">
        <v>5869</v>
      </c>
      <c r="B5874" s="11" t="str">
        <f>"00278263"</f>
        <v>00278263</v>
      </c>
    </row>
    <row r="5875" spans="1:2" x14ac:dyDescent="0.25">
      <c r="A5875" s="2">
        <v>5870</v>
      </c>
      <c r="B5875" s="11" t="str">
        <f>"00278277"</f>
        <v>00278277</v>
      </c>
    </row>
    <row r="5876" spans="1:2" x14ac:dyDescent="0.25">
      <c r="A5876" s="2">
        <v>5871</v>
      </c>
      <c r="B5876" s="11" t="str">
        <f>"00278297"</f>
        <v>00278297</v>
      </c>
    </row>
    <row r="5877" spans="1:2" x14ac:dyDescent="0.25">
      <c r="A5877" s="2">
        <v>5872</v>
      </c>
      <c r="B5877" s="11" t="str">
        <f>"00278298"</f>
        <v>00278298</v>
      </c>
    </row>
    <row r="5878" spans="1:2" x14ac:dyDescent="0.25">
      <c r="A5878" s="2">
        <v>5873</v>
      </c>
      <c r="B5878" s="11" t="str">
        <f>"00278380"</f>
        <v>00278380</v>
      </c>
    </row>
    <row r="5879" spans="1:2" x14ac:dyDescent="0.25">
      <c r="A5879" s="2">
        <v>5874</v>
      </c>
      <c r="B5879" s="11" t="str">
        <f>"00278442"</f>
        <v>00278442</v>
      </c>
    </row>
    <row r="5880" spans="1:2" x14ac:dyDescent="0.25">
      <c r="A5880" s="2">
        <v>5875</v>
      </c>
      <c r="B5880" s="11" t="str">
        <f>"00278625"</f>
        <v>00278625</v>
      </c>
    </row>
    <row r="5881" spans="1:2" x14ac:dyDescent="0.25">
      <c r="A5881" s="2">
        <v>5876</v>
      </c>
      <c r="B5881" s="11" t="str">
        <f>"00278633"</f>
        <v>00278633</v>
      </c>
    </row>
    <row r="5882" spans="1:2" x14ac:dyDescent="0.25">
      <c r="A5882" s="2">
        <v>5877</v>
      </c>
      <c r="B5882" s="11" t="str">
        <f>"00278656"</f>
        <v>00278656</v>
      </c>
    </row>
    <row r="5883" spans="1:2" x14ac:dyDescent="0.25">
      <c r="A5883" s="2">
        <v>5878</v>
      </c>
      <c r="B5883" s="11" t="str">
        <f>"00278781"</f>
        <v>00278781</v>
      </c>
    </row>
    <row r="5884" spans="1:2" x14ac:dyDescent="0.25">
      <c r="A5884" s="2">
        <v>5879</v>
      </c>
      <c r="B5884" s="11" t="str">
        <f>"00278796"</f>
        <v>00278796</v>
      </c>
    </row>
    <row r="5885" spans="1:2" x14ac:dyDescent="0.25">
      <c r="A5885" s="2">
        <v>5880</v>
      </c>
      <c r="B5885" s="11" t="str">
        <f>"00278808"</f>
        <v>00278808</v>
      </c>
    </row>
    <row r="5886" spans="1:2" x14ac:dyDescent="0.25">
      <c r="A5886" s="2">
        <v>5881</v>
      </c>
      <c r="B5886" s="11" t="str">
        <f>"00278872"</f>
        <v>00278872</v>
      </c>
    </row>
    <row r="5887" spans="1:2" x14ac:dyDescent="0.25">
      <c r="A5887" s="2">
        <v>5882</v>
      </c>
      <c r="B5887" s="11" t="str">
        <f>"00278934"</f>
        <v>00278934</v>
      </c>
    </row>
    <row r="5888" spans="1:2" x14ac:dyDescent="0.25">
      <c r="A5888" s="2">
        <v>5883</v>
      </c>
      <c r="B5888" s="11" t="str">
        <f>"00278952"</f>
        <v>00278952</v>
      </c>
    </row>
    <row r="5889" spans="1:2" x14ac:dyDescent="0.25">
      <c r="A5889" s="2">
        <v>5884</v>
      </c>
      <c r="B5889" s="11" t="str">
        <f>"00278962"</f>
        <v>00278962</v>
      </c>
    </row>
    <row r="5890" spans="1:2" x14ac:dyDescent="0.25">
      <c r="A5890" s="2">
        <v>5885</v>
      </c>
      <c r="B5890" s="11" t="str">
        <f>"00278999"</f>
        <v>00278999</v>
      </c>
    </row>
    <row r="5891" spans="1:2" x14ac:dyDescent="0.25">
      <c r="A5891" s="2">
        <v>5886</v>
      </c>
      <c r="B5891" s="11" t="str">
        <f>"00279029"</f>
        <v>00279029</v>
      </c>
    </row>
    <row r="5892" spans="1:2" x14ac:dyDescent="0.25">
      <c r="A5892" s="2">
        <v>5887</v>
      </c>
      <c r="B5892" s="11" t="str">
        <f>"00279033"</f>
        <v>00279033</v>
      </c>
    </row>
    <row r="5893" spans="1:2" x14ac:dyDescent="0.25">
      <c r="A5893" s="2">
        <v>5888</v>
      </c>
      <c r="B5893" s="11" t="str">
        <f>"00279095"</f>
        <v>00279095</v>
      </c>
    </row>
    <row r="5894" spans="1:2" x14ac:dyDescent="0.25">
      <c r="A5894" s="2">
        <v>5889</v>
      </c>
      <c r="B5894" s="11" t="str">
        <f>"00279124"</f>
        <v>00279124</v>
      </c>
    </row>
    <row r="5895" spans="1:2" x14ac:dyDescent="0.25">
      <c r="A5895" s="2">
        <v>5890</v>
      </c>
      <c r="B5895" s="11" t="str">
        <f>"00279173"</f>
        <v>00279173</v>
      </c>
    </row>
    <row r="5896" spans="1:2" x14ac:dyDescent="0.25">
      <c r="A5896" s="2">
        <v>5891</v>
      </c>
      <c r="B5896" s="11" t="str">
        <f>"00279174"</f>
        <v>00279174</v>
      </c>
    </row>
    <row r="5897" spans="1:2" x14ac:dyDescent="0.25">
      <c r="A5897" s="2">
        <v>5892</v>
      </c>
      <c r="B5897" s="11" t="str">
        <f>"00279179"</f>
        <v>00279179</v>
      </c>
    </row>
    <row r="5898" spans="1:2" x14ac:dyDescent="0.25">
      <c r="A5898" s="2">
        <v>5893</v>
      </c>
      <c r="B5898" s="11" t="str">
        <f>"00279244"</f>
        <v>00279244</v>
      </c>
    </row>
    <row r="5899" spans="1:2" x14ac:dyDescent="0.25">
      <c r="A5899" s="2">
        <v>5894</v>
      </c>
      <c r="B5899" s="11" t="str">
        <f>"00279260"</f>
        <v>00279260</v>
      </c>
    </row>
    <row r="5900" spans="1:2" x14ac:dyDescent="0.25">
      <c r="A5900" s="2">
        <v>5895</v>
      </c>
      <c r="B5900" s="11" t="str">
        <f>"00279302"</f>
        <v>00279302</v>
      </c>
    </row>
    <row r="5901" spans="1:2" x14ac:dyDescent="0.25">
      <c r="A5901" s="2">
        <v>5896</v>
      </c>
      <c r="B5901" s="11" t="str">
        <f>"00279336"</f>
        <v>00279336</v>
      </c>
    </row>
    <row r="5902" spans="1:2" x14ac:dyDescent="0.25">
      <c r="A5902" s="2">
        <v>5897</v>
      </c>
      <c r="B5902" s="11" t="str">
        <f>"00279392"</f>
        <v>00279392</v>
      </c>
    </row>
    <row r="5903" spans="1:2" x14ac:dyDescent="0.25">
      <c r="A5903" s="2">
        <v>5898</v>
      </c>
      <c r="B5903" s="11" t="str">
        <f>"00279425"</f>
        <v>00279425</v>
      </c>
    </row>
    <row r="5904" spans="1:2" x14ac:dyDescent="0.25">
      <c r="A5904" s="2">
        <v>5899</v>
      </c>
      <c r="B5904" s="11" t="str">
        <f>"00279456"</f>
        <v>00279456</v>
      </c>
    </row>
    <row r="5905" spans="1:2" x14ac:dyDescent="0.25">
      <c r="A5905" s="2">
        <v>5900</v>
      </c>
      <c r="B5905" s="11" t="str">
        <f>"00279464"</f>
        <v>00279464</v>
      </c>
    </row>
    <row r="5906" spans="1:2" x14ac:dyDescent="0.25">
      <c r="A5906" s="2">
        <v>5901</v>
      </c>
      <c r="B5906" s="11" t="str">
        <f>"00279512"</f>
        <v>00279512</v>
      </c>
    </row>
    <row r="5907" spans="1:2" x14ac:dyDescent="0.25">
      <c r="A5907" s="2">
        <v>5902</v>
      </c>
      <c r="B5907" s="11" t="str">
        <f>"00279549"</f>
        <v>00279549</v>
      </c>
    </row>
    <row r="5908" spans="1:2" x14ac:dyDescent="0.25">
      <c r="A5908" s="2">
        <v>5903</v>
      </c>
      <c r="B5908" s="11" t="str">
        <f>"00279585"</f>
        <v>00279585</v>
      </c>
    </row>
    <row r="5909" spans="1:2" x14ac:dyDescent="0.25">
      <c r="A5909" s="2">
        <v>5904</v>
      </c>
      <c r="B5909" s="11" t="str">
        <f>"00279603"</f>
        <v>00279603</v>
      </c>
    </row>
    <row r="5910" spans="1:2" x14ac:dyDescent="0.25">
      <c r="A5910" s="2">
        <v>5905</v>
      </c>
      <c r="B5910" s="11" t="str">
        <f>"00279772"</f>
        <v>00279772</v>
      </c>
    </row>
    <row r="5911" spans="1:2" x14ac:dyDescent="0.25">
      <c r="A5911" s="2">
        <v>5906</v>
      </c>
      <c r="B5911" s="11" t="str">
        <f>"00279817"</f>
        <v>00279817</v>
      </c>
    </row>
    <row r="5912" spans="1:2" x14ac:dyDescent="0.25">
      <c r="A5912" s="2">
        <v>5907</v>
      </c>
      <c r="B5912" s="11" t="str">
        <f>"00279839"</f>
        <v>00279839</v>
      </c>
    </row>
    <row r="5913" spans="1:2" x14ac:dyDescent="0.25">
      <c r="A5913" s="2">
        <v>5908</v>
      </c>
      <c r="B5913" s="11" t="str">
        <f>"00279866"</f>
        <v>00279866</v>
      </c>
    </row>
    <row r="5914" spans="1:2" x14ac:dyDescent="0.25">
      <c r="A5914" s="2">
        <v>5909</v>
      </c>
      <c r="B5914" s="11" t="str">
        <f>"00279878"</f>
        <v>00279878</v>
      </c>
    </row>
    <row r="5915" spans="1:2" x14ac:dyDescent="0.25">
      <c r="A5915" s="2">
        <v>5910</v>
      </c>
      <c r="B5915" s="11" t="str">
        <f>"00279971"</f>
        <v>00279971</v>
      </c>
    </row>
    <row r="5916" spans="1:2" x14ac:dyDescent="0.25">
      <c r="A5916" s="2">
        <v>5911</v>
      </c>
      <c r="B5916" s="11" t="str">
        <f>"00279974"</f>
        <v>00279974</v>
      </c>
    </row>
    <row r="5917" spans="1:2" x14ac:dyDescent="0.25">
      <c r="A5917" s="2">
        <v>5912</v>
      </c>
      <c r="B5917" s="11" t="str">
        <f>"00280025"</f>
        <v>00280025</v>
      </c>
    </row>
    <row r="5918" spans="1:2" x14ac:dyDescent="0.25">
      <c r="A5918" s="2">
        <v>5913</v>
      </c>
      <c r="B5918" s="11" t="str">
        <f>"00280057"</f>
        <v>00280057</v>
      </c>
    </row>
    <row r="5919" spans="1:2" x14ac:dyDescent="0.25">
      <c r="A5919" s="2">
        <v>5914</v>
      </c>
      <c r="B5919" s="11" t="str">
        <f>"00280245"</f>
        <v>00280245</v>
      </c>
    </row>
    <row r="5920" spans="1:2" x14ac:dyDescent="0.25">
      <c r="A5920" s="2">
        <v>5915</v>
      </c>
      <c r="B5920" s="11" t="str">
        <f>"00280277"</f>
        <v>00280277</v>
      </c>
    </row>
    <row r="5921" spans="1:2" x14ac:dyDescent="0.25">
      <c r="A5921" s="2">
        <v>5916</v>
      </c>
      <c r="B5921" s="11" t="str">
        <f>"00280287"</f>
        <v>00280287</v>
      </c>
    </row>
    <row r="5922" spans="1:2" x14ac:dyDescent="0.25">
      <c r="A5922" s="2">
        <v>5917</v>
      </c>
      <c r="B5922" s="11" t="str">
        <f>"00280290"</f>
        <v>00280290</v>
      </c>
    </row>
    <row r="5923" spans="1:2" x14ac:dyDescent="0.25">
      <c r="A5923" s="2">
        <v>5918</v>
      </c>
      <c r="B5923" s="11" t="str">
        <f>"00280341"</f>
        <v>00280341</v>
      </c>
    </row>
    <row r="5924" spans="1:2" x14ac:dyDescent="0.25">
      <c r="A5924" s="2">
        <v>5919</v>
      </c>
      <c r="B5924" s="11" t="str">
        <f>"00280346"</f>
        <v>00280346</v>
      </c>
    </row>
    <row r="5925" spans="1:2" x14ac:dyDescent="0.25">
      <c r="A5925" s="2">
        <v>5920</v>
      </c>
      <c r="B5925" s="11" t="str">
        <f>"00280491"</f>
        <v>00280491</v>
      </c>
    </row>
    <row r="5926" spans="1:2" x14ac:dyDescent="0.25">
      <c r="A5926" s="2">
        <v>5921</v>
      </c>
      <c r="B5926" s="11" t="str">
        <f>"00280532"</f>
        <v>00280532</v>
      </c>
    </row>
    <row r="5927" spans="1:2" x14ac:dyDescent="0.25">
      <c r="A5927" s="2">
        <v>5922</v>
      </c>
      <c r="B5927" s="11" t="str">
        <f>"00280638"</f>
        <v>00280638</v>
      </c>
    </row>
    <row r="5928" spans="1:2" x14ac:dyDescent="0.25">
      <c r="A5928" s="2">
        <v>5923</v>
      </c>
      <c r="B5928" s="11" t="str">
        <f>"00280652"</f>
        <v>00280652</v>
      </c>
    </row>
    <row r="5929" spans="1:2" x14ac:dyDescent="0.25">
      <c r="A5929" s="2">
        <v>5924</v>
      </c>
      <c r="B5929" s="11" t="str">
        <f>"00280723"</f>
        <v>00280723</v>
      </c>
    </row>
    <row r="5930" spans="1:2" x14ac:dyDescent="0.25">
      <c r="A5930" s="2">
        <v>5925</v>
      </c>
      <c r="B5930" s="11" t="str">
        <f>"00280817"</f>
        <v>00280817</v>
      </c>
    </row>
    <row r="5931" spans="1:2" x14ac:dyDescent="0.25">
      <c r="A5931" s="2">
        <v>5926</v>
      </c>
      <c r="B5931" s="11" t="str">
        <f>"00280821"</f>
        <v>00280821</v>
      </c>
    </row>
    <row r="5932" spans="1:2" x14ac:dyDescent="0.25">
      <c r="A5932" s="2">
        <v>5927</v>
      </c>
      <c r="B5932" s="11" t="str">
        <f>"00280973"</f>
        <v>00280973</v>
      </c>
    </row>
    <row r="5933" spans="1:2" x14ac:dyDescent="0.25">
      <c r="A5933" s="2">
        <v>5928</v>
      </c>
      <c r="B5933" s="11" t="str">
        <f>"00281045"</f>
        <v>00281045</v>
      </c>
    </row>
    <row r="5934" spans="1:2" x14ac:dyDescent="0.25">
      <c r="A5934" s="2">
        <v>5929</v>
      </c>
      <c r="B5934" s="11" t="str">
        <f>"00281047"</f>
        <v>00281047</v>
      </c>
    </row>
    <row r="5935" spans="1:2" x14ac:dyDescent="0.25">
      <c r="A5935" s="2">
        <v>5930</v>
      </c>
      <c r="B5935" s="11" t="str">
        <f>"00281099"</f>
        <v>00281099</v>
      </c>
    </row>
    <row r="5936" spans="1:2" x14ac:dyDescent="0.25">
      <c r="A5936" s="2">
        <v>5931</v>
      </c>
      <c r="B5936" s="11" t="str">
        <f>"00281187"</f>
        <v>00281187</v>
      </c>
    </row>
    <row r="5937" spans="1:2" x14ac:dyDescent="0.25">
      <c r="A5937" s="2">
        <v>5932</v>
      </c>
      <c r="B5937" s="11" t="str">
        <f>"00281207"</f>
        <v>00281207</v>
      </c>
    </row>
    <row r="5938" spans="1:2" x14ac:dyDescent="0.25">
      <c r="A5938" s="2">
        <v>5933</v>
      </c>
      <c r="B5938" s="11" t="str">
        <f>"00281245"</f>
        <v>00281245</v>
      </c>
    </row>
    <row r="5939" spans="1:2" x14ac:dyDescent="0.25">
      <c r="A5939" s="2">
        <v>5934</v>
      </c>
      <c r="B5939" s="11" t="str">
        <f>"00281330"</f>
        <v>00281330</v>
      </c>
    </row>
    <row r="5940" spans="1:2" x14ac:dyDescent="0.25">
      <c r="A5940" s="2">
        <v>5935</v>
      </c>
      <c r="B5940" s="11" t="str">
        <f>"00281331"</f>
        <v>00281331</v>
      </c>
    </row>
    <row r="5941" spans="1:2" x14ac:dyDescent="0.25">
      <c r="A5941" s="2">
        <v>5936</v>
      </c>
      <c r="B5941" s="11" t="str">
        <f>"00281355"</f>
        <v>00281355</v>
      </c>
    </row>
    <row r="5942" spans="1:2" x14ac:dyDescent="0.25">
      <c r="A5942" s="2">
        <v>5937</v>
      </c>
      <c r="B5942" s="11" t="str">
        <f>"00281357"</f>
        <v>00281357</v>
      </c>
    </row>
    <row r="5943" spans="1:2" x14ac:dyDescent="0.25">
      <c r="A5943" s="2">
        <v>5938</v>
      </c>
      <c r="B5943" s="11" t="str">
        <f>"00281434"</f>
        <v>00281434</v>
      </c>
    </row>
    <row r="5944" spans="1:2" x14ac:dyDescent="0.25">
      <c r="A5944" s="2">
        <v>5939</v>
      </c>
      <c r="B5944" s="11" t="str">
        <f>"00281461"</f>
        <v>00281461</v>
      </c>
    </row>
    <row r="5945" spans="1:2" x14ac:dyDescent="0.25">
      <c r="A5945" s="2">
        <v>5940</v>
      </c>
      <c r="B5945" s="11" t="str">
        <f>"00281471"</f>
        <v>00281471</v>
      </c>
    </row>
    <row r="5946" spans="1:2" x14ac:dyDescent="0.25">
      <c r="A5946" s="2">
        <v>5941</v>
      </c>
      <c r="B5946" s="11" t="str">
        <f>"00281506"</f>
        <v>00281506</v>
      </c>
    </row>
    <row r="5947" spans="1:2" x14ac:dyDescent="0.25">
      <c r="A5947" s="2">
        <v>5942</v>
      </c>
      <c r="B5947" s="11" t="str">
        <f>"00281517"</f>
        <v>00281517</v>
      </c>
    </row>
    <row r="5948" spans="1:2" x14ac:dyDescent="0.25">
      <c r="A5948" s="2">
        <v>5943</v>
      </c>
      <c r="B5948" s="11" t="str">
        <f>"00281608"</f>
        <v>00281608</v>
      </c>
    </row>
    <row r="5949" spans="1:2" x14ac:dyDescent="0.25">
      <c r="A5949" s="2">
        <v>5944</v>
      </c>
      <c r="B5949" s="11" t="str">
        <f>"00281731"</f>
        <v>00281731</v>
      </c>
    </row>
    <row r="5950" spans="1:2" x14ac:dyDescent="0.25">
      <c r="A5950" s="2">
        <v>5945</v>
      </c>
      <c r="B5950" s="11" t="str">
        <f>"00281733"</f>
        <v>00281733</v>
      </c>
    </row>
    <row r="5951" spans="1:2" x14ac:dyDescent="0.25">
      <c r="A5951" s="2">
        <v>5946</v>
      </c>
      <c r="B5951" s="11" t="str">
        <f>"00281749"</f>
        <v>00281749</v>
      </c>
    </row>
    <row r="5952" spans="1:2" x14ac:dyDescent="0.25">
      <c r="A5952" s="2">
        <v>5947</v>
      </c>
      <c r="B5952" s="11" t="str">
        <f>"00281802"</f>
        <v>00281802</v>
      </c>
    </row>
    <row r="5953" spans="1:2" x14ac:dyDescent="0.25">
      <c r="A5953" s="2">
        <v>5948</v>
      </c>
      <c r="B5953" s="11" t="str">
        <f>"00281824"</f>
        <v>00281824</v>
      </c>
    </row>
    <row r="5954" spans="1:2" x14ac:dyDescent="0.25">
      <c r="A5954" s="2">
        <v>5949</v>
      </c>
      <c r="B5954" s="11" t="str">
        <f>"00281827"</f>
        <v>00281827</v>
      </c>
    </row>
    <row r="5955" spans="1:2" x14ac:dyDescent="0.25">
      <c r="A5955" s="2">
        <v>5950</v>
      </c>
      <c r="B5955" s="11" t="str">
        <f>"00281865"</f>
        <v>00281865</v>
      </c>
    </row>
    <row r="5956" spans="1:2" x14ac:dyDescent="0.25">
      <c r="A5956" s="2">
        <v>5951</v>
      </c>
      <c r="B5956" s="11" t="str">
        <f>"00281903"</f>
        <v>00281903</v>
      </c>
    </row>
    <row r="5957" spans="1:2" x14ac:dyDescent="0.25">
      <c r="A5957" s="2">
        <v>5952</v>
      </c>
      <c r="B5957" s="11" t="str">
        <f>"00281982"</f>
        <v>00281982</v>
      </c>
    </row>
    <row r="5958" spans="1:2" x14ac:dyDescent="0.25">
      <c r="A5958" s="2">
        <v>5953</v>
      </c>
      <c r="B5958" s="11" t="str">
        <f>"00282013"</f>
        <v>00282013</v>
      </c>
    </row>
    <row r="5959" spans="1:2" x14ac:dyDescent="0.25">
      <c r="A5959" s="2">
        <v>5954</v>
      </c>
      <c r="B5959" s="11" t="str">
        <f>"00282039"</f>
        <v>00282039</v>
      </c>
    </row>
    <row r="5960" spans="1:2" x14ac:dyDescent="0.25">
      <c r="A5960" s="2">
        <v>5955</v>
      </c>
      <c r="B5960" s="11" t="str">
        <f>"00282044"</f>
        <v>00282044</v>
      </c>
    </row>
    <row r="5961" spans="1:2" x14ac:dyDescent="0.25">
      <c r="A5961" s="2">
        <v>5956</v>
      </c>
      <c r="B5961" s="11" t="str">
        <f>"00282093"</f>
        <v>00282093</v>
      </c>
    </row>
    <row r="5962" spans="1:2" x14ac:dyDescent="0.25">
      <c r="A5962" s="2">
        <v>5957</v>
      </c>
      <c r="B5962" s="11" t="str">
        <f>"00282097"</f>
        <v>00282097</v>
      </c>
    </row>
    <row r="5963" spans="1:2" x14ac:dyDescent="0.25">
      <c r="A5963" s="2">
        <v>5958</v>
      </c>
      <c r="B5963" s="11" t="str">
        <f>"00282107"</f>
        <v>00282107</v>
      </c>
    </row>
    <row r="5964" spans="1:2" x14ac:dyDescent="0.25">
      <c r="A5964" s="2">
        <v>5959</v>
      </c>
      <c r="B5964" s="11" t="str">
        <f>"00282168"</f>
        <v>00282168</v>
      </c>
    </row>
    <row r="5965" spans="1:2" x14ac:dyDescent="0.25">
      <c r="A5965" s="2">
        <v>5960</v>
      </c>
      <c r="B5965" s="11" t="str">
        <f>"00282180"</f>
        <v>00282180</v>
      </c>
    </row>
    <row r="5966" spans="1:2" x14ac:dyDescent="0.25">
      <c r="A5966" s="2">
        <v>5961</v>
      </c>
      <c r="B5966" s="11" t="str">
        <f>"00282213"</f>
        <v>00282213</v>
      </c>
    </row>
    <row r="5967" spans="1:2" x14ac:dyDescent="0.25">
      <c r="A5967" s="2">
        <v>5962</v>
      </c>
      <c r="B5967" s="11" t="str">
        <f>"00282215"</f>
        <v>00282215</v>
      </c>
    </row>
    <row r="5968" spans="1:2" x14ac:dyDescent="0.25">
      <c r="A5968" s="2">
        <v>5963</v>
      </c>
      <c r="B5968" s="11" t="str">
        <f>"00282235"</f>
        <v>00282235</v>
      </c>
    </row>
    <row r="5969" spans="1:2" x14ac:dyDescent="0.25">
      <c r="A5969" s="2">
        <v>5964</v>
      </c>
      <c r="B5969" s="11" t="str">
        <f>"00282303"</f>
        <v>00282303</v>
      </c>
    </row>
    <row r="5970" spans="1:2" x14ac:dyDescent="0.25">
      <c r="A5970" s="2">
        <v>5965</v>
      </c>
      <c r="B5970" s="11" t="str">
        <f>"00282310"</f>
        <v>00282310</v>
      </c>
    </row>
    <row r="5971" spans="1:2" x14ac:dyDescent="0.25">
      <c r="A5971" s="2">
        <v>5966</v>
      </c>
      <c r="B5971" s="11" t="str">
        <f>"00282345"</f>
        <v>00282345</v>
      </c>
    </row>
    <row r="5972" spans="1:2" x14ac:dyDescent="0.25">
      <c r="A5972" s="2">
        <v>5967</v>
      </c>
      <c r="B5972" s="11" t="str">
        <f>"00282375"</f>
        <v>00282375</v>
      </c>
    </row>
    <row r="5973" spans="1:2" x14ac:dyDescent="0.25">
      <c r="A5973" s="2">
        <v>5968</v>
      </c>
      <c r="B5973" s="11" t="str">
        <f>"00282522"</f>
        <v>00282522</v>
      </c>
    </row>
    <row r="5974" spans="1:2" x14ac:dyDescent="0.25">
      <c r="A5974" s="2">
        <v>5969</v>
      </c>
      <c r="B5974" s="11" t="str">
        <f>"00282556"</f>
        <v>00282556</v>
      </c>
    </row>
    <row r="5975" spans="1:2" x14ac:dyDescent="0.25">
      <c r="A5975" s="2">
        <v>5970</v>
      </c>
      <c r="B5975" s="11" t="str">
        <f>"00282610"</f>
        <v>00282610</v>
      </c>
    </row>
    <row r="5976" spans="1:2" x14ac:dyDescent="0.25">
      <c r="A5976" s="2">
        <v>5971</v>
      </c>
      <c r="B5976" s="11" t="str">
        <f>"00282646"</f>
        <v>00282646</v>
      </c>
    </row>
    <row r="5977" spans="1:2" x14ac:dyDescent="0.25">
      <c r="A5977" s="2">
        <v>5972</v>
      </c>
      <c r="B5977" s="11" t="str">
        <f>"00282653"</f>
        <v>00282653</v>
      </c>
    </row>
    <row r="5978" spans="1:2" x14ac:dyDescent="0.25">
      <c r="A5978" s="2">
        <v>5973</v>
      </c>
      <c r="B5978" s="11" t="str">
        <f>"00282657"</f>
        <v>00282657</v>
      </c>
    </row>
    <row r="5979" spans="1:2" x14ac:dyDescent="0.25">
      <c r="A5979" s="2">
        <v>5974</v>
      </c>
      <c r="B5979" s="11" t="str">
        <f>"00282693"</f>
        <v>00282693</v>
      </c>
    </row>
    <row r="5980" spans="1:2" x14ac:dyDescent="0.25">
      <c r="A5980" s="2">
        <v>5975</v>
      </c>
      <c r="B5980" s="11" t="str">
        <f>"00282838"</f>
        <v>00282838</v>
      </c>
    </row>
    <row r="5981" spans="1:2" x14ac:dyDescent="0.25">
      <c r="A5981" s="2">
        <v>5976</v>
      </c>
      <c r="B5981" s="11" t="str">
        <f>"00282929"</f>
        <v>00282929</v>
      </c>
    </row>
    <row r="5982" spans="1:2" x14ac:dyDescent="0.25">
      <c r="A5982" s="2">
        <v>5977</v>
      </c>
      <c r="B5982" s="11" t="str">
        <f>"00282936"</f>
        <v>00282936</v>
      </c>
    </row>
    <row r="5983" spans="1:2" x14ac:dyDescent="0.25">
      <c r="A5983" s="2">
        <v>5978</v>
      </c>
      <c r="B5983" s="11" t="str">
        <f>"00282941"</f>
        <v>00282941</v>
      </c>
    </row>
    <row r="5984" spans="1:2" x14ac:dyDescent="0.25">
      <c r="A5984" s="2">
        <v>5979</v>
      </c>
      <c r="B5984" s="11" t="str">
        <f>"00283084"</f>
        <v>00283084</v>
      </c>
    </row>
    <row r="5985" spans="1:2" x14ac:dyDescent="0.25">
      <c r="A5985" s="2">
        <v>5980</v>
      </c>
      <c r="B5985" s="11" t="str">
        <f>"00283260"</f>
        <v>00283260</v>
      </c>
    </row>
    <row r="5986" spans="1:2" x14ac:dyDescent="0.25">
      <c r="A5986" s="2">
        <v>5981</v>
      </c>
      <c r="B5986" s="11" t="str">
        <f>"00283286"</f>
        <v>00283286</v>
      </c>
    </row>
    <row r="5987" spans="1:2" x14ac:dyDescent="0.25">
      <c r="A5987" s="2">
        <v>5982</v>
      </c>
      <c r="B5987" s="11" t="str">
        <f>"00283380"</f>
        <v>00283380</v>
      </c>
    </row>
    <row r="5988" spans="1:2" x14ac:dyDescent="0.25">
      <c r="A5988" s="2">
        <v>5983</v>
      </c>
      <c r="B5988" s="11" t="str">
        <f>"00283382"</f>
        <v>00283382</v>
      </c>
    </row>
    <row r="5989" spans="1:2" x14ac:dyDescent="0.25">
      <c r="A5989" s="2">
        <v>5984</v>
      </c>
      <c r="B5989" s="11" t="str">
        <f>"00283457"</f>
        <v>00283457</v>
      </c>
    </row>
    <row r="5990" spans="1:2" x14ac:dyDescent="0.25">
      <c r="A5990" s="2">
        <v>5985</v>
      </c>
      <c r="B5990" s="11" t="str">
        <f>"00283463"</f>
        <v>00283463</v>
      </c>
    </row>
    <row r="5991" spans="1:2" x14ac:dyDescent="0.25">
      <c r="A5991" s="2">
        <v>5986</v>
      </c>
      <c r="B5991" s="11" t="str">
        <f>"00283588"</f>
        <v>00283588</v>
      </c>
    </row>
    <row r="5992" spans="1:2" x14ac:dyDescent="0.25">
      <c r="A5992" s="2">
        <v>5987</v>
      </c>
      <c r="B5992" s="11" t="str">
        <f>"00283682"</f>
        <v>00283682</v>
      </c>
    </row>
    <row r="5993" spans="1:2" x14ac:dyDescent="0.25">
      <c r="A5993" s="2">
        <v>5988</v>
      </c>
      <c r="B5993" s="11" t="str">
        <f>"00283703"</f>
        <v>00283703</v>
      </c>
    </row>
    <row r="5994" spans="1:2" x14ac:dyDescent="0.25">
      <c r="A5994" s="2">
        <v>5989</v>
      </c>
      <c r="B5994" s="11" t="str">
        <f>"00283705"</f>
        <v>00283705</v>
      </c>
    </row>
    <row r="5995" spans="1:2" x14ac:dyDescent="0.25">
      <c r="A5995" s="2">
        <v>5990</v>
      </c>
      <c r="B5995" s="11" t="str">
        <f>"00283739"</f>
        <v>00283739</v>
      </c>
    </row>
    <row r="5996" spans="1:2" x14ac:dyDescent="0.25">
      <c r="A5996" s="2">
        <v>5991</v>
      </c>
      <c r="B5996" s="11" t="str">
        <f>"00283765"</f>
        <v>00283765</v>
      </c>
    </row>
    <row r="5997" spans="1:2" x14ac:dyDescent="0.25">
      <c r="A5997" s="2">
        <v>5992</v>
      </c>
      <c r="B5997" s="11" t="str">
        <f>"00283771"</f>
        <v>00283771</v>
      </c>
    </row>
    <row r="5998" spans="1:2" x14ac:dyDescent="0.25">
      <c r="A5998" s="2">
        <v>5993</v>
      </c>
      <c r="B5998" s="11" t="str">
        <f>"00283844"</f>
        <v>00283844</v>
      </c>
    </row>
    <row r="5999" spans="1:2" x14ac:dyDescent="0.25">
      <c r="A5999" s="2">
        <v>5994</v>
      </c>
      <c r="B5999" s="11" t="str">
        <f>"00283993"</f>
        <v>00283993</v>
      </c>
    </row>
    <row r="6000" spans="1:2" x14ac:dyDescent="0.25">
      <c r="A6000" s="2">
        <v>5995</v>
      </c>
      <c r="B6000" s="11" t="str">
        <f>"00284019"</f>
        <v>00284019</v>
      </c>
    </row>
    <row r="6001" spans="1:2" x14ac:dyDescent="0.25">
      <c r="A6001" s="2">
        <v>5996</v>
      </c>
      <c r="B6001" s="11" t="str">
        <f>"00284071"</f>
        <v>00284071</v>
      </c>
    </row>
    <row r="6002" spans="1:2" x14ac:dyDescent="0.25">
      <c r="A6002" s="2">
        <v>5997</v>
      </c>
      <c r="B6002" s="11" t="str">
        <f>"00284078"</f>
        <v>00284078</v>
      </c>
    </row>
    <row r="6003" spans="1:2" x14ac:dyDescent="0.25">
      <c r="A6003" s="2">
        <v>5998</v>
      </c>
      <c r="B6003" s="11" t="str">
        <f>"00284093"</f>
        <v>00284093</v>
      </c>
    </row>
    <row r="6004" spans="1:2" x14ac:dyDescent="0.25">
      <c r="A6004" s="2">
        <v>5999</v>
      </c>
      <c r="B6004" s="11" t="str">
        <f>"00284122"</f>
        <v>00284122</v>
      </c>
    </row>
    <row r="6005" spans="1:2" x14ac:dyDescent="0.25">
      <c r="A6005" s="2">
        <v>6000</v>
      </c>
      <c r="B6005" s="11" t="str">
        <f>"00284161"</f>
        <v>00284161</v>
      </c>
    </row>
    <row r="6006" spans="1:2" x14ac:dyDescent="0.25">
      <c r="A6006" s="2">
        <v>6001</v>
      </c>
      <c r="B6006" s="11" t="str">
        <f>"00284177"</f>
        <v>00284177</v>
      </c>
    </row>
    <row r="6007" spans="1:2" x14ac:dyDescent="0.25">
      <c r="A6007" s="2">
        <v>6002</v>
      </c>
      <c r="B6007" s="11" t="str">
        <f>"00284242"</f>
        <v>00284242</v>
      </c>
    </row>
    <row r="6008" spans="1:2" x14ac:dyDescent="0.25">
      <c r="A6008" s="2">
        <v>6003</v>
      </c>
      <c r="B6008" s="11" t="str">
        <f>"00284287"</f>
        <v>00284287</v>
      </c>
    </row>
    <row r="6009" spans="1:2" x14ac:dyDescent="0.25">
      <c r="A6009" s="2">
        <v>6004</v>
      </c>
      <c r="B6009" s="11" t="str">
        <f>"00284346"</f>
        <v>00284346</v>
      </c>
    </row>
    <row r="6010" spans="1:2" x14ac:dyDescent="0.25">
      <c r="A6010" s="2">
        <v>6005</v>
      </c>
      <c r="B6010" s="11" t="str">
        <f>"00284384"</f>
        <v>00284384</v>
      </c>
    </row>
    <row r="6011" spans="1:2" x14ac:dyDescent="0.25">
      <c r="A6011" s="2">
        <v>6006</v>
      </c>
      <c r="B6011" s="11" t="str">
        <f>"00284415"</f>
        <v>00284415</v>
      </c>
    </row>
    <row r="6012" spans="1:2" x14ac:dyDescent="0.25">
      <c r="A6012" s="2">
        <v>6007</v>
      </c>
      <c r="B6012" s="11" t="str">
        <f>"00284826"</f>
        <v>00284826</v>
      </c>
    </row>
    <row r="6013" spans="1:2" x14ac:dyDescent="0.25">
      <c r="A6013" s="2">
        <v>6008</v>
      </c>
      <c r="B6013" s="11" t="str">
        <f>"00284831"</f>
        <v>00284831</v>
      </c>
    </row>
    <row r="6014" spans="1:2" x14ac:dyDescent="0.25">
      <c r="A6014" s="2">
        <v>6009</v>
      </c>
      <c r="B6014" s="11" t="str">
        <f>"00284880"</f>
        <v>00284880</v>
      </c>
    </row>
    <row r="6015" spans="1:2" x14ac:dyDescent="0.25">
      <c r="A6015" s="2">
        <v>6010</v>
      </c>
      <c r="B6015" s="11" t="str">
        <f>"00284953"</f>
        <v>00284953</v>
      </c>
    </row>
    <row r="6016" spans="1:2" x14ac:dyDescent="0.25">
      <c r="A6016" s="2">
        <v>6011</v>
      </c>
      <c r="B6016" s="11" t="str">
        <f>"00284985"</f>
        <v>00284985</v>
      </c>
    </row>
    <row r="6017" spans="1:2" x14ac:dyDescent="0.25">
      <c r="A6017" s="2">
        <v>6012</v>
      </c>
      <c r="B6017" s="11" t="str">
        <f>"00284986"</f>
        <v>00284986</v>
      </c>
    </row>
    <row r="6018" spans="1:2" x14ac:dyDescent="0.25">
      <c r="A6018" s="2">
        <v>6013</v>
      </c>
      <c r="B6018" s="11" t="str">
        <f>"00285035"</f>
        <v>00285035</v>
      </c>
    </row>
    <row r="6019" spans="1:2" x14ac:dyDescent="0.25">
      <c r="A6019" s="2">
        <v>6014</v>
      </c>
      <c r="B6019" s="11" t="str">
        <f>"00285056"</f>
        <v>00285056</v>
      </c>
    </row>
    <row r="6020" spans="1:2" x14ac:dyDescent="0.25">
      <c r="A6020" s="2">
        <v>6015</v>
      </c>
      <c r="B6020" s="11" t="str">
        <f>"00285063"</f>
        <v>00285063</v>
      </c>
    </row>
    <row r="6021" spans="1:2" x14ac:dyDescent="0.25">
      <c r="A6021" s="2">
        <v>6016</v>
      </c>
      <c r="B6021" s="11" t="str">
        <f>"00285103"</f>
        <v>00285103</v>
      </c>
    </row>
    <row r="6022" spans="1:2" x14ac:dyDescent="0.25">
      <c r="A6022" s="2">
        <v>6017</v>
      </c>
      <c r="B6022" s="11" t="str">
        <f>"00285139"</f>
        <v>00285139</v>
      </c>
    </row>
    <row r="6023" spans="1:2" x14ac:dyDescent="0.25">
      <c r="A6023" s="2">
        <v>6018</v>
      </c>
      <c r="B6023" s="11" t="str">
        <f>"00285179"</f>
        <v>00285179</v>
      </c>
    </row>
    <row r="6024" spans="1:2" x14ac:dyDescent="0.25">
      <c r="A6024" s="2">
        <v>6019</v>
      </c>
      <c r="B6024" s="11" t="str">
        <f>"00285206"</f>
        <v>00285206</v>
      </c>
    </row>
    <row r="6025" spans="1:2" x14ac:dyDescent="0.25">
      <c r="A6025" s="2">
        <v>6020</v>
      </c>
      <c r="B6025" s="11" t="str">
        <f>"00285211"</f>
        <v>00285211</v>
      </c>
    </row>
    <row r="6026" spans="1:2" x14ac:dyDescent="0.25">
      <c r="A6026" s="2">
        <v>6021</v>
      </c>
      <c r="B6026" s="11" t="str">
        <f>"00285243"</f>
        <v>00285243</v>
      </c>
    </row>
    <row r="6027" spans="1:2" x14ac:dyDescent="0.25">
      <c r="A6027" s="2">
        <v>6022</v>
      </c>
      <c r="B6027" s="11" t="str">
        <f>"00285291"</f>
        <v>00285291</v>
      </c>
    </row>
    <row r="6028" spans="1:2" x14ac:dyDescent="0.25">
      <c r="A6028" s="2">
        <v>6023</v>
      </c>
      <c r="B6028" s="11" t="str">
        <f>"00285537"</f>
        <v>00285537</v>
      </c>
    </row>
    <row r="6029" spans="1:2" x14ac:dyDescent="0.25">
      <c r="A6029" s="2">
        <v>6024</v>
      </c>
      <c r="B6029" s="11" t="str">
        <f>"00285560"</f>
        <v>00285560</v>
      </c>
    </row>
    <row r="6030" spans="1:2" x14ac:dyDescent="0.25">
      <c r="A6030" s="2">
        <v>6025</v>
      </c>
      <c r="B6030" s="11" t="str">
        <f>"00285646"</f>
        <v>00285646</v>
      </c>
    </row>
    <row r="6031" spans="1:2" x14ac:dyDescent="0.25">
      <c r="A6031" s="2">
        <v>6026</v>
      </c>
      <c r="B6031" s="11" t="str">
        <f>"00285658"</f>
        <v>00285658</v>
      </c>
    </row>
    <row r="6032" spans="1:2" x14ac:dyDescent="0.25">
      <c r="A6032" s="2">
        <v>6027</v>
      </c>
      <c r="B6032" s="11" t="str">
        <f>"00285691"</f>
        <v>00285691</v>
      </c>
    </row>
    <row r="6033" spans="1:2" x14ac:dyDescent="0.25">
      <c r="A6033" s="2">
        <v>6028</v>
      </c>
      <c r="B6033" s="11" t="str">
        <f>"00285696"</f>
        <v>00285696</v>
      </c>
    </row>
    <row r="6034" spans="1:2" x14ac:dyDescent="0.25">
      <c r="A6034" s="2">
        <v>6029</v>
      </c>
      <c r="B6034" s="11" t="str">
        <f>"00285711"</f>
        <v>00285711</v>
      </c>
    </row>
    <row r="6035" spans="1:2" x14ac:dyDescent="0.25">
      <c r="A6035" s="2">
        <v>6030</v>
      </c>
      <c r="B6035" s="11" t="str">
        <f>"00285813"</f>
        <v>00285813</v>
      </c>
    </row>
    <row r="6036" spans="1:2" x14ac:dyDescent="0.25">
      <c r="A6036" s="2">
        <v>6031</v>
      </c>
      <c r="B6036" s="11" t="str">
        <f>"00285867"</f>
        <v>00285867</v>
      </c>
    </row>
    <row r="6037" spans="1:2" x14ac:dyDescent="0.25">
      <c r="A6037" s="2">
        <v>6032</v>
      </c>
      <c r="B6037" s="11" t="str">
        <f>"00285976"</f>
        <v>00285976</v>
      </c>
    </row>
    <row r="6038" spans="1:2" x14ac:dyDescent="0.25">
      <c r="A6038" s="2">
        <v>6033</v>
      </c>
      <c r="B6038" s="11" t="str">
        <f>"00285990"</f>
        <v>00285990</v>
      </c>
    </row>
    <row r="6039" spans="1:2" x14ac:dyDescent="0.25">
      <c r="A6039" s="2">
        <v>6034</v>
      </c>
      <c r="B6039" s="11" t="str">
        <f>"00286074"</f>
        <v>00286074</v>
      </c>
    </row>
    <row r="6040" spans="1:2" x14ac:dyDescent="0.25">
      <c r="A6040" s="2">
        <v>6035</v>
      </c>
      <c r="B6040" s="11" t="str">
        <f>"00286092"</f>
        <v>00286092</v>
      </c>
    </row>
    <row r="6041" spans="1:2" x14ac:dyDescent="0.25">
      <c r="A6041" s="2">
        <v>6036</v>
      </c>
      <c r="B6041" s="11" t="str">
        <f>"00286156"</f>
        <v>00286156</v>
      </c>
    </row>
    <row r="6042" spans="1:2" x14ac:dyDescent="0.25">
      <c r="A6042" s="2">
        <v>6037</v>
      </c>
      <c r="B6042" s="11" t="str">
        <f>"00286186"</f>
        <v>00286186</v>
      </c>
    </row>
    <row r="6043" spans="1:2" x14ac:dyDescent="0.25">
      <c r="A6043" s="2">
        <v>6038</v>
      </c>
      <c r="B6043" s="11" t="str">
        <f>"00286205"</f>
        <v>00286205</v>
      </c>
    </row>
    <row r="6044" spans="1:2" x14ac:dyDescent="0.25">
      <c r="A6044" s="2">
        <v>6039</v>
      </c>
      <c r="B6044" s="11" t="str">
        <f>"00286309"</f>
        <v>00286309</v>
      </c>
    </row>
    <row r="6045" spans="1:2" x14ac:dyDescent="0.25">
      <c r="A6045" s="2">
        <v>6040</v>
      </c>
      <c r="B6045" s="11" t="str">
        <f>"00286376"</f>
        <v>00286376</v>
      </c>
    </row>
    <row r="6046" spans="1:2" x14ac:dyDescent="0.25">
      <c r="A6046" s="2">
        <v>6041</v>
      </c>
      <c r="B6046" s="11" t="str">
        <f>"00286477"</f>
        <v>00286477</v>
      </c>
    </row>
    <row r="6047" spans="1:2" x14ac:dyDescent="0.25">
      <c r="A6047" s="2">
        <v>6042</v>
      </c>
      <c r="B6047" s="11" t="str">
        <f>"00286562"</f>
        <v>00286562</v>
      </c>
    </row>
    <row r="6048" spans="1:2" x14ac:dyDescent="0.25">
      <c r="A6048" s="2">
        <v>6043</v>
      </c>
      <c r="B6048" s="11" t="str">
        <f>"00286573"</f>
        <v>00286573</v>
      </c>
    </row>
    <row r="6049" spans="1:2" x14ac:dyDescent="0.25">
      <c r="A6049" s="2">
        <v>6044</v>
      </c>
      <c r="B6049" s="11" t="str">
        <f>"00286581"</f>
        <v>00286581</v>
      </c>
    </row>
    <row r="6050" spans="1:2" x14ac:dyDescent="0.25">
      <c r="A6050" s="2">
        <v>6045</v>
      </c>
      <c r="B6050" s="11" t="str">
        <f>"00286642"</f>
        <v>00286642</v>
      </c>
    </row>
    <row r="6051" spans="1:2" x14ac:dyDescent="0.25">
      <c r="A6051" s="2">
        <v>6046</v>
      </c>
      <c r="B6051" s="11" t="str">
        <f>"00286780"</f>
        <v>00286780</v>
      </c>
    </row>
    <row r="6052" spans="1:2" x14ac:dyDescent="0.25">
      <c r="A6052" s="2">
        <v>6047</v>
      </c>
      <c r="B6052" s="11" t="str">
        <f>"00286792"</f>
        <v>00286792</v>
      </c>
    </row>
    <row r="6053" spans="1:2" x14ac:dyDescent="0.25">
      <c r="A6053" s="2">
        <v>6048</v>
      </c>
      <c r="B6053" s="11" t="str">
        <f>"00286857"</f>
        <v>00286857</v>
      </c>
    </row>
    <row r="6054" spans="1:2" x14ac:dyDescent="0.25">
      <c r="A6054" s="2">
        <v>6049</v>
      </c>
      <c r="B6054" s="11" t="str">
        <f>"00286866"</f>
        <v>00286866</v>
      </c>
    </row>
    <row r="6055" spans="1:2" x14ac:dyDescent="0.25">
      <c r="A6055" s="2">
        <v>6050</v>
      </c>
      <c r="B6055" s="11" t="str">
        <f>"00286957"</f>
        <v>00286957</v>
      </c>
    </row>
    <row r="6056" spans="1:2" x14ac:dyDescent="0.25">
      <c r="A6056" s="2">
        <v>6051</v>
      </c>
      <c r="B6056" s="11" t="str">
        <f>"00287011"</f>
        <v>00287011</v>
      </c>
    </row>
    <row r="6057" spans="1:2" x14ac:dyDescent="0.25">
      <c r="A6057" s="2">
        <v>6052</v>
      </c>
      <c r="B6057" s="11" t="str">
        <f>"00287040"</f>
        <v>00287040</v>
      </c>
    </row>
    <row r="6058" spans="1:2" x14ac:dyDescent="0.25">
      <c r="A6058" s="2">
        <v>6053</v>
      </c>
      <c r="B6058" s="11" t="str">
        <f>"00287141"</f>
        <v>00287141</v>
      </c>
    </row>
    <row r="6059" spans="1:2" x14ac:dyDescent="0.25">
      <c r="A6059" s="2">
        <v>6054</v>
      </c>
      <c r="B6059" s="11" t="str">
        <f>"00287218"</f>
        <v>00287218</v>
      </c>
    </row>
    <row r="6060" spans="1:2" x14ac:dyDescent="0.25">
      <c r="A6060" s="2">
        <v>6055</v>
      </c>
      <c r="B6060" s="11" t="str">
        <f>"00287237"</f>
        <v>00287237</v>
      </c>
    </row>
    <row r="6061" spans="1:2" x14ac:dyDescent="0.25">
      <c r="A6061" s="2">
        <v>6056</v>
      </c>
      <c r="B6061" s="11" t="str">
        <f>"00287336"</f>
        <v>00287336</v>
      </c>
    </row>
    <row r="6062" spans="1:2" x14ac:dyDescent="0.25">
      <c r="A6062" s="2">
        <v>6057</v>
      </c>
      <c r="B6062" s="11" t="str">
        <f>"00287341"</f>
        <v>00287341</v>
      </c>
    </row>
    <row r="6063" spans="1:2" x14ac:dyDescent="0.25">
      <c r="A6063" s="2">
        <v>6058</v>
      </c>
      <c r="B6063" s="11" t="str">
        <f>"00287353"</f>
        <v>00287353</v>
      </c>
    </row>
    <row r="6064" spans="1:2" x14ac:dyDescent="0.25">
      <c r="A6064" s="2">
        <v>6059</v>
      </c>
      <c r="B6064" s="11" t="str">
        <f>"00287415"</f>
        <v>00287415</v>
      </c>
    </row>
    <row r="6065" spans="1:2" x14ac:dyDescent="0.25">
      <c r="A6065" s="2">
        <v>6060</v>
      </c>
      <c r="B6065" s="11" t="str">
        <f>"00287482"</f>
        <v>00287482</v>
      </c>
    </row>
    <row r="6066" spans="1:2" x14ac:dyDescent="0.25">
      <c r="A6066" s="2">
        <v>6061</v>
      </c>
      <c r="B6066" s="11" t="str">
        <f>"00287502"</f>
        <v>00287502</v>
      </c>
    </row>
    <row r="6067" spans="1:2" x14ac:dyDescent="0.25">
      <c r="A6067" s="2">
        <v>6062</v>
      </c>
      <c r="B6067" s="11" t="str">
        <f>"00287556"</f>
        <v>00287556</v>
      </c>
    </row>
    <row r="6068" spans="1:2" x14ac:dyDescent="0.25">
      <c r="A6068" s="2">
        <v>6063</v>
      </c>
      <c r="B6068" s="11" t="str">
        <f>"00287653"</f>
        <v>00287653</v>
      </c>
    </row>
    <row r="6069" spans="1:2" x14ac:dyDescent="0.25">
      <c r="A6069" s="2">
        <v>6064</v>
      </c>
      <c r="B6069" s="11" t="str">
        <f>"00287820"</f>
        <v>00287820</v>
      </c>
    </row>
    <row r="6070" spans="1:2" x14ac:dyDescent="0.25">
      <c r="A6070" s="2">
        <v>6065</v>
      </c>
      <c r="B6070" s="11" t="str">
        <f>"00287836"</f>
        <v>00287836</v>
      </c>
    </row>
    <row r="6071" spans="1:2" x14ac:dyDescent="0.25">
      <c r="A6071" s="2">
        <v>6066</v>
      </c>
      <c r="B6071" s="11" t="str">
        <f>"00287852"</f>
        <v>00287852</v>
      </c>
    </row>
    <row r="6072" spans="1:2" x14ac:dyDescent="0.25">
      <c r="A6072" s="2">
        <v>6067</v>
      </c>
      <c r="B6072" s="11" t="str">
        <f>"00287917"</f>
        <v>00287917</v>
      </c>
    </row>
    <row r="6073" spans="1:2" x14ac:dyDescent="0.25">
      <c r="A6073" s="2">
        <v>6068</v>
      </c>
      <c r="B6073" s="11" t="str">
        <f>"00287942"</f>
        <v>00287942</v>
      </c>
    </row>
    <row r="6074" spans="1:2" x14ac:dyDescent="0.25">
      <c r="A6074" s="2">
        <v>6069</v>
      </c>
      <c r="B6074" s="11" t="str">
        <f>"00288055"</f>
        <v>00288055</v>
      </c>
    </row>
    <row r="6075" spans="1:2" x14ac:dyDescent="0.25">
      <c r="A6075" s="2">
        <v>6070</v>
      </c>
      <c r="B6075" s="11" t="str">
        <f>"00288150"</f>
        <v>00288150</v>
      </c>
    </row>
    <row r="6076" spans="1:2" x14ac:dyDescent="0.25">
      <c r="A6076" s="2">
        <v>6071</v>
      </c>
      <c r="B6076" s="11" t="str">
        <f>"00288159"</f>
        <v>00288159</v>
      </c>
    </row>
    <row r="6077" spans="1:2" x14ac:dyDescent="0.25">
      <c r="A6077" s="2">
        <v>6072</v>
      </c>
      <c r="B6077" s="11" t="str">
        <f>"00288311"</f>
        <v>00288311</v>
      </c>
    </row>
    <row r="6078" spans="1:2" x14ac:dyDescent="0.25">
      <c r="A6078" s="2">
        <v>6073</v>
      </c>
      <c r="B6078" s="11" t="str">
        <f>"00288329"</f>
        <v>00288329</v>
      </c>
    </row>
    <row r="6079" spans="1:2" x14ac:dyDescent="0.25">
      <c r="A6079" s="2">
        <v>6074</v>
      </c>
      <c r="B6079" s="11" t="str">
        <f>"00288339"</f>
        <v>00288339</v>
      </c>
    </row>
    <row r="6080" spans="1:2" x14ac:dyDescent="0.25">
      <c r="A6080" s="2">
        <v>6075</v>
      </c>
      <c r="B6080" s="11" t="str">
        <f>"00288382"</f>
        <v>00288382</v>
      </c>
    </row>
    <row r="6081" spans="1:2" x14ac:dyDescent="0.25">
      <c r="A6081" s="2">
        <v>6076</v>
      </c>
      <c r="B6081" s="11" t="str">
        <f>"00288398"</f>
        <v>00288398</v>
      </c>
    </row>
    <row r="6082" spans="1:2" x14ac:dyDescent="0.25">
      <c r="A6082" s="2">
        <v>6077</v>
      </c>
      <c r="B6082" s="11" t="str">
        <f>"00288401"</f>
        <v>00288401</v>
      </c>
    </row>
    <row r="6083" spans="1:2" x14ac:dyDescent="0.25">
      <c r="A6083" s="2">
        <v>6078</v>
      </c>
      <c r="B6083" s="11" t="str">
        <f>"00288465"</f>
        <v>00288465</v>
      </c>
    </row>
    <row r="6084" spans="1:2" x14ac:dyDescent="0.25">
      <c r="A6084" s="2">
        <v>6079</v>
      </c>
      <c r="B6084" s="11" t="str">
        <f>"00288544"</f>
        <v>00288544</v>
      </c>
    </row>
    <row r="6085" spans="1:2" x14ac:dyDescent="0.25">
      <c r="A6085" s="2">
        <v>6080</v>
      </c>
      <c r="B6085" s="11" t="str">
        <f>"00288644"</f>
        <v>00288644</v>
      </c>
    </row>
    <row r="6086" spans="1:2" x14ac:dyDescent="0.25">
      <c r="A6086" s="2">
        <v>6081</v>
      </c>
      <c r="B6086" s="11" t="str">
        <f>"00288652"</f>
        <v>00288652</v>
      </c>
    </row>
    <row r="6087" spans="1:2" x14ac:dyDescent="0.25">
      <c r="A6087" s="2">
        <v>6082</v>
      </c>
      <c r="B6087" s="11" t="str">
        <f>"00288728"</f>
        <v>00288728</v>
      </c>
    </row>
    <row r="6088" spans="1:2" x14ac:dyDescent="0.25">
      <c r="A6088" s="2">
        <v>6083</v>
      </c>
      <c r="B6088" s="11" t="str">
        <f>"00288762"</f>
        <v>00288762</v>
      </c>
    </row>
    <row r="6089" spans="1:2" x14ac:dyDescent="0.25">
      <c r="A6089" s="2">
        <v>6084</v>
      </c>
      <c r="B6089" s="11" t="str">
        <f>"00288807"</f>
        <v>00288807</v>
      </c>
    </row>
    <row r="6090" spans="1:2" x14ac:dyDescent="0.25">
      <c r="A6090" s="2">
        <v>6085</v>
      </c>
      <c r="B6090" s="11" t="str">
        <f>"00288829"</f>
        <v>00288829</v>
      </c>
    </row>
    <row r="6091" spans="1:2" x14ac:dyDescent="0.25">
      <c r="A6091" s="2">
        <v>6086</v>
      </c>
      <c r="B6091" s="11" t="str">
        <f>"00288837"</f>
        <v>00288837</v>
      </c>
    </row>
    <row r="6092" spans="1:2" x14ac:dyDescent="0.25">
      <c r="A6092" s="2">
        <v>6087</v>
      </c>
      <c r="B6092" s="11" t="str">
        <f>"00288843"</f>
        <v>00288843</v>
      </c>
    </row>
    <row r="6093" spans="1:2" x14ac:dyDescent="0.25">
      <c r="A6093" s="2">
        <v>6088</v>
      </c>
      <c r="B6093" s="11" t="str">
        <f>"00288861"</f>
        <v>00288861</v>
      </c>
    </row>
    <row r="6094" spans="1:2" x14ac:dyDescent="0.25">
      <c r="A6094" s="2">
        <v>6089</v>
      </c>
      <c r="B6094" s="11" t="str">
        <f>"00288863"</f>
        <v>00288863</v>
      </c>
    </row>
    <row r="6095" spans="1:2" x14ac:dyDescent="0.25">
      <c r="A6095" s="2">
        <v>6090</v>
      </c>
      <c r="B6095" s="11" t="str">
        <f>"00289003"</f>
        <v>00289003</v>
      </c>
    </row>
    <row r="6096" spans="1:2" x14ac:dyDescent="0.25">
      <c r="A6096" s="2">
        <v>6091</v>
      </c>
      <c r="B6096" s="11" t="str">
        <f>"00289060"</f>
        <v>00289060</v>
      </c>
    </row>
    <row r="6097" spans="1:2" x14ac:dyDescent="0.25">
      <c r="A6097" s="2">
        <v>6092</v>
      </c>
      <c r="B6097" s="11" t="str">
        <f>"00289064"</f>
        <v>00289064</v>
      </c>
    </row>
    <row r="6098" spans="1:2" x14ac:dyDescent="0.25">
      <c r="A6098" s="2">
        <v>6093</v>
      </c>
      <c r="B6098" s="11" t="str">
        <f>"00289101"</f>
        <v>00289101</v>
      </c>
    </row>
    <row r="6099" spans="1:2" x14ac:dyDescent="0.25">
      <c r="A6099" s="2">
        <v>6094</v>
      </c>
      <c r="B6099" s="11" t="str">
        <f>"00289107"</f>
        <v>00289107</v>
      </c>
    </row>
    <row r="6100" spans="1:2" x14ac:dyDescent="0.25">
      <c r="A6100" s="2">
        <v>6095</v>
      </c>
      <c r="B6100" s="11" t="str">
        <f>"00289109"</f>
        <v>00289109</v>
      </c>
    </row>
    <row r="6101" spans="1:2" x14ac:dyDescent="0.25">
      <c r="A6101" s="2">
        <v>6096</v>
      </c>
      <c r="B6101" s="11" t="str">
        <f>"00289111"</f>
        <v>00289111</v>
      </c>
    </row>
    <row r="6102" spans="1:2" x14ac:dyDescent="0.25">
      <c r="A6102" s="2">
        <v>6097</v>
      </c>
      <c r="B6102" s="11" t="str">
        <f>"00289164"</f>
        <v>00289164</v>
      </c>
    </row>
    <row r="6103" spans="1:2" x14ac:dyDescent="0.25">
      <c r="A6103" s="2">
        <v>6098</v>
      </c>
      <c r="B6103" s="11" t="str">
        <f>"00289179"</f>
        <v>00289179</v>
      </c>
    </row>
    <row r="6104" spans="1:2" x14ac:dyDescent="0.25">
      <c r="A6104" s="2">
        <v>6099</v>
      </c>
      <c r="B6104" s="11" t="str">
        <f>"00289196"</f>
        <v>00289196</v>
      </c>
    </row>
    <row r="6105" spans="1:2" x14ac:dyDescent="0.25">
      <c r="A6105" s="2">
        <v>6100</v>
      </c>
      <c r="B6105" s="11" t="str">
        <f>"00289219"</f>
        <v>00289219</v>
      </c>
    </row>
    <row r="6106" spans="1:2" x14ac:dyDescent="0.25">
      <c r="A6106" s="2">
        <v>6101</v>
      </c>
      <c r="B6106" s="11" t="str">
        <f>"00289398"</f>
        <v>00289398</v>
      </c>
    </row>
    <row r="6107" spans="1:2" x14ac:dyDescent="0.25">
      <c r="A6107" s="2">
        <v>6102</v>
      </c>
      <c r="B6107" s="11" t="str">
        <f>"00289472"</f>
        <v>00289472</v>
      </c>
    </row>
    <row r="6108" spans="1:2" x14ac:dyDescent="0.25">
      <c r="A6108" s="2">
        <v>6103</v>
      </c>
      <c r="B6108" s="11" t="str">
        <f>"00289511"</f>
        <v>00289511</v>
      </c>
    </row>
    <row r="6109" spans="1:2" x14ac:dyDescent="0.25">
      <c r="A6109" s="2">
        <v>6104</v>
      </c>
      <c r="B6109" s="11" t="str">
        <f>"00289562"</f>
        <v>00289562</v>
      </c>
    </row>
    <row r="6110" spans="1:2" x14ac:dyDescent="0.25">
      <c r="A6110" s="2">
        <v>6105</v>
      </c>
      <c r="B6110" s="11" t="str">
        <f>"00289582"</f>
        <v>00289582</v>
      </c>
    </row>
    <row r="6111" spans="1:2" x14ac:dyDescent="0.25">
      <c r="A6111" s="2">
        <v>6106</v>
      </c>
      <c r="B6111" s="11" t="str">
        <f>"00289929"</f>
        <v>00289929</v>
      </c>
    </row>
    <row r="6112" spans="1:2" x14ac:dyDescent="0.25">
      <c r="A6112" s="2">
        <v>6107</v>
      </c>
      <c r="B6112" s="11" t="str">
        <f>"00289965"</f>
        <v>00289965</v>
      </c>
    </row>
    <row r="6113" spans="1:2" x14ac:dyDescent="0.25">
      <c r="A6113" s="2">
        <v>6108</v>
      </c>
      <c r="B6113" s="11" t="str">
        <f>"00289975"</f>
        <v>00289975</v>
      </c>
    </row>
    <row r="6114" spans="1:2" x14ac:dyDescent="0.25">
      <c r="A6114" s="2">
        <v>6109</v>
      </c>
      <c r="B6114" s="11" t="str">
        <f>"00289984"</f>
        <v>00289984</v>
      </c>
    </row>
    <row r="6115" spans="1:2" x14ac:dyDescent="0.25">
      <c r="A6115" s="2">
        <v>6110</v>
      </c>
      <c r="B6115" s="11" t="str">
        <f>"00290091"</f>
        <v>00290091</v>
      </c>
    </row>
    <row r="6116" spans="1:2" x14ac:dyDescent="0.25">
      <c r="A6116" s="2">
        <v>6111</v>
      </c>
      <c r="B6116" s="11" t="str">
        <f>"00290460"</f>
        <v>00290460</v>
      </c>
    </row>
    <row r="6117" spans="1:2" x14ac:dyDescent="0.25">
      <c r="A6117" s="2">
        <v>6112</v>
      </c>
      <c r="B6117" s="11" t="str">
        <f>"00290470"</f>
        <v>00290470</v>
      </c>
    </row>
    <row r="6118" spans="1:2" x14ac:dyDescent="0.25">
      <c r="A6118" s="2">
        <v>6113</v>
      </c>
      <c r="B6118" s="11" t="str">
        <f>"00290536"</f>
        <v>00290536</v>
      </c>
    </row>
    <row r="6119" spans="1:2" x14ac:dyDescent="0.25">
      <c r="A6119" s="2">
        <v>6114</v>
      </c>
      <c r="B6119" s="11" t="str">
        <f>"00290571"</f>
        <v>00290571</v>
      </c>
    </row>
    <row r="6120" spans="1:2" x14ac:dyDescent="0.25">
      <c r="A6120" s="2">
        <v>6115</v>
      </c>
      <c r="B6120" s="11" t="str">
        <f>"00290577"</f>
        <v>00290577</v>
      </c>
    </row>
    <row r="6121" spans="1:2" x14ac:dyDescent="0.25">
      <c r="A6121" s="2">
        <v>6116</v>
      </c>
      <c r="B6121" s="11" t="str">
        <f>"00290625"</f>
        <v>00290625</v>
      </c>
    </row>
    <row r="6122" spans="1:2" x14ac:dyDescent="0.25">
      <c r="A6122" s="2">
        <v>6117</v>
      </c>
      <c r="B6122" s="11" t="str">
        <f>"00290640"</f>
        <v>00290640</v>
      </c>
    </row>
    <row r="6123" spans="1:2" x14ac:dyDescent="0.25">
      <c r="A6123" s="2">
        <v>6118</v>
      </c>
      <c r="B6123" s="11" t="str">
        <f>"00290690"</f>
        <v>00290690</v>
      </c>
    </row>
    <row r="6124" spans="1:2" x14ac:dyDescent="0.25">
      <c r="A6124" s="2">
        <v>6119</v>
      </c>
      <c r="B6124" s="11" t="str">
        <f>"00290759"</f>
        <v>00290759</v>
      </c>
    </row>
    <row r="6125" spans="1:2" x14ac:dyDescent="0.25">
      <c r="A6125" s="2">
        <v>6120</v>
      </c>
      <c r="B6125" s="11" t="str">
        <f>"00290763"</f>
        <v>00290763</v>
      </c>
    </row>
    <row r="6126" spans="1:2" x14ac:dyDescent="0.25">
      <c r="A6126" s="2">
        <v>6121</v>
      </c>
      <c r="B6126" s="11" t="str">
        <f>"00290785"</f>
        <v>00290785</v>
      </c>
    </row>
    <row r="6127" spans="1:2" x14ac:dyDescent="0.25">
      <c r="A6127" s="2">
        <v>6122</v>
      </c>
      <c r="B6127" s="11" t="str">
        <f>"00290831"</f>
        <v>00290831</v>
      </c>
    </row>
    <row r="6128" spans="1:2" x14ac:dyDescent="0.25">
      <c r="A6128" s="2">
        <v>6123</v>
      </c>
      <c r="B6128" s="11" t="str">
        <f>"00290866"</f>
        <v>00290866</v>
      </c>
    </row>
    <row r="6129" spans="1:2" x14ac:dyDescent="0.25">
      <c r="A6129" s="2">
        <v>6124</v>
      </c>
      <c r="B6129" s="11" t="str">
        <f>"00291027"</f>
        <v>00291027</v>
      </c>
    </row>
    <row r="6130" spans="1:2" x14ac:dyDescent="0.25">
      <c r="A6130" s="2">
        <v>6125</v>
      </c>
      <c r="B6130" s="11" t="str">
        <f>"00291044"</f>
        <v>00291044</v>
      </c>
    </row>
    <row r="6131" spans="1:2" x14ac:dyDescent="0.25">
      <c r="A6131" s="2">
        <v>6126</v>
      </c>
      <c r="B6131" s="11" t="str">
        <f>"00291083"</f>
        <v>00291083</v>
      </c>
    </row>
    <row r="6132" spans="1:2" x14ac:dyDescent="0.25">
      <c r="A6132" s="2">
        <v>6127</v>
      </c>
      <c r="B6132" s="11" t="str">
        <f>"00291084"</f>
        <v>00291084</v>
      </c>
    </row>
    <row r="6133" spans="1:2" x14ac:dyDescent="0.25">
      <c r="A6133" s="2">
        <v>6128</v>
      </c>
      <c r="B6133" s="11" t="str">
        <f>"00291090"</f>
        <v>00291090</v>
      </c>
    </row>
    <row r="6134" spans="1:2" x14ac:dyDescent="0.25">
      <c r="A6134" s="2">
        <v>6129</v>
      </c>
      <c r="B6134" s="11" t="str">
        <f>"00291146"</f>
        <v>00291146</v>
      </c>
    </row>
    <row r="6135" spans="1:2" x14ac:dyDescent="0.25">
      <c r="A6135" s="2">
        <v>6130</v>
      </c>
      <c r="B6135" s="11" t="str">
        <f>"00291261"</f>
        <v>00291261</v>
      </c>
    </row>
    <row r="6136" spans="1:2" x14ac:dyDescent="0.25">
      <c r="A6136" s="2">
        <v>6131</v>
      </c>
      <c r="B6136" s="11" t="str">
        <f>"00291269"</f>
        <v>00291269</v>
      </c>
    </row>
    <row r="6137" spans="1:2" x14ac:dyDescent="0.25">
      <c r="A6137" s="2">
        <v>6132</v>
      </c>
      <c r="B6137" s="11" t="str">
        <f>"00291282"</f>
        <v>00291282</v>
      </c>
    </row>
    <row r="6138" spans="1:2" x14ac:dyDescent="0.25">
      <c r="A6138" s="2">
        <v>6133</v>
      </c>
      <c r="B6138" s="11" t="str">
        <f>"00291307"</f>
        <v>00291307</v>
      </c>
    </row>
    <row r="6139" spans="1:2" x14ac:dyDescent="0.25">
      <c r="A6139" s="2">
        <v>6134</v>
      </c>
      <c r="B6139" s="11" t="str">
        <f>"00291421"</f>
        <v>00291421</v>
      </c>
    </row>
    <row r="6140" spans="1:2" x14ac:dyDescent="0.25">
      <c r="A6140" s="2">
        <v>6135</v>
      </c>
      <c r="B6140" s="11" t="str">
        <f>"00291469"</f>
        <v>00291469</v>
      </c>
    </row>
    <row r="6141" spans="1:2" x14ac:dyDescent="0.25">
      <c r="A6141" s="2">
        <v>6136</v>
      </c>
      <c r="B6141" s="11" t="str">
        <f>"00291485"</f>
        <v>00291485</v>
      </c>
    </row>
    <row r="6142" spans="1:2" x14ac:dyDescent="0.25">
      <c r="A6142" s="2">
        <v>6137</v>
      </c>
      <c r="B6142" s="11" t="str">
        <f>"00291574"</f>
        <v>00291574</v>
      </c>
    </row>
    <row r="6143" spans="1:2" x14ac:dyDescent="0.25">
      <c r="A6143" s="2">
        <v>6138</v>
      </c>
      <c r="B6143" s="11" t="str">
        <f>"00291585"</f>
        <v>00291585</v>
      </c>
    </row>
    <row r="6144" spans="1:2" x14ac:dyDescent="0.25">
      <c r="A6144" s="2">
        <v>6139</v>
      </c>
      <c r="B6144" s="11" t="str">
        <f>"00291613"</f>
        <v>00291613</v>
      </c>
    </row>
    <row r="6145" spans="1:2" x14ac:dyDescent="0.25">
      <c r="A6145" s="2">
        <v>6140</v>
      </c>
      <c r="B6145" s="11" t="str">
        <f>"00291633"</f>
        <v>00291633</v>
      </c>
    </row>
    <row r="6146" spans="1:2" x14ac:dyDescent="0.25">
      <c r="A6146" s="2">
        <v>6141</v>
      </c>
      <c r="B6146" s="11" t="str">
        <f>"00291651"</f>
        <v>00291651</v>
      </c>
    </row>
    <row r="6147" spans="1:2" x14ac:dyDescent="0.25">
      <c r="A6147" s="2">
        <v>6142</v>
      </c>
      <c r="B6147" s="11" t="str">
        <f>"00291681"</f>
        <v>00291681</v>
      </c>
    </row>
    <row r="6148" spans="1:2" x14ac:dyDescent="0.25">
      <c r="A6148" s="2">
        <v>6143</v>
      </c>
      <c r="B6148" s="11" t="str">
        <f>"00291730"</f>
        <v>00291730</v>
      </c>
    </row>
    <row r="6149" spans="1:2" x14ac:dyDescent="0.25">
      <c r="A6149" s="2">
        <v>6144</v>
      </c>
      <c r="B6149" s="11" t="str">
        <f>"00291736"</f>
        <v>00291736</v>
      </c>
    </row>
    <row r="6150" spans="1:2" x14ac:dyDescent="0.25">
      <c r="A6150" s="2">
        <v>6145</v>
      </c>
      <c r="B6150" s="11" t="str">
        <f>"00291816"</f>
        <v>00291816</v>
      </c>
    </row>
    <row r="6151" spans="1:2" x14ac:dyDescent="0.25">
      <c r="A6151" s="2">
        <v>6146</v>
      </c>
      <c r="B6151" s="11" t="str">
        <f>"00291817"</f>
        <v>00291817</v>
      </c>
    </row>
    <row r="6152" spans="1:2" x14ac:dyDescent="0.25">
      <c r="A6152" s="2">
        <v>6147</v>
      </c>
      <c r="B6152" s="11" t="str">
        <f>"00291883"</f>
        <v>00291883</v>
      </c>
    </row>
    <row r="6153" spans="1:2" x14ac:dyDescent="0.25">
      <c r="A6153" s="2">
        <v>6148</v>
      </c>
      <c r="B6153" s="11" t="str">
        <f>"00291905"</f>
        <v>00291905</v>
      </c>
    </row>
    <row r="6154" spans="1:2" x14ac:dyDescent="0.25">
      <c r="A6154" s="2">
        <v>6149</v>
      </c>
      <c r="B6154" s="11" t="str">
        <f>"00291939"</f>
        <v>00291939</v>
      </c>
    </row>
    <row r="6155" spans="1:2" x14ac:dyDescent="0.25">
      <c r="A6155" s="2">
        <v>6150</v>
      </c>
      <c r="B6155" s="11" t="str">
        <f>"00292119"</f>
        <v>00292119</v>
      </c>
    </row>
    <row r="6156" spans="1:2" x14ac:dyDescent="0.25">
      <c r="A6156" s="2">
        <v>6151</v>
      </c>
      <c r="B6156" s="11" t="str">
        <f>"00292184"</f>
        <v>00292184</v>
      </c>
    </row>
    <row r="6157" spans="1:2" x14ac:dyDescent="0.25">
      <c r="A6157" s="2">
        <v>6152</v>
      </c>
      <c r="B6157" s="11" t="str">
        <f>"00292214"</f>
        <v>00292214</v>
      </c>
    </row>
    <row r="6158" spans="1:2" x14ac:dyDescent="0.25">
      <c r="A6158" s="2">
        <v>6153</v>
      </c>
      <c r="B6158" s="11" t="str">
        <f>"00292248"</f>
        <v>00292248</v>
      </c>
    </row>
    <row r="6159" spans="1:2" x14ac:dyDescent="0.25">
      <c r="A6159" s="2">
        <v>6154</v>
      </c>
      <c r="B6159" s="11" t="str">
        <f>"00292329"</f>
        <v>00292329</v>
      </c>
    </row>
    <row r="6160" spans="1:2" x14ac:dyDescent="0.25">
      <c r="A6160" s="2">
        <v>6155</v>
      </c>
      <c r="B6160" s="11" t="str">
        <f>"00292368"</f>
        <v>00292368</v>
      </c>
    </row>
    <row r="6161" spans="1:2" x14ac:dyDescent="0.25">
      <c r="A6161" s="2">
        <v>6156</v>
      </c>
      <c r="B6161" s="11" t="str">
        <f>"00292416"</f>
        <v>00292416</v>
      </c>
    </row>
    <row r="6162" spans="1:2" x14ac:dyDescent="0.25">
      <c r="A6162" s="2">
        <v>6157</v>
      </c>
      <c r="B6162" s="11" t="str">
        <f>"00292422"</f>
        <v>00292422</v>
      </c>
    </row>
    <row r="6163" spans="1:2" x14ac:dyDescent="0.25">
      <c r="A6163" s="2">
        <v>6158</v>
      </c>
      <c r="B6163" s="11" t="str">
        <f>"00292428"</f>
        <v>00292428</v>
      </c>
    </row>
    <row r="6164" spans="1:2" x14ac:dyDescent="0.25">
      <c r="A6164" s="2">
        <v>6159</v>
      </c>
      <c r="B6164" s="11" t="str">
        <f>"00292434"</f>
        <v>00292434</v>
      </c>
    </row>
    <row r="6165" spans="1:2" x14ac:dyDescent="0.25">
      <c r="A6165" s="2">
        <v>6160</v>
      </c>
      <c r="B6165" s="11" t="str">
        <f>"00292519"</f>
        <v>00292519</v>
      </c>
    </row>
    <row r="6166" spans="1:2" x14ac:dyDescent="0.25">
      <c r="A6166" s="2">
        <v>6161</v>
      </c>
      <c r="B6166" s="11" t="str">
        <f>"00292531"</f>
        <v>00292531</v>
      </c>
    </row>
    <row r="6167" spans="1:2" x14ac:dyDescent="0.25">
      <c r="A6167" s="2">
        <v>6162</v>
      </c>
      <c r="B6167" s="11" t="str">
        <f>"00292630"</f>
        <v>00292630</v>
      </c>
    </row>
    <row r="6168" spans="1:2" x14ac:dyDescent="0.25">
      <c r="A6168" s="2">
        <v>6163</v>
      </c>
      <c r="B6168" s="11" t="str">
        <f>"00292643"</f>
        <v>00292643</v>
      </c>
    </row>
    <row r="6169" spans="1:2" x14ac:dyDescent="0.25">
      <c r="A6169" s="2">
        <v>6164</v>
      </c>
      <c r="B6169" s="11" t="str">
        <f>"00292644"</f>
        <v>00292644</v>
      </c>
    </row>
    <row r="6170" spans="1:2" x14ac:dyDescent="0.25">
      <c r="A6170" s="2">
        <v>6165</v>
      </c>
      <c r="B6170" s="11" t="str">
        <f>"00292675"</f>
        <v>00292675</v>
      </c>
    </row>
    <row r="6171" spans="1:2" x14ac:dyDescent="0.25">
      <c r="A6171" s="2">
        <v>6166</v>
      </c>
      <c r="B6171" s="11" t="str">
        <f>"00292695"</f>
        <v>00292695</v>
      </c>
    </row>
    <row r="6172" spans="1:2" x14ac:dyDescent="0.25">
      <c r="A6172" s="2">
        <v>6167</v>
      </c>
      <c r="B6172" s="11" t="str">
        <f>"00292743"</f>
        <v>00292743</v>
      </c>
    </row>
    <row r="6173" spans="1:2" x14ac:dyDescent="0.25">
      <c r="A6173" s="2">
        <v>6168</v>
      </c>
      <c r="B6173" s="11" t="str">
        <f>"00292758"</f>
        <v>00292758</v>
      </c>
    </row>
    <row r="6174" spans="1:2" x14ac:dyDescent="0.25">
      <c r="A6174" s="2">
        <v>6169</v>
      </c>
      <c r="B6174" s="11" t="str">
        <f>"00292765"</f>
        <v>00292765</v>
      </c>
    </row>
    <row r="6175" spans="1:2" x14ac:dyDescent="0.25">
      <c r="A6175" s="2">
        <v>6170</v>
      </c>
      <c r="B6175" s="11" t="str">
        <f>"00292791"</f>
        <v>00292791</v>
      </c>
    </row>
    <row r="6176" spans="1:2" x14ac:dyDescent="0.25">
      <c r="A6176" s="2">
        <v>6171</v>
      </c>
      <c r="B6176" s="11" t="str">
        <f>"00292809"</f>
        <v>00292809</v>
      </c>
    </row>
    <row r="6177" spans="1:2" x14ac:dyDescent="0.25">
      <c r="A6177" s="2">
        <v>6172</v>
      </c>
      <c r="B6177" s="11" t="str">
        <f>"00292899"</f>
        <v>00292899</v>
      </c>
    </row>
    <row r="6178" spans="1:2" x14ac:dyDescent="0.25">
      <c r="A6178" s="2">
        <v>6173</v>
      </c>
      <c r="B6178" s="11" t="str">
        <f>"00292908"</f>
        <v>00292908</v>
      </c>
    </row>
    <row r="6179" spans="1:2" x14ac:dyDescent="0.25">
      <c r="A6179" s="2">
        <v>6174</v>
      </c>
      <c r="B6179" s="11" t="str">
        <f>"00292969"</f>
        <v>00292969</v>
      </c>
    </row>
    <row r="6180" spans="1:2" x14ac:dyDescent="0.25">
      <c r="A6180" s="2">
        <v>6175</v>
      </c>
      <c r="B6180" s="11" t="str">
        <f>"00292970"</f>
        <v>00292970</v>
      </c>
    </row>
    <row r="6181" spans="1:2" x14ac:dyDescent="0.25">
      <c r="A6181" s="2">
        <v>6176</v>
      </c>
      <c r="B6181" s="11" t="str">
        <f>"00293014"</f>
        <v>00293014</v>
      </c>
    </row>
    <row r="6182" spans="1:2" x14ac:dyDescent="0.25">
      <c r="A6182" s="2">
        <v>6177</v>
      </c>
      <c r="B6182" s="11" t="str">
        <f>"00293035"</f>
        <v>00293035</v>
      </c>
    </row>
    <row r="6183" spans="1:2" x14ac:dyDescent="0.25">
      <c r="A6183" s="2">
        <v>6178</v>
      </c>
      <c r="B6183" s="11" t="str">
        <f>"00293045"</f>
        <v>00293045</v>
      </c>
    </row>
    <row r="6184" spans="1:2" x14ac:dyDescent="0.25">
      <c r="A6184" s="2">
        <v>6179</v>
      </c>
      <c r="B6184" s="11" t="str">
        <f>"00293051"</f>
        <v>00293051</v>
      </c>
    </row>
    <row r="6185" spans="1:2" x14ac:dyDescent="0.25">
      <c r="A6185" s="2">
        <v>6180</v>
      </c>
      <c r="B6185" s="11" t="str">
        <f>"00293092"</f>
        <v>00293092</v>
      </c>
    </row>
    <row r="6186" spans="1:2" x14ac:dyDescent="0.25">
      <c r="A6186" s="2">
        <v>6181</v>
      </c>
      <c r="B6186" s="11" t="str">
        <f>"00293107"</f>
        <v>00293107</v>
      </c>
    </row>
    <row r="6187" spans="1:2" x14ac:dyDescent="0.25">
      <c r="A6187" s="2">
        <v>6182</v>
      </c>
      <c r="B6187" s="11" t="str">
        <f>"00293118"</f>
        <v>00293118</v>
      </c>
    </row>
    <row r="6188" spans="1:2" x14ac:dyDescent="0.25">
      <c r="A6188" s="2">
        <v>6183</v>
      </c>
      <c r="B6188" s="11" t="str">
        <f>"00293171"</f>
        <v>00293171</v>
      </c>
    </row>
    <row r="6189" spans="1:2" x14ac:dyDescent="0.25">
      <c r="A6189" s="2">
        <v>6184</v>
      </c>
      <c r="B6189" s="11" t="str">
        <f>"00293179"</f>
        <v>00293179</v>
      </c>
    </row>
    <row r="6190" spans="1:2" x14ac:dyDescent="0.25">
      <c r="A6190" s="2">
        <v>6185</v>
      </c>
      <c r="B6190" s="11" t="str">
        <f>"00293181"</f>
        <v>00293181</v>
      </c>
    </row>
    <row r="6191" spans="1:2" x14ac:dyDescent="0.25">
      <c r="A6191" s="2">
        <v>6186</v>
      </c>
      <c r="B6191" s="11" t="str">
        <f>"00293204"</f>
        <v>00293204</v>
      </c>
    </row>
    <row r="6192" spans="1:2" x14ac:dyDescent="0.25">
      <c r="A6192" s="2">
        <v>6187</v>
      </c>
      <c r="B6192" s="11" t="str">
        <f>"00293227"</f>
        <v>00293227</v>
      </c>
    </row>
    <row r="6193" spans="1:2" x14ac:dyDescent="0.25">
      <c r="A6193" s="2">
        <v>6188</v>
      </c>
      <c r="B6193" s="11" t="str">
        <f>"00293238"</f>
        <v>00293238</v>
      </c>
    </row>
    <row r="6194" spans="1:2" x14ac:dyDescent="0.25">
      <c r="A6194" s="2">
        <v>6189</v>
      </c>
      <c r="B6194" s="11" t="str">
        <f>"00293265"</f>
        <v>00293265</v>
      </c>
    </row>
    <row r="6195" spans="1:2" x14ac:dyDescent="0.25">
      <c r="A6195" s="2">
        <v>6190</v>
      </c>
      <c r="B6195" s="11" t="str">
        <f>"00293277"</f>
        <v>00293277</v>
      </c>
    </row>
    <row r="6196" spans="1:2" x14ac:dyDescent="0.25">
      <c r="A6196" s="2">
        <v>6191</v>
      </c>
      <c r="B6196" s="11" t="str">
        <f>"00293285"</f>
        <v>00293285</v>
      </c>
    </row>
    <row r="6197" spans="1:2" x14ac:dyDescent="0.25">
      <c r="A6197" s="2">
        <v>6192</v>
      </c>
      <c r="B6197" s="11" t="str">
        <f>"00293292"</f>
        <v>00293292</v>
      </c>
    </row>
    <row r="6198" spans="1:2" x14ac:dyDescent="0.25">
      <c r="A6198" s="2">
        <v>6193</v>
      </c>
      <c r="B6198" s="11" t="str">
        <f>"00293346"</f>
        <v>00293346</v>
      </c>
    </row>
    <row r="6199" spans="1:2" x14ac:dyDescent="0.25">
      <c r="A6199" s="2">
        <v>6194</v>
      </c>
      <c r="B6199" s="11" t="str">
        <f>"00293374"</f>
        <v>00293374</v>
      </c>
    </row>
    <row r="6200" spans="1:2" x14ac:dyDescent="0.25">
      <c r="A6200" s="2">
        <v>6195</v>
      </c>
      <c r="B6200" s="11" t="str">
        <f>"00293409"</f>
        <v>00293409</v>
      </c>
    </row>
    <row r="6201" spans="1:2" x14ac:dyDescent="0.25">
      <c r="A6201" s="2">
        <v>6196</v>
      </c>
      <c r="B6201" s="11" t="str">
        <f>"00293497"</f>
        <v>00293497</v>
      </c>
    </row>
    <row r="6202" spans="1:2" x14ac:dyDescent="0.25">
      <c r="A6202" s="2">
        <v>6197</v>
      </c>
      <c r="B6202" s="11" t="str">
        <f>"00293824"</f>
        <v>00293824</v>
      </c>
    </row>
    <row r="6203" spans="1:2" x14ac:dyDescent="0.25">
      <c r="A6203" s="2">
        <v>6198</v>
      </c>
      <c r="B6203" s="11" t="str">
        <f>"00293833"</f>
        <v>00293833</v>
      </c>
    </row>
    <row r="6204" spans="1:2" x14ac:dyDescent="0.25">
      <c r="A6204" s="2">
        <v>6199</v>
      </c>
      <c r="B6204" s="11" t="str">
        <f>"00293885"</f>
        <v>00293885</v>
      </c>
    </row>
    <row r="6205" spans="1:2" x14ac:dyDescent="0.25">
      <c r="A6205" s="2">
        <v>6200</v>
      </c>
      <c r="B6205" s="11" t="str">
        <f>"00293919"</f>
        <v>00293919</v>
      </c>
    </row>
    <row r="6206" spans="1:2" x14ac:dyDescent="0.25">
      <c r="A6206" s="2">
        <v>6201</v>
      </c>
      <c r="B6206" s="11" t="str">
        <f>"00293942"</f>
        <v>00293942</v>
      </c>
    </row>
    <row r="6207" spans="1:2" x14ac:dyDescent="0.25">
      <c r="A6207" s="2">
        <v>6202</v>
      </c>
      <c r="B6207" s="11" t="str">
        <f>"00293949"</f>
        <v>00293949</v>
      </c>
    </row>
    <row r="6208" spans="1:2" x14ac:dyDescent="0.25">
      <c r="A6208" s="2">
        <v>6203</v>
      </c>
      <c r="B6208" s="11" t="str">
        <f>"00293980"</f>
        <v>00293980</v>
      </c>
    </row>
    <row r="6209" spans="1:2" x14ac:dyDescent="0.25">
      <c r="A6209" s="2">
        <v>6204</v>
      </c>
      <c r="B6209" s="11" t="str">
        <f>"00294002"</f>
        <v>00294002</v>
      </c>
    </row>
    <row r="6210" spans="1:2" x14ac:dyDescent="0.25">
      <c r="A6210" s="2">
        <v>6205</v>
      </c>
      <c r="B6210" s="11" t="str">
        <f>"00294005"</f>
        <v>00294005</v>
      </c>
    </row>
    <row r="6211" spans="1:2" x14ac:dyDescent="0.25">
      <c r="A6211" s="2">
        <v>6206</v>
      </c>
      <c r="B6211" s="11" t="str">
        <f>"00294116"</f>
        <v>00294116</v>
      </c>
    </row>
    <row r="6212" spans="1:2" x14ac:dyDescent="0.25">
      <c r="A6212" s="2">
        <v>6207</v>
      </c>
      <c r="B6212" s="11" t="str">
        <f>"00294122"</f>
        <v>00294122</v>
      </c>
    </row>
    <row r="6213" spans="1:2" x14ac:dyDescent="0.25">
      <c r="A6213" s="2">
        <v>6208</v>
      </c>
      <c r="B6213" s="11" t="str">
        <f>"00294142"</f>
        <v>00294142</v>
      </c>
    </row>
    <row r="6214" spans="1:2" x14ac:dyDescent="0.25">
      <c r="A6214" s="2">
        <v>6209</v>
      </c>
      <c r="B6214" s="11" t="str">
        <f>"00294144"</f>
        <v>00294144</v>
      </c>
    </row>
    <row r="6215" spans="1:2" x14ac:dyDescent="0.25">
      <c r="A6215" s="2">
        <v>6210</v>
      </c>
      <c r="B6215" s="11" t="str">
        <f>"00294150"</f>
        <v>00294150</v>
      </c>
    </row>
    <row r="6216" spans="1:2" x14ac:dyDescent="0.25">
      <c r="A6216" s="2">
        <v>6211</v>
      </c>
      <c r="B6216" s="11" t="str">
        <f>"00294177"</f>
        <v>00294177</v>
      </c>
    </row>
    <row r="6217" spans="1:2" x14ac:dyDescent="0.25">
      <c r="A6217" s="2">
        <v>6212</v>
      </c>
      <c r="B6217" s="11" t="str">
        <f>"00294314"</f>
        <v>00294314</v>
      </c>
    </row>
    <row r="6218" spans="1:2" x14ac:dyDescent="0.25">
      <c r="A6218" s="2">
        <v>6213</v>
      </c>
      <c r="B6218" s="11" t="str">
        <f>"00294367"</f>
        <v>00294367</v>
      </c>
    </row>
    <row r="6219" spans="1:2" x14ac:dyDescent="0.25">
      <c r="A6219" s="2">
        <v>6214</v>
      </c>
      <c r="B6219" s="11" t="str">
        <f>"00294388"</f>
        <v>00294388</v>
      </c>
    </row>
    <row r="6220" spans="1:2" x14ac:dyDescent="0.25">
      <c r="A6220" s="2">
        <v>6215</v>
      </c>
      <c r="B6220" s="11" t="str">
        <f>"00294431"</f>
        <v>00294431</v>
      </c>
    </row>
    <row r="6221" spans="1:2" x14ac:dyDescent="0.25">
      <c r="A6221" s="2">
        <v>6216</v>
      </c>
      <c r="B6221" s="11" t="str">
        <f>"00294466"</f>
        <v>00294466</v>
      </c>
    </row>
    <row r="6222" spans="1:2" x14ac:dyDescent="0.25">
      <c r="A6222" s="2">
        <v>6217</v>
      </c>
      <c r="B6222" s="11" t="str">
        <f>"00294530"</f>
        <v>00294530</v>
      </c>
    </row>
    <row r="6223" spans="1:2" x14ac:dyDescent="0.25">
      <c r="A6223" s="2">
        <v>6218</v>
      </c>
      <c r="B6223" s="11" t="str">
        <f>"00294572"</f>
        <v>00294572</v>
      </c>
    </row>
    <row r="6224" spans="1:2" x14ac:dyDescent="0.25">
      <c r="A6224" s="2">
        <v>6219</v>
      </c>
      <c r="B6224" s="11" t="str">
        <f>"00294675"</f>
        <v>00294675</v>
      </c>
    </row>
    <row r="6225" spans="1:2" x14ac:dyDescent="0.25">
      <c r="A6225" s="2">
        <v>6220</v>
      </c>
      <c r="B6225" s="11" t="str">
        <f>"00294723"</f>
        <v>00294723</v>
      </c>
    </row>
    <row r="6226" spans="1:2" x14ac:dyDescent="0.25">
      <c r="A6226" s="2">
        <v>6221</v>
      </c>
      <c r="B6226" s="11" t="str">
        <f>"00294785"</f>
        <v>00294785</v>
      </c>
    </row>
    <row r="6227" spans="1:2" x14ac:dyDescent="0.25">
      <c r="A6227" s="2">
        <v>6222</v>
      </c>
      <c r="B6227" s="11" t="str">
        <f>"00294817"</f>
        <v>00294817</v>
      </c>
    </row>
    <row r="6228" spans="1:2" x14ac:dyDescent="0.25">
      <c r="A6228" s="2">
        <v>6223</v>
      </c>
      <c r="B6228" s="11" t="str">
        <f>"00294818"</f>
        <v>00294818</v>
      </c>
    </row>
    <row r="6229" spans="1:2" x14ac:dyDescent="0.25">
      <c r="A6229" s="2">
        <v>6224</v>
      </c>
      <c r="B6229" s="11" t="str">
        <f>"00294836"</f>
        <v>00294836</v>
      </c>
    </row>
    <row r="6230" spans="1:2" x14ac:dyDescent="0.25">
      <c r="A6230" s="2">
        <v>6225</v>
      </c>
      <c r="B6230" s="11" t="str">
        <f>"00294847"</f>
        <v>00294847</v>
      </c>
    </row>
    <row r="6231" spans="1:2" x14ac:dyDescent="0.25">
      <c r="A6231" s="2">
        <v>6226</v>
      </c>
      <c r="B6231" s="11" t="str">
        <f>"00294889"</f>
        <v>00294889</v>
      </c>
    </row>
    <row r="6232" spans="1:2" x14ac:dyDescent="0.25">
      <c r="A6232" s="2">
        <v>6227</v>
      </c>
      <c r="B6232" s="11" t="str">
        <f>"00294903"</f>
        <v>00294903</v>
      </c>
    </row>
    <row r="6233" spans="1:2" x14ac:dyDescent="0.25">
      <c r="A6233" s="2">
        <v>6228</v>
      </c>
      <c r="B6233" s="11" t="str">
        <f>"00295049"</f>
        <v>00295049</v>
      </c>
    </row>
    <row r="6234" spans="1:2" x14ac:dyDescent="0.25">
      <c r="A6234" s="2">
        <v>6229</v>
      </c>
      <c r="B6234" s="11" t="str">
        <f>"00295077"</f>
        <v>00295077</v>
      </c>
    </row>
    <row r="6235" spans="1:2" x14ac:dyDescent="0.25">
      <c r="A6235" s="2">
        <v>6230</v>
      </c>
      <c r="B6235" s="11" t="str">
        <f>"00295081"</f>
        <v>00295081</v>
      </c>
    </row>
    <row r="6236" spans="1:2" x14ac:dyDescent="0.25">
      <c r="A6236" s="2">
        <v>6231</v>
      </c>
      <c r="B6236" s="11" t="str">
        <f>"00295110"</f>
        <v>00295110</v>
      </c>
    </row>
    <row r="6237" spans="1:2" x14ac:dyDescent="0.25">
      <c r="A6237" s="2">
        <v>6232</v>
      </c>
      <c r="B6237" s="11" t="str">
        <f>"00295128"</f>
        <v>00295128</v>
      </c>
    </row>
    <row r="6238" spans="1:2" x14ac:dyDescent="0.25">
      <c r="A6238" s="2">
        <v>6233</v>
      </c>
      <c r="B6238" s="11" t="str">
        <f>"00295222"</f>
        <v>00295222</v>
      </c>
    </row>
    <row r="6239" spans="1:2" x14ac:dyDescent="0.25">
      <c r="A6239" s="2">
        <v>6234</v>
      </c>
      <c r="B6239" s="11" t="str">
        <f>"00295285"</f>
        <v>00295285</v>
      </c>
    </row>
    <row r="6240" spans="1:2" x14ac:dyDescent="0.25">
      <c r="A6240" s="2">
        <v>6235</v>
      </c>
      <c r="B6240" s="11" t="str">
        <f>"00295308"</f>
        <v>00295308</v>
      </c>
    </row>
    <row r="6241" spans="1:2" x14ac:dyDescent="0.25">
      <c r="A6241" s="2">
        <v>6236</v>
      </c>
      <c r="B6241" s="11" t="str">
        <f>"00295344"</f>
        <v>00295344</v>
      </c>
    </row>
    <row r="6242" spans="1:2" x14ac:dyDescent="0.25">
      <c r="A6242" s="2">
        <v>6237</v>
      </c>
      <c r="B6242" s="11" t="str">
        <f>"00295430"</f>
        <v>00295430</v>
      </c>
    </row>
    <row r="6243" spans="1:2" x14ac:dyDescent="0.25">
      <c r="A6243" s="2">
        <v>6238</v>
      </c>
      <c r="B6243" s="11" t="str">
        <f>"00295440"</f>
        <v>00295440</v>
      </c>
    </row>
    <row r="6244" spans="1:2" x14ac:dyDescent="0.25">
      <c r="A6244" s="2">
        <v>6239</v>
      </c>
      <c r="B6244" s="11" t="str">
        <f>"00295441"</f>
        <v>00295441</v>
      </c>
    </row>
    <row r="6245" spans="1:2" x14ac:dyDescent="0.25">
      <c r="A6245" s="2">
        <v>6240</v>
      </c>
      <c r="B6245" s="11" t="str">
        <f>"00295524"</f>
        <v>00295524</v>
      </c>
    </row>
    <row r="6246" spans="1:2" x14ac:dyDescent="0.25">
      <c r="A6246" s="2">
        <v>6241</v>
      </c>
      <c r="B6246" s="11" t="str">
        <f>"00295666"</f>
        <v>00295666</v>
      </c>
    </row>
    <row r="6247" spans="1:2" x14ac:dyDescent="0.25">
      <c r="A6247" s="2">
        <v>6242</v>
      </c>
      <c r="B6247" s="11" t="str">
        <f>"00295704"</f>
        <v>00295704</v>
      </c>
    </row>
    <row r="6248" spans="1:2" x14ac:dyDescent="0.25">
      <c r="A6248" s="2">
        <v>6243</v>
      </c>
      <c r="B6248" s="11" t="str">
        <f>"00295789"</f>
        <v>00295789</v>
      </c>
    </row>
    <row r="6249" spans="1:2" x14ac:dyDescent="0.25">
      <c r="A6249" s="2">
        <v>6244</v>
      </c>
      <c r="B6249" s="11" t="str">
        <f>"00295790"</f>
        <v>00295790</v>
      </c>
    </row>
    <row r="6250" spans="1:2" x14ac:dyDescent="0.25">
      <c r="A6250" s="2">
        <v>6245</v>
      </c>
      <c r="B6250" s="11" t="str">
        <f>"00295838"</f>
        <v>00295838</v>
      </c>
    </row>
    <row r="6251" spans="1:2" x14ac:dyDescent="0.25">
      <c r="A6251" s="2">
        <v>6246</v>
      </c>
      <c r="B6251" s="11" t="str">
        <f>"00295882"</f>
        <v>00295882</v>
      </c>
    </row>
    <row r="6252" spans="1:2" x14ac:dyDescent="0.25">
      <c r="A6252" s="2">
        <v>6247</v>
      </c>
      <c r="B6252" s="11" t="str">
        <f>"00295907"</f>
        <v>00295907</v>
      </c>
    </row>
    <row r="6253" spans="1:2" x14ac:dyDescent="0.25">
      <c r="A6253" s="2">
        <v>6248</v>
      </c>
      <c r="B6253" s="11" t="str">
        <f>"00295909"</f>
        <v>00295909</v>
      </c>
    </row>
    <row r="6254" spans="1:2" x14ac:dyDescent="0.25">
      <c r="A6254" s="2">
        <v>6249</v>
      </c>
      <c r="B6254" s="11" t="str">
        <f>"00295966"</f>
        <v>00295966</v>
      </c>
    </row>
    <row r="6255" spans="1:2" x14ac:dyDescent="0.25">
      <c r="A6255" s="2">
        <v>6250</v>
      </c>
      <c r="B6255" s="11" t="str">
        <f>"00295993"</f>
        <v>00295993</v>
      </c>
    </row>
    <row r="6256" spans="1:2" x14ac:dyDescent="0.25">
      <c r="A6256" s="2">
        <v>6251</v>
      </c>
      <c r="B6256" s="11" t="str">
        <f>"00296108"</f>
        <v>00296108</v>
      </c>
    </row>
    <row r="6257" spans="1:2" x14ac:dyDescent="0.25">
      <c r="A6257" s="2">
        <v>6252</v>
      </c>
      <c r="B6257" s="11" t="str">
        <f>"00296235"</f>
        <v>00296235</v>
      </c>
    </row>
    <row r="6258" spans="1:2" x14ac:dyDescent="0.25">
      <c r="A6258" s="2">
        <v>6253</v>
      </c>
      <c r="B6258" s="11" t="str">
        <f>"00296254"</f>
        <v>00296254</v>
      </c>
    </row>
    <row r="6259" spans="1:2" x14ac:dyDescent="0.25">
      <c r="A6259" s="2">
        <v>6254</v>
      </c>
      <c r="B6259" s="11" t="str">
        <f>"00296268"</f>
        <v>00296268</v>
      </c>
    </row>
    <row r="6260" spans="1:2" x14ac:dyDescent="0.25">
      <c r="A6260" s="2">
        <v>6255</v>
      </c>
      <c r="B6260" s="11" t="str">
        <f>"00296292"</f>
        <v>00296292</v>
      </c>
    </row>
    <row r="6261" spans="1:2" x14ac:dyDescent="0.25">
      <c r="A6261" s="2">
        <v>6256</v>
      </c>
      <c r="B6261" s="11" t="str">
        <f>"00296366"</f>
        <v>00296366</v>
      </c>
    </row>
    <row r="6262" spans="1:2" x14ac:dyDescent="0.25">
      <c r="A6262" s="2">
        <v>6257</v>
      </c>
      <c r="B6262" s="11" t="str">
        <f>"00296438"</f>
        <v>00296438</v>
      </c>
    </row>
    <row r="6263" spans="1:2" x14ac:dyDescent="0.25">
      <c r="A6263" s="2">
        <v>6258</v>
      </c>
      <c r="B6263" s="11" t="str">
        <f>"00296440"</f>
        <v>00296440</v>
      </c>
    </row>
    <row r="6264" spans="1:2" x14ac:dyDescent="0.25">
      <c r="A6264" s="2">
        <v>6259</v>
      </c>
      <c r="B6264" s="11" t="str">
        <f>"00296449"</f>
        <v>00296449</v>
      </c>
    </row>
    <row r="6265" spans="1:2" x14ac:dyDescent="0.25">
      <c r="A6265" s="2">
        <v>6260</v>
      </c>
      <c r="B6265" s="11" t="str">
        <f>"00296513"</f>
        <v>00296513</v>
      </c>
    </row>
    <row r="6266" spans="1:2" x14ac:dyDescent="0.25">
      <c r="A6266" s="2">
        <v>6261</v>
      </c>
      <c r="B6266" s="11" t="str">
        <f>"00296669"</f>
        <v>00296669</v>
      </c>
    </row>
    <row r="6267" spans="1:2" x14ac:dyDescent="0.25">
      <c r="A6267" s="2">
        <v>6262</v>
      </c>
      <c r="B6267" s="11" t="str">
        <f>"00296775"</f>
        <v>00296775</v>
      </c>
    </row>
    <row r="6268" spans="1:2" x14ac:dyDescent="0.25">
      <c r="A6268" s="2">
        <v>6263</v>
      </c>
      <c r="B6268" s="11" t="str">
        <f>"00296803"</f>
        <v>00296803</v>
      </c>
    </row>
    <row r="6269" spans="1:2" x14ac:dyDescent="0.25">
      <c r="A6269" s="2">
        <v>6264</v>
      </c>
      <c r="B6269" s="11" t="str">
        <f>"00296847"</f>
        <v>00296847</v>
      </c>
    </row>
    <row r="6270" spans="1:2" x14ac:dyDescent="0.25">
      <c r="A6270" s="2">
        <v>6265</v>
      </c>
      <c r="B6270" s="11" t="str">
        <f>"00296929"</f>
        <v>00296929</v>
      </c>
    </row>
    <row r="6271" spans="1:2" x14ac:dyDescent="0.25">
      <c r="A6271" s="2">
        <v>6266</v>
      </c>
      <c r="B6271" s="11" t="str">
        <f>"00297036"</f>
        <v>00297036</v>
      </c>
    </row>
    <row r="6272" spans="1:2" x14ac:dyDescent="0.25">
      <c r="A6272" s="2">
        <v>6267</v>
      </c>
      <c r="B6272" s="11" t="str">
        <f>"00297118"</f>
        <v>00297118</v>
      </c>
    </row>
    <row r="6273" spans="1:2" x14ac:dyDescent="0.25">
      <c r="A6273" s="2">
        <v>6268</v>
      </c>
      <c r="B6273" s="11" t="str">
        <f>"00297307"</f>
        <v>00297307</v>
      </c>
    </row>
    <row r="6274" spans="1:2" x14ac:dyDescent="0.25">
      <c r="A6274" s="2">
        <v>6269</v>
      </c>
      <c r="B6274" s="11" t="str">
        <f>"00297336"</f>
        <v>00297336</v>
      </c>
    </row>
    <row r="6275" spans="1:2" x14ac:dyDescent="0.25">
      <c r="A6275" s="2">
        <v>6270</v>
      </c>
      <c r="B6275" s="11" t="str">
        <f>"00297340"</f>
        <v>00297340</v>
      </c>
    </row>
    <row r="6276" spans="1:2" x14ac:dyDescent="0.25">
      <c r="A6276" s="2">
        <v>6271</v>
      </c>
      <c r="B6276" s="11" t="str">
        <f>"00297381"</f>
        <v>00297381</v>
      </c>
    </row>
    <row r="6277" spans="1:2" x14ac:dyDescent="0.25">
      <c r="A6277" s="2">
        <v>6272</v>
      </c>
      <c r="B6277" s="11" t="str">
        <f>"00297387"</f>
        <v>00297387</v>
      </c>
    </row>
    <row r="6278" spans="1:2" x14ac:dyDescent="0.25">
      <c r="A6278" s="2">
        <v>6273</v>
      </c>
      <c r="B6278" s="11" t="str">
        <f>"00297418"</f>
        <v>00297418</v>
      </c>
    </row>
    <row r="6279" spans="1:2" x14ac:dyDescent="0.25">
      <c r="A6279" s="2">
        <v>6274</v>
      </c>
      <c r="B6279" s="11" t="str">
        <f>"00297451"</f>
        <v>00297451</v>
      </c>
    </row>
    <row r="6280" spans="1:2" x14ac:dyDescent="0.25">
      <c r="A6280" s="2">
        <v>6275</v>
      </c>
      <c r="B6280" s="11" t="str">
        <f>"00297463"</f>
        <v>00297463</v>
      </c>
    </row>
    <row r="6281" spans="1:2" x14ac:dyDescent="0.25">
      <c r="A6281" s="2">
        <v>6276</v>
      </c>
      <c r="B6281" s="11" t="str">
        <f>"00297489"</f>
        <v>00297489</v>
      </c>
    </row>
    <row r="6282" spans="1:2" x14ac:dyDescent="0.25">
      <c r="A6282" s="2">
        <v>6277</v>
      </c>
      <c r="B6282" s="11" t="str">
        <f>"00297554"</f>
        <v>00297554</v>
      </c>
    </row>
    <row r="6283" spans="1:2" x14ac:dyDescent="0.25">
      <c r="A6283" s="2">
        <v>6278</v>
      </c>
      <c r="B6283" s="11" t="str">
        <f>"00297617"</f>
        <v>00297617</v>
      </c>
    </row>
    <row r="6284" spans="1:2" x14ac:dyDescent="0.25">
      <c r="A6284" s="2">
        <v>6279</v>
      </c>
      <c r="B6284" s="11" t="str">
        <f>"00297625"</f>
        <v>00297625</v>
      </c>
    </row>
    <row r="6285" spans="1:2" x14ac:dyDescent="0.25">
      <c r="A6285" s="2">
        <v>6280</v>
      </c>
      <c r="B6285" s="11" t="str">
        <f>"00297652"</f>
        <v>00297652</v>
      </c>
    </row>
    <row r="6286" spans="1:2" x14ac:dyDescent="0.25">
      <c r="A6286" s="2">
        <v>6281</v>
      </c>
      <c r="B6286" s="11" t="str">
        <f>"00297667"</f>
        <v>00297667</v>
      </c>
    </row>
    <row r="6287" spans="1:2" x14ac:dyDescent="0.25">
      <c r="A6287" s="2">
        <v>6282</v>
      </c>
      <c r="B6287" s="11" t="str">
        <f>"00297673"</f>
        <v>00297673</v>
      </c>
    </row>
    <row r="6288" spans="1:2" x14ac:dyDescent="0.25">
      <c r="A6288" s="2">
        <v>6283</v>
      </c>
      <c r="B6288" s="11" t="str">
        <f>"00297730"</f>
        <v>00297730</v>
      </c>
    </row>
    <row r="6289" spans="1:2" x14ac:dyDescent="0.25">
      <c r="A6289" s="2">
        <v>6284</v>
      </c>
      <c r="B6289" s="11" t="str">
        <f>"00297757"</f>
        <v>00297757</v>
      </c>
    </row>
    <row r="6290" spans="1:2" x14ac:dyDescent="0.25">
      <c r="A6290" s="2">
        <v>6285</v>
      </c>
      <c r="B6290" s="11" t="str">
        <f>"00297801"</f>
        <v>00297801</v>
      </c>
    </row>
    <row r="6291" spans="1:2" x14ac:dyDescent="0.25">
      <c r="A6291" s="2">
        <v>6286</v>
      </c>
      <c r="B6291" s="11" t="str">
        <f>"00297854"</f>
        <v>00297854</v>
      </c>
    </row>
    <row r="6292" spans="1:2" x14ac:dyDescent="0.25">
      <c r="A6292" s="2">
        <v>6287</v>
      </c>
      <c r="B6292" s="11" t="str">
        <f>"00297892"</f>
        <v>00297892</v>
      </c>
    </row>
    <row r="6293" spans="1:2" x14ac:dyDescent="0.25">
      <c r="A6293" s="2">
        <v>6288</v>
      </c>
      <c r="B6293" s="11" t="str">
        <f>"00297914"</f>
        <v>00297914</v>
      </c>
    </row>
    <row r="6294" spans="1:2" x14ac:dyDescent="0.25">
      <c r="A6294" s="2">
        <v>6289</v>
      </c>
      <c r="B6294" s="11" t="str">
        <f>"00297955"</f>
        <v>00297955</v>
      </c>
    </row>
    <row r="6295" spans="1:2" x14ac:dyDescent="0.25">
      <c r="A6295" s="2">
        <v>6290</v>
      </c>
      <c r="B6295" s="11" t="str">
        <f>"00297977"</f>
        <v>00297977</v>
      </c>
    </row>
    <row r="6296" spans="1:2" x14ac:dyDescent="0.25">
      <c r="A6296" s="2">
        <v>6291</v>
      </c>
      <c r="B6296" s="11" t="str">
        <f>"00297999"</f>
        <v>00297999</v>
      </c>
    </row>
    <row r="6297" spans="1:2" x14ac:dyDescent="0.25">
      <c r="A6297" s="2">
        <v>6292</v>
      </c>
      <c r="B6297" s="11" t="str">
        <f>"00298055"</f>
        <v>00298055</v>
      </c>
    </row>
    <row r="6298" spans="1:2" x14ac:dyDescent="0.25">
      <c r="A6298" s="2">
        <v>6293</v>
      </c>
      <c r="B6298" s="11" t="str">
        <f>"00298070"</f>
        <v>00298070</v>
      </c>
    </row>
    <row r="6299" spans="1:2" x14ac:dyDescent="0.25">
      <c r="A6299" s="2">
        <v>6294</v>
      </c>
      <c r="B6299" s="11" t="str">
        <f>"00298107"</f>
        <v>00298107</v>
      </c>
    </row>
    <row r="6300" spans="1:2" x14ac:dyDescent="0.25">
      <c r="A6300" s="2">
        <v>6295</v>
      </c>
      <c r="B6300" s="11" t="str">
        <f>"00298123"</f>
        <v>00298123</v>
      </c>
    </row>
    <row r="6301" spans="1:2" x14ac:dyDescent="0.25">
      <c r="A6301" s="2">
        <v>6296</v>
      </c>
      <c r="B6301" s="11" t="str">
        <f>"00298197"</f>
        <v>00298197</v>
      </c>
    </row>
    <row r="6302" spans="1:2" x14ac:dyDescent="0.25">
      <c r="A6302" s="2">
        <v>6297</v>
      </c>
      <c r="B6302" s="11" t="str">
        <f>"00298206"</f>
        <v>00298206</v>
      </c>
    </row>
    <row r="6303" spans="1:2" x14ac:dyDescent="0.25">
      <c r="A6303" s="2">
        <v>6298</v>
      </c>
      <c r="B6303" s="11" t="str">
        <f>"00298244"</f>
        <v>00298244</v>
      </c>
    </row>
    <row r="6304" spans="1:2" x14ac:dyDescent="0.25">
      <c r="A6304" s="2">
        <v>6299</v>
      </c>
      <c r="B6304" s="11" t="str">
        <f>"00298250"</f>
        <v>00298250</v>
      </c>
    </row>
    <row r="6305" spans="1:2" x14ac:dyDescent="0.25">
      <c r="A6305" s="2">
        <v>6300</v>
      </c>
      <c r="B6305" s="11" t="str">
        <f>"00298380"</f>
        <v>00298380</v>
      </c>
    </row>
    <row r="6306" spans="1:2" x14ac:dyDescent="0.25">
      <c r="A6306" s="2">
        <v>6301</v>
      </c>
      <c r="B6306" s="11" t="str">
        <f>"00298383"</f>
        <v>00298383</v>
      </c>
    </row>
    <row r="6307" spans="1:2" x14ac:dyDescent="0.25">
      <c r="A6307" s="2">
        <v>6302</v>
      </c>
      <c r="B6307" s="11" t="str">
        <f>"00298412"</f>
        <v>00298412</v>
      </c>
    </row>
    <row r="6308" spans="1:2" x14ac:dyDescent="0.25">
      <c r="A6308" s="2">
        <v>6303</v>
      </c>
      <c r="B6308" s="11" t="str">
        <f>"00298425"</f>
        <v>00298425</v>
      </c>
    </row>
    <row r="6309" spans="1:2" x14ac:dyDescent="0.25">
      <c r="A6309" s="2">
        <v>6304</v>
      </c>
      <c r="B6309" s="11" t="str">
        <f>"00298438"</f>
        <v>00298438</v>
      </c>
    </row>
    <row r="6310" spans="1:2" x14ac:dyDescent="0.25">
      <c r="A6310" s="2">
        <v>6305</v>
      </c>
      <c r="B6310" s="11" t="str">
        <f>"00298493"</f>
        <v>00298493</v>
      </c>
    </row>
    <row r="6311" spans="1:2" x14ac:dyDescent="0.25">
      <c r="A6311" s="2">
        <v>6306</v>
      </c>
      <c r="B6311" s="11" t="str">
        <f>"00298523"</f>
        <v>00298523</v>
      </c>
    </row>
    <row r="6312" spans="1:2" x14ac:dyDescent="0.25">
      <c r="A6312" s="2">
        <v>6307</v>
      </c>
      <c r="B6312" s="11" t="str">
        <f>"00298527"</f>
        <v>00298527</v>
      </c>
    </row>
    <row r="6313" spans="1:2" x14ac:dyDescent="0.25">
      <c r="A6313" s="2">
        <v>6308</v>
      </c>
      <c r="B6313" s="11" t="str">
        <f>"00298547"</f>
        <v>00298547</v>
      </c>
    </row>
    <row r="6314" spans="1:2" x14ac:dyDescent="0.25">
      <c r="A6314" s="2">
        <v>6309</v>
      </c>
      <c r="B6314" s="11" t="str">
        <f>"00298552"</f>
        <v>00298552</v>
      </c>
    </row>
    <row r="6315" spans="1:2" x14ac:dyDescent="0.25">
      <c r="A6315" s="2">
        <v>6310</v>
      </c>
      <c r="B6315" s="11" t="str">
        <f>"00298577"</f>
        <v>00298577</v>
      </c>
    </row>
    <row r="6316" spans="1:2" x14ac:dyDescent="0.25">
      <c r="A6316" s="2">
        <v>6311</v>
      </c>
      <c r="B6316" s="11" t="str">
        <f>"00298581"</f>
        <v>00298581</v>
      </c>
    </row>
    <row r="6317" spans="1:2" x14ac:dyDescent="0.25">
      <c r="A6317" s="2">
        <v>6312</v>
      </c>
      <c r="B6317" s="11" t="str">
        <f>"00298688"</f>
        <v>00298688</v>
      </c>
    </row>
    <row r="6318" spans="1:2" x14ac:dyDescent="0.25">
      <c r="A6318" s="2">
        <v>6313</v>
      </c>
      <c r="B6318" s="11" t="str">
        <f>"00298713"</f>
        <v>00298713</v>
      </c>
    </row>
    <row r="6319" spans="1:2" x14ac:dyDescent="0.25">
      <c r="A6319" s="2">
        <v>6314</v>
      </c>
      <c r="B6319" s="11" t="str">
        <f>"00298828"</f>
        <v>00298828</v>
      </c>
    </row>
    <row r="6320" spans="1:2" x14ac:dyDescent="0.25">
      <c r="A6320" s="2">
        <v>6315</v>
      </c>
      <c r="B6320" s="11" t="str">
        <f>"00298888"</f>
        <v>00298888</v>
      </c>
    </row>
    <row r="6321" spans="1:2" x14ac:dyDescent="0.25">
      <c r="A6321" s="2">
        <v>6316</v>
      </c>
      <c r="B6321" s="11" t="str">
        <f>"00298925"</f>
        <v>00298925</v>
      </c>
    </row>
    <row r="6322" spans="1:2" x14ac:dyDescent="0.25">
      <c r="A6322" s="2">
        <v>6317</v>
      </c>
      <c r="B6322" s="11" t="str">
        <f>"00298939"</f>
        <v>00298939</v>
      </c>
    </row>
    <row r="6323" spans="1:2" x14ac:dyDescent="0.25">
      <c r="A6323" s="2">
        <v>6318</v>
      </c>
      <c r="B6323" s="11" t="str">
        <f>"00298974"</f>
        <v>00298974</v>
      </c>
    </row>
    <row r="6324" spans="1:2" x14ac:dyDescent="0.25">
      <c r="A6324" s="2">
        <v>6319</v>
      </c>
      <c r="B6324" s="11" t="str">
        <f>"00299073"</f>
        <v>00299073</v>
      </c>
    </row>
    <row r="6325" spans="1:2" x14ac:dyDescent="0.25">
      <c r="A6325" s="2">
        <v>6320</v>
      </c>
      <c r="B6325" s="11" t="str">
        <f>"00299123"</f>
        <v>00299123</v>
      </c>
    </row>
    <row r="6326" spans="1:2" x14ac:dyDescent="0.25">
      <c r="A6326" s="2">
        <v>6321</v>
      </c>
      <c r="B6326" s="11" t="str">
        <f>"00299137"</f>
        <v>00299137</v>
      </c>
    </row>
    <row r="6327" spans="1:2" x14ac:dyDescent="0.25">
      <c r="A6327" s="2">
        <v>6322</v>
      </c>
      <c r="B6327" s="11" t="str">
        <f>"00299260"</f>
        <v>00299260</v>
      </c>
    </row>
    <row r="6328" spans="1:2" x14ac:dyDescent="0.25">
      <c r="A6328" s="2">
        <v>6323</v>
      </c>
      <c r="B6328" s="11" t="str">
        <f>"00299261"</f>
        <v>00299261</v>
      </c>
    </row>
    <row r="6329" spans="1:2" x14ac:dyDescent="0.25">
      <c r="A6329" s="2">
        <v>6324</v>
      </c>
      <c r="B6329" s="11" t="str">
        <f>"00299295"</f>
        <v>00299295</v>
      </c>
    </row>
    <row r="6330" spans="1:2" x14ac:dyDescent="0.25">
      <c r="A6330" s="2">
        <v>6325</v>
      </c>
      <c r="B6330" s="11" t="str">
        <f>"00299305"</f>
        <v>00299305</v>
      </c>
    </row>
    <row r="6331" spans="1:2" x14ac:dyDescent="0.25">
      <c r="A6331" s="2">
        <v>6326</v>
      </c>
      <c r="B6331" s="11" t="str">
        <f>"00299414"</f>
        <v>00299414</v>
      </c>
    </row>
    <row r="6332" spans="1:2" x14ac:dyDescent="0.25">
      <c r="A6332" s="2">
        <v>6327</v>
      </c>
      <c r="B6332" s="11" t="str">
        <f>"00299477"</f>
        <v>00299477</v>
      </c>
    </row>
    <row r="6333" spans="1:2" x14ac:dyDescent="0.25">
      <c r="A6333" s="2">
        <v>6328</v>
      </c>
      <c r="B6333" s="11" t="str">
        <f>"00299504"</f>
        <v>00299504</v>
      </c>
    </row>
    <row r="6334" spans="1:2" x14ac:dyDescent="0.25">
      <c r="A6334" s="2">
        <v>6329</v>
      </c>
      <c r="B6334" s="11" t="str">
        <f>"00299672"</f>
        <v>00299672</v>
      </c>
    </row>
    <row r="6335" spans="1:2" x14ac:dyDescent="0.25">
      <c r="A6335" s="2">
        <v>6330</v>
      </c>
      <c r="B6335" s="11" t="str">
        <f>"00299693"</f>
        <v>00299693</v>
      </c>
    </row>
    <row r="6336" spans="1:2" x14ac:dyDescent="0.25">
      <c r="A6336" s="2">
        <v>6331</v>
      </c>
      <c r="B6336" s="11" t="str">
        <f>"00299699"</f>
        <v>00299699</v>
      </c>
    </row>
    <row r="6337" spans="1:2" x14ac:dyDescent="0.25">
      <c r="A6337" s="2">
        <v>6332</v>
      </c>
      <c r="B6337" s="11" t="str">
        <f>"00299748"</f>
        <v>00299748</v>
      </c>
    </row>
    <row r="6338" spans="1:2" x14ac:dyDescent="0.25">
      <c r="A6338" s="2">
        <v>6333</v>
      </c>
      <c r="B6338" s="11" t="str">
        <f>"00299856"</f>
        <v>00299856</v>
      </c>
    </row>
    <row r="6339" spans="1:2" x14ac:dyDescent="0.25">
      <c r="A6339" s="2">
        <v>6334</v>
      </c>
      <c r="B6339" s="11" t="str">
        <f>"00299939"</f>
        <v>00299939</v>
      </c>
    </row>
    <row r="6340" spans="1:2" x14ac:dyDescent="0.25">
      <c r="A6340" s="2">
        <v>6335</v>
      </c>
      <c r="B6340" s="11" t="str">
        <f>"00299966"</f>
        <v>00299966</v>
      </c>
    </row>
    <row r="6341" spans="1:2" x14ac:dyDescent="0.25">
      <c r="A6341" s="2">
        <v>6336</v>
      </c>
      <c r="B6341" s="11" t="str">
        <f>"00299975"</f>
        <v>00299975</v>
      </c>
    </row>
    <row r="6342" spans="1:2" x14ac:dyDescent="0.25">
      <c r="A6342" s="2">
        <v>6337</v>
      </c>
      <c r="B6342" s="11" t="str">
        <f>"00299983"</f>
        <v>00299983</v>
      </c>
    </row>
    <row r="6343" spans="1:2" x14ac:dyDescent="0.25">
      <c r="A6343" s="2">
        <v>6338</v>
      </c>
      <c r="B6343" s="11" t="str">
        <f>"00299987"</f>
        <v>00299987</v>
      </c>
    </row>
    <row r="6344" spans="1:2" x14ac:dyDescent="0.25">
      <c r="A6344" s="2">
        <v>6339</v>
      </c>
      <c r="B6344" s="11" t="str">
        <f>"00300053"</f>
        <v>00300053</v>
      </c>
    </row>
    <row r="6345" spans="1:2" x14ac:dyDescent="0.25">
      <c r="A6345" s="2">
        <v>6340</v>
      </c>
      <c r="B6345" s="11" t="str">
        <f>"00300103"</f>
        <v>00300103</v>
      </c>
    </row>
    <row r="6346" spans="1:2" x14ac:dyDescent="0.25">
      <c r="A6346" s="2">
        <v>6341</v>
      </c>
      <c r="B6346" s="11" t="str">
        <f>"00300146"</f>
        <v>00300146</v>
      </c>
    </row>
    <row r="6347" spans="1:2" x14ac:dyDescent="0.25">
      <c r="A6347" s="2">
        <v>6342</v>
      </c>
      <c r="B6347" s="11" t="str">
        <f>"00300148"</f>
        <v>00300148</v>
      </c>
    </row>
    <row r="6348" spans="1:2" x14ac:dyDescent="0.25">
      <c r="A6348" s="2">
        <v>6343</v>
      </c>
      <c r="B6348" s="11" t="str">
        <f>"00300151"</f>
        <v>00300151</v>
      </c>
    </row>
    <row r="6349" spans="1:2" x14ac:dyDescent="0.25">
      <c r="A6349" s="2">
        <v>6344</v>
      </c>
      <c r="B6349" s="11" t="str">
        <f>"00300202"</f>
        <v>00300202</v>
      </c>
    </row>
    <row r="6350" spans="1:2" x14ac:dyDescent="0.25">
      <c r="A6350" s="2">
        <v>6345</v>
      </c>
      <c r="B6350" s="11" t="str">
        <f>"00300212"</f>
        <v>00300212</v>
      </c>
    </row>
    <row r="6351" spans="1:2" x14ac:dyDescent="0.25">
      <c r="A6351" s="2">
        <v>6346</v>
      </c>
      <c r="B6351" s="11" t="str">
        <f>"00300248"</f>
        <v>00300248</v>
      </c>
    </row>
    <row r="6352" spans="1:2" x14ac:dyDescent="0.25">
      <c r="A6352" s="2">
        <v>6347</v>
      </c>
      <c r="B6352" s="11" t="str">
        <f>"00300249"</f>
        <v>00300249</v>
      </c>
    </row>
    <row r="6353" spans="1:2" x14ac:dyDescent="0.25">
      <c r="A6353" s="2">
        <v>6348</v>
      </c>
      <c r="B6353" s="11" t="str">
        <f>"00300264"</f>
        <v>00300264</v>
      </c>
    </row>
    <row r="6354" spans="1:2" x14ac:dyDescent="0.25">
      <c r="A6354" s="2">
        <v>6349</v>
      </c>
      <c r="B6354" s="11" t="str">
        <f>"00300300"</f>
        <v>00300300</v>
      </c>
    </row>
    <row r="6355" spans="1:2" x14ac:dyDescent="0.25">
      <c r="A6355" s="2">
        <v>6350</v>
      </c>
      <c r="B6355" s="11" t="str">
        <f>"00300313"</f>
        <v>00300313</v>
      </c>
    </row>
    <row r="6356" spans="1:2" x14ac:dyDescent="0.25">
      <c r="A6356" s="2">
        <v>6351</v>
      </c>
      <c r="B6356" s="11" t="str">
        <f>"00300472"</f>
        <v>00300472</v>
      </c>
    </row>
    <row r="6357" spans="1:2" x14ac:dyDescent="0.25">
      <c r="A6357" s="2">
        <v>6352</v>
      </c>
      <c r="B6357" s="11" t="str">
        <f>"00300501"</f>
        <v>00300501</v>
      </c>
    </row>
    <row r="6358" spans="1:2" x14ac:dyDescent="0.25">
      <c r="A6358" s="2">
        <v>6353</v>
      </c>
      <c r="B6358" s="11" t="str">
        <f>"00300531"</f>
        <v>00300531</v>
      </c>
    </row>
    <row r="6359" spans="1:2" x14ac:dyDescent="0.25">
      <c r="A6359" s="2">
        <v>6354</v>
      </c>
      <c r="B6359" s="11" t="str">
        <f>"00300580"</f>
        <v>00300580</v>
      </c>
    </row>
    <row r="6360" spans="1:2" x14ac:dyDescent="0.25">
      <c r="A6360" s="2">
        <v>6355</v>
      </c>
      <c r="B6360" s="11" t="str">
        <f>"00300600"</f>
        <v>00300600</v>
      </c>
    </row>
    <row r="6361" spans="1:2" x14ac:dyDescent="0.25">
      <c r="A6361" s="2">
        <v>6356</v>
      </c>
      <c r="B6361" s="11" t="str">
        <f>"00300651"</f>
        <v>00300651</v>
      </c>
    </row>
    <row r="6362" spans="1:2" x14ac:dyDescent="0.25">
      <c r="A6362" s="2">
        <v>6357</v>
      </c>
      <c r="B6362" s="11" t="str">
        <f>"00300670"</f>
        <v>00300670</v>
      </c>
    </row>
    <row r="6363" spans="1:2" x14ac:dyDescent="0.25">
      <c r="A6363" s="2">
        <v>6358</v>
      </c>
      <c r="B6363" s="11" t="str">
        <f>"00300863"</f>
        <v>00300863</v>
      </c>
    </row>
    <row r="6364" spans="1:2" x14ac:dyDescent="0.25">
      <c r="A6364" s="2">
        <v>6359</v>
      </c>
      <c r="B6364" s="11" t="str">
        <f>"00300874"</f>
        <v>00300874</v>
      </c>
    </row>
    <row r="6365" spans="1:2" x14ac:dyDescent="0.25">
      <c r="A6365" s="2">
        <v>6360</v>
      </c>
      <c r="B6365" s="11" t="str">
        <f>"00300886"</f>
        <v>00300886</v>
      </c>
    </row>
    <row r="6366" spans="1:2" x14ac:dyDescent="0.25">
      <c r="A6366" s="2">
        <v>6361</v>
      </c>
      <c r="B6366" s="11" t="str">
        <f>"00300911"</f>
        <v>00300911</v>
      </c>
    </row>
    <row r="6367" spans="1:2" x14ac:dyDescent="0.25">
      <c r="A6367" s="2">
        <v>6362</v>
      </c>
      <c r="B6367" s="11" t="str">
        <f>"00300916"</f>
        <v>00300916</v>
      </c>
    </row>
    <row r="6368" spans="1:2" x14ac:dyDescent="0.25">
      <c r="A6368" s="2">
        <v>6363</v>
      </c>
      <c r="B6368" s="11" t="str">
        <f>"00300936"</f>
        <v>00300936</v>
      </c>
    </row>
    <row r="6369" spans="1:2" x14ac:dyDescent="0.25">
      <c r="A6369" s="2">
        <v>6364</v>
      </c>
      <c r="B6369" s="11" t="str">
        <f>"00300957"</f>
        <v>00300957</v>
      </c>
    </row>
    <row r="6370" spans="1:2" x14ac:dyDescent="0.25">
      <c r="A6370" s="2">
        <v>6365</v>
      </c>
      <c r="B6370" s="11" t="str">
        <f>"00300962"</f>
        <v>00300962</v>
      </c>
    </row>
    <row r="6371" spans="1:2" x14ac:dyDescent="0.25">
      <c r="A6371" s="2">
        <v>6366</v>
      </c>
      <c r="B6371" s="11" t="str">
        <f>"00301077"</f>
        <v>00301077</v>
      </c>
    </row>
    <row r="6372" spans="1:2" x14ac:dyDescent="0.25">
      <c r="A6372" s="2">
        <v>6367</v>
      </c>
      <c r="B6372" s="11" t="str">
        <f>"00301128"</f>
        <v>00301128</v>
      </c>
    </row>
    <row r="6373" spans="1:2" x14ac:dyDescent="0.25">
      <c r="A6373" s="2">
        <v>6368</v>
      </c>
      <c r="B6373" s="11" t="str">
        <f>"00301130"</f>
        <v>00301130</v>
      </c>
    </row>
    <row r="6374" spans="1:2" x14ac:dyDescent="0.25">
      <c r="A6374" s="2">
        <v>6369</v>
      </c>
      <c r="B6374" s="11" t="str">
        <f>"00301187"</f>
        <v>00301187</v>
      </c>
    </row>
    <row r="6375" spans="1:2" x14ac:dyDescent="0.25">
      <c r="A6375" s="2">
        <v>6370</v>
      </c>
      <c r="B6375" s="11" t="str">
        <f>"00301236"</f>
        <v>00301236</v>
      </c>
    </row>
    <row r="6376" spans="1:2" x14ac:dyDescent="0.25">
      <c r="A6376" s="2">
        <v>6371</v>
      </c>
      <c r="B6376" s="11" t="str">
        <f>"00301293"</f>
        <v>00301293</v>
      </c>
    </row>
    <row r="6377" spans="1:2" x14ac:dyDescent="0.25">
      <c r="A6377" s="2">
        <v>6372</v>
      </c>
      <c r="B6377" s="11" t="str">
        <f>"00301352"</f>
        <v>00301352</v>
      </c>
    </row>
    <row r="6378" spans="1:2" x14ac:dyDescent="0.25">
      <c r="A6378" s="2">
        <v>6373</v>
      </c>
      <c r="B6378" s="11" t="str">
        <f>"00301411"</f>
        <v>00301411</v>
      </c>
    </row>
    <row r="6379" spans="1:2" x14ac:dyDescent="0.25">
      <c r="A6379" s="2">
        <v>6374</v>
      </c>
      <c r="B6379" s="11" t="str">
        <f>"00301522"</f>
        <v>00301522</v>
      </c>
    </row>
    <row r="6380" spans="1:2" x14ac:dyDescent="0.25">
      <c r="A6380" s="2">
        <v>6375</v>
      </c>
      <c r="B6380" s="11" t="str">
        <f>"00301545"</f>
        <v>00301545</v>
      </c>
    </row>
    <row r="6381" spans="1:2" x14ac:dyDescent="0.25">
      <c r="A6381" s="2">
        <v>6376</v>
      </c>
      <c r="B6381" s="11" t="str">
        <f>"00301551"</f>
        <v>00301551</v>
      </c>
    </row>
    <row r="6382" spans="1:2" x14ac:dyDescent="0.25">
      <c r="A6382" s="2">
        <v>6377</v>
      </c>
      <c r="B6382" s="11" t="str">
        <f>"00301598"</f>
        <v>00301598</v>
      </c>
    </row>
    <row r="6383" spans="1:2" x14ac:dyDescent="0.25">
      <c r="A6383" s="2">
        <v>6378</v>
      </c>
      <c r="B6383" s="11" t="str">
        <f>"00301610"</f>
        <v>00301610</v>
      </c>
    </row>
    <row r="6384" spans="1:2" x14ac:dyDescent="0.25">
      <c r="A6384" s="2">
        <v>6379</v>
      </c>
      <c r="B6384" s="11" t="str">
        <f>"00301691"</f>
        <v>00301691</v>
      </c>
    </row>
    <row r="6385" spans="1:2" x14ac:dyDescent="0.25">
      <c r="A6385" s="2">
        <v>6380</v>
      </c>
      <c r="B6385" s="11" t="str">
        <f>"00301733"</f>
        <v>00301733</v>
      </c>
    </row>
    <row r="6386" spans="1:2" x14ac:dyDescent="0.25">
      <c r="A6386" s="2">
        <v>6381</v>
      </c>
      <c r="B6386" s="11" t="str">
        <f>"00301873"</f>
        <v>00301873</v>
      </c>
    </row>
    <row r="6387" spans="1:2" x14ac:dyDescent="0.25">
      <c r="A6387" s="2">
        <v>6382</v>
      </c>
      <c r="B6387" s="11" t="str">
        <f>"00301963"</f>
        <v>00301963</v>
      </c>
    </row>
    <row r="6388" spans="1:2" x14ac:dyDescent="0.25">
      <c r="A6388" s="2">
        <v>6383</v>
      </c>
      <c r="B6388" s="11" t="str">
        <f>"00301974"</f>
        <v>00301974</v>
      </c>
    </row>
    <row r="6389" spans="1:2" x14ac:dyDescent="0.25">
      <c r="A6389" s="2">
        <v>6384</v>
      </c>
      <c r="B6389" s="11" t="str">
        <f>"00301982"</f>
        <v>00301982</v>
      </c>
    </row>
    <row r="6390" spans="1:2" x14ac:dyDescent="0.25">
      <c r="A6390" s="2">
        <v>6385</v>
      </c>
      <c r="B6390" s="11" t="str">
        <f>"00302075"</f>
        <v>00302075</v>
      </c>
    </row>
    <row r="6391" spans="1:2" x14ac:dyDescent="0.25">
      <c r="A6391" s="2">
        <v>6386</v>
      </c>
      <c r="B6391" s="11" t="str">
        <f>"00302133"</f>
        <v>00302133</v>
      </c>
    </row>
    <row r="6392" spans="1:2" x14ac:dyDescent="0.25">
      <c r="A6392" s="2">
        <v>6387</v>
      </c>
      <c r="B6392" s="11" t="str">
        <f>"00302193"</f>
        <v>00302193</v>
      </c>
    </row>
    <row r="6393" spans="1:2" x14ac:dyDescent="0.25">
      <c r="A6393" s="2">
        <v>6388</v>
      </c>
      <c r="B6393" s="11" t="str">
        <f>"00302212"</f>
        <v>00302212</v>
      </c>
    </row>
    <row r="6394" spans="1:2" x14ac:dyDescent="0.25">
      <c r="A6394" s="2">
        <v>6389</v>
      </c>
      <c r="B6394" s="11" t="str">
        <f>"00302236"</f>
        <v>00302236</v>
      </c>
    </row>
    <row r="6395" spans="1:2" x14ac:dyDescent="0.25">
      <c r="A6395" s="2">
        <v>6390</v>
      </c>
      <c r="B6395" s="11" t="str">
        <f>"00302328"</f>
        <v>00302328</v>
      </c>
    </row>
    <row r="6396" spans="1:2" x14ac:dyDescent="0.25">
      <c r="A6396" s="2">
        <v>6391</v>
      </c>
      <c r="B6396" s="11" t="str">
        <f>"00302348"</f>
        <v>00302348</v>
      </c>
    </row>
    <row r="6397" spans="1:2" x14ac:dyDescent="0.25">
      <c r="A6397" s="2">
        <v>6392</v>
      </c>
      <c r="B6397" s="11" t="str">
        <f>"00302351"</f>
        <v>00302351</v>
      </c>
    </row>
    <row r="6398" spans="1:2" x14ac:dyDescent="0.25">
      <c r="A6398" s="2">
        <v>6393</v>
      </c>
      <c r="B6398" s="11" t="str">
        <f>"00302366"</f>
        <v>00302366</v>
      </c>
    </row>
    <row r="6399" spans="1:2" x14ac:dyDescent="0.25">
      <c r="A6399" s="2">
        <v>6394</v>
      </c>
      <c r="B6399" s="11" t="str">
        <f>"00302412"</f>
        <v>00302412</v>
      </c>
    </row>
    <row r="6400" spans="1:2" x14ac:dyDescent="0.25">
      <c r="A6400" s="2">
        <v>6395</v>
      </c>
      <c r="B6400" s="11" t="str">
        <f>"00302461"</f>
        <v>00302461</v>
      </c>
    </row>
    <row r="6401" spans="1:2" x14ac:dyDescent="0.25">
      <c r="A6401" s="2">
        <v>6396</v>
      </c>
      <c r="B6401" s="11" t="str">
        <f>"00302474"</f>
        <v>00302474</v>
      </c>
    </row>
    <row r="6402" spans="1:2" x14ac:dyDescent="0.25">
      <c r="A6402" s="2">
        <v>6397</v>
      </c>
      <c r="B6402" s="11" t="str">
        <f>"00302557"</f>
        <v>00302557</v>
      </c>
    </row>
    <row r="6403" spans="1:2" x14ac:dyDescent="0.25">
      <c r="A6403" s="2">
        <v>6398</v>
      </c>
      <c r="B6403" s="11" t="str">
        <f>"00302715"</f>
        <v>00302715</v>
      </c>
    </row>
    <row r="6404" spans="1:2" x14ac:dyDescent="0.25">
      <c r="A6404" s="2">
        <v>6399</v>
      </c>
      <c r="B6404" s="11" t="str">
        <f>"00302731"</f>
        <v>00302731</v>
      </c>
    </row>
    <row r="6405" spans="1:2" x14ac:dyDescent="0.25">
      <c r="A6405" s="2">
        <v>6400</v>
      </c>
      <c r="B6405" s="11" t="str">
        <f>"00302754"</f>
        <v>00302754</v>
      </c>
    </row>
    <row r="6406" spans="1:2" x14ac:dyDescent="0.25">
      <c r="A6406" s="2">
        <v>6401</v>
      </c>
      <c r="B6406" s="11" t="str">
        <f>"00302777"</f>
        <v>00302777</v>
      </c>
    </row>
    <row r="6407" spans="1:2" x14ac:dyDescent="0.25">
      <c r="A6407" s="2">
        <v>6402</v>
      </c>
      <c r="B6407" s="11" t="str">
        <f>"00302779"</f>
        <v>00302779</v>
      </c>
    </row>
    <row r="6408" spans="1:2" x14ac:dyDescent="0.25">
      <c r="A6408" s="2">
        <v>6403</v>
      </c>
      <c r="B6408" s="11" t="str">
        <f>"00302790"</f>
        <v>00302790</v>
      </c>
    </row>
    <row r="6409" spans="1:2" x14ac:dyDescent="0.25">
      <c r="A6409" s="2">
        <v>6404</v>
      </c>
      <c r="B6409" s="11" t="str">
        <f>"00302792"</f>
        <v>00302792</v>
      </c>
    </row>
    <row r="6410" spans="1:2" x14ac:dyDescent="0.25">
      <c r="A6410" s="2">
        <v>6405</v>
      </c>
      <c r="B6410" s="11" t="str">
        <f>"00302814"</f>
        <v>00302814</v>
      </c>
    </row>
    <row r="6411" spans="1:2" x14ac:dyDescent="0.25">
      <c r="A6411" s="2">
        <v>6406</v>
      </c>
      <c r="B6411" s="11" t="str">
        <f>"00302920"</f>
        <v>00302920</v>
      </c>
    </row>
    <row r="6412" spans="1:2" x14ac:dyDescent="0.25">
      <c r="A6412" s="2">
        <v>6407</v>
      </c>
      <c r="B6412" s="11" t="str">
        <f>"00302934"</f>
        <v>00302934</v>
      </c>
    </row>
    <row r="6413" spans="1:2" x14ac:dyDescent="0.25">
      <c r="A6413" s="2">
        <v>6408</v>
      </c>
      <c r="B6413" s="11" t="str">
        <f>"00302973"</f>
        <v>00302973</v>
      </c>
    </row>
    <row r="6414" spans="1:2" x14ac:dyDescent="0.25">
      <c r="A6414" s="2">
        <v>6409</v>
      </c>
      <c r="B6414" s="11" t="str">
        <f>"00303102"</f>
        <v>00303102</v>
      </c>
    </row>
    <row r="6415" spans="1:2" x14ac:dyDescent="0.25">
      <c r="A6415" s="2">
        <v>6410</v>
      </c>
      <c r="B6415" s="11" t="str">
        <f>"00303198"</f>
        <v>00303198</v>
      </c>
    </row>
    <row r="6416" spans="1:2" x14ac:dyDescent="0.25">
      <c r="A6416" s="2">
        <v>6411</v>
      </c>
      <c r="B6416" s="11" t="str">
        <f>"00303226"</f>
        <v>00303226</v>
      </c>
    </row>
    <row r="6417" spans="1:2" x14ac:dyDescent="0.25">
      <c r="A6417" s="2">
        <v>6412</v>
      </c>
      <c r="B6417" s="11" t="str">
        <f>"00303282"</f>
        <v>00303282</v>
      </c>
    </row>
    <row r="6418" spans="1:2" x14ac:dyDescent="0.25">
      <c r="A6418" s="2">
        <v>6413</v>
      </c>
      <c r="B6418" s="11" t="str">
        <f>"00303346"</f>
        <v>00303346</v>
      </c>
    </row>
    <row r="6419" spans="1:2" x14ac:dyDescent="0.25">
      <c r="A6419" s="2">
        <v>6414</v>
      </c>
      <c r="B6419" s="11" t="str">
        <f>"00303406"</f>
        <v>00303406</v>
      </c>
    </row>
    <row r="6420" spans="1:2" x14ac:dyDescent="0.25">
      <c r="A6420" s="2">
        <v>6415</v>
      </c>
      <c r="B6420" s="11" t="str">
        <f>"00303436"</f>
        <v>00303436</v>
      </c>
    </row>
    <row r="6421" spans="1:2" x14ac:dyDescent="0.25">
      <c r="A6421" s="2">
        <v>6416</v>
      </c>
      <c r="B6421" s="11" t="str">
        <f>"00303439"</f>
        <v>00303439</v>
      </c>
    </row>
    <row r="6422" spans="1:2" x14ac:dyDescent="0.25">
      <c r="A6422" s="2">
        <v>6417</v>
      </c>
      <c r="B6422" s="11" t="str">
        <f>"00303508"</f>
        <v>00303508</v>
      </c>
    </row>
    <row r="6423" spans="1:2" x14ac:dyDescent="0.25">
      <c r="A6423" s="2">
        <v>6418</v>
      </c>
      <c r="B6423" s="11" t="str">
        <f>"00303549"</f>
        <v>00303549</v>
      </c>
    </row>
    <row r="6424" spans="1:2" x14ac:dyDescent="0.25">
      <c r="A6424" s="2">
        <v>6419</v>
      </c>
      <c r="B6424" s="11" t="str">
        <f>"00303700"</f>
        <v>00303700</v>
      </c>
    </row>
    <row r="6425" spans="1:2" x14ac:dyDescent="0.25">
      <c r="A6425" s="2">
        <v>6420</v>
      </c>
      <c r="B6425" s="11" t="str">
        <f>"00303776"</f>
        <v>00303776</v>
      </c>
    </row>
    <row r="6426" spans="1:2" x14ac:dyDescent="0.25">
      <c r="A6426" s="2">
        <v>6421</v>
      </c>
      <c r="B6426" s="11" t="str">
        <f>"00303788"</f>
        <v>00303788</v>
      </c>
    </row>
    <row r="6427" spans="1:2" x14ac:dyDescent="0.25">
      <c r="A6427" s="2">
        <v>6422</v>
      </c>
      <c r="B6427" s="11" t="str">
        <f>"00304173"</f>
        <v>00304173</v>
      </c>
    </row>
    <row r="6428" spans="1:2" x14ac:dyDescent="0.25">
      <c r="A6428" s="2">
        <v>6423</v>
      </c>
      <c r="B6428" s="11" t="str">
        <f>"00304348"</f>
        <v>00304348</v>
      </c>
    </row>
    <row r="6429" spans="1:2" x14ac:dyDescent="0.25">
      <c r="A6429" s="2">
        <v>6424</v>
      </c>
      <c r="B6429" s="11" t="str">
        <f>"00304518"</f>
        <v>00304518</v>
      </c>
    </row>
    <row r="6430" spans="1:2" x14ac:dyDescent="0.25">
      <c r="A6430" s="2">
        <v>6425</v>
      </c>
      <c r="B6430" s="11" t="str">
        <f>"00304528"</f>
        <v>00304528</v>
      </c>
    </row>
    <row r="6431" spans="1:2" x14ac:dyDescent="0.25">
      <c r="A6431" s="2">
        <v>6426</v>
      </c>
      <c r="B6431" s="11" t="str">
        <f>"00304649"</f>
        <v>00304649</v>
      </c>
    </row>
    <row r="6432" spans="1:2" x14ac:dyDescent="0.25">
      <c r="A6432" s="2">
        <v>6427</v>
      </c>
      <c r="B6432" s="11" t="str">
        <f>"00304738"</f>
        <v>00304738</v>
      </c>
    </row>
    <row r="6433" spans="1:2" x14ac:dyDescent="0.25">
      <c r="A6433" s="2">
        <v>6428</v>
      </c>
      <c r="B6433" s="11" t="str">
        <f>"00304778"</f>
        <v>00304778</v>
      </c>
    </row>
    <row r="6434" spans="1:2" x14ac:dyDescent="0.25">
      <c r="A6434" s="2">
        <v>6429</v>
      </c>
      <c r="B6434" s="11" t="str">
        <f>"00304990"</f>
        <v>00304990</v>
      </c>
    </row>
    <row r="6435" spans="1:2" x14ac:dyDescent="0.25">
      <c r="A6435" s="2">
        <v>6430</v>
      </c>
      <c r="B6435" s="11" t="str">
        <f>"00305057"</f>
        <v>00305057</v>
      </c>
    </row>
    <row r="6436" spans="1:2" x14ac:dyDescent="0.25">
      <c r="A6436" s="2">
        <v>6431</v>
      </c>
      <c r="B6436" s="11" t="str">
        <f>"00305083"</f>
        <v>00305083</v>
      </c>
    </row>
    <row r="6437" spans="1:2" x14ac:dyDescent="0.25">
      <c r="A6437" s="2">
        <v>6432</v>
      </c>
      <c r="B6437" s="11" t="str">
        <f>"00305113"</f>
        <v>00305113</v>
      </c>
    </row>
    <row r="6438" spans="1:2" x14ac:dyDescent="0.25">
      <c r="A6438" s="2">
        <v>6433</v>
      </c>
      <c r="B6438" s="11" t="str">
        <f>"00305189"</f>
        <v>00305189</v>
      </c>
    </row>
    <row r="6439" spans="1:2" x14ac:dyDescent="0.25">
      <c r="A6439" s="2">
        <v>6434</v>
      </c>
      <c r="B6439" s="11" t="str">
        <f>"00305212"</f>
        <v>00305212</v>
      </c>
    </row>
    <row r="6440" spans="1:2" x14ac:dyDescent="0.25">
      <c r="A6440" s="2">
        <v>6435</v>
      </c>
      <c r="B6440" s="11" t="str">
        <f>"00305246"</f>
        <v>00305246</v>
      </c>
    </row>
    <row r="6441" spans="1:2" x14ac:dyDescent="0.25">
      <c r="A6441" s="2">
        <v>6436</v>
      </c>
      <c r="B6441" s="11" t="str">
        <f>"00305270"</f>
        <v>00305270</v>
      </c>
    </row>
    <row r="6442" spans="1:2" x14ac:dyDescent="0.25">
      <c r="A6442" s="2">
        <v>6437</v>
      </c>
      <c r="B6442" s="11" t="str">
        <f>"00305271"</f>
        <v>00305271</v>
      </c>
    </row>
    <row r="6443" spans="1:2" x14ac:dyDescent="0.25">
      <c r="A6443" s="2">
        <v>6438</v>
      </c>
      <c r="B6443" s="11" t="str">
        <f>"00305297"</f>
        <v>00305297</v>
      </c>
    </row>
    <row r="6444" spans="1:2" x14ac:dyDescent="0.25">
      <c r="A6444" s="2">
        <v>6439</v>
      </c>
      <c r="B6444" s="11" t="str">
        <f>"00305373"</f>
        <v>00305373</v>
      </c>
    </row>
    <row r="6445" spans="1:2" x14ac:dyDescent="0.25">
      <c r="A6445" s="2">
        <v>6440</v>
      </c>
      <c r="B6445" s="11" t="str">
        <f>"00305383"</f>
        <v>00305383</v>
      </c>
    </row>
    <row r="6446" spans="1:2" x14ac:dyDescent="0.25">
      <c r="A6446" s="2">
        <v>6441</v>
      </c>
      <c r="B6446" s="11" t="str">
        <f>"00305414"</f>
        <v>00305414</v>
      </c>
    </row>
    <row r="6447" spans="1:2" x14ac:dyDescent="0.25">
      <c r="A6447" s="2">
        <v>6442</v>
      </c>
      <c r="B6447" s="11" t="str">
        <f>"00305448"</f>
        <v>00305448</v>
      </c>
    </row>
    <row r="6448" spans="1:2" x14ac:dyDescent="0.25">
      <c r="A6448" s="2">
        <v>6443</v>
      </c>
      <c r="B6448" s="11" t="str">
        <f>"00305453"</f>
        <v>00305453</v>
      </c>
    </row>
    <row r="6449" spans="1:2" x14ac:dyDescent="0.25">
      <c r="A6449" s="2">
        <v>6444</v>
      </c>
      <c r="B6449" s="11" t="str">
        <f>"00305476"</f>
        <v>00305476</v>
      </c>
    </row>
    <row r="6450" spans="1:2" x14ac:dyDescent="0.25">
      <c r="A6450" s="2">
        <v>6445</v>
      </c>
      <c r="B6450" s="11" t="str">
        <f>"00305504"</f>
        <v>00305504</v>
      </c>
    </row>
    <row r="6451" spans="1:2" x14ac:dyDescent="0.25">
      <c r="A6451" s="2">
        <v>6446</v>
      </c>
      <c r="B6451" s="11" t="str">
        <f>"00305572"</f>
        <v>00305572</v>
      </c>
    </row>
    <row r="6452" spans="1:2" x14ac:dyDescent="0.25">
      <c r="A6452" s="2">
        <v>6447</v>
      </c>
      <c r="B6452" s="11" t="str">
        <f>"00305633"</f>
        <v>00305633</v>
      </c>
    </row>
    <row r="6453" spans="1:2" x14ac:dyDescent="0.25">
      <c r="A6453" s="2">
        <v>6448</v>
      </c>
      <c r="B6453" s="11" t="str">
        <f>"00305692"</f>
        <v>00305692</v>
      </c>
    </row>
    <row r="6454" spans="1:2" x14ac:dyDescent="0.25">
      <c r="A6454" s="2">
        <v>6449</v>
      </c>
      <c r="B6454" s="11" t="str">
        <f>"00305860"</f>
        <v>00305860</v>
      </c>
    </row>
    <row r="6455" spans="1:2" x14ac:dyDescent="0.25">
      <c r="A6455" s="2">
        <v>6450</v>
      </c>
      <c r="B6455" s="11" t="str">
        <f>"00305877"</f>
        <v>00305877</v>
      </c>
    </row>
    <row r="6456" spans="1:2" x14ac:dyDescent="0.25">
      <c r="A6456" s="2">
        <v>6451</v>
      </c>
      <c r="B6456" s="11" t="str">
        <f>"00305881"</f>
        <v>00305881</v>
      </c>
    </row>
    <row r="6457" spans="1:2" x14ac:dyDescent="0.25">
      <c r="A6457" s="2">
        <v>6452</v>
      </c>
      <c r="B6457" s="11" t="str">
        <f>"00305883"</f>
        <v>00305883</v>
      </c>
    </row>
    <row r="6458" spans="1:2" x14ac:dyDescent="0.25">
      <c r="A6458" s="2">
        <v>6453</v>
      </c>
      <c r="B6458" s="11" t="str">
        <f>"00305901"</f>
        <v>00305901</v>
      </c>
    </row>
    <row r="6459" spans="1:2" x14ac:dyDescent="0.25">
      <c r="A6459" s="2">
        <v>6454</v>
      </c>
      <c r="B6459" s="11" t="str">
        <f>"00305932"</f>
        <v>00305932</v>
      </c>
    </row>
    <row r="6460" spans="1:2" x14ac:dyDescent="0.25">
      <c r="A6460" s="2">
        <v>6455</v>
      </c>
      <c r="B6460" s="11" t="str">
        <f>"00305935"</f>
        <v>00305935</v>
      </c>
    </row>
    <row r="6461" spans="1:2" x14ac:dyDescent="0.25">
      <c r="A6461" s="2">
        <v>6456</v>
      </c>
      <c r="B6461" s="11" t="str">
        <f>"00305953"</f>
        <v>00305953</v>
      </c>
    </row>
    <row r="6462" spans="1:2" x14ac:dyDescent="0.25">
      <c r="A6462" s="2">
        <v>6457</v>
      </c>
      <c r="B6462" s="11" t="str">
        <f>"00305969"</f>
        <v>00305969</v>
      </c>
    </row>
    <row r="6463" spans="1:2" x14ac:dyDescent="0.25">
      <c r="A6463" s="2">
        <v>6458</v>
      </c>
      <c r="B6463" s="11" t="str">
        <f>"00305995"</f>
        <v>00305995</v>
      </c>
    </row>
    <row r="6464" spans="1:2" x14ac:dyDescent="0.25">
      <c r="A6464" s="2">
        <v>6459</v>
      </c>
      <c r="B6464" s="11" t="str">
        <f>"00306008"</f>
        <v>00306008</v>
      </c>
    </row>
    <row r="6465" spans="1:2" x14ac:dyDescent="0.25">
      <c r="A6465" s="2">
        <v>6460</v>
      </c>
      <c r="B6465" s="11" t="str">
        <f>"00306026"</f>
        <v>00306026</v>
      </c>
    </row>
    <row r="6466" spans="1:2" x14ac:dyDescent="0.25">
      <c r="A6466" s="2">
        <v>6461</v>
      </c>
      <c r="B6466" s="11" t="str">
        <f>"00306166"</f>
        <v>00306166</v>
      </c>
    </row>
    <row r="6467" spans="1:2" x14ac:dyDescent="0.25">
      <c r="A6467" s="2">
        <v>6462</v>
      </c>
      <c r="B6467" s="11" t="str">
        <f>"00306273"</f>
        <v>00306273</v>
      </c>
    </row>
    <row r="6468" spans="1:2" x14ac:dyDescent="0.25">
      <c r="A6468" s="2">
        <v>6463</v>
      </c>
      <c r="B6468" s="11" t="str">
        <f>"00306298"</f>
        <v>00306298</v>
      </c>
    </row>
    <row r="6469" spans="1:2" x14ac:dyDescent="0.25">
      <c r="A6469" s="2">
        <v>6464</v>
      </c>
      <c r="B6469" s="11" t="str">
        <f>"00306350"</f>
        <v>00306350</v>
      </c>
    </row>
    <row r="6470" spans="1:2" x14ac:dyDescent="0.25">
      <c r="A6470" s="2">
        <v>6465</v>
      </c>
      <c r="B6470" s="11" t="str">
        <f>"00306369"</f>
        <v>00306369</v>
      </c>
    </row>
    <row r="6471" spans="1:2" x14ac:dyDescent="0.25">
      <c r="A6471" s="2">
        <v>6466</v>
      </c>
      <c r="B6471" s="11" t="str">
        <f>"00306429"</f>
        <v>00306429</v>
      </c>
    </row>
    <row r="6472" spans="1:2" x14ac:dyDescent="0.25">
      <c r="A6472" s="2">
        <v>6467</v>
      </c>
      <c r="B6472" s="11" t="str">
        <f>"00306434"</f>
        <v>00306434</v>
      </c>
    </row>
    <row r="6473" spans="1:2" x14ac:dyDescent="0.25">
      <c r="A6473" s="2">
        <v>6468</v>
      </c>
      <c r="B6473" s="11" t="str">
        <f>"00306597"</f>
        <v>00306597</v>
      </c>
    </row>
    <row r="6474" spans="1:2" x14ac:dyDescent="0.25">
      <c r="A6474" s="2">
        <v>6469</v>
      </c>
      <c r="B6474" s="11" t="str">
        <f>"00306616"</f>
        <v>00306616</v>
      </c>
    </row>
    <row r="6475" spans="1:2" x14ac:dyDescent="0.25">
      <c r="A6475" s="2">
        <v>6470</v>
      </c>
      <c r="B6475" s="11" t="str">
        <f>"00306617"</f>
        <v>00306617</v>
      </c>
    </row>
    <row r="6476" spans="1:2" x14ac:dyDescent="0.25">
      <c r="A6476" s="2">
        <v>6471</v>
      </c>
      <c r="B6476" s="11" t="str">
        <f>"00306651"</f>
        <v>00306651</v>
      </c>
    </row>
    <row r="6477" spans="1:2" x14ac:dyDescent="0.25">
      <c r="A6477" s="2">
        <v>6472</v>
      </c>
      <c r="B6477" s="11" t="str">
        <f>"00306667"</f>
        <v>00306667</v>
      </c>
    </row>
    <row r="6478" spans="1:2" x14ac:dyDescent="0.25">
      <c r="A6478" s="2">
        <v>6473</v>
      </c>
      <c r="B6478" s="11" t="str">
        <f>"00306737"</f>
        <v>00306737</v>
      </c>
    </row>
    <row r="6479" spans="1:2" x14ac:dyDescent="0.25">
      <c r="A6479" s="2">
        <v>6474</v>
      </c>
      <c r="B6479" s="11" t="str">
        <f>"00306762"</f>
        <v>00306762</v>
      </c>
    </row>
    <row r="6480" spans="1:2" x14ac:dyDescent="0.25">
      <c r="A6480" s="2">
        <v>6475</v>
      </c>
      <c r="B6480" s="11" t="str">
        <f>"00306929"</f>
        <v>00306929</v>
      </c>
    </row>
    <row r="6481" spans="1:2" x14ac:dyDescent="0.25">
      <c r="A6481" s="2">
        <v>6476</v>
      </c>
      <c r="B6481" s="11" t="str">
        <f>"00306945"</f>
        <v>00306945</v>
      </c>
    </row>
    <row r="6482" spans="1:2" x14ac:dyDescent="0.25">
      <c r="A6482" s="2">
        <v>6477</v>
      </c>
      <c r="B6482" s="11" t="str">
        <f>"00306955"</f>
        <v>00306955</v>
      </c>
    </row>
    <row r="6483" spans="1:2" x14ac:dyDescent="0.25">
      <c r="A6483" s="2">
        <v>6478</v>
      </c>
      <c r="B6483" s="11" t="str">
        <f>"00306985"</f>
        <v>00306985</v>
      </c>
    </row>
    <row r="6484" spans="1:2" x14ac:dyDescent="0.25">
      <c r="A6484" s="2">
        <v>6479</v>
      </c>
      <c r="B6484" s="11" t="str">
        <f>"00306990"</f>
        <v>00306990</v>
      </c>
    </row>
    <row r="6485" spans="1:2" x14ac:dyDescent="0.25">
      <c r="A6485" s="2">
        <v>6480</v>
      </c>
      <c r="B6485" s="11" t="str">
        <f>"00307090"</f>
        <v>00307090</v>
      </c>
    </row>
    <row r="6486" spans="1:2" x14ac:dyDescent="0.25">
      <c r="A6486" s="2">
        <v>6481</v>
      </c>
      <c r="B6486" s="11" t="str">
        <f>"00307229"</f>
        <v>00307229</v>
      </c>
    </row>
    <row r="6487" spans="1:2" x14ac:dyDescent="0.25">
      <c r="A6487" s="2">
        <v>6482</v>
      </c>
      <c r="B6487" s="11" t="str">
        <f>"00307236"</f>
        <v>00307236</v>
      </c>
    </row>
    <row r="6488" spans="1:2" x14ac:dyDescent="0.25">
      <c r="A6488" s="2">
        <v>6483</v>
      </c>
      <c r="B6488" s="11" t="str">
        <f>"00307277"</f>
        <v>00307277</v>
      </c>
    </row>
    <row r="6489" spans="1:2" x14ac:dyDescent="0.25">
      <c r="A6489" s="2">
        <v>6484</v>
      </c>
      <c r="B6489" s="11" t="str">
        <f>"00307349"</f>
        <v>00307349</v>
      </c>
    </row>
    <row r="6490" spans="1:2" x14ac:dyDescent="0.25">
      <c r="A6490" s="2">
        <v>6485</v>
      </c>
      <c r="B6490" s="11" t="str">
        <f>"00307517"</f>
        <v>00307517</v>
      </c>
    </row>
    <row r="6491" spans="1:2" x14ac:dyDescent="0.25">
      <c r="A6491" s="2">
        <v>6486</v>
      </c>
      <c r="B6491" s="11" t="str">
        <f>"00307555"</f>
        <v>00307555</v>
      </c>
    </row>
    <row r="6492" spans="1:2" x14ac:dyDescent="0.25">
      <c r="A6492" s="2">
        <v>6487</v>
      </c>
      <c r="B6492" s="11" t="str">
        <f>"00307562"</f>
        <v>00307562</v>
      </c>
    </row>
    <row r="6493" spans="1:2" x14ac:dyDescent="0.25">
      <c r="A6493" s="2">
        <v>6488</v>
      </c>
      <c r="B6493" s="11" t="str">
        <f>"00307613"</f>
        <v>00307613</v>
      </c>
    </row>
    <row r="6494" spans="1:2" x14ac:dyDescent="0.25">
      <c r="A6494" s="2">
        <v>6489</v>
      </c>
      <c r="B6494" s="11" t="str">
        <f>"00307654"</f>
        <v>00307654</v>
      </c>
    </row>
    <row r="6495" spans="1:2" x14ac:dyDescent="0.25">
      <c r="A6495" s="2">
        <v>6490</v>
      </c>
      <c r="B6495" s="11" t="str">
        <f>"00307689"</f>
        <v>00307689</v>
      </c>
    </row>
    <row r="6496" spans="1:2" x14ac:dyDescent="0.25">
      <c r="A6496" s="2">
        <v>6491</v>
      </c>
      <c r="B6496" s="11" t="str">
        <f>"00307755"</f>
        <v>00307755</v>
      </c>
    </row>
    <row r="6497" spans="1:2" x14ac:dyDescent="0.25">
      <c r="A6497" s="2">
        <v>6492</v>
      </c>
      <c r="B6497" s="11" t="str">
        <f>"00307794"</f>
        <v>00307794</v>
      </c>
    </row>
    <row r="6498" spans="1:2" x14ac:dyDescent="0.25">
      <c r="A6498" s="2">
        <v>6493</v>
      </c>
      <c r="B6498" s="11" t="str">
        <f>"00307835"</f>
        <v>00307835</v>
      </c>
    </row>
    <row r="6499" spans="1:2" x14ac:dyDescent="0.25">
      <c r="A6499" s="2">
        <v>6494</v>
      </c>
      <c r="B6499" s="11" t="str">
        <f>"00307888"</f>
        <v>00307888</v>
      </c>
    </row>
    <row r="6500" spans="1:2" x14ac:dyDescent="0.25">
      <c r="A6500" s="2">
        <v>6495</v>
      </c>
      <c r="B6500" s="11" t="str">
        <f>"00307890"</f>
        <v>00307890</v>
      </c>
    </row>
    <row r="6501" spans="1:2" x14ac:dyDescent="0.25">
      <c r="A6501" s="2">
        <v>6496</v>
      </c>
      <c r="B6501" s="11" t="str">
        <f>"00307919"</f>
        <v>00307919</v>
      </c>
    </row>
    <row r="6502" spans="1:2" x14ac:dyDescent="0.25">
      <c r="A6502" s="2">
        <v>6497</v>
      </c>
      <c r="B6502" s="11" t="str">
        <f>"00307930"</f>
        <v>00307930</v>
      </c>
    </row>
    <row r="6503" spans="1:2" x14ac:dyDescent="0.25">
      <c r="A6503" s="2">
        <v>6498</v>
      </c>
      <c r="B6503" s="11" t="str">
        <f>"00307940"</f>
        <v>00307940</v>
      </c>
    </row>
    <row r="6504" spans="1:2" x14ac:dyDescent="0.25">
      <c r="A6504" s="2">
        <v>6499</v>
      </c>
      <c r="B6504" s="11" t="str">
        <f>"00308099"</f>
        <v>00308099</v>
      </c>
    </row>
    <row r="6505" spans="1:2" x14ac:dyDescent="0.25">
      <c r="A6505" s="2">
        <v>6500</v>
      </c>
      <c r="B6505" s="11" t="str">
        <f>"00308106"</f>
        <v>00308106</v>
      </c>
    </row>
    <row r="6506" spans="1:2" x14ac:dyDescent="0.25">
      <c r="A6506" s="2">
        <v>6501</v>
      </c>
      <c r="B6506" s="11" t="str">
        <f>"00308146"</f>
        <v>00308146</v>
      </c>
    </row>
    <row r="6507" spans="1:2" x14ac:dyDescent="0.25">
      <c r="A6507" s="2">
        <v>6502</v>
      </c>
      <c r="B6507" s="11" t="str">
        <f>"00308150"</f>
        <v>00308150</v>
      </c>
    </row>
    <row r="6508" spans="1:2" x14ac:dyDescent="0.25">
      <c r="A6508" s="2">
        <v>6503</v>
      </c>
      <c r="B6508" s="11" t="str">
        <f>"00308199"</f>
        <v>00308199</v>
      </c>
    </row>
    <row r="6509" spans="1:2" x14ac:dyDescent="0.25">
      <c r="A6509" s="2">
        <v>6504</v>
      </c>
      <c r="B6509" s="11" t="str">
        <f>"00308200"</f>
        <v>00308200</v>
      </c>
    </row>
    <row r="6510" spans="1:2" x14ac:dyDescent="0.25">
      <c r="A6510" s="2">
        <v>6505</v>
      </c>
      <c r="B6510" s="11" t="str">
        <f>"00308230"</f>
        <v>00308230</v>
      </c>
    </row>
    <row r="6511" spans="1:2" x14ac:dyDescent="0.25">
      <c r="A6511" s="2">
        <v>6506</v>
      </c>
      <c r="B6511" s="11" t="str">
        <f>"00308259"</f>
        <v>00308259</v>
      </c>
    </row>
    <row r="6512" spans="1:2" x14ac:dyDescent="0.25">
      <c r="A6512" s="2">
        <v>6507</v>
      </c>
      <c r="B6512" s="11" t="str">
        <f>"00308349"</f>
        <v>00308349</v>
      </c>
    </row>
    <row r="6513" spans="1:2" x14ac:dyDescent="0.25">
      <c r="A6513" s="2">
        <v>6508</v>
      </c>
      <c r="B6513" s="11" t="str">
        <f>"00308382"</f>
        <v>00308382</v>
      </c>
    </row>
    <row r="6514" spans="1:2" x14ac:dyDescent="0.25">
      <c r="A6514" s="2">
        <v>6509</v>
      </c>
      <c r="B6514" s="11" t="str">
        <f>"00308396"</f>
        <v>00308396</v>
      </c>
    </row>
    <row r="6515" spans="1:2" x14ac:dyDescent="0.25">
      <c r="A6515" s="2">
        <v>6510</v>
      </c>
      <c r="B6515" s="11" t="str">
        <f>"00308466"</f>
        <v>00308466</v>
      </c>
    </row>
    <row r="6516" spans="1:2" x14ac:dyDescent="0.25">
      <c r="A6516" s="2">
        <v>6511</v>
      </c>
      <c r="B6516" s="11" t="str">
        <f>"00308490"</f>
        <v>00308490</v>
      </c>
    </row>
    <row r="6517" spans="1:2" x14ac:dyDescent="0.25">
      <c r="A6517" s="2">
        <v>6512</v>
      </c>
      <c r="B6517" s="11" t="str">
        <f>"00308678"</f>
        <v>00308678</v>
      </c>
    </row>
    <row r="6518" spans="1:2" x14ac:dyDescent="0.25">
      <c r="A6518" s="2">
        <v>6513</v>
      </c>
      <c r="B6518" s="11" t="str">
        <f>"00308689"</f>
        <v>00308689</v>
      </c>
    </row>
    <row r="6519" spans="1:2" x14ac:dyDescent="0.25">
      <c r="A6519" s="2">
        <v>6514</v>
      </c>
      <c r="B6519" s="11" t="str">
        <f>"00308724"</f>
        <v>00308724</v>
      </c>
    </row>
    <row r="6520" spans="1:2" x14ac:dyDescent="0.25">
      <c r="A6520" s="2">
        <v>6515</v>
      </c>
      <c r="B6520" s="11" t="str">
        <f>"00308811"</f>
        <v>00308811</v>
      </c>
    </row>
    <row r="6521" spans="1:2" x14ac:dyDescent="0.25">
      <c r="A6521" s="2">
        <v>6516</v>
      </c>
      <c r="B6521" s="11" t="str">
        <f>"00308888"</f>
        <v>00308888</v>
      </c>
    </row>
    <row r="6522" spans="1:2" x14ac:dyDescent="0.25">
      <c r="A6522" s="2">
        <v>6517</v>
      </c>
      <c r="B6522" s="11" t="str">
        <f>"00308893"</f>
        <v>00308893</v>
      </c>
    </row>
    <row r="6523" spans="1:2" x14ac:dyDescent="0.25">
      <c r="A6523" s="2">
        <v>6518</v>
      </c>
      <c r="B6523" s="11" t="str">
        <f>"00308901"</f>
        <v>00308901</v>
      </c>
    </row>
    <row r="6524" spans="1:2" x14ac:dyDescent="0.25">
      <c r="A6524" s="2">
        <v>6519</v>
      </c>
      <c r="B6524" s="11" t="str">
        <f>"00309041"</f>
        <v>00309041</v>
      </c>
    </row>
    <row r="6525" spans="1:2" x14ac:dyDescent="0.25">
      <c r="A6525" s="2">
        <v>6520</v>
      </c>
      <c r="B6525" s="11" t="str">
        <f>"00309063"</f>
        <v>00309063</v>
      </c>
    </row>
    <row r="6526" spans="1:2" x14ac:dyDescent="0.25">
      <c r="A6526" s="2">
        <v>6521</v>
      </c>
      <c r="B6526" s="11" t="str">
        <f>"00309114"</f>
        <v>00309114</v>
      </c>
    </row>
    <row r="6527" spans="1:2" x14ac:dyDescent="0.25">
      <c r="A6527" s="2">
        <v>6522</v>
      </c>
      <c r="B6527" s="11" t="str">
        <f>"00309220"</f>
        <v>00309220</v>
      </c>
    </row>
    <row r="6528" spans="1:2" x14ac:dyDescent="0.25">
      <c r="A6528" s="2">
        <v>6523</v>
      </c>
      <c r="B6528" s="11" t="str">
        <f>"00309282"</f>
        <v>00309282</v>
      </c>
    </row>
    <row r="6529" spans="1:2" x14ac:dyDescent="0.25">
      <c r="A6529" s="2">
        <v>6524</v>
      </c>
      <c r="B6529" s="11" t="str">
        <f>"00309424"</f>
        <v>00309424</v>
      </c>
    </row>
    <row r="6530" spans="1:2" x14ac:dyDescent="0.25">
      <c r="A6530" s="2">
        <v>6525</v>
      </c>
      <c r="B6530" s="11" t="str">
        <f>"00309535"</f>
        <v>00309535</v>
      </c>
    </row>
    <row r="6531" spans="1:2" x14ac:dyDescent="0.25">
      <c r="A6531" s="2">
        <v>6526</v>
      </c>
      <c r="B6531" s="11" t="str">
        <f>"00309549"</f>
        <v>00309549</v>
      </c>
    </row>
    <row r="6532" spans="1:2" x14ac:dyDescent="0.25">
      <c r="A6532" s="2">
        <v>6527</v>
      </c>
      <c r="B6532" s="11" t="str">
        <f>"00309639"</f>
        <v>00309639</v>
      </c>
    </row>
    <row r="6533" spans="1:2" x14ac:dyDescent="0.25">
      <c r="A6533" s="2">
        <v>6528</v>
      </c>
      <c r="B6533" s="11" t="str">
        <f>"00309704"</f>
        <v>00309704</v>
      </c>
    </row>
    <row r="6534" spans="1:2" x14ac:dyDescent="0.25">
      <c r="A6534" s="2">
        <v>6529</v>
      </c>
      <c r="B6534" s="11" t="str">
        <f>"00309755"</f>
        <v>00309755</v>
      </c>
    </row>
    <row r="6535" spans="1:2" x14ac:dyDescent="0.25">
      <c r="A6535" s="2">
        <v>6530</v>
      </c>
      <c r="B6535" s="11" t="str">
        <f>"00309819"</f>
        <v>00309819</v>
      </c>
    </row>
    <row r="6536" spans="1:2" x14ac:dyDescent="0.25">
      <c r="A6536" s="2">
        <v>6531</v>
      </c>
      <c r="B6536" s="11" t="str">
        <f>"00309867"</f>
        <v>00309867</v>
      </c>
    </row>
    <row r="6537" spans="1:2" x14ac:dyDescent="0.25">
      <c r="A6537" s="2">
        <v>6532</v>
      </c>
      <c r="B6537" s="11" t="str">
        <f>"00309880"</f>
        <v>00309880</v>
      </c>
    </row>
    <row r="6538" spans="1:2" x14ac:dyDescent="0.25">
      <c r="A6538" s="2">
        <v>6533</v>
      </c>
      <c r="B6538" s="11" t="str">
        <f>"00309979"</f>
        <v>00309979</v>
      </c>
    </row>
    <row r="6539" spans="1:2" x14ac:dyDescent="0.25">
      <c r="A6539" s="2">
        <v>6534</v>
      </c>
      <c r="B6539" s="11" t="str">
        <f>"00310054"</f>
        <v>00310054</v>
      </c>
    </row>
    <row r="6540" spans="1:2" x14ac:dyDescent="0.25">
      <c r="A6540" s="2">
        <v>6535</v>
      </c>
      <c r="B6540" s="11" t="str">
        <f>"00310154"</f>
        <v>00310154</v>
      </c>
    </row>
    <row r="6541" spans="1:2" x14ac:dyDescent="0.25">
      <c r="A6541" s="2">
        <v>6536</v>
      </c>
      <c r="B6541" s="11" t="str">
        <f>"00310161"</f>
        <v>00310161</v>
      </c>
    </row>
    <row r="6542" spans="1:2" x14ac:dyDescent="0.25">
      <c r="A6542" s="2">
        <v>6537</v>
      </c>
      <c r="B6542" s="11" t="str">
        <f>"00310205"</f>
        <v>00310205</v>
      </c>
    </row>
    <row r="6543" spans="1:2" x14ac:dyDescent="0.25">
      <c r="A6543" s="2">
        <v>6538</v>
      </c>
      <c r="B6543" s="11" t="str">
        <f>"00310274"</f>
        <v>00310274</v>
      </c>
    </row>
    <row r="6544" spans="1:2" x14ac:dyDescent="0.25">
      <c r="A6544" s="2">
        <v>6539</v>
      </c>
      <c r="B6544" s="11" t="str">
        <f>"00310413"</f>
        <v>00310413</v>
      </c>
    </row>
    <row r="6545" spans="1:2" x14ac:dyDescent="0.25">
      <c r="A6545" s="2">
        <v>6540</v>
      </c>
      <c r="B6545" s="11" t="str">
        <f>"00310469"</f>
        <v>00310469</v>
      </c>
    </row>
    <row r="6546" spans="1:2" x14ac:dyDescent="0.25">
      <c r="A6546" s="2">
        <v>6541</v>
      </c>
      <c r="B6546" s="11" t="str">
        <f>"00310479"</f>
        <v>00310479</v>
      </c>
    </row>
    <row r="6547" spans="1:2" x14ac:dyDescent="0.25">
      <c r="A6547" s="2">
        <v>6542</v>
      </c>
      <c r="B6547" s="11" t="str">
        <f>"00310544"</f>
        <v>00310544</v>
      </c>
    </row>
    <row r="6548" spans="1:2" x14ac:dyDescent="0.25">
      <c r="A6548" s="2">
        <v>6543</v>
      </c>
      <c r="B6548" s="11" t="str">
        <f>"00310657"</f>
        <v>00310657</v>
      </c>
    </row>
    <row r="6549" spans="1:2" x14ac:dyDescent="0.25">
      <c r="A6549" s="2">
        <v>6544</v>
      </c>
      <c r="B6549" s="11" t="str">
        <f>"00310701"</f>
        <v>00310701</v>
      </c>
    </row>
    <row r="6550" spans="1:2" x14ac:dyDescent="0.25">
      <c r="A6550" s="2">
        <v>6545</v>
      </c>
      <c r="B6550" s="11" t="str">
        <f>"00310795"</f>
        <v>00310795</v>
      </c>
    </row>
    <row r="6551" spans="1:2" x14ac:dyDescent="0.25">
      <c r="A6551" s="2">
        <v>6546</v>
      </c>
      <c r="B6551" s="11" t="str">
        <f>"00310843"</f>
        <v>00310843</v>
      </c>
    </row>
    <row r="6552" spans="1:2" x14ac:dyDescent="0.25">
      <c r="A6552" s="2">
        <v>6547</v>
      </c>
      <c r="B6552" s="11" t="str">
        <f>"00310869"</f>
        <v>00310869</v>
      </c>
    </row>
    <row r="6553" spans="1:2" x14ac:dyDescent="0.25">
      <c r="A6553" s="2">
        <v>6548</v>
      </c>
      <c r="B6553" s="11" t="str">
        <f>"00310896"</f>
        <v>00310896</v>
      </c>
    </row>
    <row r="6554" spans="1:2" x14ac:dyDescent="0.25">
      <c r="A6554" s="2">
        <v>6549</v>
      </c>
      <c r="B6554" s="11" t="str">
        <f>"00310944"</f>
        <v>00310944</v>
      </c>
    </row>
    <row r="6555" spans="1:2" x14ac:dyDescent="0.25">
      <c r="A6555" s="2">
        <v>6550</v>
      </c>
      <c r="B6555" s="11" t="str">
        <f>"00310989"</f>
        <v>00310989</v>
      </c>
    </row>
    <row r="6556" spans="1:2" x14ac:dyDescent="0.25">
      <c r="A6556" s="2">
        <v>6551</v>
      </c>
      <c r="B6556" s="11" t="str">
        <f>"00310998"</f>
        <v>00310998</v>
      </c>
    </row>
    <row r="6557" spans="1:2" x14ac:dyDescent="0.25">
      <c r="A6557" s="2">
        <v>6552</v>
      </c>
      <c r="B6557" s="11" t="str">
        <f>"00311040"</f>
        <v>00311040</v>
      </c>
    </row>
    <row r="6558" spans="1:2" x14ac:dyDescent="0.25">
      <c r="A6558" s="2">
        <v>6553</v>
      </c>
      <c r="B6558" s="11" t="str">
        <f>"00311088"</f>
        <v>00311088</v>
      </c>
    </row>
    <row r="6559" spans="1:2" x14ac:dyDescent="0.25">
      <c r="A6559" s="2">
        <v>6554</v>
      </c>
      <c r="B6559" s="11" t="str">
        <f>"00311095"</f>
        <v>00311095</v>
      </c>
    </row>
    <row r="6560" spans="1:2" x14ac:dyDescent="0.25">
      <c r="A6560" s="2">
        <v>6555</v>
      </c>
      <c r="B6560" s="11" t="str">
        <f>"00311109"</f>
        <v>00311109</v>
      </c>
    </row>
    <row r="6561" spans="1:2" x14ac:dyDescent="0.25">
      <c r="A6561" s="2">
        <v>6556</v>
      </c>
      <c r="B6561" s="11" t="str">
        <f>"00311113"</f>
        <v>00311113</v>
      </c>
    </row>
    <row r="6562" spans="1:2" x14ac:dyDescent="0.25">
      <c r="A6562" s="2">
        <v>6557</v>
      </c>
      <c r="B6562" s="11" t="str">
        <f>"00311115"</f>
        <v>00311115</v>
      </c>
    </row>
    <row r="6563" spans="1:2" x14ac:dyDescent="0.25">
      <c r="A6563" s="2">
        <v>6558</v>
      </c>
      <c r="B6563" s="11" t="str">
        <f>"00311145"</f>
        <v>00311145</v>
      </c>
    </row>
    <row r="6564" spans="1:2" x14ac:dyDescent="0.25">
      <c r="A6564" s="2">
        <v>6559</v>
      </c>
      <c r="B6564" s="11" t="str">
        <f>"00311354"</f>
        <v>00311354</v>
      </c>
    </row>
    <row r="6565" spans="1:2" x14ac:dyDescent="0.25">
      <c r="A6565" s="2">
        <v>6560</v>
      </c>
      <c r="B6565" s="11" t="str">
        <f>"00311371"</f>
        <v>00311371</v>
      </c>
    </row>
    <row r="6566" spans="1:2" x14ac:dyDescent="0.25">
      <c r="A6566" s="2">
        <v>6561</v>
      </c>
      <c r="B6566" s="11" t="str">
        <f>"00311415"</f>
        <v>00311415</v>
      </c>
    </row>
    <row r="6567" spans="1:2" x14ac:dyDescent="0.25">
      <c r="A6567" s="2">
        <v>6562</v>
      </c>
      <c r="B6567" s="11" t="str">
        <f>"00311463"</f>
        <v>00311463</v>
      </c>
    </row>
    <row r="6568" spans="1:2" x14ac:dyDescent="0.25">
      <c r="A6568" s="2">
        <v>6563</v>
      </c>
      <c r="B6568" s="11" t="str">
        <f>"00311566"</f>
        <v>00311566</v>
      </c>
    </row>
    <row r="6569" spans="1:2" x14ac:dyDescent="0.25">
      <c r="A6569" s="2">
        <v>6564</v>
      </c>
      <c r="B6569" s="11" t="str">
        <f>"00311575"</f>
        <v>00311575</v>
      </c>
    </row>
    <row r="6570" spans="1:2" x14ac:dyDescent="0.25">
      <c r="A6570" s="2">
        <v>6565</v>
      </c>
      <c r="B6570" s="11" t="str">
        <f>"00311583"</f>
        <v>00311583</v>
      </c>
    </row>
    <row r="6571" spans="1:2" x14ac:dyDescent="0.25">
      <c r="A6571" s="2">
        <v>6566</v>
      </c>
      <c r="B6571" s="11" t="str">
        <f>"00311600"</f>
        <v>00311600</v>
      </c>
    </row>
    <row r="6572" spans="1:2" x14ac:dyDescent="0.25">
      <c r="A6572" s="2">
        <v>6567</v>
      </c>
      <c r="B6572" s="11" t="str">
        <f>"00311689"</f>
        <v>00311689</v>
      </c>
    </row>
    <row r="6573" spans="1:2" x14ac:dyDescent="0.25">
      <c r="A6573" s="2">
        <v>6568</v>
      </c>
      <c r="B6573" s="11" t="str">
        <f>"00311746"</f>
        <v>00311746</v>
      </c>
    </row>
    <row r="6574" spans="1:2" x14ac:dyDescent="0.25">
      <c r="A6574" s="2">
        <v>6569</v>
      </c>
      <c r="B6574" s="11" t="str">
        <f>"00311829"</f>
        <v>00311829</v>
      </c>
    </row>
    <row r="6575" spans="1:2" x14ac:dyDescent="0.25">
      <c r="A6575" s="2">
        <v>6570</v>
      </c>
      <c r="B6575" s="11" t="str">
        <f>"00311851"</f>
        <v>00311851</v>
      </c>
    </row>
    <row r="6576" spans="1:2" x14ac:dyDescent="0.25">
      <c r="A6576" s="2">
        <v>6571</v>
      </c>
      <c r="B6576" s="11" t="str">
        <f>"00311932"</f>
        <v>00311932</v>
      </c>
    </row>
    <row r="6577" spans="1:2" x14ac:dyDescent="0.25">
      <c r="A6577" s="2">
        <v>6572</v>
      </c>
      <c r="B6577" s="11" t="str">
        <f>"00311937"</f>
        <v>00311937</v>
      </c>
    </row>
    <row r="6578" spans="1:2" x14ac:dyDescent="0.25">
      <c r="A6578" s="2">
        <v>6573</v>
      </c>
      <c r="B6578" s="11" t="str">
        <f>"00311986"</f>
        <v>00311986</v>
      </c>
    </row>
    <row r="6579" spans="1:2" x14ac:dyDescent="0.25">
      <c r="A6579" s="2">
        <v>6574</v>
      </c>
      <c r="B6579" s="11" t="str">
        <f>"00312011"</f>
        <v>00312011</v>
      </c>
    </row>
    <row r="6580" spans="1:2" x14ac:dyDescent="0.25">
      <c r="A6580" s="2">
        <v>6575</v>
      </c>
      <c r="B6580" s="11" t="str">
        <f>"00312117"</f>
        <v>00312117</v>
      </c>
    </row>
    <row r="6581" spans="1:2" x14ac:dyDescent="0.25">
      <c r="A6581" s="2">
        <v>6576</v>
      </c>
      <c r="B6581" s="11" t="str">
        <f>"00312180"</f>
        <v>00312180</v>
      </c>
    </row>
    <row r="6582" spans="1:2" x14ac:dyDescent="0.25">
      <c r="A6582" s="2">
        <v>6577</v>
      </c>
      <c r="B6582" s="11" t="str">
        <f>"00312247"</f>
        <v>00312247</v>
      </c>
    </row>
    <row r="6583" spans="1:2" x14ac:dyDescent="0.25">
      <c r="A6583" s="2">
        <v>6578</v>
      </c>
      <c r="B6583" s="11" t="str">
        <f>"00312255"</f>
        <v>00312255</v>
      </c>
    </row>
    <row r="6584" spans="1:2" x14ac:dyDescent="0.25">
      <c r="A6584" s="2">
        <v>6579</v>
      </c>
      <c r="B6584" s="11" t="str">
        <f>"00312276"</f>
        <v>00312276</v>
      </c>
    </row>
    <row r="6585" spans="1:2" x14ac:dyDescent="0.25">
      <c r="A6585" s="2">
        <v>6580</v>
      </c>
      <c r="B6585" s="11" t="str">
        <f>"00312288"</f>
        <v>00312288</v>
      </c>
    </row>
    <row r="6586" spans="1:2" x14ac:dyDescent="0.25">
      <c r="A6586" s="2">
        <v>6581</v>
      </c>
      <c r="B6586" s="11" t="str">
        <f>"00312313"</f>
        <v>00312313</v>
      </c>
    </row>
    <row r="6587" spans="1:2" x14ac:dyDescent="0.25">
      <c r="A6587" s="2">
        <v>6582</v>
      </c>
      <c r="B6587" s="11" t="str">
        <f>"00312458"</f>
        <v>00312458</v>
      </c>
    </row>
    <row r="6588" spans="1:2" x14ac:dyDescent="0.25">
      <c r="A6588" s="2">
        <v>6583</v>
      </c>
      <c r="B6588" s="11" t="str">
        <f>"00312509"</f>
        <v>00312509</v>
      </c>
    </row>
    <row r="6589" spans="1:2" x14ac:dyDescent="0.25">
      <c r="A6589" s="2">
        <v>6584</v>
      </c>
      <c r="B6589" s="11" t="str">
        <f>"00312552"</f>
        <v>00312552</v>
      </c>
    </row>
    <row r="6590" spans="1:2" x14ac:dyDescent="0.25">
      <c r="A6590" s="2">
        <v>6585</v>
      </c>
      <c r="B6590" s="11" t="str">
        <f>"00312564"</f>
        <v>00312564</v>
      </c>
    </row>
    <row r="6591" spans="1:2" x14ac:dyDescent="0.25">
      <c r="A6591" s="2">
        <v>6586</v>
      </c>
      <c r="B6591" s="11" t="str">
        <f>"00312581"</f>
        <v>00312581</v>
      </c>
    </row>
    <row r="6592" spans="1:2" x14ac:dyDescent="0.25">
      <c r="A6592" s="2">
        <v>6587</v>
      </c>
      <c r="B6592" s="11" t="str">
        <f>"00312808"</f>
        <v>00312808</v>
      </c>
    </row>
    <row r="6593" spans="1:2" x14ac:dyDescent="0.25">
      <c r="A6593" s="2">
        <v>6588</v>
      </c>
      <c r="B6593" s="11" t="str">
        <f>"00312977"</f>
        <v>00312977</v>
      </c>
    </row>
    <row r="6594" spans="1:2" x14ac:dyDescent="0.25">
      <c r="A6594" s="2">
        <v>6589</v>
      </c>
      <c r="B6594" s="11" t="str">
        <f>"00313015"</f>
        <v>00313015</v>
      </c>
    </row>
    <row r="6595" spans="1:2" x14ac:dyDescent="0.25">
      <c r="A6595" s="2">
        <v>6590</v>
      </c>
      <c r="B6595" s="11" t="str">
        <f>"00313029"</f>
        <v>00313029</v>
      </c>
    </row>
    <row r="6596" spans="1:2" x14ac:dyDescent="0.25">
      <c r="A6596" s="2">
        <v>6591</v>
      </c>
      <c r="B6596" s="11" t="str">
        <f>"00313032"</f>
        <v>00313032</v>
      </c>
    </row>
    <row r="6597" spans="1:2" x14ac:dyDescent="0.25">
      <c r="A6597" s="2">
        <v>6592</v>
      </c>
      <c r="B6597" s="11" t="str">
        <f>"00313163"</f>
        <v>00313163</v>
      </c>
    </row>
    <row r="6598" spans="1:2" x14ac:dyDescent="0.25">
      <c r="A6598" s="2">
        <v>6593</v>
      </c>
      <c r="B6598" s="11" t="str">
        <f>"00313205"</f>
        <v>00313205</v>
      </c>
    </row>
    <row r="6599" spans="1:2" x14ac:dyDescent="0.25">
      <c r="A6599" s="2">
        <v>6594</v>
      </c>
      <c r="B6599" s="11" t="str">
        <f>"00313264"</f>
        <v>00313264</v>
      </c>
    </row>
    <row r="6600" spans="1:2" x14ac:dyDescent="0.25">
      <c r="A6600" s="2">
        <v>6595</v>
      </c>
      <c r="B6600" s="11" t="str">
        <f>"00313283"</f>
        <v>00313283</v>
      </c>
    </row>
    <row r="6601" spans="1:2" x14ac:dyDescent="0.25">
      <c r="A6601" s="2">
        <v>6596</v>
      </c>
      <c r="B6601" s="11" t="str">
        <f>"00313340"</f>
        <v>00313340</v>
      </c>
    </row>
    <row r="6602" spans="1:2" x14ac:dyDescent="0.25">
      <c r="A6602" s="2">
        <v>6597</v>
      </c>
      <c r="B6602" s="11" t="str">
        <f>"00313396"</f>
        <v>00313396</v>
      </c>
    </row>
    <row r="6603" spans="1:2" x14ac:dyDescent="0.25">
      <c r="A6603" s="2">
        <v>6598</v>
      </c>
      <c r="B6603" s="11" t="str">
        <f>"00313409"</f>
        <v>00313409</v>
      </c>
    </row>
    <row r="6604" spans="1:2" x14ac:dyDescent="0.25">
      <c r="A6604" s="2">
        <v>6599</v>
      </c>
      <c r="B6604" s="11" t="str">
        <f>"00313449"</f>
        <v>00313449</v>
      </c>
    </row>
    <row r="6605" spans="1:2" x14ac:dyDescent="0.25">
      <c r="A6605" s="2">
        <v>6600</v>
      </c>
      <c r="B6605" s="11" t="str">
        <f>"00313459"</f>
        <v>00313459</v>
      </c>
    </row>
    <row r="6606" spans="1:2" x14ac:dyDescent="0.25">
      <c r="A6606" s="2">
        <v>6601</v>
      </c>
      <c r="B6606" s="11" t="str">
        <f>"00313663"</f>
        <v>00313663</v>
      </c>
    </row>
    <row r="6607" spans="1:2" x14ac:dyDescent="0.25">
      <c r="A6607" s="2">
        <v>6602</v>
      </c>
      <c r="B6607" s="11" t="str">
        <f>"00313839"</f>
        <v>00313839</v>
      </c>
    </row>
    <row r="6608" spans="1:2" x14ac:dyDescent="0.25">
      <c r="A6608" s="2">
        <v>6603</v>
      </c>
      <c r="B6608" s="11" t="str">
        <f>"00313858"</f>
        <v>00313858</v>
      </c>
    </row>
    <row r="6609" spans="1:2" x14ac:dyDescent="0.25">
      <c r="A6609" s="2">
        <v>6604</v>
      </c>
      <c r="B6609" s="11" t="str">
        <f>"00313860"</f>
        <v>00313860</v>
      </c>
    </row>
    <row r="6610" spans="1:2" x14ac:dyDescent="0.25">
      <c r="A6610" s="2">
        <v>6605</v>
      </c>
      <c r="B6610" s="11" t="str">
        <f>"00313892"</f>
        <v>00313892</v>
      </c>
    </row>
    <row r="6611" spans="1:2" x14ac:dyDescent="0.25">
      <c r="A6611" s="2">
        <v>6606</v>
      </c>
      <c r="B6611" s="11" t="str">
        <f>"00313957"</f>
        <v>00313957</v>
      </c>
    </row>
    <row r="6612" spans="1:2" x14ac:dyDescent="0.25">
      <c r="A6612" s="2">
        <v>6607</v>
      </c>
      <c r="B6612" s="11" t="str">
        <f>"00313978"</f>
        <v>00313978</v>
      </c>
    </row>
    <row r="6613" spans="1:2" x14ac:dyDescent="0.25">
      <c r="A6613" s="2">
        <v>6608</v>
      </c>
      <c r="B6613" s="11" t="str">
        <f>"00313979"</f>
        <v>00313979</v>
      </c>
    </row>
    <row r="6614" spans="1:2" x14ac:dyDescent="0.25">
      <c r="A6614" s="2">
        <v>6609</v>
      </c>
      <c r="B6614" s="11" t="str">
        <f>"00313982"</f>
        <v>00313982</v>
      </c>
    </row>
    <row r="6615" spans="1:2" x14ac:dyDescent="0.25">
      <c r="A6615" s="2">
        <v>6610</v>
      </c>
      <c r="B6615" s="11" t="str">
        <f>"00314031"</f>
        <v>00314031</v>
      </c>
    </row>
    <row r="6616" spans="1:2" x14ac:dyDescent="0.25">
      <c r="A6616" s="2">
        <v>6611</v>
      </c>
      <c r="B6616" s="11" t="str">
        <f>"00314265"</f>
        <v>00314265</v>
      </c>
    </row>
    <row r="6617" spans="1:2" x14ac:dyDescent="0.25">
      <c r="A6617" s="2">
        <v>6612</v>
      </c>
      <c r="B6617" s="11" t="str">
        <f>"00314268"</f>
        <v>00314268</v>
      </c>
    </row>
    <row r="6618" spans="1:2" x14ac:dyDescent="0.25">
      <c r="A6618" s="2">
        <v>6613</v>
      </c>
      <c r="B6618" s="11" t="str">
        <f>"00314283"</f>
        <v>00314283</v>
      </c>
    </row>
    <row r="6619" spans="1:2" x14ac:dyDescent="0.25">
      <c r="A6619" s="2">
        <v>6614</v>
      </c>
      <c r="B6619" s="11" t="str">
        <f>"00314293"</f>
        <v>00314293</v>
      </c>
    </row>
    <row r="6620" spans="1:2" x14ac:dyDescent="0.25">
      <c r="A6620" s="2">
        <v>6615</v>
      </c>
      <c r="B6620" s="11" t="str">
        <f>"00314313"</f>
        <v>00314313</v>
      </c>
    </row>
    <row r="6621" spans="1:2" x14ac:dyDescent="0.25">
      <c r="A6621" s="2">
        <v>6616</v>
      </c>
      <c r="B6621" s="11" t="str">
        <f>"00314390"</f>
        <v>00314390</v>
      </c>
    </row>
    <row r="6622" spans="1:2" x14ac:dyDescent="0.25">
      <c r="A6622" s="2">
        <v>6617</v>
      </c>
      <c r="B6622" s="11" t="str">
        <f>"00314417"</f>
        <v>00314417</v>
      </c>
    </row>
    <row r="6623" spans="1:2" x14ac:dyDescent="0.25">
      <c r="A6623" s="2">
        <v>6618</v>
      </c>
      <c r="B6623" s="11" t="str">
        <f>"00314450"</f>
        <v>00314450</v>
      </c>
    </row>
    <row r="6624" spans="1:2" x14ac:dyDescent="0.25">
      <c r="A6624" s="2">
        <v>6619</v>
      </c>
      <c r="B6624" s="11" t="str">
        <f>"00314474"</f>
        <v>00314474</v>
      </c>
    </row>
    <row r="6625" spans="1:2" x14ac:dyDescent="0.25">
      <c r="A6625" s="2">
        <v>6620</v>
      </c>
      <c r="B6625" s="11" t="str">
        <f>"00314492"</f>
        <v>00314492</v>
      </c>
    </row>
    <row r="6626" spans="1:2" x14ac:dyDescent="0.25">
      <c r="A6626" s="2">
        <v>6621</v>
      </c>
      <c r="B6626" s="11" t="str">
        <f>"00314499"</f>
        <v>00314499</v>
      </c>
    </row>
    <row r="6627" spans="1:2" x14ac:dyDescent="0.25">
      <c r="A6627" s="2">
        <v>6622</v>
      </c>
      <c r="B6627" s="11" t="str">
        <f>"00314773"</f>
        <v>00314773</v>
      </c>
    </row>
    <row r="6628" spans="1:2" x14ac:dyDescent="0.25">
      <c r="A6628" s="2">
        <v>6623</v>
      </c>
      <c r="B6628" s="11" t="str">
        <f>"00314785"</f>
        <v>00314785</v>
      </c>
    </row>
    <row r="6629" spans="1:2" x14ac:dyDescent="0.25">
      <c r="A6629" s="2">
        <v>6624</v>
      </c>
      <c r="B6629" s="11" t="str">
        <f>"00314796"</f>
        <v>00314796</v>
      </c>
    </row>
    <row r="6630" spans="1:2" x14ac:dyDescent="0.25">
      <c r="A6630" s="2">
        <v>6625</v>
      </c>
      <c r="B6630" s="11" t="str">
        <f>"00314844"</f>
        <v>00314844</v>
      </c>
    </row>
    <row r="6631" spans="1:2" x14ac:dyDescent="0.25">
      <c r="A6631" s="2">
        <v>6626</v>
      </c>
      <c r="B6631" s="11" t="str">
        <f>"00314885"</f>
        <v>00314885</v>
      </c>
    </row>
    <row r="6632" spans="1:2" x14ac:dyDescent="0.25">
      <c r="A6632" s="2">
        <v>6627</v>
      </c>
      <c r="B6632" s="11" t="str">
        <f>"00314897"</f>
        <v>00314897</v>
      </c>
    </row>
    <row r="6633" spans="1:2" x14ac:dyDescent="0.25">
      <c r="A6633" s="2">
        <v>6628</v>
      </c>
      <c r="B6633" s="11" t="str">
        <f>"00315036"</f>
        <v>00315036</v>
      </c>
    </row>
    <row r="6634" spans="1:2" x14ac:dyDescent="0.25">
      <c r="A6634" s="2">
        <v>6629</v>
      </c>
      <c r="B6634" s="11" t="str">
        <f>"00315047"</f>
        <v>00315047</v>
      </c>
    </row>
    <row r="6635" spans="1:2" x14ac:dyDescent="0.25">
      <c r="A6635" s="2">
        <v>6630</v>
      </c>
      <c r="B6635" s="11" t="str">
        <f>"00315084"</f>
        <v>00315084</v>
      </c>
    </row>
    <row r="6636" spans="1:2" x14ac:dyDescent="0.25">
      <c r="A6636" s="2">
        <v>6631</v>
      </c>
      <c r="B6636" s="11" t="str">
        <f>"00315087"</f>
        <v>00315087</v>
      </c>
    </row>
    <row r="6637" spans="1:2" x14ac:dyDescent="0.25">
      <c r="A6637" s="2">
        <v>6632</v>
      </c>
      <c r="B6637" s="11" t="str">
        <f>"00315120"</f>
        <v>00315120</v>
      </c>
    </row>
    <row r="6638" spans="1:2" x14ac:dyDescent="0.25">
      <c r="A6638" s="2">
        <v>6633</v>
      </c>
      <c r="B6638" s="11" t="str">
        <f>"00315192"</f>
        <v>00315192</v>
      </c>
    </row>
    <row r="6639" spans="1:2" x14ac:dyDescent="0.25">
      <c r="A6639" s="2">
        <v>6634</v>
      </c>
      <c r="B6639" s="11" t="str">
        <f>"00315231"</f>
        <v>00315231</v>
      </c>
    </row>
    <row r="6640" spans="1:2" x14ac:dyDescent="0.25">
      <c r="A6640" s="2">
        <v>6635</v>
      </c>
      <c r="B6640" s="11" t="str">
        <f>"00315234"</f>
        <v>00315234</v>
      </c>
    </row>
    <row r="6641" spans="1:2" x14ac:dyDescent="0.25">
      <c r="A6641" s="2">
        <v>6636</v>
      </c>
      <c r="B6641" s="11" t="str">
        <f>"00315341"</f>
        <v>00315341</v>
      </c>
    </row>
    <row r="6642" spans="1:2" x14ac:dyDescent="0.25">
      <c r="A6642" s="2">
        <v>6637</v>
      </c>
      <c r="B6642" s="11" t="str">
        <f>"00315355"</f>
        <v>00315355</v>
      </c>
    </row>
    <row r="6643" spans="1:2" x14ac:dyDescent="0.25">
      <c r="A6643" s="2">
        <v>6638</v>
      </c>
      <c r="B6643" s="11" t="str">
        <f>"00315380"</f>
        <v>00315380</v>
      </c>
    </row>
    <row r="6644" spans="1:2" x14ac:dyDescent="0.25">
      <c r="A6644" s="2">
        <v>6639</v>
      </c>
      <c r="B6644" s="11" t="str">
        <f>"00315391"</f>
        <v>00315391</v>
      </c>
    </row>
    <row r="6645" spans="1:2" x14ac:dyDescent="0.25">
      <c r="A6645" s="2">
        <v>6640</v>
      </c>
      <c r="B6645" s="11" t="str">
        <f>"00315402"</f>
        <v>00315402</v>
      </c>
    </row>
    <row r="6646" spans="1:2" x14ac:dyDescent="0.25">
      <c r="A6646" s="2">
        <v>6641</v>
      </c>
      <c r="B6646" s="11" t="str">
        <f>"00315433"</f>
        <v>00315433</v>
      </c>
    </row>
    <row r="6647" spans="1:2" x14ac:dyDescent="0.25">
      <c r="A6647" s="2">
        <v>6642</v>
      </c>
      <c r="B6647" s="11" t="str">
        <f>"00315471"</f>
        <v>00315471</v>
      </c>
    </row>
    <row r="6648" spans="1:2" x14ac:dyDescent="0.25">
      <c r="A6648" s="2">
        <v>6643</v>
      </c>
      <c r="B6648" s="11" t="str">
        <f>"00315524"</f>
        <v>00315524</v>
      </c>
    </row>
    <row r="6649" spans="1:2" x14ac:dyDescent="0.25">
      <c r="A6649" s="2">
        <v>6644</v>
      </c>
      <c r="B6649" s="11" t="str">
        <f>"00315554"</f>
        <v>00315554</v>
      </c>
    </row>
    <row r="6650" spans="1:2" x14ac:dyDescent="0.25">
      <c r="A6650" s="2">
        <v>6645</v>
      </c>
      <c r="B6650" s="11" t="str">
        <f>"00315573"</f>
        <v>00315573</v>
      </c>
    </row>
    <row r="6651" spans="1:2" x14ac:dyDescent="0.25">
      <c r="A6651" s="2">
        <v>6646</v>
      </c>
      <c r="B6651" s="11" t="str">
        <f>"00315584"</f>
        <v>00315584</v>
      </c>
    </row>
    <row r="6652" spans="1:2" x14ac:dyDescent="0.25">
      <c r="A6652" s="2">
        <v>6647</v>
      </c>
      <c r="B6652" s="11" t="str">
        <f>"00315596"</f>
        <v>00315596</v>
      </c>
    </row>
    <row r="6653" spans="1:2" x14ac:dyDescent="0.25">
      <c r="A6653" s="2">
        <v>6648</v>
      </c>
      <c r="B6653" s="11" t="str">
        <f>"00315621"</f>
        <v>00315621</v>
      </c>
    </row>
    <row r="6654" spans="1:2" x14ac:dyDescent="0.25">
      <c r="A6654" s="2">
        <v>6649</v>
      </c>
      <c r="B6654" s="11" t="str">
        <f>"00315698"</f>
        <v>00315698</v>
      </c>
    </row>
    <row r="6655" spans="1:2" x14ac:dyDescent="0.25">
      <c r="A6655" s="2">
        <v>6650</v>
      </c>
      <c r="B6655" s="11" t="str">
        <f>"00315803"</f>
        <v>00315803</v>
      </c>
    </row>
    <row r="6656" spans="1:2" x14ac:dyDescent="0.25">
      <c r="A6656" s="2">
        <v>6651</v>
      </c>
      <c r="B6656" s="11" t="str">
        <f>"00315816"</f>
        <v>00315816</v>
      </c>
    </row>
    <row r="6657" spans="1:2" x14ac:dyDescent="0.25">
      <c r="A6657" s="2">
        <v>6652</v>
      </c>
      <c r="B6657" s="11" t="str">
        <f>"00315864"</f>
        <v>00315864</v>
      </c>
    </row>
    <row r="6658" spans="1:2" x14ac:dyDescent="0.25">
      <c r="A6658" s="2">
        <v>6653</v>
      </c>
      <c r="B6658" s="11" t="str">
        <f>"00315919"</f>
        <v>00315919</v>
      </c>
    </row>
    <row r="6659" spans="1:2" x14ac:dyDescent="0.25">
      <c r="A6659" s="2">
        <v>6654</v>
      </c>
      <c r="B6659" s="11" t="str">
        <f>"00316018"</f>
        <v>00316018</v>
      </c>
    </row>
    <row r="6660" spans="1:2" x14ac:dyDescent="0.25">
      <c r="A6660" s="2">
        <v>6655</v>
      </c>
      <c r="B6660" s="11" t="str">
        <f>"00316030"</f>
        <v>00316030</v>
      </c>
    </row>
    <row r="6661" spans="1:2" x14ac:dyDescent="0.25">
      <c r="A6661" s="2">
        <v>6656</v>
      </c>
      <c r="B6661" s="11" t="str">
        <f>"00316046"</f>
        <v>00316046</v>
      </c>
    </row>
    <row r="6662" spans="1:2" x14ac:dyDescent="0.25">
      <c r="A6662" s="2">
        <v>6657</v>
      </c>
      <c r="B6662" s="11" t="str">
        <f>"00316080"</f>
        <v>00316080</v>
      </c>
    </row>
    <row r="6663" spans="1:2" x14ac:dyDescent="0.25">
      <c r="A6663" s="2">
        <v>6658</v>
      </c>
      <c r="B6663" s="11" t="str">
        <f>"00316180"</f>
        <v>00316180</v>
      </c>
    </row>
    <row r="6664" spans="1:2" x14ac:dyDescent="0.25">
      <c r="A6664" s="2">
        <v>6659</v>
      </c>
      <c r="B6664" s="11" t="str">
        <f>"00316243"</f>
        <v>00316243</v>
      </c>
    </row>
    <row r="6665" spans="1:2" x14ac:dyDescent="0.25">
      <c r="A6665" s="2">
        <v>6660</v>
      </c>
      <c r="B6665" s="11" t="str">
        <f>"00316273"</f>
        <v>00316273</v>
      </c>
    </row>
    <row r="6666" spans="1:2" x14ac:dyDescent="0.25">
      <c r="A6666" s="2">
        <v>6661</v>
      </c>
      <c r="B6666" s="11" t="str">
        <f>"00316278"</f>
        <v>00316278</v>
      </c>
    </row>
    <row r="6667" spans="1:2" x14ac:dyDescent="0.25">
      <c r="A6667" s="2">
        <v>6662</v>
      </c>
      <c r="B6667" s="11" t="str">
        <f>"00316284"</f>
        <v>00316284</v>
      </c>
    </row>
    <row r="6668" spans="1:2" x14ac:dyDescent="0.25">
      <c r="A6668" s="2">
        <v>6663</v>
      </c>
      <c r="B6668" s="11" t="str">
        <f>"00316355"</f>
        <v>00316355</v>
      </c>
    </row>
    <row r="6669" spans="1:2" x14ac:dyDescent="0.25">
      <c r="A6669" s="2">
        <v>6664</v>
      </c>
      <c r="B6669" s="11" t="str">
        <f>"00316556"</f>
        <v>00316556</v>
      </c>
    </row>
    <row r="6670" spans="1:2" x14ac:dyDescent="0.25">
      <c r="A6670" s="2">
        <v>6665</v>
      </c>
      <c r="B6670" s="11" t="str">
        <f>"00316581"</f>
        <v>00316581</v>
      </c>
    </row>
    <row r="6671" spans="1:2" x14ac:dyDescent="0.25">
      <c r="A6671" s="2">
        <v>6666</v>
      </c>
      <c r="B6671" s="11" t="str">
        <f>"00316610"</f>
        <v>00316610</v>
      </c>
    </row>
    <row r="6672" spans="1:2" x14ac:dyDescent="0.25">
      <c r="A6672" s="2">
        <v>6667</v>
      </c>
      <c r="B6672" s="11" t="str">
        <f>"00316652"</f>
        <v>00316652</v>
      </c>
    </row>
    <row r="6673" spans="1:2" x14ac:dyDescent="0.25">
      <c r="A6673" s="2">
        <v>6668</v>
      </c>
      <c r="B6673" s="11" t="str">
        <f>"00316688"</f>
        <v>00316688</v>
      </c>
    </row>
    <row r="6674" spans="1:2" x14ac:dyDescent="0.25">
      <c r="A6674" s="2">
        <v>6669</v>
      </c>
      <c r="B6674" s="11" t="str">
        <f>"00316718"</f>
        <v>00316718</v>
      </c>
    </row>
    <row r="6675" spans="1:2" x14ac:dyDescent="0.25">
      <c r="A6675" s="2">
        <v>6670</v>
      </c>
      <c r="B6675" s="11" t="str">
        <f>"00316721"</f>
        <v>00316721</v>
      </c>
    </row>
    <row r="6676" spans="1:2" x14ac:dyDescent="0.25">
      <c r="A6676" s="2">
        <v>6671</v>
      </c>
      <c r="B6676" s="11" t="str">
        <f>"00316749"</f>
        <v>00316749</v>
      </c>
    </row>
    <row r="6677" spans="1:2" x14ac:dyDescent="0.25">
      <c r="A6677" s="2">
        <v>6672</v>
      </c>
      <c r="B6677" s="11" t="str">
        <f>"00316844"</f>
        <v>00316844</v>
      </c>
    </row>
    <row r="6678" spans="1:2" x14ac:dyDescent="0.25">
      <c r="A6678" s="2">
        <v>6673</v>
      </c>
      <c r="B6678" s="11" t="str">
        <f>"00316980"</f>
        <v>00316980</v>
      </c>
    </row>
    <row r="6679" spans="1:2" x14ac:dyDescent="0.25">
      <c r="A6679" s="2">
        <v>6674</v>
      </c>
      <c r="B6679" s="11" t="str">
        <f>"00317141"</f>
        <v>00317141</v>
      </c>
    </row>
    <row r="6680" spans="1:2" x14ac:dyDescent="0.25">
      <c r="A6680" s="2">
        <v>6675</v>
      </c>
      <c r="B6680" s="11" t="str">
        <f>"00317149"</f>
        <v>00317149</v>
      </c>
    </row>
    <row r="6681" spans="1:2" x14ac:dyDescent="0.25">
      <c r="A6681" s="2">
        <v>6676</v>
      </c>
      <c r="B6681" s="11" t="str">
        <f>"00317206"</f>
        <v>00317206</v>
      </c>
    </row>
    <row r="6682" spans="1:2" x14ac:dyDescent="0.25">
      <c r="A6682" s="2">
        <v>6677</v>
      </c>
      <c r="B6682" s="11" t="str">
        <f>"00317208"</f>
        <v>00317208</v>
      </c>
    </row>
    <row r="6683" spans="1:2" x14ac:dyDescent="0.25">
      <c r="A6683" s="2">
        <v>6678</v>
      </c>
      <c r="B6683" s="11" t="str">
        <f>"00317323"</f>
        <v>00317323</v>
      </c>
    </row>
    <row r="6684" spans="1:2" x14ac:dyDescent="0.25">
      <c r="A6684" s="2">
        <v>6679</v>
      </c>
      <c r="B6684" s="11" t="str">
        <f>"00317397"</f>
        <v>00317397</v>
      </c>
    </row>
    <row r="6685" spans="1:2" x14ac:dyDescent="0.25">
      <c r="A6685" s="2">
        <v>6680</v>
      </c>
      <c r="B6685" s="11" t="str">
        <f>"00317409"</f>
        <v>00317409</v>
      </c>
    </row>
    <row r="6686" spans="1:2" x14ac:dyDescent="0.25">
      <c r="A6686" s="2">
        <v>6681</v>
      </c>
      <c r="B6686" s="11" t="str">
        <f>"00317426"</f>
        <v>00317426</v>
      </c>
    </row>
    <row r="6687" spans="1:2" x14ac:dyDescent="0.25">
      <c r="A6687" s="2">
        <v>6682</v>
      </c>
      <c r="B6687" s="11" t="str">
        <f>"00317472"</f>
        <v>00317472</v>
      </c>
    </row>
    <row r="6688" spans="1:2" x14ac:dyDescent="0.25">
      <c r="A6688" s="2">
        <v>6683</v>
      </c>
      <c r="B6688" s="11" t="str">
        <f>"00317481"</f>
        <v>00317481</v>
      </c>
    </row>
    <row r="6689" spans="1:2" x14ac:dyDescent="0.25">
      <c r="A6689" s="2">
        <v>6684</v>
      </c>
      <c r="B6689" s="11" t="str">
        <f>"00317496"</f>
        <v>00317496</v>
      </c>
    </row>
    <row r="6690" spans="1:2" x14ac:dyDescent="0.25">
      <c r="A6690" s="2">
        <v>6685</v>
      </c>
      <c r="B6690" s="11" t="str">
        <f>"00317537"</f>
        <v>00317537</v>
      </c>
    </row>
    <row r="6691" spans="1:2" x14ac:dyDescent="0.25">
      <c r="A6691" s="2">
        <v>6686</v>
      </c>
      <c r="B6691" s="11" t="str">
        <f>"00317712"</f>
        <v>00317712</v>
      </c>
    </row>
    <row r="6692" spans="1:2" x14ac:dyDescent="0.25">
      <c r="A6692" s="2">
        <v>6687</v>
      </c>
      <c r="B6692" s="11" t="str">
        <f>"00317882"</f>
        <v>00317882</v>
      </c>
    </row>
    <row r="6693" spans="1:2" x14ac:dyDescent="0.25">
      <c r="A6693" s="2">
        <v>6688</v>
      </c>
      <c r="B6693" s="11" t="str">
        <f>"00317884"</f>
        <v>00317884</v>
      </c>
    </row>
    <row r="6694" spans="1:2" x14ac:dyDescent="0.25">
      <c r="A6694" s="2">
        <v>6689</v>
      </c>
      <c r="B6694" s="11" t="str">
        <f>"00318002"</f>
        <v>00318002</v>
      </c>
    </row>
    <row r="6695" spans="1:2" x14ac:dyDescent="0.25">
      <c r="A6695" s="2">
        <v>6690</v>
      </c>
      <c r="B6695" s="11" t="str">
        <f>"00318018"</f>
        <v>00318018</v>
      </c>
    </row>
    <row r="6696" spans="1:2" x14ac:dyDescent="0.25">
      <c r="A6696" s="2">
        <v>6691</v>
      </c>
      <c r="B6696" s="11" t="str">
        <f>"00318024"</f>
        <v>00318024</v>
      </c>
    </row>
    <row r="6697" spans="1:2" x14ac:dyDescent="0.25">
      <c r="A6697" s="2">
        <v>6692</v>
      </c>
      <c r="B6697" s="11" t="str">
        <f>"00318062"</f>
        <v>00318062</v>
      </c>
    </row>
    <row r="6698" spans="1:2" x14ac:dyDescent="0.25">
      <c r="A6698" s="2">
        <v>6693</v>
      </c>
      <c r="B6698" s="11" t="str">
        <f>"00318081"</f>
        <v>00318081</v>
      </c>
    </row>
    <row r="6699" spans="1:2" x14ac:dyDescent="0.25">
      <c r="A6699" s="2">
        <v>6694</v>
      </c>
      <c r="B6699" s="11" t="str">
        <f>"00318085"</f>
        <v>00318085</v>
      </c>
    </row>
    <row r="6700" spans="1:2" x14ac:dyDescent="0.25">
      <c r="A6700" s="2">
        <v>6695</v>
      </c>
      <c r="B6700" s="11" t="str">
        <f>"00318139"</f>
        <v>00318139</v>
      </c>
    </row>
    <row r="6701" spans="1:2" x14ac:dyDescent="0.25">
      <c r="A6701" s="2">
        <v>6696</v>
      </c>
      <c r="B6701" s="11" t="str">
        <f>"00318140"</f>
        <v>00318140</v>
      </c>
    </row>
    <row r="6702" spans="1:2" x14ac:dyDescent="0.25">
      <c r="A6702" s="2">
        <v>6697</v>
      </c>
      <c r="B6702" s="11" t="str">
        <f>"00318141"</f>
        <v>00318141</v>
      </c>
    </row>
    <row r="6703" spans="1:2" x14ac:dyDescent="0.25">
      <c r="A6703" s="2">
        <v>6698</v>
      </c>
      <c r="B6703" s="11" t="str">
        <f>"00318192"</f>
        <v>00318192</v>
      </c>
    </row>
    <row r="6704" spans="1:2" x14ac:dyDescent="0.25">
      <c r="A6704" s="2">
        <v>6699</v>
      </c>
      <c r="B6704" s="11" t="str">
        <f>"00318236"</f>
        <v>00318236</v>
      </c>
    </row>
    <row r="6705" spans="1:2" x14ac:dyDescent="0.25">
      <c r="A6705" s="2">
        <v>6700</v>
      </c>
      <c r="B6705" s="11" t="str">
        <f>"00318449"</f>
        <v>00318449</v>
      </c>
    </row>
    <row r="6706" spans="1:2" x14ac:dyDescent="0.25">
      <c r="A6706" s="2">
        <v>6701</v>
      </c>
      <c r="B6706" s="11" t="str">
        <f>"00318555"</f>
        <v>00318555</v>
      </c>
    </row>
    <row r="6707" spans="1:2" x14ac:dyDescent="0.25">
      <c r="A6707" s="2">
        <v>6702</v>
      </c>
      <c r="B6707" s="11" t="str">
        <f>"00318681"</f>
        <v>00318681</v>
      </c>
    </row>
    <row r="6708" spans="1:2" x14ac:dyDescent="0.25">
      <c r="A6708" s="2">
        <v>6703</v>
      </c>
      <c r="B6708" s="11" t="str">
        <f>"00318682"</f>
        <v>00318682</v>
      </c>
    </row>
    <row r="6709" spans="1:2" x14ac:dyDescent="0.25">
      <c r="A6709" s="2">
        <v>6704</v>
      </c>
      <c r="B6709" s="11" t="str">
        <f>"00318696"</f>
        <v>00318696</v>
      </c>
    </row>
    <row r="6710" spans="1:2" x14ac:dyDescent="0.25">
      <c r="A6710" s="2">
        <v>6705</v>
      </c>
      <c r="B6710" s="11" t="str">
        <f>"00318740"</f>
        <v>00318740</v>
      </c>
    </row>
    <row r="6711" spans="1:2" x14ac:dyDescent="0.25">
      <c r="A6711" s="2">
        <v>6706</v>
      </c>
      <c r="B6711" s="11" t="str">
        <f>"00318790"</f>
        <v>00318790</v>
      </c>
    </row>
    <row r="6712" spans="1:2" x14ac:dyDescent="0.25">
      <c r="A6712" s="2">
        <v>6707</v>
      </c>
      <c r="B6712" s="11" t="str">
        <f>"00318843"</f>
        <v>00318843</v>
      </c>
    </row>
    <row r="6713" spans="1:2" x14ac:dyDescent="0.25">
      <c r="A6713" s="2">
        <v>6708</v>
      </c>
      <c r="B6713" s="11" t="str">
        <f>"00318862"</f>
        <v>00318862</v>
      </c>
    </row>
    <row r="6714" spans="1:2" x14ac:dyDescent="0.25">
      <c r="A6714" s="2">
        <v>6709</v>
      </c>
      <c r="B6714" s="11" t="str">
        <f>"00318895"</f>
        <v>00318895</v>
      </c>
    </row>
    <row r="6715" spans="1:2" x14ac:dyDescent="0.25">
      <c r="A6715" s="2">
        <v>6710</v>
      </c>
      <c r="B6715" s="11" t="str">
        <f>"00318914"</f>
        <v>00318914</v>
      </c>
    </row>
    <row r="6716" spans="1:2" x14ac:dyDescent="0.25">
      <c r="A6716" s="2">
        <v>6711</v>
      </c>
      <c r="B6716" s="11" t="str">
        <f>"00319007"</f>
        <v>00319007</v>
      </c>
    </row>
    <row r="6717" spans="1:2" x14ac:dyDescent="0.25">
      <c r="A6717" s="2">
        <v>6712</v>
      </c>
      <c r="B6717" s="11" t="str">
        <f>"00319023"</f>
        <v>00319023</v>
      </c>
    </row>
    <row r="6718" spans="1:2" x14ac:dyDescent="0.25">
      <c r="A6718" s="2">
        <v>6713</v>
      </c>
      <c r="B6718" s="11" t="str">
        <f>"00319035"</f>
        <v>00319035</v>
      </c>
    </row>
    <row r="6719" spans="1:2" x14ac:dyDescent="0.25">
      <c r="A6719" s="2">
        <v>6714</v>
      </c>
      <c r="B6719" s="11" t="str">
        <f>"00319064"</f>
        <v>00319064</v>
      </c>
    </row>
    <row r="6720" spans="1:2" x14ac:dyDescent="0.25">
      <c r="A6720" s="2">
        <v>6715</v>
      </c>
      <c r="B6720" s="11" t="str">
        <f>"00319076"</f>
        <v>00319076</v>
      </c>
    </row>
    <row r="6721" spans="1:2" x14ac:dyDescent="0.25">
      <c r="A6721" s="2">
        <v>6716</v>
      </c>
      <c r="B6721" s="11" t="str">
        <f>"00319105"</f>
        <v>00319105</v>
      </c>
    </row>
    <row r="6722" spans="1:2" x14ac:dyDescent="0.25">
      <c r="A6722" s="2">
        <v>6717</v>
      </c>
      <c r="B6722" s="11" t="str">
        <f>"00319174"</f>
        <v>00319174</v>
      </c>
    </row>
    <row r="6723" spans="1:2" x14ac:dyDescent="0.25">
      <c r="A6723" s="2">
        <v>6718</v>
      </c>
      <c r="B6723" s="11" t="str">
        <f>"00319196"</f>
        <v>00319196</v>
      </c>
    </row>
    <row r="6724" spans="1:2" x14ac:dyDescent="0.25">
      <c r="A6724" s="2">
        <v>6719</v>
      </c>
      <c r="B6724" s="11" t="str">
        <f>"00319243"</f>
        <v>00319243</v>
      </c>
    </row>
    <row r="6725" spans="1:2" x14ac:dyDescent="0.25">
      <c r="A6725" s="2">
        <v>6720</v>
      </c>
      <c r="B6725" s="11" t="str">
        <f>"00319289"</f>
        <v>00319289</v>
      </c>
    </row>
    <row r="6726" spans="1:2" x14ac:dyDescent="0.25">
      <c r="A6726" s="2">
        <v>6721</v>
      </c>
      <c r="B6726" s="11" t="str">
        <f>"00319324"</f>
        <v>00319324</v>
      </c>
    </row>
    <row r="6727" spans="1:2" x14ac:dyDescent="0.25">
      <c r="A6727" s="2">
        <v>6722</v>
      </c>
      <c r="B6727" s="11" t="str">
        <f>"00319334"</f>
        <v>00319334</v>
      </c>
    </row>
    <row r="6728" spans="1:2" x14ac:dyDescent="0.25">
      <c r="A6728" s="2">
        <v>6723</v>
      </c>
      <c r="B6728" s="11" t="str">
        <f>"00319362"</f>
        <v>00319362</v>
      </c>
    </row>
    <row r="6729" spans="1:2" x14ac:dyDescent="0.25">
      <c r="A6729" s="2">
        <v>6724</v>
      </c>
      <c r="B6729" s="11" t="str">
        <f>"00319395"</f>
        <v>00319395</v>
      </c>
    </row>
    <row r="6730" spans="1:2" x14ac:dyDescent="0.25">
      <c r="A6730" s="2">
        <v>6725</v>
      </c>
      <c r="B6730" s="11" t="str">
        <f>"00319402"</f>
        <v>00319402</v>
      </c>
    </row>
    <row r="6731" spans="1:2" x14ac:dyDescent="0.25">
      <c r="A6731" s="2">
        <v>6726</v>
      </c>
      <c r="B6731" s="11" t="str">
        <f>"00319414"</f>
        <v>00319414</v>
      </c>
    </row>
    <row r="6732" spans="1:2" x14ac:dyDescent="0.25">
      <c r="A6732" s="2">
        <v>6727</v>
      </c>
      <c r="B6732" s="11" t="str">
        <f>"00319437"</f>
        <v>00319437</v>
      </c>
    </row>
    <row r="6733" spans="1:2" x14ac:dyDescent="0.25">
      <c r="A6733" s="2">
        <v>6728</v>
      </c>
      <c r="B6733" s="11" t="str">
        <f>"00319450"</f>
        <v>00319450</v>
      </c>
    </row>
    <row r="6734" spans="1:2" x14ac:dyDescent="0.25">
      <c r="A6734" s="2">
        <v>6729</v>
      </c>
      <c r="B6734" s="11" t="str">
        <f>"00319484"</f>
        <v>00319484</v>
      </c>
    </row>
    <row r="6735" spans="1:2" x14ac:dyDescent="0.25">
      <c r="A6735" s="2">
        <v>6730</v>
      </c>
      <c r="B6735" s="11" t="str">
        <f>"00319535"</f>
        <v>00319535</v>
      </c>
    </row>
    <row r="6736" spans="1:2" x14ac:dyDescent="0.25">
      <c r="A6736" s="2">
        <v>6731</v>
      </c>
      <c r="B6736" s="11" t="str">
        <f>"00319551"</f>
        <v>00319551</v>
      </c>
    </row>
    <row r="6737" spans="1:2" x14ac:dyDescent="0.25">
      <c r="A6737" s="2">
        <v>6732</v>
      </c>
      <c r="B6737" s="11" t="str">
        <f>"00319689"</f>
        <v>00319689</v>
      </c>
    </row>
    <row r="6738" spans="1:2" x14ac:dyDescent="0.25">
      <c r="A6738" s="2">
        <v>6733</v>
      </c>
      <c r="B6738" s="11" t="str">
        <f>"00319749"</f>
        <v>00319749</v>
      </c>
    </row>
    <row r="6739" spans="1:2" x14ac:dyDescent="0.25">
      <c r="A6739" s="2">
        <v>6734</v>
      </c>
      <c r="B6739" s="11" t="str">
        <f>"00319844"</f>
        <v>00319844</v>
      </c>
    </row>
    <row r="6740" spans="1:2" x14ac:dyDescent="0.25">
      <c r="A6740" s="2">
        <v>6735</v>
      </c>
      <c r="B6740" s="11" t="str">
        <f>"00319914"</f>
        <v>00319914</v>
      </c>
    </row>
    <row r="6741" spans="1:2" x14ac:dyDescent="0.25">
      <c r="A6741" s="2">
        <v>6736</v>
      </c>
      <c r="B6741" s="11" t="str">
        <f>"00319928"</f>
        <v>00319928</v>
      </c>
    </row>
    <row r="6742" spans="1:2" x14ac:dyDescent="0.25">
      <c r="A6742" s="2">
        <v>6737</v>
      </c>
      <c r="B6742" s="11" t="str">
        <f>"00319959"</f>
        <v>00319959</v>
      </c>
    </row>
    <row r="6743" spans="1:2" x14ac:dyDescent="0.25">
      <c r="A6743" s="2">
        <v>6738</v>
      </c>
      <c r="B6743" s="11" t="str">
        <f>"00319985"</f>
        <v>00319985</v>
      </c>
    </row>
    <row r="6744" spans="1:2" x14ac:dyDescent="0.25">
      <c r="A6744" s="2">
        <v>6739</v>
      </c>
      <c r="B6744" s="11" t="str">
        <f>"00319998"</f>
        <v>00319998</v>
      </c>
    </row>
    <row r="6745" spans="1:2" x14ac:dyDescent="0.25">
      <c r="A6745" s="2">
        <v>6740</v>
      </c>
      <c r="B6745" s="11" t="str">
        <f>"00320133"</f>
        <v>00320133</v>
      </c>
    </row>
    <row r="6746" spans="1:2" x14ac:dyDescent="0.25">
      <c r="A6746" s="2">
        <v>6741</v>
      </c>
      <c r="B6746" s="11" t="str">
        <f>"00320169"</f>
        <v>00320169</v>
      </c>
    </row>
    <row r="6747" spans="1:2" x14ac:dyDescent="0.25">
      <c r="A6747" s="2">
        <v>6742</v>
      </c>
      <c r="B6747" s="11" t="str">
        <f>"00320227"</f>
        <v>00320227</v>
      </c>
    </row>
    <row r="6748" spans="1:2" x14ac:dyDescent="0.25">
      <c r="A6748" s="2">
        <v>6743</v>
      </c>
      <c r="B6748" s="11" t="str">
        <f>"00320244"</f>
        <v>00320244</v>
      </c>
    </row>
    <row r="6749" spans="1:2" x14ac:dyDescent="0.25">
      <c r="A6749" s="2">
        <v>6744</v>
      </c>
      <c r="B6749" s="11" t="str">
        <f>"00320289"</f>
        <v>00320289</v>
      </c>
    </row>
    <row r="6750" spans="1:2" x14ac:dyDescent="0.25">
      <c r="A6750" s="2">
        <v>6745</v>
      </c>
      <c r="B6750" s="11" t="str">
        <f>"00320294"</f>
        <v>00320294</v>
      </c>
    </row>
    <row r="6751" spans="1:2" x14ac:dyDescent="0.25">
      <c r="A6751" s="2">
        <v>6746</v>
      </c>
      <c r="B6751" s="11" t="str">
        <f>"00320321"</f>
        <v>00320321</v>
      </c>
    </row>
    <row r="6752" spans="1:2" x14ac:dyDescent="0.25">
      <c r="A6752" s="2">
        <v>6747</v>
      </c>
      <c r="B6752" s="11" t="str">
        <f>"00320478"</f>
        <v>00320478</v>
      </c>
    </row>
    <row r="6753" spans="1:2" x14ac:dyDescent="0.25">
      <c r="A6753" s="2">
        <v>6748</v>
      </c>
      <c r="B6753" s="11" t="str">
        <f>"00320500"</f>
        <v>00320500</v>
      </c>
    </row>
    <row r="6754" spans="1:2" x14ac:dyDescent="0.25">
      <c r="A6754" s="2">
        <v>6749</v>
      </c>
      <c r="B6754" s="11" t="str">
        <f>"00320520"</f>
        <v>00320520</v>
      </c>
    </row>
    <row r="6755" spans="1:2" x14ac:dyDescent="0.25">
      <c r="A6755" s="2">
        <v>6750</v>
      </c>
      <c r="B6755" s="11" t="str">
        <f>"00320523"</f>
        <v>00320523</v>
      </c>
    </row>
    <row r="6756" spans="1:2" x14ac:dyDescent="0.25">
      <c r="A6756" s="2">
        <v>6751</v>
      </c>
      <c r="B6756" s="11" t="str">
        <f>"00320542"</f>
        <v>00320542</v>
      </c>
    </row>
    <row r="6757" spans="1:2" x14ac:dyDescent="0.25">
      <c r="A6757" s="2">
        <v>6752</v>
      </c>
      <c r="B6757" s="11" t="str">
        <f>"00320580"</f>
        <v>00320580</v>
      </c>
    </row>
    <row r="6758" spans="1:2" x14ac:dyDescent="0.25">
      <c r="A6758" s="2">
        <v>6753</v>
      </c>
      <c r="B6758" s="11" t="str">
        <f>"00320640"</f>
        <v>00320640</v>
      </c>
    </row>
    <row r="6759" spans="1:2" x14ac:dyDescent="0.25">
      <c r="A6759" s="2">
        <v>6754</v>
      </c>
      <c r="B6759" s="11" t="str">
        <f>"00320649"</f>
        <v>00320649</v>
      </c>
    </row>
    <row r="6760" spans="1:2" x14ac:dyDescent="0.25">
      <c r="A6760" s="2">
        <v>6755</v>
      </c>
      <c r="B6760" s="11" t="str">
        <f>"00320672"</f>
        <v>00320672</v>
      </c>
    </row>
    <row r="6761" spans="1:2" x14ac:dyDescent="0.25">
      <c r="A6761" s="2">
        <v>6756</v>
      </c>
      <c r="B6761" s="11" t="str">
        <f>"00320729"</f>
        <v>00320729</v>
      </c>
    </row>
    <row r="6762" spans="1:2" x14ac:dyDescent="0.25">
      <c r="A6762" s="2">
        <v>6757</v>
      </c>
      <c r="B6762" s="11" t="str">
        <f>"00320738"</f>
        <v>00320738</v>
      </c>
    </row>
    <row r="6763" spans="1:2" x14ac:dyDescent="0.25">
      <c r="A6763" s="2">
        <v>6758</v>
      </c>
      <c r="B6763" s="11" t="str">
        <f>"00320798"</f>
        <v>00320798</v>
      </c>
    </row>
    <row r="6764" spans="1:2" x14ac:dyDescent="0.25">
      <c r="A6764" s="2">
        <v>6759</v>
      </c>
      <c r="B6764" s="11" t="str">
        <f>"00320818"</f>
        <v>00320818</v>
      </c>
    </row>
    <row r="6765" spans="1:2" x14ac:dyDescent="0.25">
      <c r="A6765" s="2">
        <v>6760</v>
      </c>
      <c r="B6765" s="11" t="str">
        <f>"00320853"</f>
        <v>00320853</v>
      </c>
    </row>
    <row r="6766" spans="1:2" x14ac:dyDescent="0.25">
      <c r="A6766" s="2">
        <v>6761</v>
      </c>
      <c r="B6766" s="11" t="str">
        <f>"00320899"</f>
        <v>00320899</v>
      </c>
    </row>
    <row r="6767" spans="1:2" x14ac:dyDescent="0.25">
      <c r="A6767" s="2">
        <v>6762</v>
      </c>
      <c r="B6767" s="11" t="str">
        <f>"00320900"</f>
        <v>00320900</v>
      </c>
    </row>
    <row r="6768" spans="1:2" x14ac:dyDescent="0.25">
      <c r="A6768" s="2">
        <v>6763</v>
      </c>
      <c r="B6768" s="11" t="str">
        <f>"00320938"</f>
        <v>00320938</v>
      </c>
    </row>
    <row r="6769" spans="1:2" x14ac:dyDescent="0.25">
      <c r="A6769" s="2">
        <v>6764</v>
      </c>
      <c r="B6769" s="11" t="str">
        <f>"00321004"</f>
        <v>00321004</v>
      </c>
    </row>
    <row r="6770" spans="1:2" x14ac:dyDescent="0.25">
      <c r="A6770" s="2">
        <v>6765</v>
      </c>
      <c r="B6770" s="11" t="str">
        <f>"00321046"</f>
        <v>00321046</v>
      </c>
    </row>
    <row r="6771" spans="1:2" x14ac:dyDescent="0.25">
      <c r="A6771" s="2">
        <v>6766</v>
      </c>
      <c r="B6771" s="11" t="str">
        <f>"00321048"</f>
        <v>00321048</v>
      </c>
    </row>
    <row r="6772" spans="1:2" x14ac:dyDescent="0.25">
      <c r="A6772" s="2">
        <v>6767</v>
      </c>
      <c r="B6772" s="11" t="str">
        <f>"00321051"</f>
        <v>00321051</v>
      </c>
    </row>
    <row r="6773" spans="1:2" x14ac:dyDescent="0.25">
      <c r="A6773" s="2">
        <v>6768</v>
      </c>
      <c r="B6773" s="11" t="str">
        <f>"00321061"</f>
        <v>00321061</v>
      </c>
    </row>
    <row r="6774" spans="1:2" x14ac:dyDescent="0.25">
      <c r="A6774" s="2">
        <v>6769</v>
      </c>
      <c r="B6774" s="11" t="str">
        <f>"00321063"</f>
        <v>00321063</v>
      </c>
    </row>
    <row r="6775" spans="1:2" x14ac:dyDescent="0.25">
      <c r="A6775" s="2">
        <v>6770</v>
      </c>
      <c r="B6775" s="11" t="str">
        <f>"00321093"</f>
        <v>00321093</v>
      </c>
    </row>
    <row r="6776" spans="1:2" x14ac:dyDescent="0.25">
      <c r="A6776" s="2">
        <v>6771</v>
      </c>
      <c r="B6776" s="11" t="str">
        <f>"00321184"</f>
        <v>00321184</v>
      </c>
    </row>
    <row r="6777" spans="1:2" x14ac:dyDescent="0.25">
      <c r="A6777" s="2">
        <v>6772</v>
      </c>
      <c r="B6777" s="11" t="str">
        <f>"00321203"</f>
        <v>00321203</v>
      </c>
    </row>
    <row r="6778" spans="1:2" x14ac:dyDescent="0.25">
      <c r="A6778" s="2">
        <v>6773</v>
      </c>
      <c r="B6778" s="11" t="str">
        <f>"00321368"</f>
        <v>00321368</v>
      </c>
    </row>
    <row r="6779" spans="1:2" x14ac:dyDescent="0.25">
      <c r="A6779" s="2">
        <v>6774</v>
      </c>
      <c r="B6779" s="11" t="str">
        <f>"00321404"</f>
        <v>00321404</v>
      </c>
    </row>
    <row r="6780" spans="1:2" x14ac:dyDescent="0.25">
      <c r="A6780" s="2">
        <v>6775</v>
      </c>
      <c r="B6780" s="11" t="str">
        <f>"00321528"</f>
        <v>00321528</v>
      </c>
    </row>
    <row r="6781" spans="1:2" x14ac:dyDescent="0.25">
      <c r="A6781" s="2">
        <v>6776</v>
      </c>
      <c r="B6781" s="11" t="str">
        <f>"00321641"</f>
        <v>00321641</v>
      </c>
    </row>
    <row r="6782" spans="1:2" x14ac:dyDescent="0.25">
      <c r="A6782" s="2">
        <v>6777</v>
      </c>
      <c r="B6782" s="11" t="str">
        <f>"00321660"</f>
        <v>00321660</v>
      </c>
    </row>
    <row r="6783" spans="1:2" x14ac:dyDescent="0.25">
      <c r="A6783" s="2">
        <v>6778</v>
      </c>
      <c r="B6783" s="11" t="str">
        <f>"00321677"</f>
        <v>00321677</v>
      </c>
    </row>
    <row r="6784" spans="1:2" x14ac:dyDescent="0.25">
      <c r="A6784" s="2">
        <v>6779</v>
      </c>
      <c r="B6784" s="11" t="str">
        <f>"00321869"</f>
        <v>00321869</v>
      </c>
    </row>
    <row r="6785" spans="1:2" x14ac:dyDescent="0.25">
      <c r="A6785" s="2">
        <v>6780</v>
      </c>
      <c r="B6785" s="11" t="str">
        <f>"00321895"</f>
        <v>00321895</v>
      </c>
    </row>
    <row r="6786" spans="1:2" x14ac:dyDescent="0.25">
      <c r="A6786" s="2">
        <v>6781</v>
      </c>
      <c r="B6786" s="11" t="str">
        <f>"00321905"</f>
        <v>00321905</v>
      </c>
    </row>
    <row r="6787" spans="1:2" x14ac:dyDescent="0.25">
      <c r="A6787" s="2">
        <v>6782</v>
      </c>
      <c r="B6787" s="11" t="str">
        <f>"00321913"</f>
        <v>00321913</v>
      </c>
    </row>
    <row r="6788" spans="1:2" x14ac:dyDescent="0.25">
      <c r="A6788" s="2">
        <v>6783</v>
      </c>
      <c r="B6788" s="11" t="str">
        <f>"00322028"</f>
        <v>00322028</v>
      </c>
    </row>
    <row r="6789" spans="1:2" x14ac:dyDescent="0.25">
      <c r="A6789" s="2">
        <v>6784</v>
      </c>
      <c r="B6789" s="11" t="str">
        <f>"00322153"</f>
        <v>00322153</v>
      </c>
    </row>
    <row r="6790" spans="1:2" x14ac:dyDescent="0.25">
      <c r="A6790" s="2">
        <v>6785</v>
      </c>
      <c r="B6790" s="11" t="str">
        <f>"00322166"</f>
        <v>00322166</v>
      </c>
    </row>
    <row r="6791" spans="1:2" x14ac:dyDescent="0.25">
      <c r="A6791" s="2">
        <v>6786</v>
      </c>
      <c r="B6791" s="11" t="str">
        <f>"00322251"</f>
        <v>00322251</v>
      </c>
    </row>
    <row r="6792" spans="1:2" x14ac:dyDescent="0.25">
      <c r="A6792" s="2">
        <v>6787</v>
      </c>
      <c r="B6792" s="11" t="str">
        <f>"00322346"</f>
        <v>00322346</v>
      </c>
    </row>
    <row r="6793" spans="1:2" x14ac:dyDescent="0.25">
      <c r="A6793" s="2">
        <v>6788</v>
      </c>
      <c r="B6793" s="11" t="str">
        <f>"00322351"</f>
        <v>00322351</v>
      </c>
    </row>
    <row r="6794" spans="1:2" x14ac:dyDescent="0.25">
      <c r="A6794" s="2">
        <v>6789</v>
      </c>
      <c r="B6794" s="11" t="str">
        <f>"00322579"</f>
        <v>00322579</v>
      </c>
    </row>
    <row r="6795" spans="1:2" x14ac:dyDescent="0.25">
      <c r="A6795" s="2">
        <v>6790</v>
      </c>
      <c r="B6795" s="11" t="str">
        <f>"00322608"</f>
        <v>00322608</v>
      </c>
    </row>
    <row r="6796" spans="1:2" x14ac:dyDescent="0.25">
      <c r="A6796" s="2">
        <v>6791</v>
      </c>
      <c r="B6796" s="11" t="str">
        <f>"00322613"</f>
        <v>00322613</v>
      </c>
    </row>
    <row r="6797" spans="1:2" x14ac:dyDescent="0.25">
      <c r="A6797" s="2">
        <v>6792</v>
      </c>
      <c r="B6797" s="11" t="str">
        <f>"00322614"</f>
        <v>00322614</v>
      </c>
    </row>
    <row r="6798" spans="1:2" x14ac:dyDescent="0.25">
      <c r="A6798" s="2">
        <v>6793</v>
      </c>
      <c r="B6798" s="11" t="str">
        <f>"00322656"</f>
        <v>00322656</v>
      </c>
    </row>
    <row r="6799" spans="1:2" x14ac:dyDescent="0.25">
      <c r="A6799" s="2">
        <v>6794</v>
      </c>
      <c r="B6799" s="11" t="str">
        <f>"00322750"</f>
        <v>00322750</v>
      </c>
    </row>
    <row r="6800" spans="1:2" x14ac:dyDescent="0.25">
      <c r="A6800" s="2">
        <v>6795</v>
      </c>
      <c r="B6800" s="11" t="str">
        <f>"00322751"</f>
        <v>00322751</v>
      </c>
    </row>
    <row r="6801" spans="1:2" x14ac:dyDescent="0.25">
      <c r="A6801" s="2">
        <v>6796</v>
      </c>
      <c r="B6801" s="11" t="str">
        <f>"00322842"</f>
        <v>00322842</v>
      </c>
    </row>
    <row r="6802" spans="1:2" x14ac:dyDescent="0.25">
      <c r="A6802" s="2">
        <v>6797</v>
      </c>
      <c r="B6802" s="11" t="str">
        <f>"00322999"</f>
        <v>00322999</v>
      </c>
    </row>
    <row r="6803" spans="1:2" x14ac:dyDescent="0.25">
      <c r="A6803" s="2">
        <v>6798</v>
      </c>
      <c r="B6803" s="11" t="str">
        <f>"00323030"</f>
        <v>00323030</v>
      </c>
    </row>
    <row r="6804" spans="1:2" x14ac:dyDescent="0.25">
      <c r="A6804" s="2">
        <v>6799</v>
      </c>
      <c r="B6804" s="11" t="str">
        <f>"00323140"</f>
        <v>00323140</v>
      </c>
    </row>
    <row r="6805" spans="1:2" x14ac:dyDescent="0.25">
      <c r="A6805" s="2">
        <v>6800</v>
      </c>
      <c r="B6805" s="11" t="str">
        <f>"00323150"</f>
        <v>00323150</v>
      </c>
    </row>
    <row r="6806" spans="1:2" x14ac:dyDescent="0.25">
      <c r="A6806" s="2">
        <v>6801</v>
      </c>
      <c r="B6806" s="11" t="str">
        <f>"00323163"</f>
        <v>00323163</v>
      </c>
    </row>
    <row r="6807" spans="1:2" x14ac:dyDescent="0.25">
      <c r="A6807" s="2">
        <v>6802</v>
      </c>
      <c r="B6807" s="11" t="str">
        <f>"00323165"</f>
        <v>00323165</v>
      </c>
    </row>
    <row r="6808" spans="1:2" x14ac:dyDescent="0.25">
      <c r="A6808" s="2">
        <v>6803</v>
      </c>
      <c r="B6808" s="11" t="str">
        <f>"00323174"</f>
        <v>00323174</v>
      </c>
    </row>
    <row r="6809" spans="1:2" x14ac:dyDescent="0.25">
      <c r="A6809" s="2">
        <v>6804</v>
      </c>
      <c r="B6809" s="11" t="str">
        <f>"00323273"</f>
        <v>00323273</v>
      </c>
    </row>
    <row r="6810" spans="1:2" x14ac:dyDescent="0.25">
      <c r="A6810" s="2">
        <v>6805</v>
      </c>
      <c r="B6810" s="11" t="str">
        <f>"00323323"</f>
        <v>00323323</v>
      </c>
    </row>
    <row r="6811" spans="1:2" x14ac:dyDescent="0.25">
      <c r="A6811" s="2">
        <v>6806</v>
      </c>
      <c r="B6811" s="11" t="str">
        <f>"00323326"</f>
        <v>00323326</v>
      </c>
    </row>
    <row r="6812" spans="1:2" x14ac:dyDescent="0.25">
      <c r="A6812" s="2">
        <v>6807</v>
      </c>
      <c r="B6812" s="11" t="str">
        <f>"00323377"</f>
        <v>00323377</v>
      </c>
    </row>
    <row r="6813" spans="1:2" x14ac:dyDescent="0.25">
      <c r="A6813" s="2">
        <v>6808</v>
      </c>
      <c r="B6813" s="11" t="str">
        <f>"00323425"</f>
        <v>00323425</v>
      </c>
    </row>
    <row r="6814" spans="1:2" x14ac:dyDescent="0.25">
      <c r="A6814" s="2">
        <v>6809</v>
      </c>
      <c r="B6814" s="11" t="str">
        <f>"00323428"</f>
        <v>00323428</v>
      </c>
    </row>
    <row r="6815" spans="1:2" x14ac:dyDescent="0.25">
      <c r="A6815" s="2">
        <v>6810</v>
      </c>
      <c r="B6815" s="11" t="str">
        <f>"00323432"</f>
        <v>00323432</v>
      </c>
    </row>
    <row r="6816" spans="1:2" x14ac:dyDescent="0.25">
      <c r="A6816" s="2">
        <v>6811</v>
      </c>
      <c r="B6816" s="11" t="str">
        <f>"00323493"</f>
        <v>00323493</v>
      </c>
    </row>
    <row r="6817" spans="1:2" x14ac:dyDescent="0.25">
      <c r="A6817" s="2">
        <v>6812</v>
      </c>
      <c r="B6817" s="11" t="str">
        <f>"00323501"</f>
        <v>00323501</v>
      </c>
    </row>
    <row r="6818" spans="1:2" x14ac:dyDescent="0.25">
      <c r="A6818" s="2">
        <v>6813</v>
      </c>
      <c r="B6818" s="11" t="str">
        <f>"00323523"</f>
        <v>00323523</v>
      </c>
    </row>
    <row r="6819" spans="1:2" x14ac:dyDescent="0.25">
      <c r="A6819" s="2">
        <v>6814</v>
      </c>
      <c r="B6819" s="11" t="str">
        <f>"00323545"</f>
        <v>00323545</v>
      </c>
    </row>
    <row r="6820" spans="1:2" x14ac:dyDescent="0.25">
      <c r="A6820" s="2">
        <v>6815</v>
      </c>
      <c r="B6820" s="11" t="str">
        <f>"00323605"</f>
        <v>00323605</v>
      </c>
    </row>
    <row r="6821" spans="1:2" x14ac:dyDescent="0.25">
      <c r="A6821" s="2">
        <v>6816</v>
      </c>
      <c r="B6821" s="11" t="str">
        <f>"00323615"</f>
        <v>00323615</v>
      </c>
    </row>
    <row r="6822" spans="1:2" x14ac:dyDescent="0.25">
      <c r="A6822" s="2">
        <v>6817</v>
      </c>
      <c r="B6822" s="11" t="str">
        <f>"00323620"</f>
        <v>00323620</v>
      </c>
    </row>
    <row r="6823" spans="1:2" x14ac:dyDescent="0.25">
      <c r="A6823" s="2">
        <v>6818</v>
      </c>
      <c r="B6823" s="11" t="str">
        <f>"00323649"</f>
        <v>00323649</v>
      </c>
    </row>
    <row r="6824" spans="1:2" x14ac:dyDescent="0.25">
      <c r="A6824" s="2">
        <v>6819</v>
      </c>
      <c r="B6824" s="11" t="str">
        <f>"00323692"</f>
        <v>00323692</v>
      </c>
    </row>
    <row r="6825" spans="1:2" x14ac:dyDescent="0.25">
      <c r="A6825" s="2">
        <v>6820</v>
      </c>
      <c r="B6825" s="11" t="str">
        <f>"00323735"</f>
        <v>00323735</v>
      </c>
    </row>
    <row r="6826" spans="1:2" x14ac:dyDescent="0.25">
      <c r="A6826" s="2">
        <v>6821</v>
      </c>
      <c r="B6826" s="11" t="str">
        <f>"00323775"</f>
        <v>00323775</v>
      </c>
    </row>
    <row r="6827" spans="1:2" x14ac:dyDescent="0.25">
      <c r="A6827" s="2">
        <v>6822</v>
      </c>
      <c r="B6827" s="11" t="str">
        <f>"00323776"</f>
        <v>00323776</v>
      </c>
    </row>
    <row r="6828" spans="1:2" x14ac:dyDescent="0.25">
      <c r="A6828" s="2">
        <v>6823</v>
      </c>
      <c r="B6828" s="11" t="str">
        <f>"00323829"</f>
        <v>00323829</v>
      </c>
    </row>
    <row r="6829" spans="1:2" x14ac:dyDescent="0.25">
      <c r="A6829" s="2">
        <v>6824</v>
      </c>
      <c r="B6829" s="11" t="str">
        <f>"00323837"</f>
        <v>00323837</v>
      </c>
    </row>
    <row r="6830" spans="1:2" x14ac:dyDescent="0.25">
      <c r="A6830" s="2">
        <v>6825</v>
      </c>
      <c r="B6830" s="11" t="str">
        <f>"00323863"</f>
        <v>00323863</v>
      </c>
    </row>
    <row r="6831" spans="1:2" x14ac:dyDescent="0.25">
      <c r="A6831" s="2">
        <v>6826</v>
      </c>
      <c r="B6831" s="11" t="str">
        <f>"00323868"</f>
        <v>00323868</v>
      </c>
    </row>
    <row r="6832" spans="1:2" x14ac:dyDescent="0.25">
      <c r="A6832" s="2">
        <v>6827</v>
      </c>
      <c r="B6832" s="11" t="str">
        <f>"00323908"</f>
        <v>00323908</v>
      </c>
    </row>
    <row r="6833" spans="1:2" x14ac:dyDescent="0.25">
      <c r="A6833" s="2">
        <v>6828</v>
      </c>
      <c r="B6833" s="11" t="str">
        <f>"00323913"</f>
        <v>00323913</v>
      </c>
    </row>
    <row r="6834" spans="1:2" x14ac:dyDescent="0.25">
      <c r="A6834" s="2">
        <v>6829</v>
      </c>
      <c r="B6834" s="11" t="str">
        <f>"00323955"</f>
        <v>00323955</v>
      </c>
    </row>
    <row r="6835" spans="1:2" x14ac:dyDescent="0.25">
      <c r="A6835" s="2">
        <v>6830</v>
      </c>
      <c r="B6835" s="11" t="str">
        <f>"00324032"</f>
        <v>00324032</v>
      </c>
    </row>
    <row r="6836" spans="1:2" x14ac:dyDescent="0.25">
      <c r="A6836" s="2">
        <v>6831</v>
      </c>
      <c r="B6836" s="11" t="str">
        <f>"00324127"</f>
        <v>00324127</v>
      </c>
    </row>
    <row r="6837" spans="1:2" x14ac:dyDescent="0.25">
      <c r="A6837" s="2">
        <v>6832</v>
      </c>
      <c r="B6837" s="11" t="str">
        <f>"00324152"</f>
        <v>00324152</v>
      </c>
    </row>
    <row r="6838" spans="1:2" x14ac:dyDescent="0.25">
      <c r="A6838" s="2">
        <v>6833</v>
      </c>
      <c r="B6838" s="11" t="str">
        <f>"00324181"</f>
        <v>00324181</v>
      </c>
    </row>
    <row r="6839" spans="1:2" x14ac:dyDescent="0.25">
      <c r="A6839" s="2">
        <v>6834</v>
      </c>
      <c r="B6839" s="11" t="str">
        <f>"00324196"</f>
        <v>00324196</v>
      </c>
    </row>
    <row r="6840" spans="1:2" x14ac:dyDescent="0.25">
      <c r="A6840" s="2">
        <v>6835</v>
      </c>
      <c r="B6840" s="11" t="str">
        <f>"00324218"</f>
        <v>00324218</v>
      </c>
    </row>
    <row r="6841" spans="1:2" x14ac:dyDescent="0.25">
      <c r="A6841" s="2">
        <v>6836</v>
      </c>
      <c r="B6841" s="11" t="str">
        <f>"00324224"</f>
        <v>00324224</v>
      </c>
    </row>
    <row r="6842" spans="1:2" x14ac:dyDescent="0.25">
      <c r="A6842" s="2">
        <v>6837</v>
      </c>
      <c r="B6842" s="11" t="str">
        <f>"00324255"</f>
        <v>00324255</v>
      </c>
    </row>
    <row r="6843" spans="1:2" x14ac:dyDescent="0.25">
      <c r="A6843" s="2">
        <v>6838</v>
      </c>
      <c r="B6843" s="11" t="str">
        <f>"00324301"</f>
        <v>00324301</v>
      </c>
    </row>
    <row r="6844" spans="1:2" x14ac:dyDescent="0.25">
      <c r="A6844" s="2">
        <v>6839</v>
      </c>
      <c r="B6844" s="11" t="str">
        <f>"00324306"</f>
        <v>00324306</v>
      </c>
    </row>
    <row r="6845" spans="1:2" x14ac:dyDescent="0.25">
      <c r="A6845" s="2">
        <v>6840</v>
      </c>
      <c r="B6845" s="11" t="str">
        <f>"00324359"</f>
        <v>00324359</v>
      </c>
    </row>
    <row r="6846" spans="1:2" x14ac:dyDescent="0.25">
      <c r="A6846" s="2">
        <v>6841</v>
      </c>
      <c r="B6846" s="11" t="str">
        <f>"00324411"</f>
        <v>00324411</v>
      </c>
    </row>
    <row r="6847" spans="1:2" x14ac:dyDescent="0.25">
      <c r="A6847" s="2">
        <v>6842</v>
      </c>
      <c r="B6847" s="11" t="str">
        <f>"00324415"</f>
        <v>00324415</v>
      </c>
    </row>
    <row r="6848" spans="1:2" x14ac:dyDescent="0.25">
      <c r="A6848" s="2">
        <v>6843</v>
      </c>
      <c r="B6848" s="11" t="str">
        <f>"00324417"</f>
        <v>00324417</v>
      </c>
    </row>
    <row r="6849" spans="1:2" x14ac:dyDescent="0.25">
      <c r="A6849" s="2">
        <v>6844</v>
      </c>
      <c r="B6849" s="11" t="str">
        <f>"00324530"</f>
        <v>00324530</v>
      </c>
    </row>
    <row r="6850" spans="1:2" x14ac:dyDescent="0.25">
      <c r="A6850" s="2">
        <v>6845</v>
      </c>
      <c r="B6850" s="11" t="str">
        <f>"00324543"</f>
        <v>00324543</v>
      </c>
    </row>
    <row r="6851" spans="1:2" x14ac:dyDescent="0.25">
      <c r="A6851" s="2">
        <v>6846</v>
      </c>
      <c r="B6851" s="11" t="str">
        <f>"00324558"</f>
        <v>00324558</v>
      </c>
    </row>
    <row r="6852" spans="1:2" x14ac:dyDescent="0.25">
      <c r="A6852" s="2">
        <v>6847</v>
      </c>
      <c r="B6852" s="11" t="str">
        <f>"00324704"</f>
        <v>00324704</v>
      </c>
    </row>
    <row r="6853" spans="1:2" x14ac:dyDescent="0.25">
      <c r="A6853" s="2">
        <v>6848</v>
      </c>
      <c r="B6853" s="11" t="str">
        <f>"00324733"</f>
        <v>00324733</v>
      </c>
    </row>
    <row r="6854" spans="1:2" x14ac:dyDescent="0.25">
      <c r="A6854" s="2">
        <v>6849</v>
      </c>
      <c r="B6854" s="11" t="str">
        <f>"00324760"</f>
        <v>00324760</v>
      </c>
    </row>
    <row r="6855" spans="1:2" x14ac:dyDescent="0.25">
      <c r="A6855" s="2">
        <v>6850</v>
      </c>
      <c r="B6855" s="11" t="str">
        <f>"00324762"</f>
        <v>00324762</v>
      </c>
    </row>
    <row r="6856" spans="1:2" x14ac:dyDescent="0.25">
      <c r="A6856" s="2">
        <v>6851</v>
      </c>
      <c r="B6856" s="11" t="str">
        <f>"00324777"</f>
        <v>00324777</v>
      </c>
    </row>
    <row r="6857" spans="1:2" x14ac:dyDescent="0.25">
      <c r="A6857" s="2">
        <v>6852</v>
      </c>
      <c r="B6857" s="11" t="str">
        <f>"00324804"</f>
        <v>00324804</v>
      </c>
    </row>
    <row r="6858" spans="1:2" x14ac:dyDescent="0.25">
      <c r="A6858" s="2">
        <v>6853</v>
      </c>
      <c r="B6858" s="11" t="str">
        <f>"00324867"</f>
        <v>00324867</v>
      </c>
    </row>
    <row r="6859" spans="1:2" x14ac:dyDescent="0.25">
      <c r="A6859" s="2">
        <v>6854</v>
      </c>
      <c r="B6859" s="11" t="str">
        <f>"00324960"</f>
        <v>00324960</v>
      </c>
    </row>
    <row r="6860" spans="1:2" x14ac:dyDescent="0.25">
      <c r="A6860" s="2">
        <v>6855</v>
      </c>
      <c r="B6860" s="11" t="str">
        <f>"00325124"</f>
        <v>00325124</v>
      </c>
    </row>
    <row r="6861" spans="1:2" x14ac:dyDescent="0.25">
      <c r="A6861" s="2">
        <v>6856</v>
      </c>
      <c r="B6861" s="11" t="str">
        <f>"00325167"</f>
        <v>00325167</v>
      </c>
    </row>
    <row r="6862" spans="1:2" x14ac:dyDescent="0.25">
      <c r="A6862" s="2">
        <v>6857</v>
      </c>
      <c r="B6862" s="11" t="str">
        <f>"00325256"</f>
        <v>00325256</v>
      </c>
    </row>
    <row r="6863" spans="1:2" x14ac:dyDescent="0.25">
      <c r="A6863" s="2">
        <v>6858</v>
      </c>
      <c r="B6863" s="11" t="str">
        <f>"00325261"</f>
        <v>00325261</v>
      </c>
    </row>
    <row r="6864" spans="1:2" x14ac:dyDescent="0.25">
      <c r="A6864" s="2">
        <v>6859</v>
      </c>
      <c r="B6864" s="11" t="str">
        <f>"00325297"</f>
        <v>00325297</v>
      </c>
    </row>
    <row r="6865" spans="1:2" x14ac:dyDescent="0.25">
      <c r="A6865" s="2">
        <v>6860</v>
      </c>
      <c r="B6865" s="11" t="str">
        <f>"00325310"</f>
        <v>00325310</v>
      </c>
    </row>
    <row r="6866" spans="1:2" x14ac:dyDescent="0.25">
      <c r="A6866" s="2">
        <v>6861</v>
      </c>
      <c r="B6866" s="11" t="str">
        <f>"00325327"</f>
        <v>00325327</v>
      </c>
    </row>
    <row r="6867" spans="1:2" x14ac:dyDescent="0.25">
      <c r="A6867" s="2">
        <v>6862</v>
      </c>
      <c r="B6867" s="11" t="str">
        <f>"00325360"</f>
        <v>00325360</v>
      </c>
    </row>
    <row r="6868" spans="1:2" x14ac:dyDescent="0.25">
      <c r="A6868" s="2">
        <v>6863</v>
      </c>
      <c r="B6868" s="11" t="str">
        <f>"00325422"</f>
        <v>00325422</v>
      </c>
    </row>
    <row r="6869" spans="1:2" x14ac:dyDescent="0.25">
      <c r="A6869" s="2">
        <v>6864</v>
      </c>
      <c r="B6869" s="11" t="str">
        <f>"00325481"</f>
        <v>00325481</v>
      </c>
    </row>
    <row r="6870" spans="1:2" x14ac:dyDescent="0.25">
      <c r="A6870" s="2">
        <v>6865</v>
      </c>
      <c r="B6870" s="11" t="str">
        <f>"00325515"</f>
        <v>00325515</v>
      </c>
    </row>
    <row r="6871" spans="1:2" x14ac:dyDescent="0.25">
      <c r="A6871" s="2">
        <v>6866</v>
      </c>
      <c r="B6871" s="11" t="str">
        <f>"00325541"</f>
        <v>00325541</v>
      </c>
    </row>
    <row r="6872" spans="1:2" x14ac:dyDescent="0.25">
      <c r="A6872" s="2">
        <v>6867</v>
      </c>
      <c r="B6872" s="11" t="str">
        <f>"00325542"</f>
        <v>00325542</v>
      </c>
    </row>
    <row r="6873" spans="1:2" x14ac:dyDescent="0.25">
      <c r="A6873" s="2">
        <v>6868</v>
      </c>
      <c r="B6873" s="11" t="str">
        <f>"00325566"</f>
        <v>00325566</v>
      </c>
    </row>
    <row r="6874" spans="1:2" x14ac:dyDescent="0.25">
      <c r="A6874" s="2">
        <v>6869</v>
      </c>
      <c r="B6874" s="11" t="str">
        <f>"00325621"</f>
        <v>00325621</v>
      </c>
    </row>
    <row r="6875" spans="1:2" x14ac:dyDescent="0.25">
      <c r="A6875" s="2">
        <v>6870</v>
      </c>
      <c r="B6875" s="11" t="str">
        <f>"00325664"</f>
        <v>00325664</v>
      </c>
    </row>
    <row r="6876" spans="1:2" x14ac:dyDescent="0.25">
      <c r="A6876" s="2">
        <v>6871</v>
      </c>
      <c r="B6876" s="11" t="str">
        <f>"00325678"</f>
        <v>00325678</v>
      </c>
    </row>
    <row r="6877" spans="1:2" x14ac:dyDescent="0.25">
      <c r="A6877" s="2">
        <v>6872</v>
      </c>
      <c r="B6877" s="11" t="str">
        <f>"00325691"</f>
        <v>00325691</v>
      </c>
    </row>
    <row r="6878" spans="1:2" x14ac:dyDescent="0.25">
      <c r="A6878" s="2">
        <v>6873</v>
      </c>
      <c r="B6878" s="11" t="str">
        <f>"00325712"</f>
        <v>00325712</v>
      </c>
    </row>
    <row r="6879" spans="1:2" x14ac:dyDescent="0.25">
      <c r="A6879" s="2">
        <v>6874</v>
      </c>
      <c r="B6879" s="11" t="str">
        <f>"00325734"</f>
        <v>00325734</v>
      </c>
    </row>
    <row r="6880" spans="1:2" x14ac:dyDescent="0.25">
      <c r="A6880" s="2">
        <v>6875</v>
      </c>
      <c r="B6880" s="11" t="str">
        <f>"00325750"</f>
        <v>00325750</v>
      </c>
    </row>
    <row r="6881" spans="1:2" x14ac:dyDescent="0.25">
      <c r="A6881" s="2">
        <v>6876</v>
      </c>
      <c r="B6881" s="11" t="str">
        <f>"00325767"</f>
        <v>00325767</v>
      </c>
    </row>
    <row r="6882" spans="1:2" x14ac:dyDescent="0.25">
      <c r="A6882" s="2">
        <v>6877</v>
      </c>
      <c r="B6882" s="11" t="str">
        <f>"00325783"</f>
        <v>00325783</v>
      </c>
    </row>
    <row r="6883" spans="1:2" x14ac:dyDescent="0.25">
      <c r="A6883" s="2">
        <v>6878</v>
      </c>
      <c r="B6883" s="11" t="str">
        <f>"00325815"</f>
        <v>00325815</v>
      </c>
    </row>
    <row r="6884" spans="1:2" x14ac:dyDescent="0.25">
      <c r="A6884" s="2">
        <v>6879</v>
      </c>
      <c r="B6884" s="11" t="str">
        <f>"00325819"</f>
        <v>00325819</v>
      </c>
    </row>
    <row r="6885" spans="1:2" x14ac:dyDescent="0.25">
      <c r="A6885" s="2">
        <v>6880</v>
      </c>
      <c r="B6885" s="11" t="str">
        <f>"00325823"</f>
        <v>00325823</v>
      </c>
    </row>
    <row r="6886" spans="1:2" x14ac:dyDescent="0.25">
      <c r="A6886" s="2">
        <v>6881</v>
      </c>
      <c r="B6886" s="11" t="str">
        <f>"00325937"</f>
        <v>00325937</v>
      </c>
    </row>
    <row r="6887" spans="1:2" x14ac:dyDescent="0.25">
      <c r="A6887" s="2">
        <v>6882</v>
      </c>
      <c r="B6887" s="11" t="str">
        <f>"00325939"</f>
        <v>00325939</v>
      </c>
    </row>
    <row r="6888" spans="1:2" x14ac:dyDescent="0.25">
      <c r="A6888" s="2">
        <v>6883</v>
      </c>
      <c r="B6888" s="11" t="str">
        <f>"00326002"</f>
        <v>00326002</v>
      </c>
    </row>
    <row r="6889" spans="1:2" x14ac:dyDescent="0.25">
      <c r="A6889" s="2">
        <v>6884</v>
      </c>
      <c r="B6889" s="11" t="str">
        <f>"00326026"</f>
        <v>00326026</v>
      </c>
    </row>
    <row r="6890" spans="1:2" x14ac:dyDescent="0.25">
      <c r="A6890" s="2">
        <v>6885</v>
      </c>
      <c r="B6890" s="11" t="str">
        <f>"00326132"</f>
        <v>00326132</v>
      </c>
    </row>
    <row r="6891" spans="1:2" x14ac:dyDescent="0.25">
      <c r="A6891" s="2">
        <v>6886</v>
      </c>
      <c r="B6891" s="11" t="str">
        <f>"00326150"</f>
        <v>00326150</v>
      </c>
    </row>
    <row r="6892" spans="1:2" x14ac:dyDescent="0.25">
      <c r="A6892" s="2">
        <v>6887</v>
      </c>
      <c r="B6892" s="11" t="str">
        <f>"00326257"</f>
        <v>00326257</v>
      </c>
    </row>
    <row r="6893" spans="1:2" x14ac:dyDescent="0.25">
      <c r="A6893" s="2">
        <v>6888</v>
      </c>
      <c r="B6893" s="11" t="str">
        <f>"00326283"</f>
        <v>00326283</v>
      </c>
    </row>
    <row r="6894" spans="1:2" x14ac:dyDescent="0.25">
      <c r="A6894" s="2">
        <v>6889</v>
      </c>
      <c r="B6894" s="11" t="str">
        <f>"00326313"</f>
        <v>00326313</v>
      </c>
    </row>
    <row r="6895" spans="1:2" x14ac:dyDescent="0.25">
      <c r="A6895" s="2">
        <v>6890</v>
      </c>
      <c r="B6895" s="11" t="str">
        <f>"00326342"</f>
        <v>00326342</v>
      </c>
    </row>
    <row r="6896" spans="1:2" x14ac:dyDescent="0.25">
      <c r="A6896" s="2">
        <v>6891</v>
      </c>
      <c r="B6896" s="11" t="str">
        <f>"00326353"</f>
        <v>00326353</v>
      </c>
    </row>
    <row r="6897" spans="1:2" x14ac:dyDescent="0.25">
      <c r="A6897" s="2">
        <v>6892</v>
      </c>
      <c r="B6897" s="11" t="str">
        <f>"00326527"</f>
        <v>00326527</v>
      </c>
    </row>
    <row r="6898" spans="1:2" x14ac:dyDescent="0.25">
      <c r="A6898" s="2">
        <v>6893</v>
      </c>
      <c r="B6898" s="11" t="str">
        <f>"00326595"</f>
        <v>00326595</v>
      </c>
    </row>
    <row r="6899" spans="1:2" x14ac:dyDescent="0.25">
      <c r="A6899" s="2">
        <v>6894</v>
      </c>
      <c r="B6899" s="11" t="str">
        <f>"00326638"</f>
        <v>00326638</v>
      </c>
    </row>
    <row r="6900" spans="1:2" x14ac:dyDescent="0.25">
      <c r="A6900" s="2">
        <v>6895</v>
      </c>
      <c r="B6900" s="11" t="str">
        <f>"00326700"</f>
        <v>00326700</v>
      </c>
    </row>
    <row r="6901" spans="1:2" x14ac:dyDescent="0.25">
      <c r="A6901" s="2">
        <v>6896</v>
      </c>
      <c r="B6901" s="11" t="str">
        <f>"00326920"</f>
        <v>00326920</v>
      </c>
    </row>
    <row r="6902" spans="1:2" x14ac:dyDescent="0.25">
      <c r="A6902" s="2">
        <v>6897</v>
      </c>
      <c r="B6902" s="11" t="str">
        <f>"00326993"</f>
        <v>00326993</v>
      </c>
    </row>
    <row r="6903" spans="1:2" x14ac:dyDescent="0.25">
      <c r="A6903" s="2">
        <v>6898</v>
      </c>
      <c r="B6903" s="11" t="str">
        <f>"00327015"</f>
        <v>00327015</v>
      </c>
    </row>
    <row r="6904" spans="1:2" x14ac:dyDescent="0.25">
      <c r="A6904" s="2">
        <v>6899</v>
      </c>
      <c r="B6904" s="11" t="str">
        <f>"00327019"</f>
        <v>00327019</v>
      </c>
    </row>
    <row r="6905" spans="1:2" x14ac:dyDescent="0.25">
      <c r="A6905" s="2">
        <v>6900</v>
      </c>
      <c r="B6905" s="11" t="str">
        <f>"00327189"</f>
        <v>00327189</v>
      </c>
    </row>
    <row r="6906" spans="1:2" x14ac:dyDescent="0.25">
      <c r="A6906" s="2">
        <v>6901</v>
      </c>
      <c r="B6906" s="11" t="str">
        <f>"00327207"</f>
        <v>00327207</v>
      </c>
    </row>
    <row r="6907" spans="1:2" x14ac:dyDescent="0.25">
      <c r="A6907" s="2">
        <v>6902</v>
      </c>
      <c r="B6907" s="11" t="str">
        <f>"00327378"</f>
        <v>00327378</v>
      </c>
    </row>
    <row r="6908" spans="1:2" x14ac:dyDescent="0.25">
      <c r="A6908" s="2">
        <v>6903</v>
      </c>
      <c r="B6908" s="11" t="str">
        <f>"00327381"</f>
        <v>00327381</v>
      </c>
    </row>
    <row r="6909" spans="1:2" x14ac:dyDescent="0.25">
      <c r="A6909" s="2">
        <v>6904</v>
      </c>
      <c r="B6909" s="11" t="str">
        <f>"00327390"</f>
        <v>00327390</v>
      </c>
    </row>
    <row r="6910" spans="1:2" x14ac:dyDescent="0.25">
      <c r="A6910" s="2">
        <v>6905</v>
      </c>
      <c r="B6910" s="11" t="str">
        <f>"00327396"</f>
        <v>00327396</v>
      </c>
    </row>
    <row r="6911" spans="1:2" x14ac:dyDescent="0.25">
      <c r="A6911" s="2">
        <v>6906</v>
      </c>
      <c r="B6911" s="11" t="str">
        <f>"00327423"</f>
        <v>00327423</v>
      </c>
    </row>
    <row r="6912" spans="1:2" x14ac:dyDescent="0.25">
      <c r="A6912" s="2">
        <v>6907</v>
      </c>
      <c r="B6912" s="11" t="str">
        <f>"00327474"</f>
        <v>00327474</v>
      </c>
    </row>
    <row r="6913" spans="1:2" x14ac:dyDescent="0.25">
      <c r="A6913" s="2">
        <v>6908</v>
      </c>
      <c r="B6913" s="11" t="str">
        <f>"00327489"</f>
        <v>00327489</v>
      </c>
    </row>
    <row r="6914" spans="1:2" x14ac:dyDescent="0.25">
      <c r="A6914" s="2">
        <v>6909</v>
      </c>
      <c r="B6914" s="11" t="str">
        <f>"00327493"</f>
        <v>00327493</v>
      </c>
    </row>
    <row r="6915" spans="1:2" x14ac:dyDescent="0.25">
      <c r="A6915" s="2">
        <v>6910</v>
      </c>
      <c r="B6915" s="11" t="str">
        <f>"00327569"</f>
        <v>00327569</v>
      </c>
    </row>
    <row r="6916" spans="1:2" x14ac:dyDescent="0.25">
      <c r="A6916" s="2">
        <v>6911</v>
      </c>
      <c r="B6916" s="11" t="str">
        <f>"00327629"</f>
        <v>00327629</v>
      </c>
    </row>
    <row r="6917" spans="1:2" x14ac:dyDescent="0.25">
      <c r="A6917" s="2">
        <v>6912</v>
      </c>
      <c r="B6917" s="11" t="str">
        <f>"00327633"</f>
        <v>00327633</v>
      </c>
    </row>
    <row r="6918" spans="1:2" x14ac:dyDescent="0.25">
      <c r="A6918" s="2">
        <v>6913</v>
      </c>
      <c r="B6918" s="11" t="str">
        <f>"00327655"</f>
        <v>00327655</v>
      </c>
    </row>
    <row r="6919" spans="1:2" x14ac:dyDescent="0.25">
      <c r="A6919" s="2">
        <v>6914</v>
      </c>
      <c r="B6919" s="11" t="str">
        <f>"00327688"</f>
        <v>00327688</v>
      </c>
    </row>
    <row r="6920" spans="1:2" x14ac:dyDescent="0.25">
      <c r="A6920" s="2">
        <v>6915</v>
      </c>
      <c r="B6920" s="11" t="str">
        <f>"00327792"</f>
        <v>00327792</v>
      </c>
    </row>
    <row r="6921" spans="1:2" x14ac:dyDescent="0.25">
      <c r="A6921" s="2">
        <v>6916</v>
      </c>
      <c r="B6921" s="11" t="str">
        <f>"00327879"</f>
        <v>00327879</v>
      </c>
    </row>
    <row r="6922" spans="1:2" x14ac:dyDescent="0.25">
      <c r="A6922" s="2">
        <v>6917</v>
      </c>
      <c r="B6922" s="11" t="str">
        <f>"00327899"</f>
        <v>00327899</v>
      </c>
    </row>
    <row r="6923" spans="1:2" x14ac:dyDescent="0.25">
      <c r="A6923" s="2">
        <v>6918</v>
      </c>
      <c r="B6923" s="11" t="str">
        <f>"00327907"</f>
        <v>00327907</v>
      </c>
    </row>
    <row r="6924" spans="1:2" x14ac:dyDescent="0.25">
      <c r="A6924" s="2">
        <v>6919</v>
      </c>
      <c r="B6924" s="11" t="str">
        <f>"00327967"</f>
        <v>00327967</v>
      </c>
    </row>
    <row r="6925" spans="1:2" x14ac:dyDescent="0.25">
      <c r="A6925" s="2">
        <v>6920</v>
      </c>
      <c r="B6925" s="11" t="str">
        <f>"00328043"</f>
        <v>00328043</v>
      </c>
    </row>
    <row r="6926" spans="1:2" x14ac:dyDescent="0.25">
      <c r="A6926" s="2">
        <v>6921</v>
      </c>
      <c r="B6926" s="11" t="str">
        <f>"00328064"</f>
        <v>00328064</v>
      </c>
    </row>
    <row r="6927" spans="1:2" x14ac:dyDescent="0.25">
      <c r="A6927" s="2">
        <v>6922</v>
      </c>
      <c r="B6927" s="11" t="str">
        <f>"00328125"</f>
        <v>00328125</v>
      </c>
    </row>
    <row r="6928" spans="1:2" x14ac:dyDescent="0.25">
      <c r="A6928" s="2">
        <v>6923</v>
      </c>
      <c r="B6928" s="11" t="str">
        <f>"00328143"</f>
        <v>00328143</v>
      </c>
    </row>
    <row r="6929" spans="1:2" x14ac:dyDescent="0.25">
      <c r="A6929" s="2">
        <v>6924</v>
      </c>
      <c r="B6929" s="11" t="str">
        <f>"00328149"</f>
        <v>00328149</v>
      </c>
    </row>
    <row r="6930" spans="1:2" x14ac:dyDescent="0.25">
      <c r="A6930" s="2">
        <v>6925</v>
      </c>
      <c r="B6930" s="11" t="str">
        <f>"00328190"</f>
        <v>00328190</v>
      </c>
    </row>
    <row r="6931" spans="1:2" x14ac:dyDescent="0.25">
      <c r="A6931" s="2">
        <v>6926</v>
      </c>
      <c r="B6931" s="11" t="str">
        <f>"00328210"</f>
        <v>00328210</v>
      </c>
    </row>
    <row r="6932" spans="1:2" x14ac:dyDescent="0.25">
      <c r="A6932" s="2">
        <v>6927</v>
      </c>
      <c r="B6932" s="11" t="str">
        <f>"00328219"</f>
        <v>00328219</v>
      </c>
    </row>
    <row r="6933" spans="1:2" x14ac:dyDescent="0.25">
      <c r="A6933" s="2">
        <v>6928</v>
      </c>
      <c r="B6933" s="11" t="str">
        <f>"00328281"</f>
        <v>00328281</v>
      </c>
    </row>
    <row r="6934" spans="1:2" x14ac:dyDescent="0.25">
      <c r="A6934" s="2">
        <v>6929</v>
      </c>
      <c r="B6934" s="11" t="str">
        <f>"00328377"</f>
        <v>00328377</v>
      </c>
    </row>
    <row r="6935" spans="1:2" x14ac:dyDescent="0.25">
      <c r="A6935" s="2">
        <v>6930</v>
      </c>
      <c r="B6935" s="11" t="str">
        <f>"00328379"</f>
        <v>00328379</v>
      </c>
    </row>
    <row r="6936" spans="1:2" x14ac:dyDescent="0.25">
      <c r="A6936" s="2">
        <v>6931</v>
      </c>
      <c r="B6936" s="11" t="str">
        <f>"00328494"</f>
        <v>00328494</v>
      </c>
    </row>
    <row r="6937" spans="1:2" x14ac:dyDescent="0.25">
      <c r="A6937" s="2">
        <v>6932</v>
      </c>
      <c r="B6937" s="11" t="str">
        <f>"00328508"</f>
        <v>00328508</v>
      </c>
    </row>
    <row r="6938" spans="1:2" x14ac:dyDescent="0.25">
      <c r="A6938" s="2">
        <v>6933</v>
      </c>
      <c r="B6938" s="11" t="str">
        <f>"00328527"</f>
        <v>00328527</v>
      </c>
    </row>
    <row r="6939" spans="1:2" x14ac:dyDescent="0.25">
      <c r="A6939" s="2">
        <v>6934</v>
      </c>
      <c r="B6939" s="11" t="str">
        <f>"00328584"</f>
        <v>00328584</v>
      </c>
    </row>
    <row r="6940" spans="1:2" x14ac:dyDescent="0.25">
      <c r="A6940" s="2">
        <v>6935</v>
      </c>
      <c r="B6940" s="11" t="str">
        <f>"00328680"</f>
        <v>00328680</v>
      </c>
    </row>
    <row r="6941" spans="1:2" x14ac:dyDescent="0.25">
      <c r="A6941" s="2">
        <v>6936</v>
      </c>
      <c r="B6941" s="11" t="str">
        <f>"00328686"</f>
        <v>00328686</v>
      </c>
    </row>
    <row r="6942" spans="1:2" x14ac:dyDescent="0.25">
      <c r="A6942" s="2">
        <v>6937</v>
      </c>
      <c r="B6942" s="11" t="str">
        <f>"00328724"</f>
        <v>00328724</v>
      </c>
    </row>
    <row r="6943" spans="1:2" x14ac:dyDescent="0.25">
      <c r="A6943" s="2">
        <v>6938</v>
      </c>
      <c r="B6943" s="11" t="str">
        <f>"00328782"</f>
        <v>00328782</v>
      </c>
    </row>
    <row r="6944" spans="1:2" x14ac:dyDescent="0.25">
      <c r="A6944" s="2">
        <v>6939</v>
      </c>
      <c r="B6944" s="11" t="str">
        <f>"00328795"</f>
        <v>00328795</v>
      </c>
    </row>
    <row r="6945" spans="1:2" x14ac:dyDescent="0.25">
      <c r="A6945" s="2">
        <v>6940</v>
      </c>
      <c r="B6945" s="11" t="str">
        <f>"00328868"</f>
        <v>00328868</v>
      </c>
    </row>
    <row r="6946" spans="1:2" x14ac:dyDescent="0.25">
      <c r="A6946" s="2">
        <v>6941</v>
      </c>
      <c r="B6946" s="11" t="str">
        <f>"00328871"</f>
        <v>00328871</v>
      </c>
    </row>
    <row r="6947" spans="1:2" x14ac:dyDescent="0.25">
      <c r="A6947" s="2">
        <v>6942</v>
      </c>
      <c r="B6947" s="11" t="str">
        <f>"00328907"</f>
        <v>00328907</v>
      </c>
    </row>
    <row r="6948" spans="1:2" x14ac:dyDescent="0.25">
      <c r="A6948" s="2">
        <v>6943</v>
      </c>
      <c r="B6948" s="11" t="str">
        <f>"00328911"</f>
        <v>00328911</v>
      </c>
    </row>
    <row r="6949" spans="1:2" x14ac:dyDescent="0.25">
      <c r="A6949" s="2">
        <v>6944</v>
      </c>
      <c r="B6949" s="11" t="str">
        <f>"00328940"</f>
        <v>00328940</v>
      </c>
    </row>
    <row r="6950" spans="1:2" x14ac:dyDescent="0.25">
      <c r="A6950" s="2">
        <v>6945</v>
      </c>
      <c r="B6950" s="11" t="str">
        <f>"00328955"</f>
        <v>00328955</v>
      </c>
    </row>
    <row r="6951" spans="1:2" x14ac:dyDescent="0.25">
      <c r="A6951" s="2">
        <v>6946</v>
      </c>
      <c r="B6951" s="11" t="str">
        <f>"00328957"</f>
        <v>00328957</v>
      </c>
    </row>
    <row r="6952" spans="1:2" x14ac:dyDescent="0.25">
      <c r="A6952" s="2">
        <v>6947</v>
      </c>
      <c r="B6952" s="11" t="str">
        <f>"00328975"</f>
        <v>00328975</v>
      </c>
    </row>
    <row r="6953" spans="1:2" x14ac:dyDescent="0.25">
      <c r="A6953" s="2">
        <v>6948</v>
      </c>
      <c r="B6953" s="11" t="str">
        <f>"00329056"</f>
        <v>00329056</v>
      </c>
    </row>
    <row r="6954" spans="1:2" x14ac:dyDescent="0.25">
      <c r="A6954" s="2">
        <v>6949</v>
      </c>
      <c r="B6954" s="11" t="str">
        <f>"00329104"</f>
        <v>00329104</v>
      </c>
    </row>
    <row r="6955" spans="1:2" x14ac:dyDescent="0.25">
      <c r="A6955" s="2">
        <v>6950</v>
      </c>
      <c r="B6955" s="11" t="str">
        <f>"00329132"</f>
        <v>00329132</v>
      </c>
    </row>
    <row r="6956" spans="1:2" x14ac:dyDescent="0.25">
      <c r="A6956" s="2">
        <v>6951</v>
      </c>
      <c r="B6956" s="11" t="str">
        <f>"00329182"</f>
        <v>00329182</v>
      </c>
    </row>
    <row r="6957" spans="1:2" x14ac:dyDescent="0.25">
      <c r="A6957" s="2">
        <v>6952</v>
      </c>
      <c r="B6957" s="11" t="str">
        <f>"00329238"</f>
        <v>00329238</v>
      </c>
    </row>
    <row r="6958" spans="1:2" x14ac:dyDescent="0.25">
      <c r="A6958" s="2">
        <v>6953</v>
      </c>
      <c r="B6958" s="11" t="str">
        <f>"00329239"</f>
        <v>00329239</v>
      </c>
    </row>
    <row r="6959" spans="1:2" x14ac:dyDescent="0.25">
      <c r="A6959" s="2">
        <v>6954</v>
      </c>
      <c r="B6959" s="11" t="str">
        <f>"00329302"</f>
        <v>00329302</v>
      </c>
    </row>
    <row r="6960" spans="1:2" x14ac:dyDescent="0.25">
      <c r="A6960" s="2">
        <v>6955</v>
      </c>
      <c r="B6960" s="11" t="str">
        <f>"00329355"</f>
        <v>00329355</v>
      </c>
    </row>
    <row r="6961" spans="1:2" x14ac:dyDescent="0.25">
      <c r="A6961" s="2">
        <v>6956</v>
      </c>
      <c r="B6961" s="11" t="str">
        <f>"00329393"</f>
        <v>00329393</v>
      </c>
    </row>
    <row r="6962" spans="1:2" x14ac:dyDescent="0.25">
      <c r="A6962" s="2">
        <v>6957</v>
      </c>
      <c r="B6962" s="11" t="str">
        <f>"00329397"</f>
        <v>00329397</v>
      </c>
    </row>
    <row r="6963" spans="1:2" x14ac:dyDescent="0.25">
      <c r="A6963" s="2">
        <v>6958</v>
      </c>
      <c r="B6963" s="11" t="str">
        <f>"00329404"</f>
        <v>00329404</v>
      </c>
    </row>
    <row r="6964" spans="1:2" x14ac:dyDescent="0.25">
      <c r="A6964" s="2">
        <v>6959</v>
      </c>
      <c r="B6964" s="11" t="str">
        <f>"00329504"</f>
        <v>00329504</v>
      </c>
    </row>
    <row r="6965" spans="1:2" x14ac:dyDescent="0.25">
      <c r="A6965" s="2">
        <v>6960</v>
      </c>
      <c r="B6965" s="11" t="str">
        <f>"00329520"</f>
        <v>00329520</v>
      </c>
    </row>
    <row r="6966" spans="1:2" x14ac:dyDescent="0.25">
      <c r="A6966" s="2">
        <v>6961</v>
      </c>
      <c r="B6966" s="11" t="str">
        <f>"00329536"</f>
        <v>00329536</v>
      </c>
    </row>
    <row r="6967" spans="1:2" x14ac:dyDescent="0.25">
      <c r="A6967" s="2">
        <v>6962</v>
      </c>
      <c r="B6967" s="11" t="str">
        <f>"00329663"</f>
        <v>00329663</v>
      </c>
    </row>
    <row r="6968" spans="1:2" x14ac:dyDescent="0.25">
      <c r="A6968" s="2">
        <v>6963</v>
      </c>
      <c r="B6968" s="11" t="str">
        <f>"00329664"</f>
        <v>00329664</v>
      </c>
    </row>
    <row r="6969" spans="1:2" x14ac:dyDescent="0.25">
      <c r="A6969" s="2">
        <v>6964</v>
      </c>
      <c r="B6969" s="11" t="str">
        <f>"00329686"</f>
        <v>00329686</v>
      </c>
    </row>
    <row r="6970" spans="1:2" x14ac:dyDescent="0.25">
      <c r="A6970" s="2">
        <v>6965</v>
      </c>
      <c r="B6970" s="11" t="str">
        <f>"00329690"</f>
        <v>00329690</v>
      </c>
    </row>
    <row r="6971" spans="1:2" x14ac:dyDescent="0.25">
      <c r="A6971" s="2">
        <v>6966</v>
      </c>
      <c r="B6971" s="11" t="str">
        <f>"00329840"</f>
        <v>00329840</v>
      </c>
    </row>
    <row r="6972" spans="1:2" x14ac:dyDescent="0.25">
      <c r="A6972" s="2">
        <v>6967</v>
      </c>
      <c r="B6972" s="11" t="str">
        <f>"00329930"</f>
        <v>00329930</v>
      </c>
    </row>
    <row r="6973" spans="1:2" x14ac:dyDescent="0.25">
      <c r="A6973" s="2">
        <v>6968</v>
      </c>
      <c r="B6973" s="11" t="str">
        <f>"00329943"</f>
        <v>00329943</v>
      </c>
    </row>
    <row r="6974" spans="1:2" x14ac:dyDescent="0.25">
      <c r="A6974" s="2">
        <v>6969</v>
      </c>
      <c r="B6974" s="11" t="str">
        <f>"00329959"</f>
        <v>00329959</v>
      </c>
    </row>
    <row r="6975" spans="1:2" x14ac:dyDescent="0.25">
      <c r="A6975" s="2">
        <v>6970</v>
      </c>
      <c r="B6975" s="11" t="str">
        <f>"00330030"</f>
        <v>00330030</v>
      </c>
    </row>
    <row r="6976" spans="1:2" x14ac:dyDescent="0.25">
      <c r="A6976" s="2">
        <v>6971</v>
      </c>
      <c r="B6976" s="11" t="str">
        <f>"00330062"</f>
        <v>00330062</v>
      </c>
    </row>
    <row r="6977" spans="1:2" x14ac:dyDescent="0.25">
      <c r="A6977" s="2">
        <v>6972</v>
      </c>
      <c r="B6977" s="11" t="str">
        <f>"00330118"</f>
        <v>00330118</v>
      </c>
    </row>
    <row r="6978" spans="1:2" x14ac:dyDescent="0.25">
      <c r="A6978" s="2">
        <v>6973</v>
      </c>
      <c r="B6978" s="11" t="str">
        <f>"00330274"</f>
        <v>00330274</v>
      </c>
    </row>
    <row r="6979" spans="1:2" x14ac:dyDescent="0.25">
      <c r="A6979" s="2">
        <v>6974</v>
      </c>
      <c r="B6979" s="11" t="str">
        <f>"00330418"</f>
        <v>00330418</v>
      </c>
    </row>
    <row r="6980" spans="1:2" x14ac:dyDescent="0.25">
      <c r="A6980" s="2">
        <v>6975</v>
      </c>
      <c r="B6980" s="11" t="str">
        <f>"00330439"</f>
        <v>00330439</v>
      </c>
    </row>
    <row r="6981" spans="1:2" x14ac:dyDescent="0.25">
      <c r="A6981" s="2">
        <v>6976</v>
      </c>
      <c r="B6981" s="11" t="str">
        <f>"00330478"</f>
        <v>00330478</v>
      </c>
    </row>
    <row r="6982" spans="1:2" x14ac:dyDescent="0.25">
      <c r="A6982" s="2">
        <v>6977</v>
      </c>
      <c r="B6982" s="11" t="str">
        <f>"00330483"</f>
        <v>00330483</v>
      </c>
    </row>
    <row r="6983" spans="1:2" x14ac:dyDescent="0.25">
      <c r="A6983" s="2">
        <v>6978</v>
      </c>
      <c r="B6983" s="11" t="str">
        <f>"00330563"</f>
        <v>00330563</v>
      </c>
    </row>
    <row r="6984" spans="1:2" x14ac:dyDescent="0.25">
      <c r="A6984" s="2">
        <v>6979</v>
      </c>
      <c r="B6984" s="11" t="str">
        <f>"00330575"</f>
        <v>00330575</v>
      </c>
    </row>
    <row r="6985" spans="1:2" x14ac:dyDescent="0.25">
      <c r="A6985" s="2">
        <v>6980</v>
      </c>
      <c r="B6985" s="11" t="str">
        <f>"00330581"</f>
        <v>00330581</v>
      </c>
    </row>
    <row r="6986" spans="1:2" x14ac:dyDescent="0.25">
      <c r="A6986" s="2">
        <v>6981</v>
      </c>
      <c r="B6986" s="11" t="str">
        <f>"00330662"</f>
        <v>00330662</v>
      </c>
    </row>
    <row r="6987" spans="1:2" x14ac:dyDescent="0.25">
      <c r="A6987" s="2">
        <v>6982</v>
      </c>
      <c r="B6987" s="11" t="str">
        <f>"00330714"</f>
        <v>00330714</v>
      </c>
    </row>
    <row r="6988" spans="1:2" x14ac:dyDescent="0.25">
      <c r="A6988" s="2">
        <v>6983</v>
      </c>
      <c r="B6988" s="11" t="str">
        <f>"00330724"</f>
        <v>00330724</v>
      </c>
    </row>
    <row r="6989" spans="1:2" x14ac:dyDescent="0.25">
      <c r="A6989" s="2">
        <v>6984</v>
      </c>
      <c r="B6989" s="11" t="str">
        <f>"00330840"</f>
        <v>00330840</v>
      </c>
    </row>
    <row r="6990" spans="1:2" x14ac:dyDescent="0.25">
      <c r="A6990" s="2">
        <v>6985</v>
      </c>
      <c r="B6990" s="11" t="str">
        <f>"00330902"</f>
        <v>00330902</v>
      </c>
    </row>
    <row r="6991" spans="1:2" x14ac:dyDescent="0.25">
      <c r="A6991" s="2">
        <v>6986</v>
      </c>
      <c r="B6991" s="11" t="str">
        <f>"00330904"</f>
        <v>00330904</v>
      </c>
    </row>
    <row r="6992" spans="1:2" x14ac:dyDescent="0.25">
      <c r="A6992" s="2">
        <v>6987</v>
      </c>
      <c r="B6992" s="11" t="str">
        <f>"00330948"</f>
        <v>00330948</v>
      </c>
    </row>
    <row r="6993" spans="1:2" x14ac:dyDescent="0.25">
      <c r="A6993" s="2">
        <v>6988</v>
      </c>
      <c r="B6993" s="11" t="str">
        <f>"00331000"</f>
        <v>00331000</v>
      </c>
    </row>
    <row r="6994" spans="1:2" x14ac:dyDescent="0.25">
      <c r="A6994" s="2">
        <v>6989</v>
      </c>
      <c r="B6994" s="11" t="str">
        <f>"00331020"</f>
        <v>00331020</v>
      </c>
    </row>
    <row r="6995" spans="1:2" x14ac:dyDescent="0.25">
      <c r="A6995" s="2">
        <v>6990</v>
      </c>
      <c r="B6995" s="11" t="str">
        <f>"00331037"</f>
        <v>00331037</v>
      </c>
    </row>
    <row r="6996" spans="1:2" x14ac:dyDescent="0.25">
      <c r="A6996" s="2">
        <v>6991</v>
      </c>
      <c r="B6996" s="11" t="str">
        <f>"00331115"</f>
        <v>00331115</v>
      </c>
    </row>
    <row r="6997" spans="1:2" x14ac:dyDescent="0.25">
      <c r="A6997" s="2">
        <v>6992</v>
      </c>
      <c r="B6997" s="11" t="str">
        <f>"00331167"</f>
        <v>00331167</v>
      </c>
    </row>
    <row r="6998" spans="1:2" x14ac:dyDescent="0.25">
      <c r="A6998" s="2">
        <v>6993</v>
      </c>
      <c r="B6998" s="11" t="str">
        <f>"00331245"</f>
        <v>00331245</v>
      </c>
    </row>
    <row r="6999" spans="1:2" x14ac:dyDescent="0.25">
      <c r="A6999" s="2">
        <v>6994</v>
      </c>
      <c r="B6999" s="11" t="str">
        <f>"00331253"</f>
        <v>00331253</v>
      </c>
    </row>
    <row r="7000" spans="1:2" x14ac:dyDescent="0.25">
      <c r="A7000" s="2">
        <v>6995</v>
      </c>
      <c r="B7000" s="11" t="str">
        <f>"00331285"</f>
        <v>00331285</v>
      </c>
    </row>
    <row r="7001" spans="1:2" x14ac:dyDescent="0.25">
      <c r="A7001" s="2">
        <v>6996</v>
      </c>
      <c r="B7001" s="11" t="str">
        <f>"00331316"</f>
        <v>00331316</v>
      </c>
    </row>
    <row r="7002" spans="1:2" x14ac:dyDescent="0.25">
      <c r="A7002" s="2">
        <v>6997</v>
      </c>
      <c r="B7002" s="11" t="str">
        <f>"00331464"</f>
        <v>00331464</v>
      </c>
    </row>
    <row r="7003" spans="1:2" x14ac:dyDescent="0.25">
      <c r="A7003" s="2">
        <v>6998</v>
      </c>
      <c r="B7003" s="11" t="str">
        <f>"00331536"</f>
        <v>00331536</v>
      </c>
    </row>
    <row r="7004" spans="1:2" x14ac:dyDescent="0.25">
      <c r="A7004" s="2">
        <v>6999</v>
      </c>
      <c r="B7004" s="11" t="str">
        <f>"00331559"</f>
        <v>00331559</v>
      </c>
    </row>
    <row r="7005" spans="1:2" x14ac:dyDescent="0.25">
      <c r="A7005" s="2">
        <v>7000</v>
      </c>
      <c r="B7005" s="11" t="str">
        <f>"00331804"</f>
        <v>00331804</v>
      </c>
    </row>
    <row r="7006" spans="1:2" x14ac:dyDescent="0.25">
      <c r="A7006" s="2">
        <v>7001</v>
      </c>
      <c r="B7006" s="11" t="str">
        <f>"00331849"</f>
        <v>00331849</v>
      </c>
    </row>
    <row r="7007" spans="1:2" x14ac:dyDescent="0.25">
      <c r="A7007" s="2">
        <v>7002</v>
      </c>
      <c r="B7007" s="11" t="str">
        <f>"00331867"</f>
        <v>00331867</v>
      </c>
    </row>
    <row r="7008" spans="1:2" x14ac:dyDescent="0.25">
      <c r="A7008" s="2">
        <v>7003</v>
      </c>
      <c r="B7008" s="11" t="str">
        <f>"00331915"</f>
        <v>00331915</v>
      </c>
    </row>
    <row r="7009" spans="1:2" x14ac:dyDescent="0.25">
      <c r="A7009" s="2">
        <v>7004</v>
      </c>
      <c r="B7009" s="11" t="str">
        <f>"00331929"</f>
        <v>00331929</v>
      </c>
    </row>
    <row r="7010" spans="1:2" x14ac:dyDescent="0.25">
      <c r="A7010" s="2">
        <v>7005</v>
      </c>
      <c r="B7010" s="11" t="str">
        <f>"00332133"</f>
        <v>00332133</v>
      </c>
    </row>
    <row r="7011" spans="1:2" x14ac:dyDescent="0.25">
      <c r="A7011" s="2">
        <v>7006</v>
      </c>
      <c r="B7011" s="11" t="str">
        <f>"00332268"</f>
        <v>00332268</v>
      </c>
    </row>
    <row r="7012" spans="1:2" x14ac:dyDescent="0.25">
      <c r="A7012" s="2">
        <v>7007</v>
      </c>
      <c r="B7012" s="11" t="str">
        <f>"00332282"</f>
        <v>00332282</v>
      </c>
    </row>
    <row r="7013" spans="1:2" x14ac:dyDescent="0.25">
      <c r="A7013" s="2">
        <v>7008</v>
      </c>
      <c r="B7013" s="11" t="str">
        <f>"00332332"</f>
        <v>00332332</v>
      </c>
    </row>
    <row r="7014" spans="1:2" x14ac:dyDescent="0.25">
      <c r="A7014" s="2">
        <v>7009</v>
      </c>
      <c r="B7014" s="11" t="str">
        <f>"00332409"</f>
        <v>00332409</v>
      </c>
    </row>
    <row r="7015" spans="1:2" x14ac:dyDescent="0.25">
      <c r="A7015" s="2">
        <v>7010</v>
      </c>
      <c r="B7015" s="11" t="str">
        <f>"00332494"</f>
        <v>00332494</v>
      </c>
    </row>
    <row r="7016" spans="1:2" x14ac:dyDescent="0.25">
      <c r="A7016" s="2">
        <v>7011</v>
      </c>
      <c r="B7016" s="11" t="str">
        <f>"00332549"</f>
        <v>00332549</v>
      </c>
    </row>
    <row r="7017" spans="1:2" x14ac:dyDescent="0.25">
      <c r="A7017" s="2">
        <v>7012</v>
      </c>
      <c r="B7017" s="11" t="str">
        <f>"00332550"</f>
        <v>00332550</v>
      </c>
    </row>
    <row r="7018" spans="1:2" x14ac:dyDescent="0.25">
      <c r="A7018" s="2">
        <v>7013</v>
      </c>
      <c r="B7018" s="11" t="str">
        <f>"00332659"</f>
        <v>00332659</v>
      </c>
    </row>
    <row r="7019" spans="1:2" x14ac:dyDescent="0.25">
      <c r="A7019" s="2">
        <v>7014</v>
      </c>
      <c r="B7019" s="11" t="str">
        <f>"00332692"</f>
        <v>00332692</v>
      </c>
    </row>
    <row r="7020" spans="1:2" x14ac:dyDescent="0.25">
      <c r="A7020" s="2">
        <v>7015</v>
      </c>
      <c r="B7020" s="11" t="str">
        <f>"00332700"</f>
        <v>00332700</v>
      </c>
    </row>
    <row r="7021" spans="1:2" x14ac:dyDescent="0.25">
      <c r="A7021" s="2">
        <v>7016</v>
      </c>
      <c r="B7021" s="11" t="str">
        <f>"00332721"</f>
        <v>00332721</v>
      </c>
    </row>
    <row r="7022" spans="1:2" x14ac:dyDescent="0.25">
      <c r="A7022" s="2">
        <v>7017</v>
      </c>
      <c r="B7022" s="11" t="str">
        <f>"00332747"</f>
        <v>00332747</v>
      </c>
    </row>
    <row r="7023" spans="1:2" x14ac:dyDescent="0.25">
      <c r="A7023" s="2">
        <v>7018</v>
      </c>
      <c r="B7023" s="11" t="str">
        <f>"00332750"</f>
        <v>00332750</v>
      </c>
    </row>
    <row r="7024" spans="1:2" x14ac:dyDescent="0.25">
      <c r="A7024" s="2">
        <v>7019</v>
      </c>
      <c r="B7024" s="11" t="str">
        <f>"00332769"</f>
        <v>00332769</v>
      </c>
    </row>
    <row r="7025" spans="1:2" x14ac:dyDescent="0.25">
      <c r="A7025" s="2">
        <v>7020</v>
      </c>
      <c r="B7025" s="11" t="str">
        <f>"00332807"</f>
        <v>00332807</v>
      </c>
    </row>
    <row r="7026" spans="1:2" x14ac:dyDescent="0.25">
      <c r="A7026" s="2">
        <v>7021</v>
      </c>
      <c r="B7026" s="11" t="str">
        <f>"00332808"</f>
        <v>00332808</v>
      </c>
    </row>
    <row r="7027" spans="1:2" x14ac:dyDescent="0.25">
      <c r="A7027" s="2">
        <v>7022</v>
      </c>
      <c r="B7027" s="11" t="str">
        <f>"00332832"</f>
        <v>00332832</v>
      </c>
    </row>
    <row r="7028" spans="1:2" x14ac:dyDescent="0.25">
      <c r="A7028" s="2">
        <v>7023</v>
      </c>
      <c r="B7028" s="11" t="str">
        <f>"00332868"</f>
        <v>00332868</v>
      </c>
    </row>
    <row r="7029" spans="1:2" x14ac:dyDescent="0.25">
      <c r="A7029" s="2">
        <v>7024</v>
      </c>
      <c r="B7029" s="11" t="str">
        <f>"00332875"</f>
        <v>00332875</v>
      </c>
    </row>
    <row r="7030" spans="1:2" x14ac:dyDescent="0.25">
      <c r="A7030" s="2">
        <v>7025</v>
      </c>
      <c r="B7030" s="11" t="str">
        <f>"00332960"</f>
        <v>00332960</v>
      </c>
    </row>
    <row r="7031" spans="1:2" x14ac:dyDescent="0.25">
      <c r="A7031" s="2">
        <v>7026</v>
      </c>
      <c r="B7031" s="11" t="str">
        <f>"00332966"</f>
        <v>00332966</v>
      </c>
    </row>
    <row r="7032" spans="1:2" x14ac:dyDescent="0.25">
      <c r="A7032" s="2">
        <v>7027</v>
      </c>
      <c r="B7032" s="11" t="str">
        <f>"00333033"</f>
        <v>00333033</v>
      </c>
    </row>
    <row r="7033" spans="1:2" x14ac:dyDescent="0.25">
      <c r="A7033" s="2">
        <v>7028</v>
      </c>
      <c r="B7033" s="11" t="str">
        <f>"00333043"</f>
        <v>00333043</v>
      </c>
    </row>
    <row r="7034" spans="1:2" x14ac:dyDescent="0.25">
      <c r="A7034" s="2">
        <v>7029</v>
      </c>
      <c r="B7034" s="11" t="str">
        <f>"00333091"</f>
        <v>00333091</v>
      </c>
    </row>
    <row r="7035" spans="1:2" x14ac:dyDescent="0.25">
      <c r="A7035" s="2">
        <v>7030</v>
      </c>
      <c r="B7035" s="11" t="str">
        <f>"00333103"</f>
        <v>00333103</v>
      </c>
    </row>
    <row r="7036" spans="1:2" x14ac:dyDescent="0.25">
      <c r="A7036" s="2">
        <v>7031</v>
      </c>
      <c r="B7036" s="11" t="str">
        <f>"00333164"</f>
        <v>00333164</v>
      </c>
    </row>
    <row r="7037" spans="1:2" x14ac:dyDescent="0.25">
      <c r="A7037" s="2">
        <v>7032</v>
      </c>
      <c r="B7037" s="11" t="str">
        <f>"00333188"</f>
        <v>00333188</v>
      </c>
    </row>
    <row r="7038" spans="1:2" x14ac:dyDescent="0.25">
      <c r="A7038" s="2">
        <v>7033</v>
      </c>
      <c r="B7038" s="11" t="str">
        <f>"00333270"</f>
        <v>00333270</v>
      </c>
    </row>
    <row r="7039" spans="1:2" x14ac:dyDescent="0.25">
      <c r="A7039" s="2">
        <v>7034</v>
      </c>
      <c r="B7039" s="11" t="str">
        <f>"00333275"</f>
        <v>00333275</v>
      </c>
    </row>
    <row r="7040" spans="1:2" x14ac:dyDescent="0.25">
      <c r="A7040" s="2">
        <v>7035</v>
      </c>
      <c r="B7040" s="11" t="str">
        <f>"00333301"</f>
        <v>00333301</v>
      </c>
    </row>
    <row r="7041" spans="1:2" x14ac:dyDescent="0.25">
      <c r="A7041" s="2">
        <v>7036</v>
      </c>
      <c r="B7041" s="11" t="str">
        <f>"00333477"</f>
        <v>00333477</v>
      </c>
    </row>
    <row r="7042" spans="1:2" x14ac:dyDescent="0.25">
      <c r="A7042" s="2">
        <v>7037</v>
      </c>
      <c r="B7042" s="11" t="str">
        <f>"00333479"</f>
        <v>00333479</v>
      </c>
    </row>
    <row r="7043" spans="1:2" x14ac:dyDescent="0.25">
      <c r="A7043" s="2">
        <v>7038</v>
      </c>
      <c r="B7043" s="11" t="str">
        <f>"00333489"</f>
        <v>00333489</v>
      </c>
    </row>
    <row r="7044" spans="1:2" x14ac:dyDescent="0.25">
      <c r="A7044" s="2">
        <v>7039</v>
      </c>
      <c r="B7044" s="11" t="str">
        <f>"00333504"</f>
        <v>00333504</v>
      </c>
    </row>
    <row r="7045" spans="1:2" x14ac:dyDescent="0.25">
      <c r="A7045" s="2">
        <v>7040</v>
      </c>
      <c r="B7045" s="11" t="str">
        <f>"00333518"</f>
        <v>00333518</v>
      </c>
    </row>
    <row r="7046" spans="1:2" x14ac:dyDescent="0.25">
      <c r="A7046" s="2">
        <v>7041</v>
      </c>
      <c r="B7046" s="11" t="str">
        <f>"00333574"</f>
        <v>00333574</v>
      </c>
    </row>
    <row r="7047" spans="1:2" x14ac:dyDescent="0.25">
      <c r="A7047" s="2">
        <v>7042</v>
      </c>
      <c r="B7047" s="11" t="str">
        <f>"00333601"</f>
        <v>00333601</v>
      </c>
    </row>
    <row r="7048" spans="1:2" x14ac:dyDescent="0.25">
      <c r="A7048" s="2">
        <v>7043</v>
      </c>
      <c r="B7048" s="11" t="str">
        <f>"00333624"</f>
        <v>00333624</v>
      </c>
    </row>
    <row r="7049" spans="1:2" x14ac:dyDescent="0.25">
      <c r="A7049" s="2">
        <v>7044</v>
      </c>
      <c r="B7049" s="11" t="str">
        <f>"00333710"</f>
        <v>00333710</v>
      </c>
    </row>
    <row r="7050" spans="1:2" x14ac:dyDescent="0.25">
      <c r="A7050" s="2">
        <v>7045</v>
      </c>
      <c r="B7050" s="11" t="str">
        <f>"00333808"</f>
        <v>00333808</v>
      </c>
    </row>
    <row r="7051" spans="1:2" x14ac:dyDescent="0.25">
      <c r="A7051" s="2">
        <v>7046</v>
      </c>
      <c r="B7051" s="11" t="str">
        <f>"00333822"</f>
        <v>00333822</v>
      </c>
    </row>
    <row r="7052" spans="1:2" x14ac:dyDescent="0.25">
      <c r="A7052" s="2">
        <v>7047</v>
      </c>
      <c r="B7052" s="11" t="str">
        <f>"00333832"</f>
        <v>00333832</v>
      </c>
    </row>
    <row r="7053" spans="1:2" x14ac:dyDescent="0.25">
      <c r="A7053" s="2">
        <v>7048</v>
      </c>
      <c r="B7053" s="11" t="str">
        <f>"00333851"</f>
        <v>00333851</v>
      </c>
    </row>
    <row r="7054" spans="1:2" x14ac:dyDescent="0.25">
      <c r="A7054" s="2">
        <v>7049</v>
      </c>
      <c r="B7054" s="11" t="str">
        <f>"00333884"</f>
        <v>00333884</v>
      </c>
    </row>
    <row r="7055" spans="1:2" x14ac:dyDescent="0.25">
      <c r="A7055" s="2">
        <v>7050</v>
      </c>
      <c r="B7055" s="11" t="str">
        <f>"00333899"</f>
        <v>00333899</v>
      </c>
    </row>
    <row r="7056" spans="1:2" x14ac:dyDescent="0.25">
      <c r="A7056" s="2">
        <v>7051</v>
      </c>
      <c r="B7056" s="11" t="str">
        <f>"00334012"</f>
        <v>00334012</v>
      </c>
    </row>
    <row r="7057" spans="1:2" x14ac:dyDescent="0.25">
      <c r="A7057" s="2">
        <v>7052</v>
      </c>
      <c r="B7057" s="11" t="str">
        <f>"00334085"</f>
        <v>00334085</v>
      </c>
    </row>
    <row r="7058" spans="1:2" x14ac:dyDescent="0.25">
      <c r="A7058" s="2">
        <v>7053</v>
      </c>
      <c r="B7058" s="11" t="str">
        <f>"00334100"</f>
        <v>00334100</v>
      </c>
    </row>
    <row r="7059" spans="1:2" x14ac:dyDescent="0.25">
      <c r="A7059" s="2">
        <v>7054</v>
      </c>
      <c r="B7059" s="11" t="str">
        <f>"00334174"</f>
        <v>00334174</v>
      </c>
    </row>
    <row r="7060" spans="1:2" x14ac:dyDescent="0.25">
      <c r="A7060" s="2">
        <v>7055</v>
      </c>
      <c r="B7060" s="11" t="str">
        <f>"00334249"</f>
        <v>00334249</v>
      </c>
    </row>
    <row r="7061" spans="1:2" x14ac:dyDescent="0.25">
      <c r="A7061" s="2">
        <v>7056</v>
      </c>
      <c r="B7061" s="11" t="str">
        <f>"00334355"</f>
        <v>00334355</v>
      </c>
    </row>
    <row r="7062" spans="1:2" x14ac:dyDescent="0.25">
      <c r="A7062" s="2">
        <v>7057</v>
      </c>
      <c r="B7062" s="11" t="str">
        <f>"00334410"</f>
        <v>00334410</v>
      </c>
    </row>
    <row r="7063" spans="1:2" x14ac:dyDescent="0.25">
      <c r="A7063" s="2">
        <v>7058</v>
      </c>
      <c r="B7063" s="11" t="str">
        <f>"00334438"</f>
        <v>00334438</v>
      </c>
    </row>
    <row r="7064" spans="1:2" x14ac:dyDescent="0.25">
      <c r="A7064" s="2">
        <v>7059</v>
      </c>
      <c r="B7064" s="11" t="str">
        <f>"00334441"</f>
        <v>00334441</v>
      </c>
    </row>
    <row r="7065" spans="1:2" x14ac:dyDescent="0.25">
      <c r="A7065" s="2">
        <v>7060</v>
      </c>
      <c r="B7065" s="11" t="str">
        <f>"00334481"</f>
        <v>00334481</v>
      </c>
    </row>
    <row r="7066" spans="1:2" x14ac:dyDescent="0.25">
      <c r="A7066" s="2">
        <v>7061</v>
      </c>
      <c r="B7066" s="11" t="str">
        <f>"00334496"</f>
        <v>00334496</v>
      </c>
    </row>
    <row r="7067" spans="1:2" x14ac:dyDescent="0.25">
      <c r="A7067" s="2">
        <v>7062</v>
      </c>
      <c r="B7067" s="11" t="str">
        <f>"00334501"</f>
        <v>00334501</v>
      </c>
    </row>
    <row r="7068" spans="1:2" x14ac:dyDescent="0.25">
      <c r="A7068" s="2">
        <v>7063</v>
      </c>
      <c r="B7068" s="11" t="str">
        <f>"00334537"</f>
        <v>00334537</v>
      </c>
    </row>
    <row r="7069" spans="1:2" x14ac:dyDescent="0.25">
      <c r="A7069" s="2">
        <v>7064</v>
      </c>
      <c r="B7069" s="11" t="str">
        <f>"00334619"</f>
        <v>00334619</v>
      </c>
    </row>
    <row r="7070" spans="1:2" x14ac:dyDescent="0.25">
      <c r="A7070" s="2">
        <v>7065</v>
      </c>
      <c r="B7070" s="11" t="str">
        <f>"00334647"</f>
        <v>00334647</v>
      </c>
    </row>
    <row r="7071" spans="1:2" x14ac:dyDescent="0.25">
      <c r="A7071" s="2">
        <v>7066</v>
      </c>
      <c r="B7071" s="11" t="str">
        <f>"00334671"</f>
        <v>00334671</v>
      </c>
    </row>
    <row r="7072" spans="1:2" x14ac:dyDescent="0.25">
      <c r="A7072" s="2">
        <v>7067</v>
      </c>
      <c r="B7072" s="11" t="str">
        <f>"00334707"</f>
        <v>00334707</v>
      </c>
    </row>
    <row r="7073" spans="1:2" x14ac:dyDescent="0.25">
      <c r="A7073" s="2">
        <v>7068</v>
      </c>
      <c r="B7073" s="11" t="str">
        <f>"00334711"</f>
        <v>00334711</v>
      </c>
    </row>
    <row r="7074" spans="1:2" x14ac:dyDescent="0.25">
      <c r="A7074" s="2">
        <v>7069</v>
      </c>
      <c r="B7074" s="11" t="str">
        <f>"00334823"</f>
        <v>00334823</v>
      </c>
    </row>
    <row r="7075" spans="1:2" x14ac:dyDescent="0.25">
      <c r="A7075" s="2">
        <v>7070</v>
      </c>
      <c r="B7075" s="11" t="str">
        <f>"00334903"</f>
        <v>00334903</v>
      </c>
    </row>
    <row r="7076" spans="1:2" x14ac:dyDescent="0.25">
      <c r="A7076" s="2">
        <v>7071</v>
      </c>
      <c r="B7076" s="11" t="str">
        <f>"00334975"</f>
        <v>00334975</v>
      </c>
    </row>
    <row r="7077" spans="1:2" x14ac:dyDescent="0.25">
      <c r="A7077" s="2">
        <v>7072</v>
      </c>
      <c r="B7077" s="11" t="str">
        <f>"00334993"</f>
        <v>00334993</v>
      </c>
    </row>
    <row r="7078" spans="1:2" x14ac:dyDescent="0.25">
      <c r="A7078" s="2">
        <v>7073</v>
      </c>
      <c r="B7078" s="11" t="str">
        <f>"00335017"</f>
        <v>00335017</v>
      </c>
    </row>
    <row r="7079" spans="1:2" x14ac:dyDescent="0.25">
      <c r="A7079" s="2">
        <v>7074</v>
      </c>
      <c r="B7079" s="11" t="str">
        <f>"00335038"</f>
        <v>00335038</v>
      </c>
    </row>
    <row r="7080" spans="1:2" x14ac:dyDescent="0.25">
      <c r="A7080" s="2">
        <v>7075</v>
      </c>
      <c r="B7080" s="11" t="str">
        <f>"00335060"</f>
        <v>00335060</v>
      </c>
    </row>
    <row r="7081" spans="1:2" x14ac:dyDescent="0.25">
      <c r="A7081" s="2">
        <v>7076</v>
      </c>
      <c r="B7081" s="11" t="str">
        <f>"00335099"</f>
        <v>00335099</v>
      </c>
    </row>
    <row r="7082" spans="1:2" x14ac:dyDescent="0.25">
      <c r="A7082" s="2">
        <v>7077</v>
      </c>
      <c r="B7082" s="11" t="str">
        <f>"00335107"</f>
        <v>00335107</v>
      </c>
    </row>
    <row r="7083" spans="1:2" x14ac:dyDescent="0.25">
      <c r="A7083" s="2">
        <v>7078</v>
      </c>
      <c r="B7083" s="11" t="str">
        <f>"00335153"</f>
        <v>00335153</v>
      </c>
    </row>
    <row r="7084" spans="1:2" x14ac:dyDescent="0.25">
      <c r="A7084" s="2">
        <v>7079</v>
      </c>
      <c r="B7084" s="11" t="str">
        <f>"00335175"</f>
        <v>00335175</v>
      </c>
    </row>
    <row r="7085" spans="1:2" x14ac:dyDescent="0.25">
      <c r="A7085" s="2">
        <v>7080</v>
      </c>
      <c r="B7085" s="11" t="str">
        <f>"00335297"</f>
        <v>00335297</v>
      </c>
    </row>
    <row r="7086" spans="1:2" x14ac:dyDescent="0.25">
      <c r="A7086" s="2">
        <v>7081</v>
      </c>
      <c r="B7086" s="11" t="str">
        <f>"00335314"</f>
        <v>00335314</v>
      </c>
    </row>
    <row r="7087" spans="1:2" x14ac:dyDescent="0.25">
      <c r="A7087" s="2">
        <v>7082</v>
      </c>
      <c r="B7087" s="11" t="str">
        <f>"00335321"</f>
        <v>00335321</v>
      </c>
    </row>
    <row r="7088" spans="1:2" x14ac:dyDescent="0.25">
      <c r="A7088" s="2">
        <v>7083</v>
      </c>
      <c r="B7088" s="11" t="str">
        <f>"00335323"</f>
        <v>00335323</v>
      </c>
    </row>
    <row r="7089" spans="1:2" x14ac:dyDescent="0.25">
      <c r="A7089" s="2">
        <v>7084</v>
      </c>
      <c r="B7089" s="11" t="str">
        <f>"00335333"</f>
        <v>00335333</v>
      </c>
    </row>
    <row r="7090" spans="1:2" x14ac:dyDescent="0.25">
      <c r="A7090" s="2">
        <v>7085</v>
      </c>
      <c r="B7090" s="11" t="str">
        <f>"00335360"</f>
        <v>00335360</v>
      </c>
    </row>
    <row r="7091" spans="1:2" x14ac:dyDescent="0.25">
      <c r="A7091" s="2">
        <v>7086</v>
      </c>
      <c r="B7091" s="11" t="str">
        <f>"00335384"</f>
        <v>00335384</v>
      </c>
    </row>
    <row r="7092" spans="1:2" x14ac:dyDescent="0.25">
      <c r="A7092" s="2">
        <v>7087</v>
      </c>
      <c r="B7092" s="11" t="str">
        <f>"00335447"</f>
        <v>00335447</v>
      </c>
    </row>
    <row r="7093" spans="1:2" x14ac:dyDescent="0.25">
      <c r="A7093" s="2">
        <v>7088</v>
      </c>
      <c r="B7093" s="11" t="str">
        <f>"00335449"</f>
        <v>00335449</v>
      </c>
    </row>
    <row r="7094" spans="1:2" x14ac:dyDescent="0.25">
      <c r="A7094" s="2">
        <v>7089</v>
      </c>
      <c r="B7094" s="11" t="str">
        <f>"00335452"</f>
        <v>00335452</v>
      </c>
    </row>
    <row r="7095" spans="1:2" x14ac:dyDescent="0.25">
      <c r="A7095" s="2">
        <v>7090</v>
      </c>
      <c r="B7095" s="11" t="str">
        <f>"00335513"</f>
        <v>00335513</v>
      </c>
    </row>
    <row r="7096" spans="1:2" x14ac:dyDescent="0.25">
      <c r="A7096" s="2">
        <v>7091</v>
      </c>
      <c r="B7096" s="11" t="str">
        <f>"00335555"</f>
        <v>00335555</v>
      </c>
    </row>
    <row r="7097" spans="1:2" x14ac:dyDescent="0.25">
      <c r="A7097" s="2">
        <v>7092</v>
      </c>
      <c r="B7097" s="11" t="str">
        <f>"00335606"</f>
        <v>00335606</v>
      </c>
    </row>
    <row r="7098" spans="1:2" x14ac:dyDescent="0.25">
      <c r="A7098" s="2">
        <v>7093</v>
      </c>
      <c r="B7098" s="11" t="str">
        <f>"00335613"</f>
        <v>00335613</v>
      </c>
    </row>
    <row r="7099" spans="1:2" x14ac:dyDescent="0.25">
      <c r="A7099" s="2">
        <v>7094</v>
      </c>
      <c r="B7099" s="11" t="str">
        <f>"00335638"</f>
        <v>00335638</v>
      </c>
    </row>
    <row r="7100" spans="1:2" x14ac:dyDescent="0.25">
      <c r="A7100" s="2">
        <v>7095</v>
      </c>
      <c r="B7100" s="11" t="str">
        <f>"00335646"</f>
        <v>00335646</v>
      </c>
    </row>
    <row r="7101" spans="1:2" x14ac:dyDescent="0.25">
      <c r="A7101" s="2">
        <v>7096</v>
      </c>
      <c r="B7101" s="11" t="str">
        <f>"00335898"</f>
        <v>00335898</v>
      </c>
    </row>
    <row r="7102" spans="1:2" x14ac:dyDescent="0.25">
      <c r="A7102" s="2">
        <v>7097</v>
      </c>
      <c r="B7102" s="11" t="str">
        <f>"00335924"</f>
        <v>00335924</v>
      </c>
    </row>
    <row r="7103" spans="1:2" x14ac:dyDescent="0.25">
      <c r="A7103" s="2">
        <v>7098</v>
      </c>
      <c r="B7103" s="11" t="str">
        <f>"00335950"</f>
        <v>00335950</v>
      </c>
    </row>
    <row r="7104" spans="1:2" x14ac:dyDescent="0.25">
      <c r="A7104" s="2">
        <v>7099</v>
      </c>
      <c r="B7104" s="11" t="str">
        <f>"00335961"</f>
        <v>00335961</v>
      </c>
    </row>
    <row r="7105" spans="1:2" x14ac:dyDescent="0.25">
      <c r="A7105" s="2">
        <v>7100</v>
      </c>
      <c r="B7105" s="11" t="str">
        <f>"00336038"</f>
        <v>00336038</v>
      </c>
    </row>
    <row r="7106" spans="1:2" x14ac:dyDescent="0.25">
      <c r="A7106" s="2">
        <v>7101</v>
      </c>
      <c r="B7106" s="11" t="str">
        <f>"00336189"</f>
        <v>00336189</v>
      </c>
    </row>
    <row r="7107" spans="1:2" x14ac:dyDescent="0.25">
      <c r="A7107" s="2">
        <v>7102</v>
      </c>
      <c r="B7107" s="11" t="str">
        <f>"00336193"</f>
        <v>00336193</v>
      </c>
    </row>
    <row r="7108" spans="1:2" x14ac:dyDescent="0.25">
      <c r="A7108" s="2">
        <v>7103</v>
      </c>
      <c r="B7108" s="11" t="str">
        <f>"00336199"</f>
        <v>00336199</v>
      </c>
    </row>
    <row r="7109" spans="1:2" x14ac:dyDescent="0.25">
      <c r="A7109" s="2">
        <v>7104</v>
      </c>
      <c r="B7109" s="11" t="str">
        <f>"00336205"</f>
        <v>00336205</v>
      </c>
    </row>
    <row r="7110" spans="1:2" x14ac:dyDescent="0.25">
      <c r="A7110" s="2">
        <v>7105</v>
      </c>
      <c r="B7110" s="11" t="str">
        <f>"00336319"</f>
        <v>00336319</v>
      </c>
    </row>
    <row r="7111" spans="1:2" x14ac:dyDescent="0.25">
      <c r="A7111" s="2">
        <v>7106</v>
      </c>
      <c r="B7111" s="11" t="str">
        <f>"00336360"</f>
        <v>00336360</v>
      </c>
    </row>
    <row r="7112" spans="1:2" x14ac:dyDescent="0.25">
      <c r="A7112" s="2">
        <v>7107</v>
      </c>
      <c r="B7112" s="11" t="str">
        <f>"00336368"</f>
        <v>00336368</v>
      </c>
    </row>
    <row r="7113" spans="1:2" x14ac:dyDescent="0.25">
      <c r="A7113" s="2">
        <v>7108</v>
      </c>
      <c r="B7113" s="11" t="str">
        <f>"00336396"</f>
        <v>00336396</v>
      </c>
    </row>
    <row r="7114" spans="1:2" x14ac:dyDescent="0.25">
      <c r="A7114" s="2">
        <v>7109</v>
      </c>
      <c r="B7114" s="11" t="str">
        <f>"00336436"</f>
        <v>00336436</v>
      </c>
    </row>
    <row r="7115" spans="1:2" x14ac:dyDescent="0.25">
      <c r="A7115" s="2">
        <v>7110</v>
      </c>
      <c r="B7115" s="11" t="str">
        <f>"00336505"</f>
        <v>00336505</v>
      </c>
    </row>
    <row r="7116" spans="1:2" x14ac:dyDescent="0.25">
      <c r="A7116" s="2">
        <v>7111</v>
      </c>
      <c r="B7116" s="11" t="str">
        <f>"00336572"</f>
        <v>00336572</v>
      </c>
    </row>
    <row r="7117" spans="1:2" x14ac:dyDescent="0.25">
      <c r="A7117" s="2">
        <v>7112</v>
      </c>
      <c r="B7117" s="11" t="str">
        <f>"00336602"</f>
        <v>00336602</v>
      </c>
    </row>
    <row r="7118" spans="1:2" x14ac:dyDescent="0.25">
      <c r="A7118" s="2">
        <v>7113</v>
      </c>
      <c r="B7118" s="11" t="str">
        <f>"00336693"</f>
        <v>00336693</v>
      </c>
    </row>
    <row r="7119" spans="1:2" x14ac:dyDescent="0.25">
      <c r="A7119" s="2">
        <v>7114</v>
      </c>
      <c r="B7119" s="11" t="str">
        <f>"00336833"</f>
        <v>00336833</v>
      </c>
    </row>
    <row r="7120" spans="1:2" x14ac:dyDescent="0.25">
      <c r="A7120" s="2">
        <v>7115</v>
      </c>
      <c r="B7120" s="11" t="str">
        <f>"00336946"</f>
        <v>00336946</v>
      </c>
    </row>
    <row r="7121" spans="1:2" x14ac:dyDescent="0.25">
      <c r="A7121" s="2">
        <v>7116</v>
      </c>
      <c r="B7121" s="11" t="str">
        <f>"00336993"</f>
        <v>00336993</v>
      </c>
    </row>
    <row r="7122" spans="1:2" x14ac:dyDescent="0.25">
      <c r="A7122" s="2">
        <v>7117</v>
      </c>
      <c r="B7122" s="11" t="str">
        <f>"00337021"</f>
        <v>00337021</v>
      </c>
    </row>
    <row r="7123" spans="1:2" x14ac:dyDescent="0.25">
      <c r="A7123" s="2">
        <v>7118</v>
      </c>
      <c r="B7123" s="11" t="str">
        <f>"00337066"</f>
        <v>00337066</v>
      </c>
    </row>
    <row r="7124" spans="1:2" x14ac:dyDescent="0.25">
      <c r="A7124" s="2">
        <v>7119</v>
      </c>
      <c r="B7124" s="11" t="str">
        <f>"00337122"</f>
        <v>00337122</v>
      </c>
    </row>
    <row r="7125" spans="1:2" x14ac:dyDescent="0.25">
      <c r="A7125" s="2">
        <v>7120</v>
      </c>
      <c r="B7125" s="11" t="str">
        <f>"00337128"</f>
        <v>00337128</v>
      </c>
    </row>
    <row r="7126" spans="1:2" x14ac:dyDescent="0.25">
      <c r="A7126" s="2">
        <v>7121</v>
      </c>
      <c r="B7126" s="11" t="str">
        <f>"00337129"</f>
        <v>00337129</v>
      </c>
    </row>
    <row r="7127" spans="1:2" x14ac:dyDescent="0.25">
      <c r="A7127" s="2">
        <v>7122</v>
      </c>
      <c r="B7127" s="11" t="str">
        <f>"00337276"</f>
        <v>00337276</v>
      </c>
    </row>
    <row r="7128" spans="1:2" x14ac:dyDescent="0.25">
      <c r="A7128" s="2">
        <v>7123</v>
      </c>
      <c r="B7128" s="11" t="str">
        <f>"00337289"</f>
        <v>00337289</v>
      </c>
    </row>
    <row r="7129" spans="1:2" x14ac:dyDescent="0.25">
      <c r="A7129" s="2">
        <v>7124</v>
      </c>
      <c r="B7129" s="11" t="str">
        <f>"00337305"</f>
        <v>00337305</v>
      </c>
    </row>
    <row r="7130" spans="1:2" x14ac:dyDescent="0.25">
      <c r="A7130" s="2">
        <v>7125</v>
      </c>
      <c r="B7130" s="11" t="str">
        <f>"00337342"</f>
        <v>00337342</v>
      </c>
    </row>
    <row r="7131" spans="1:2" x14ac:dyDescent="0.25">
      <c r="A7131" s="2">
        <v>7126</v>
      </c>
      <c r="B7131" s="11" t="str">
        <f>"00337350"</f>
        <v>00337350</v>
      </c>
    </row>
    <row r="7132" spans="1:2" x14ac:dyDescent="0.25">
      <c r="A7132" s="2">
        <v>7127</v>
      </c>
      <c r="B7132" s="11" t="str">
        <f>"00337370"</f>
        <v>00337370</v>
      </c>
    </row>
    <row r="7133" spans="1:2" x14ac:dyDescent="0.25">
      <c r="A7133" s="2">
        <v>7128</v>
      </c>
      <c r="B7133" s="11" t="str">
        <f>"00337422"</f>
        <v>00337422</v>
      </c>
    </row>
    <row r="7134" spans="1:2" x14ac:dyDescent="0.25">
      <c r="A7134" s="2">
        <v>7129</v>
      </c>
      <c r="B7134" s="11" t="str">
        <f>"00337454"</f>
        <v>00337454</v>
      </c>
    </row>
    <row r="7135" spans="1:2" x14ac:dyDescent="0.25">
      <c r="A7135" s="2">
        <v>7130</v>
      </c>
      <c r="B7135" s="11" t="str">
        <f>"00337503"</f>
        <v>00337503</v>
      </c>
    </row>
    <row r="7136" spans="1:2" x14ac:dyDescent="0.25">
      <c r="A7136" s="2">
        <v>7131</v>
      </c>
      <c r="B7136" s="11" t="str">
        <f>"00337598"</f>
        <v>00337598</v>
      </c>
    </row>
    <row r="7137" spans="1:2" x14ac:dyDescent="0.25">
      <c r="A7137" s="2">
        <v>7132</v>
      </c>
      <c r="B7137" s="11" t="str">
        <f>"00337679"</f>
        <v>00337679</v>
      </c>
    </row>
    <row r="7138" spans="1:2" x14ac:dyDescent="0.25">
      <c r="A7138" s="2">
        <v>7133</v>
      </c>
      <c r="B7138" s="11" t="str">
        <f>"00337729"</f>
        <v>00337729</v>
      </c>
    </row>
    <row r="7139" spans="1:2" x14ac:dyDescent="0.25">
      <c r="A7139" s="2">
        <v>7134</v>
      </c>
      <c r="B7139" s="11" t="str">
        <f>"00337740"</f>
        <v>00337740</v>
      </c>
    </row>
    <row r="7140" spans="1:2" x14ac:dyDescent="0.25">
      <c r="A7140" s="2">
        <v>7135</v>
      </c>
      <c r="B7140" s="11" t="str">
        <f>"00337760"</f>
        <v>00337760</v>
      </c>
    </row>
    <row r="7141" spans="1:2" x14ac:dyDescent="0.25">
      <c r="A7141" s="2">
        <v>7136</v>
      </c>
      <c r="B7141" s="11" t="str">
        <f>"00337801"</f>
        <v>00337801</v>
      </c>
    </row>
    <row r="7142" spans="1:2" x14ac:dyDescent="0.25">
      <c r="A7142" s="2">
        <v>7137</v>
      </c>
      <c r="B7142" s="11" t="str">
        <f>"00337813"</f>
        <v>00337813</v>
      </c>
    </row>
    <row r="7143" spans="1:2" x14ac:dyDescent="0.25">
      <c r="A7143" s="2">
        <v>7138</v>
      </c>
      <c r="B7143" s="11" t="str">
        <f>"00337903"</f>
        <v>00337903</v>
      </c>
    </row>
    <row r="7144" spans="1:2" x14ac:dyDescent="0.25">
      <c r="A7144" s="2">
        <v>7139</v>
      </c>
      <c r="B7144" s="11" t="str">
        <f>"00337944"</f>
        <v>00337944</v>
      </c>
    </row>
    <row r="7145" spans="1:2" x14ac:dyDescent="0.25">
      <c r="A7145" s="2">
        <v>7140</v>
      </c>
      <c r="B7145" s="11" t="str">
        <f>"00337945"</f>
        <v>00337945</v>
      </c>
    </row>
    <row r="7146" spans="1:2" x14ac:dyDescent="0.25">
      <c r="A7146" s="2">
        <v>7141</v>
      </c>
      <c r="B7146" s="11" t="str">
        <f>"00337976"</f>
        <v>00337976</v>
      </c>
    </row>
    <row r="7147" spans="1:2" x14ac:dyDescent="0.25">
      <c r="A7147" s="2">
        <v>7142</v>
      </c>
      <c r="B7147" s="11" t="str">
        <f>"00337997"</f>
        <v>00337997</v>
      </c>
    </row>
    <row r="7148" spans="1:2" x14ac:dyDescent="0.25">
      <c r="A7148" s="2">
        <v>7143</v>
      </c>
      <c r="B7148" s="11" t="str">
        <f>"00338033"</f>
        <v>00338033</v>
      </c>
    </row>
    <row r="7149" spans="1:2" x14ac:dyDescent="0.25">
      <c r="A7149" s="2">
        <v>7144</v>
      </c>
      <c r="B7149" s="11" t="str">
        <f>"00338102"</f>
        <v>00338102</v>
      </c>
    </row>
    <row r="7150" spans="1:2" x14ac:dyDescent="0.25">
      <c r="A7150" s="2">
        <v>7145</v>
      </c>
      <c r="B7150" s="11" t="str">
        <f>"00338127"</f>
        <v>00338127</v>
      </c>
    </row>
    <row r="7151" spans="1:2" x14ac:dyDescent="0.25">
      <c r="A7151" s="2">
        <v>7146</v>
      </c>
      <c r="B7151" s="11" t="str">
        <f>"00338151"</f>
        <v>00338151</v>
      </c>
    </row>
    <row r="7152" spans="1:2" x14ac:dyDescent="0.25">
      <c r="A7152" s="2">
        <v>7147</v>
      </c>
      <c r="B7152" s="11" t="str">
        <f>"00338160"</f>
        <v>00338160</v>
      </c>
    </row>
    <row r="7153" spans="1:2" x14ac:dyDescent="0.25">
      <c r="A7153" s="2">
        <v>7148</v>
      </c>
      <c r="B7153" s="11" t="str">
        <f>"00338274"</f>
        <v>00338274</v>
      </c>
    </row>
    <row r="7154" spans="1:2" x14ac:dyDescent="0.25">
      <c r="A7154" s="2">
        <v>7149</v>
      </c>
      <c r="B7154" s="11" t="str">
        <f>"00338314"</f>
        <v>00338314</v>
      </c>
    </row>
    <row r="7155" spans="1:2" x14ac:dyDescent="0.25">
      <c r="A7155" s="2">
        <v>7150</v>
      </c>
      <c r="B7155" s="11" t="str">
        <f>"00338326"</f>
        <v>00338326</v>
      </c>
    </row>
    <row r="7156" spans="1:2" x14ac:dyDescent="0.25">
      <c r="A7156" s="2">
        <v>7151</v>
      </c>
      <c r="B7156" s="11" t="str">
        <f>"00338350"</f>
        <v>00338350</v>
      </c>
    </row>
    <row r="7157" spans="1:2" x14ac:dyDescent="0.25">
      <c r="A7157" s="2">
        <v>7152</v>
      </c>
      <c r="B7157" s="11" t="str">
        <f>"00338403"</f>
        <v>00338403</v>
      </c>
    </row>
    <row r="7158" spans="1:2" x14ac:dyDescent="0.25">
      <c r="A7158" s="2">
        <v>7153</v>
      </c>
      <c r="B7158" s="11" t="str">
        <f>"00338452"</f>
        <v>00338452</v>
      </c>
    </row>
    <row r="7159" spans="1:2" x14ac:dyDescent="0.25">
      <c r="A7159" s="2">
        <v>7154</v>
      </c>
      <c r="B7159" s="11" t="str">
        <f>"00338489"</f>
        <v>00338489</v>
      </c>
    </row>
    <row r="7160" spans="1:2" x14ac:dyDescent="0.25">
      <c r="A7160" s="2">
        <v>7155</v>
      </c>
      <c r="B7160" s="11" t="str">
        <f>"00338604"</f>
        <v>00338604</v>
      </c>
    </row>
    <row r="7161" spans="1:2" x14ac:dyDescent="0.25">
      <c r="A7161" s="2">
        <v>7156</v>
      </c>
      <c r="B7161" s="11" t="str">
        <f>"00338817"</f>
        <v>00338817</v>
      </c>
    </row>
    <row r="7162" spans="1:2" x14ac:dyDescent="0.25">
      <c r="A7162" s="2">
        <v>7157</v>
      </c>
      <c r="B7162" s="11" t="str">
        <f>"00338825"</f>
        <v>00338825</v>
      </c>
    </row>
    <row r="7163" spans="1:2" x14ac:dyDescent="0.25">
      <c r="A7163" s="2">
        <v>7158</v>
      </c>
      <c r="B7163" s="11" t="str">
        <f>"00338826"</f>
        <v>00338826</v>
      </c>
    </row>
    <row r="7164" spans="1:2" x14ac:dyDescent="0.25">
      <c r="A7164" s="2">
        <v>7159</v>
      </c>
      <c r="B7164" s="11" t="str">
        <f>"00338853"</f>
        <v>00338853</v>
      </c>
    </row>
    <row r="7165" spans="1:2" x14ac:dyDescent="0.25">
      <c r="A7165" s="2">
        <v>7160</v>
      </c>
      <c r="B7165" s="11" t="str">
        <f>"00338872"</f>
        <v>00338872</v>
      </c>
    </row>
    <row r="7166" spans="1:2" x14ac:dyDescent="0.25">
      <c r="A7166" s="2">
        <v>7161</v>
      </c>
      <c r="B7166" s="11" t="str">
        <f>"00338933"</f>
        <v>00338933</v>
      </c>
    </row>
    <row r="7167" spans="1:2" x14ac:dyDescent="0.25">
      <c r="A7167" s="2">
        <v>7162</v>
      </c>
      <c r="B7167" s="11" t="str">
        <f>"00339045"</f>
        <v>00339045</v>
      </c>
    </row>
    <row r="7168" spans="1:2" x14ac:dyDescent="0.25">
      <c r="A7168" s="2">
        <v>7163</v>
      </c>
      <c r="B7168" s="11" t="str">
        <f>"00339074"</f>
        <v>00339074</v>
      </c>
    </row>
    <row r="7169" spans="1:2" x14ac:dyDescent="0.25">
      <c r="A7169" s="2">
        <v>7164</v>
      </c>
      <c r="B7169" s="11" t="str">
        <f>"00339081"</f>
        <v>00339081</v>
      </c>
    </row>
    <row r="7170" spans="1:2" x14ac:dyDescent="0.25">
      <c r="A7170" s="2">
        <v>7165</v>
      </c>
      <c r="B7170" s="11" t="str">
        <f>"00339093"</f>
        <v>00339093</v>
      </c>
    </row>
    <row r="7171" spans="1:2" x14ac:dyDescent="0.25">
      <c r="A7171" s="2">
        <v>7166</v>
      </c>
      <c r="B7171" s="11" t="str">
        <f>"00339110"</f>
        <v>00339110</v>
      </c>
    </row>
    <row r="7172" spans="1:2" x14ac:dyDescent="0.25">
      <c r="A7172" s="2">
        <v>7167</v>
      </c>
      <c r="B7172" s="11" t="str">
        <f>"00339119"</f>
        <v>00339119</v>
      </c>
    </row>
    <row r="7173" spans="1:2" x14ac:dyDescent="0.25">
      <c r="A7173" s="2">
        <v>7168</v>
      </c>
      <c r="B7173" s="11" t="str">
        <f>"00339160"</f>
        <v>00339160</v>
      </c>
    </row>
    <row r="7174" spans="1:2" x14ac:dyDescent="0.25">
      <c r="A7174" s="2">
        <v>7169</v>
      </c>
      <c r="B7174" s="11" t="str">
        <f>"00339235"</f>
        <v>00339235</v>
      </c>
    </row>
    <row r="7175" spans="1:2" x14ac:dyDescent="0.25">
      <c r="A7175" s="2">
        <v>7170</v>
      </c>
      <c r="B7175" s="11" t="str">
        <f>"00339319"</f>
        <v>00339319</v>
      </c>
    </row>
    <row r="7176" spans="1:2" x14ac:dyDescent="0.25">
      <c r="A7176" s="2">
        <v>7171</v>
      </c>
      <c r="B7176" s="11" t="str">
        <f>"00339405"</f>
        <v>00339405</v>
      </c>
    </row>
    <row r="7177" spans="1:2" x14ac:dyDescent="0.25">
      <c r="A7177" s="2">
        <v>7172</v>
      </c>
      <c r="B7177" s="11" t="str">
        <f>"00339421"</f>
        <v>00339421</v>
      </c>
    </row>
    <row r="7178" spans="1:2" x14ac:dyDescent="0.25">
      <c r="A7178" s="2">
        <v>7173</v>
      </c>
      <c r="B7178" s="11" t="str">
        <f>"00339478"</f>
        <v>00339478</v>
      </c>
    </row>
    <row r="7179" spans="1:2" x14ac:dyDescent="0.25">
      <c r="A7179" s="2">
        <v>7174</v>
      </c>
      <c r="B7179" s="11" t="str">
        <f>"00339489"</f>
        <v>00339489</v>
      </c>
    </row>
    <row r="7180" spans="1:2" x14ac:dyDescent="0.25">
      <c r="A7180" s="2">
        <v>7175</v>
      </c>
      <c r="B7180" s="11" t="str">
        <f>"00339504"</f>
        <v>00339504</v>
      </c>
    </row>
    <row r="7181" spans="1:2" x14ac:dyDescent="0.25">
      <c r="A7181" s="2">
        <v>7176</v>
      </c>
      <c r="B7181" s="11" t="str">
        <f>"00339530"</f>
        <v>00339530</v>
      </c>
    </row>
    <row r="7182" spans="1:2" x14ac:dyDescent="0.25">
      <c r="A7182" s="2">
        <v>7177</v>
      </c>
      <c r="B7182" s="11" t="str">
        <f>"00339575"</f>
        <v>00339575</v>
      </c>
    </row>
    <row r="7183" spans="1:2" x14ac:dyDescent="0.25">
      <c r="A7183" s="2">
        <v>7178</v>
      </c>
      <c r="B7183" s="11" t="str">
        <f>"00339585"</f>
        <v>00339585</v>
      </c>
    </row>
    <row r="7184" spans="1:2" x14ac:dyDescent="0.25">
      <c r="A7184" s="2">
        <v>7179</v>
      </c>
      <c r="B7184" s="11" t="str">
        <f>"00339708"</f>
        <v>00339708</v>
      </c>
    </row>
    <row r="7185" spans="1:2" x14ac:dyDescent="0.25">
      <c r="A7185" s="2">
        <v>7180</v>
      </c>
      <c r="B7185" s="11" t="str">
        <f>"00339751"</f>
        <v>00339751</v>
      </c>
    </row>
    <row r="7186" spans="1:2" x14ac:dyDescent="0.25">
      <c r="A7186" s="2">
        <v>7181</v>
      </c>
      <c r="B7186" s="11" t="str">
        <f>"00339752"</f>
        <v>00339752</v>
      </c>
    </row>
    <row r="7187" spans="1:2" x14ac:dyDescent="0.25">
      <c r="A7187" s="2">
        <v>7182</v>
      </c>
      <c r="B7187" s="11" t="str">
        <f>"00339763"</f>
        <v>00339763</v>
      </c>
    </row>
    <row r="7188" spans="1:2" x14ac:dyDescent="0.25">
      <c r="A7188" s="2">
        <v>7183</v>
      </c>
      <c r="B7188" s="11" t="str">
        <f>"00339792"</f>
        <v>00339792</v>
      </c>
    </row>
    <row r="7189" spans="1:2" x14ac:dyDescent="0.25">
      <c r="A7189" s="2">
        <v>7184</v>
      </c>
      <c r="B7189" s="11" t="str">
        <f>"00339828"</f>
        <v>00339828</v>
      </c>
    </row>
    <row r="7190" spans="1:2" x14ac:dyDescent="0.25">
      <c r="A7190" s="2">
        <v>7185</v>
      </c>
      <c r="B7190" s="11" t="str">
        <f>"00339853"</f>
        <v>00339853</v>
      </c>
    </row>
    <row r="7191" spans="1:2" x14ac:dyDescent="0.25">
      <c r="A7191" s="2">
        <v>7186</v>
      </c>
      <c r="B7191" s="11" t="str">
        <f>"00339858"</f>
        <v>00339858</v>
      </c>
    </row>
    <row r="7192" spans="1:2" x14ac:dyDescent="0.25">
      <c r="A7192" s="2">
        <v>7187</v>
      </c>
      <c r="B7192" s="11" t="str">
        <f>"00339903"</f>
        <v>00339903</v>
      </c>
    </row>
    <row r="7193" spans="1:2" x14ac:dyDescent="0.25">
      <c r="A7193" s="2">
        <v>7188</v>
      </c>
      <c r="B7193" s="11" t="str">
        <f>"00339939"</f>
        <v>00339939</v>
      </c>
    </row>
    <row r="7194" spans="1:2" x14ac:dyDescent="0.25">
      <c r="A7194" s="2">
        <v>7189</v>
      </c>
      <c r="B7194" s="11" t="str">
        <f>"00339944"</f>
        <v>00339944</v>
      </c>
    </row>
    <row r="7195" spans="1:2" x14ac:dyDescent="0.25">
      <c r="A7195" s="2">
        <v>7190</v>
      </c>
      <c r="B7195" s="11" t="str">
        <f>"00339961"</f>
        <v>00339961</v>
      </c>
    </row>
    <row r="7196" spans="1:2" x14ac:dyDescent="0.25">
      <c r="A7196" s="2">
        <v>7191</v>
      </c>
      <c r="B7196" s="11" t="str">
        <f>"00339963"</f>
        <v>00339963</v>
      </c>
    </row>
    <row r="7197" spans="1:2" x14ac:dyDescent="0.25">
      <c r="A7197" s="2">
        <v>7192</v>
      </c>
      <c r="B7197" s="11" t="str">
        <f>"00339995"</f>
        <v>00339995</v>
      </c>
    </row>
    <row r="7198" spans="1:2" x14ac:dyDescent="0.25">
      <c r="A7198" s="2">
        <v>7193</v>
      </c>
      <c r="B7198" s="11" t="str">
        <f>"00340001"</f>
        <v>00340001</v>
      </c>
    </row>
    <row r="7199" spans="1:2" x14ac:dyDescent="0.25">
      <c r="A7199" s="2">
        <v>7194</v>
      </c>
      <c r="B7199" s="11" t="str">
        <f>"00340092"</f>
        <v>00340092</v>
      </c>
    </row>
    <row r="7200" spans="1:2" x14ac:dyDescent="0.25">
      <c r="A7200" s="2">
        <v>7195</v>
      </c>
      <c r="B7200" s="11" t="str">
        <f>"00340106"</f>
        <v>00340106</v>
      </c>
    </row>
    <row r="7201" spans="1:2" x14ac:dyDescent="0.25">
      <c r="A7201" s="2">
        <v>7196</v>
      </c>
      <c r="B7201" s="11" t="str">
        <f>"00340108"</f>
        <v>00340108</v>
      </c>
    </row>
    <row r="7202" spans="1:2" x14ac:dyDescent="0.25">
      <c r="A7202" s="2">
        <v>7197</v>
      </c>
      <c r="B7202" s="11" t="str">
        <f>"00340123"</f>
        <v>00340123</v>
      </c>
    </row>
    <row r="7203" spans="1:2" x14ac:dyDescent="0.25">
      <c r="A7203" s="2">
        <v>7198</v>
      </c>
      <c r="B7203" s="11" t="str">
        <f>"00340135"</f>
        <v>00340135</v>
      </c>
    </row>
    <row r="7204" spans="1:2" x14ac:dyDescent="0.25">
      <c r="A7204" s="2">
        <v>7199</v>
      </c>
      <c r="B7204" s="11" t="str">
        <f>"00340147"</f>
        <v>00340147</v>
      </c>
    </row>
    <row r="7205" spans="1:2" x14ac:dyDescent="0.25">
      <c r="A7205" s="2">
        <v>7200</v>
      </c>
      <c r="B7205" s="11" t="str">
        <f>"00340196"</f>
        <v>00340196</v>
      </c>
    </row>
    <row r="7206" spans="1:2" x14ac:dyDescent="0.25">
      <c r="A7206" s="2">
        <v>7201</v>
      </c>
      <c r="B7206" s="11" t="str">
        <f>"00340213"</f>
        <v>00340213</v>
      </c>
    </row>
    <row r="7207" spans="1:2" x14ac:dyDescent="0.25">
      <c r="A7207" s="2">
        <v>7202</v>
      </c>
      <c r="B7207" s="11" t="str">
        <f>"00340266"</f>
        <v>00340266</v>
      </c>
    </row>
    <row r="7208" spans="1:2" x14ac:dyDescent="0.25">
      <c r="A7208" s="2">
        <v>7203</v>
      </c>
      <c r="B7208" s="11" t="str">
        <f>"00340270"</f>
        <v>00340270</v>
      </c>
    </row>
    <row r="7209" spans="1:2" x14ac:dyDescent="0.25">
      <c r="A7209" s="2">
        <v>7204</v>
      </c>
      <c r="B7209" s="11" t="str">
        <f>"00340285"</f>
        <v>00340285</v>
      </c>
    </row>
    <row r="7210" spans="1:2" x14ac:dyDescent="0.25">
      <c r="A7210" s="2">
        <v>7205</v>
      </c>
      <c r="B7210" s="11" t="str">
        <f>"00340320"</f>
        <v>00340320</v>
      </c>
    </row>
    <row r="7211" spans="1:2" x14ac:dyDescent="0.25">
      <c r="A7211" s="2">
        <v>7206</v>
      </c>
      <c r="B7211" s="11" t="str">
        <f>"00340447"</f>
        <v>00340447</v>
      </c>
    </row>
    <row r="7212" spans="1:2" x14ac:dyDescent="0.25">
      <c r="A7212" s="2">
        <v>7207</v>
      </c>
      <c r="B7212" s="11" t="str">
        <f>"00340454"</f>
        <v>00340454</v>
      </c>
    </row>
    <row r="7213" spans="1:2" x14ac:dyDescent="0.25">
      <c r="A7213" s="2">
        <v>7208</v>
      </c>
      <c r="B7213" s="11" t="str">
        <f>"00340499"</f>
        <v>00340499</v>
      </c>
    </row>
    <row r="7214" spans="1:2" x14ac:dyDescent="0.25">
      <c r="A7214" s="2">
        <v>7209</v>
      </c>
      <c r="B7214" s="11" t="str">
        <f>"00340516"</f>
        <v>00340516</v>
      </c>
    </row>
    <row r="7215" spans="1:2" x14ac:dyDescent="0.25">
      <c r="A7215" s="2">
        <v>7210</v>
      </c>
      <c r="B7215" s="11" t="str">
        <f>"00340528"</f>
        <v>00340528</v>
      </c>
    </row>
    <row r="7216" spans="1:2" x14ac:dyDescent="0.25">
      <c r="A7216" s="2">
        <v>7211</v>
      </c>
      <c r="B7216" s="11" t="str">
        <f>"00340607"</f>
        <v>00340607</v>
      </c>
    </row>
    <row r="7217" spans="1:2" x14ac:dyDescent="0.25">
      <c r="A7217" s="2">
        <v>7212</v>
      </c>
      <c r="B7217" s="11" t="str">
        <f>"00340673"</f>
        <v>00340673</v>
      </c>
    </row>
    <row r="7218" spans="1:2" x14ac:dyDescent="0.25">
      <c r="A7218" s="2">
        <v>7213</v>
      </c>
      <c r="B7218" s="11" t="str">
        <f>"00340677"</f>
        <v>00340677</v>
      </c>
    </row>
    <row r="7219" spans="1:2" x14ac:dyDescent="0.25">
      <c r="A7219" s="2">
        <v>7214</v>
      </c>
      <c r="B7219" s="11" t="str">
        <f>"00340712"</f>
        <v>00340712</v>
      </c>
    </row>
    <row r="7220" spans="1:2" x14ac:dyDescent="0.25">
      <c r="A7220" s="2">
        <v>7215</v>
      </c>
      <c r="B7220" s="11" t="str">
        <f>"00340767"</f>
        <v>00340767</v>
      </c>
    </row>
    <row r="7221" spans="1:2" x14ac:dyDescent="0.25">
      <c r="A7221" s="2">
        <v>7216</v>
      </c>
      <c r="B7221" s="11" t="str">
        <f>"00340836"</f>
        <v>00340836</v>
      </c>
    </row>
    <row r="7222" spans="1:2" x14ac:dyDescent="0.25">
      <c r="A7222" s="2">
        <v>7217</v>
      </c>
      <c r="B7222" s="11" t="str">
        <f>"00340971"</f>
        <v>00340971</v>
      </c>
    </row>
    <row r="7223" spans="1:2" x14ac:dyDescent="0.25">
      <c r="A7223" s="2">
        <v>7218</v>
      </c>
      <c r="B7223" s="11" t="str">
        <f>"00340973"</f>
        <v>00340973</v>
      </c>
    </row>
    <row r="7224" spans="1:2" x14ac:dyDescent="0.25">
      <c r="A7224" s="2">
        <v>7219</v>
      </c>
      <c r="B7224" s="11" t="str">
        <f>"00341172"</f>
        <v>00341172</v>
      </c>
    </row>
    <row r="7225" spans="1:2" x14ac:dyDescent="0.25">
      <c r="A7225" s="2">
        <v>7220</v>
      </c>
      <c r="B7225" s="11" t="str">
        <f>"00341256"</f>
        <v>00341256</v>
      </c>
    </row>
    <row r="7226" spans="1:2" x14ac:dyDescent="0.25">
      <c r="A7226" s="2">
        <v>7221</v>
      </c>
      <c r="B7226" s="11" t="str">
        <f>"00341437"</f>
        <v>00341437</v>
      </c>
    </row>
    <row r="7227" spans="1:2" x14ac:dyDescent="0.25">
      <c r="A7227" s="2">
        <v>7222</v>
      </c>
      <c r="B7227" s="11" t="str">
        <f>"00341445"</f>
        <v>00341445</v>
      </c>
    </row>
    <row r="7228" spans="1:2" x14ac:dyDescent="0.25">
      <c r="A7228" s="2">
        <v>7223</v>
      </c>
      <c r="B7228" s="11" t="str">
        <f>"00341473"</f>
        <v>00341473</v>
      </c>
    </row>
    <row r="7229" spans="1:2" x14ac:dyDescent="0.25">
      <c r="A7229" s="2">
        <v>7224</v>
      </c>
      <c r="B7229" s="11" t="str">
        <f>"00341485"</f>
        <v>00341485</v>
      </c>
    </row>
    <row r="7230" spans="1:2" x14ac:dyDescent="0.25">
      <c r="A7230" s="2">
        <v>7225</v>
      </c>
      <c r="B7230" s="11" t="str">
        <f>"00341511"</f>
        <v>00341511</v>
      </c>
    </row>
    <row r="7231" spans="1:2" x14ac:dyDescent="0.25">
      <c r="A7231" s="2">
        <v>7226</v>
      </c>
      <c r="B7231" s="11" t="str">
        <f>"00341551"</f>
        <v>00341551</v>
      </c>
    </row>
    <row r="7232" spans="1:2" x14ac:dyDescent="0.25">
      <c r="A7232" s="2">
        <v>7227</v>
      </c>
      <c r="B7232" s="11" t="str">
        <f>"00341690"</f>
        <v>00341690</v>
      </c>
    </row>
    <row r="7233" spans="1:2" x14ac:dyDescent="0.25">
      <c r="A7233" s="2">
        <v>7228</v>
      </c>
      <c r="B7233" s="11" t="str">
        <f>"00341696"</f>
        <v>00341696</v>
      </c>
    </row>
    <row r="7234" spans="1:2" x14ac:dyDescent="0.25">
      <c r="A7234" s="2">
        <v>7229</v>
      </c>
      <c r="B7234" s="11" t="str">
        <f>"00341806"</f>
        <v>00341806</v>
      </c>
    </row>
    <row r="7235" spans="1:2" x14ac:dyDescent="0.25">
      <c r="A7235" s="2">
        <v>7230</v>
      </c>
      <c r="B7235" s="11" t="str">
        <f>"00341812"</f>
        <v>00341812</v>
      </c>
    </row>
    <row r="7236" spans="1:2" x14ac:dyDescent="0.25">
      <c r="A7236" s="2">
        <v>7231</v>
      </c>
      <c r="B7236" s="11" t="str">
        <f>"00341951"</f>
        <v>00341951</v>
      </c>
    </row>
    <row r="7237" spans="1:2" x14ac:dyDescent="0.25">
      <c r="A7237" s="2">
        <v>7232</v>
      </c>
      <c r="B7237" s="11" t="str">
        <f>"00341953"</f>
        <v>00341953</v>
      </c>
    </row>
    <row r="7238" spans="1:2" x14ac:dyDescent="0.25">
      <c r="A7238" s="2">
        <v>7233</v>
      </c>
      <c r="B7238" s="11" t="str">
        <f>"00341955"</f>
        <v>00341955</v>
      </c>
    </row>
    <row r="7239" spans="1:2" x14ac:dyDescent="0.25">
      <c r="A7239" s="2">
        <v>7234</v>
      </c>
      <c r="B7239" s="11" t="str">
        <f>"00341961"</f>
        <v>00341961</v>
      </c>
    </row>
    <row r="7240" spans="1:2" x14ac:dyDescent="0.25">
      <c r="A7240" s="2">
        <v>7235</v>
      </c>
      <c r="B7240" s="11" t="str">
        <f>"00341995"</f>
        <v>00341995</v>
      </c>
    </row>
    <row r="7241" spans="1:2" x14ac:dyDescent="0.25">
      <c r="A7241" s="2">
        <v>7236</v>
      </c>
      <c r="B7241" s="11" t="str">
        <f>"00341996"</f>
        <v>00341996</v>
      </c>
    </row>
    <row r="7242" spans="1:2" x14ac:dyDescent="0.25">
      <c r="A7242" s="2">
        <v>7237</v>
      </c>
      <c r="B7242" s="11" t="str">
        <f>"00342064"</f>
        <v>00342064</v>
      </c>
    </row>
    <row r="7243" spans="1:2" x14ac:dyDescent="0.25">
      <c r="A7243" s="2">
        <v>7238</v>
      </c>
      <c r="B7243" s="11" t="str">
        <f>"00342105"</f>
        <v>00342105</v>
      </c>
    </row>
    <row r="7244" spans="1:2" x14ac:dyDescent="0.25">
      <c r="A7244" s="2">
        <v>7239</v>
      </c>
      <c r="B7244" s="11" t="str">
        <f>"00342140"</f>
        <v>00342140</v>
      </c>
    </row>
    <row r="7245" spans="1:2" x14ac:dyDescent="0.25">
      <c r="A7245" s="2">
        <v>7240</v>
      </c>
      <c r="B7245" s="11" t="str">
        <f>"00342151"</f>
        <v>00342151</v>
      </c>
    </row>
    <row r="7246" spans="1:2" x14ac:dyDescent="0.25">
      <c r="A7246" s="2">
        <v>7241</v>
      </c>
      <c r="B7246" s="11" t="str">
        <f>"00342153"</f>
        <v>00342153</v>
      </c>
    </row>
    <row r="7247" spans="1:2" x14ac:dyDescent="0.25">
      <c r="A7247" s="2">
        <v>7242</v>
      </c>
      <c r="B7247" s="11" t="str">
        <f>"00342162"</f>
        <v>00342162</v>
      </c>
    </row>
    <row r="7248" spans="1:2" x14ac:dyDescent="0.25">
      <c r="A7248" s="2">
        <v>7243</v>
      </c>
      <c r="B7248" s="11" t="str">
        <f>"00342238"</f>
        <v>00342238</v>
      </c>
    </row>
    <row r="7249" spans="1:2" x14ac:dyDescent="0.25">
      <c r="A7249" s="2">
        <v>7244</v>
      </c>
      <c r="B7249" s="11" t="str">
        <f>"00342255"</f>
        <v>00342255</v>
      </c>
    </row>
    <row r="7250" spans="1:2" x14ac:dyDescent="0.25">
      <c r="A7250" s="2">
        <v>7245</v>
      </c>
      <c r="B7250" s="11" t="str">
        <f>"00342297"</f>
        <v>00342297</v>
      </c>
    </row>
    <row r="7251" spans="1:2" x14ac:dyDescent="0.25">
      <c r="A7251" s="2">
        <v>7246</v>
      </c>
      <c r="B7251" s="11" t="str">
        <f>"00342375"</f>
        <v>00342375</v>
      </c>
    </row>
    <row r="7252" spans="1:2" x14ac:dyDescent="0.25">
      <c r="A7252" s="2">
        <v>7247</v>
      </c>
      <c r="B7252" s="11" t="str">
        <f>"00342416"</f>
        <v>00342416</v>
      </c>
    </row>
    <row r="7253" spans="1:2" x14ac:dyDescent="0.25">
      <c r="A7253" s="2">
        <v>7248</v>
      </c>
      <c r="B7253" s="11" t="str">
        <f>"00342420"</f>
        <v>00342420</v>
      </c>
    </row>
    <row r="7254" spans="1:2" x14ac:dyDescent="0.25">
      <c r="A7254" s="2">
        <v>7249</v>
      </c>
      <c r="B7254" s="11" t="str">
        <f>"00342509"</f>
        <v>00342509</v>
      </c>
    </row>
    <row r="7255" spans="1:2" x14ac:dyDescent="0.25">
      <c r="A7255" s="2">
        <v>7250</v>
      </c>
      <c r="B7255" s="11" t="str">
        <f>"00342591"</f>
        <v>00342591</v>
      </c>
    </row>
    <row r="7256" spans="1:2" x14ac:dyDescent="0.25">
      <c r="A7256" s="2">
        <v>7251</v>
      </c>
      <c r="B7256" s="11" t="str">
        <f>"00342634"</f>
        <v>00342634</v>
      </c>
    </row>
    <row r="7257" spans="1:2" x14ac:dyDescent="0.25">
      <c r="A7257" s="2">
        <v>7252</v>
      </c>
      <c r="B7257" s="11" t="str">
        <f>"00342655"</f>
        <v>00342655</v>
      </c>
    </row>
    <row r="7258" spans="1:2" x14ac:dyDescent="0.25">
      <c r="A7258" s="2">
        <v>7253</v>
      </c>
      <c r="B7258" s="11" t="str">
        <f>"00342682"</f>
        <v>00342682</v>
      </c>
    </row>
    <row r="7259" spans="1:2" x14ac:dyDescent="0.25">
      <c r="A7259" s="2">
        <v>7254</v>
      </c>
      <c r="B7259" s="11" t="str">
        <f>"00342695"</f>
        <v>00342695</v>
      </c>
    </row>
    <row r="7260" spans="1:2" x14ac:dyDescent="0.25">
      <c r="A7260" s="2">
        <v>7255</v>
      </c>
      <c r="B7260" s="11" t="str">
        <f>"00342716"</f>
        <v>00342716</v>
      </c>
    </row>
    <row r="7261" spans="1:2" x14ac:dyDescent="0.25">
      <c r="A7261" s="2">
        <v>7256</v>
      </c>
      <c r="B7261" s="11" t="str">
        <f>"00342755"</f>
        <v>00342755</v>
      </c>
    </row>
    <row r="7262" spans="1:2" x14ac:dyDescent="0.25">
      <c r="A7262" s="2">
        <v>7257</v>
      </c>
      <c r="B7262" s="11" t="str">
        <f>"00342761"</f>
        <v>00342761</v>
      </c>
    </row>
    <row r="7263" spans="1:2" x14ac:dyDescent="0.25">
      <c r="A7263" s="2">
        <v>7258</v>
      </c>
      <c r="B7263" s="11" t="str">
        <f>"00342768"</f>
        <v>00342768</v>
      </c>
    </row>
    <row r="7264" spans="1:2" x14ac:dyDescent="0.25">
      <c r="A7264" s="2">
        <v>7259</v>
      </c>
      <c r="B7264" s="11" t="str">
        <f>"00342801"</f>
        <v>00342801</v>
      </c>
    </row>
    <row r="7265" spans="1:2" x14ac:dyDescent="0.25">
      <c r="A7265" s="2">
        <v>7260</v>
      </c>
      <c r="B7265" s="11" t="str">
        <f>"00342802"</f>
        <v>00342802</v>
      </c>
    </row>
    <row r="7266" spans="1:2" x14ac:dyDescent="0.25">
      <c r="A7266" s="2">
        <v>7261</v>
      </c>
      <c r="B7266" s="11" t="str">
        <f>"00342890"</f>
        <v>00342890</v>
      </c>
    </row>
    <row r="7267" spans="1:2" x14ac:dyDescent="0.25">
      <c r="A7267" s="2">
        <v>7262</v>
      </c>
      <c r="B7267" s="11" t="str">
        <f>"00342892"</f>
        <v>00342892</v>
      </c>
    </row>
    <row r="7268" spans="1:2" x14ac:dyDescent="0.25">
      <c r="A7268" s="2">
        <v>7263</v>
      </c>
      <c r="B7268" s="11" t="str">
        <f>"00343052"</f>
        <v>00343052</v>
      </c>
    </row>
    <row r="7269" spans="1:2" x14ac:dyDescent="0.25">
      <c r="A7269" s="2">
        <v>7264</v>
      </c>
      <c r="B7269" s="11" t="str">
        <f>"00343074"</f>
        <v>00343074</v>
      </c>
    </row>
    <row r="7270" spans="1:2" x14ac:dyDescent="0.25">
      <c r="A7270" s="2">
        <v>7265</v>
      </c>
      <c r="B7270" s="11" t="str">
        <f>"00343107"</f>
        <v>00343107</v>
      </c>
    </row>
    <row r="7271" spans="1:2" x14ac:dyDescent="0.25">
      <c r="A7271" s="2">
        <v>7266</v>
      </c>
      <c r="B7271" s="11" t="str">
        <f>"00343120"</f>
        <v>00343120</v>
      </c>
    </row>
    <row r="7272" spans="1:2" x14ac:dyDescent="0.25">
      <c r="A7272" s="2">
        <v>7267</v>
      </c>
      <c r="B7272" s="11" t="str">
        <f>"00343139"</f>
        <v>00343139</v>
      </c>
    </row>
    <row r="7273" spans="1:2" x14ac:dyDescent="0.25">
      <c r="A7273" s="2">
        <v>7268</v>
      </c>
      <c r="B7273" s="11" t="str">
        <f>"00343191"</f>
        <v>00343191</v>
      </c>
    </row>
    <row r="7274" spans="1:2" x14ac:dyDescent="0.25">
      <c r="A7274" s="2">
        <v>7269</v>
      </c>
      <c r="B7274" s="11" t="str">
        <f>"00343242"</f>
        <v>00343242</v>
      </c>
    </row>
    <row r="7275" spans="1:2" x14ac:dyDescent="0.25">
      <c r="A7275" s="2">
        <v>7270</v>
      </c>
      <c r="B7275" s="11" t="str">
        <f>"00343277"</f>
        <v>00343277</v>
      </c>
    </row>
    <row r="7276" spans="1:2" x14ac:dyDescent="0.25">
      <c r="A7276" s="2">
        <v>7271</v>
      </c>
      <c r="B7276" s="11" t="str">
        <f>"00343326"</f>
        <v>00343326</v>
      </c>
    </row>
    <row r="7277" spans="1:2" x14ac:dyDescent="0.25">
      <c r="A7277" s="2">
        <v>7272</v>
      </c>
      <c r="B7277" s="11" t="str">
        <f>"00343338"</f>
        <v>00343338</v>
      </c>
    </row>
    <row r="7278" spans="1:2" x14ac:dyDescent="0.25">
      <c r="A7278" s="2">
        <v>7273</v>
      </c>
      <c r="B7278" s="11" t="str">
        <f>"00343354"</f>
        <v>00343354</v>
      </c>
    </row>
    <row r="7279" spans="1:2" x14ac:dyDescent="0.25">
      <c r="A7279" s="2">
        <v>7274</v>
      </c>
      <c r="B7279" s="11" t="str">
        <f>"00343388"</f>
        <v>00343388</v>
      </c>
    </row>
    <row r="7280" spans="1:2" x14ac:dyDescent="0.25">
      <c r="A7280" s="2">
        <v>7275</v>
      </c>
      <c r="B7280" s="11" t="str">
        <f>"00343410"</f>
        <v>00343410</v>
      </c>
    </row>
    <row r="7281" spans="1:2" x14ac:dyDescent="0.25">
      <c r="A7281" s="2">
        <v>7276</v>
      </c>
      <c r="B7281" s="11" t="str">
        <f>"00343464"</f>
        <v>00343464</v>
      </c>
    </row>
    <row r="7282" spans="1:2" x14ac:dyDescent="0.25">
      <c r="A7282" s="2">
        <v>7277</v>
      </c>
      <c r="B7282" s="11" t="str">
        <f>"00343480"</f>
        <v>00343480</v>
      </c>
    </row>
    <row r="7283" spans="1:2" x14ac:dyDescent="0.25">
      <c r="A7283" s="2">
        <v>7278</v>
      </c>
      <c r="B7283" s="11" t="str">
        <f>"00343506"</f>
        <v>00343506</v>
      </c>
    </row>
    <row r="7284" spans="1:2" x14ac:dyDescent="0.25">
      <c r="A7284" s="2">
        <v>7279</v>
      </c>
      <c r="B7284" s="11" t="str">
        <f>"00343533"</f>
        <v>00343533</v>
      </c>
    </row>
    <row r="7285" spans="1:2" x14ac:dyDescent="0.25">
      <c r="A7285" s="2">
        <v>7280</v>
      </c>
      <c r="B7285" s="11" t="str">
        <f>"00343535"</f>
        <v>00343535</v>
      </c>
    </row>
    <row r="7286" spans="1:2" x14ac:dyDescent="0.25">
      <c r="A7286" s="2">
        <v>7281</v>
      </c>
      <c r="B7286" s="11" t="str">
        <f>"00343630"</f>
        <v>00343630</v>
      </c>
    </row>
    <row r="7287" spans="1:2" x14ac:dyDescent="0.25">
      <c r="A7287" s="2">
        <v>7282</v>
      </c>
      <c r="B7287" s="11" t="str">
        <f>"00343663"</f>
        <v>00343663</v>
      </c>
    </row>
    <row r="7288" spans="1:2" x14ac:dyDescent="0.25">
      <c r="A7288" s="2">
        <v>7283</v>
      </c>
      <c r="B7288" s="11" t="str">
        <f>"00343710"</f>
        <v>00343710</v>
      </c>
    </row>
    <row r="7289" spans="1:2" x14ac:dyDescent="0.25">
      <c r="A7289" s="2">
        <v>7284</v>
      </c>
      <c r="B7289" s="11" t="str">
        <f>"00343769"</f>
        <v>00343769</v>
      </c>
    </row>
    <row r="7290" spans="1:2" x14ac:dyDescent="0.25">
      <c r="A7290" s="2">
        <v>7285</v>
      </c>
      <c r="B7290" s="11" t="str">
        <f>"00343865"</f>
        <v>00343865</v>
      </c>
    </row>
    <row r="7291" spans="1:2" x14ac:dyDescent="0.25">
      <c r="A7291" s="2">
        <v>7286</v>
      </c>
      <c r="B7291" s="11" t="str">
        <f>"00343952"</f>
        <v>00343952</v>
      </c>
    </row>
    <row r="7292" spans="1:2" x14ac:dyDescent="0.25">
      <c r="A7292" s="2">
        <v>7287</v>
      </c>
      <c r="B7292" s="11" t="str">
        <f>"00343965"</f>
        <v>00343965</v>
      </c>
    </row>
    <row r="7293" spans="1:2" x14ac:dyDescent="0.25">
      <c r="A7293" s="2">
        <v>7288</v>
      </c>
      <c r="B7293" s="11" t="str">
        <f>"00343978"</f>
        <v>00343978</v>
      </c>
    </row>
    <row r="7294" spans="1:2" x14ac:dyDescent="0.25">
      <c r="A7294" s="2">
        <v>7289</v>
      </c>
      <c r="B7294" s="11" t="str">
        <f>"00344036"</f>
        <v>00344036</v>
      </c>
    </row>
    <row r="7295" spans="1:2" x14ac:dyDescent="0.25">
      <c r="A7295" s="2">
        <v>7290</v>
      </c>
      <c r="B7295" s="11" t="str">
        <f>"00344047"</f>
        <v>00344047</v>
      </c>
    </row>
    <row r="7296" spans="1:2" x14ac:dyDescent="0.25">
      <c r="A7296" s="2">
        <v>7291</v>
      </c>
      <c r="B7296" s="11" t="str">
        <f>"00344063"</f>
        <v>00344063</v>
      </c>
    </row>
    <row r="7297" spans="1:2" x14ac:dyDescent="0.25">
      <c r="A7297" s="2">
        <v>7292</v>
      </c>
      <c r="B7297" s="11" t="str">
        <f>"00344085"</f>
        <v>00344085</v>
      </c>
    </row>
    <row r="7298" spans="1:2" x14ac:dyDescent="0.25">
      <c r="A7298" s="2">
        <v>7293</v>
      </c>
      <c r="B7298" s="11" t="str">
        <f>"00344135"</f>
        <v>00344135</v>
      </c>
    </row>
    <row r="7299" spans="1:2" x14ac:dyDescent="0.25">
      <c r="A7299" s="2">
        <v>7294</v>
      </c>
      <c r="B7299" s="11" t="str">
        <f>"00344178"</f>
        <v>00344178</v>
      </c>
    </row>
    <row r="7300" spans="1:2" x14ac:dyDescent="0.25">
      <c r="A7300" s="2">
        <v>7295</v>
      </c>
      <c r="B7300" s="11" t="str">
        <f>"00344191"</f>
        <v>00344191</v>
      </c>
    </row>
    <row r="7301" spans="1:2" x14ac:dyDescent="0.25">
      <c r="A7301" s="2">
        <v>7296</v>
      </c>
      <c r="B7301" s="11" t="str">
        <f>"00344244"</f>
        <v>00344244</v>
      </c>
    </row>
    <row r="7302" spans="1:2" x14ac:dyDescent="0.25">
      <c r="A7302" s="2">
        <v>7297</v>
      </c>
      <c r="B7302" s="11" t="str">
        <f>"00344248"</f>
        <v>00344248</v>
      </c>
    </row>
    <row r="7303" spans="1:2" x14ac:dyDescent="0.25">
      <c r="A7303" s="2">
        <v>7298</v>
      </c>
      <c r="B7303" s="11" t="str">
        <f>"00344440"</f>
        <v>00344440</v>
      </c>
    </row>
    <row r="7304" spans="1:2" x14ac:dyDescent="0.25">
      <c r="A7304" s="2">
        <v>7299</v>
      </c>
      <c r="B7304" s="11" t="str">
        <f>"00344702"</f>
        <v>00344702</v>
      </c>
    </row>
    <row r="7305" spans="1:2" x14ac:dyDescent="0.25">
      <c r="A7305" s="2">
        <v>7300</v>
      </c>
      <c r="B7305" s="11" t="str">
        <f>"00344719"</f>
        <v>00344719</v>
      </c>
    </row>
    <row r="7306" spans="1:2" x14ac:dyDescent="0.25">
      <c r="A7306" s="2">
        <v>7301</v>
      </c>
      <c r="B7306" s="11" t="str">
        <f>"00344750"</f>
        <v>00344750</v>
      </c>
    </row>
    <row r="7307" spans="1:2" x14ac:dyDescent="0.25">
      <c r="A7307" s="2">
        <v>7302</v>
      </c>
      <c r="B7307" s="11" t="str">
        <f>"00344752"</f>
        <v>00344752</v>
      </c>
    </row>
    <row r="7308" spans="1:2" x14ac:dyDescent="0.25">
      <c r="A7308" s="2">
        <v>7303</v>
      </c>
      <c r="B7308" s="11" t="str">
        <f>"00344829"</f>
        <v>00344829</v>
      </c>
    </row>
    <row r="7309" spans="1:2" x14ac:dyDescent="0.25">
      <c r="A7309" s="2">
        <v>7304</v>
      </c>
      <c r="B7309" s="11" t="str">
        <f>"00344876"</f>
        <v>00344876</v>
      </c>
    </row>
    <row r="7310" spans="1:2" x14ac:dyDescent="0.25">
      <c r="A7310" s="2">
        <v>7305</v>
      </c>
      <c r="B7310" s="11" t="str">
        <f>"00344992"</f>
        <v>00344992</v>
      </c>
    </row>
    <row r="7311" spans="1:2" x14ac:dyDescent="0.25">
      <c r="A7311" s="2">
        <v>7306</v>
      </c>
      <c r="B7311" s="11" t="str">
        <f>"00345002"</f>
        <v>00345002</v>
      </c>
    </row>
    <row r="7312" spans="1:2" x14ac:dyDescent="0.25">
      <c r="A7312" s="2">
        <v>7307</v>
      </c>
      <c r="B7312" s="11" t="str">
        <f>"00345153"</f>
        <v>00345153</v>
      </c>
    </row>
    <row r="7313" spans="1:2" x14ac:dyDescent="0.25">
      <c r="A7313" s="2">
        <v>7308</v>
      </c>
      <c r="B7313" s="11" t="str">
        <f>"00345154"</f>
        <v>00345154</v>
      </c>
    </row>
    <row r="7314" spans="1:2" x14ac:dyDescent="0.25">
      <c r="A7314" s="2">
        <v>7309</v>
      </c>
      <c r="B7314" s="11" t="str">
        <f>"00345176"</f>
        <v>00345176</v>
      </c>
    </row>
    <row r="7315" spans="1:2" x14ac:dyDescent="0.25">
      <c r="A7315" s="2">
        <v>7310</v>
      </c>
      <c r="B7315" s="11" t="str">
        <f>"00345195"</f>
        <v>00345195</v>
      </c>
    </row>
    <row r="7316" spans="1:2" x14ac:dyDescent="0.25">
      <c r="A7316" s="2">
        <v>7311</v>
      </c>
      <c r="B7316" s="11" t="str">
        <f>"00345204"</f>
        <v>00345204</v>
      </c>
    </row>
    <row r="7317" spans="1:2" x14ac:dyDescent="0.25">
      <c r="A7317" s="2">
        <v>7312</v>
      </c>
      <c r="B7317" s="11" t="str">
        <f>"00345267"</f>
        <v>00345267</v>
      </c>
    </row>
    <row r="7318" spans="1:2" x14ac:dyDescent="0.25">
      <c r="A7318" s="2">
        <v>7313</v>
      </c>
      <c r="B7318" s="11" t="str">
        <f>"00345280"</f>
        <v>00345280</v>
      </c>
    </row>
    <row r="7319" spans="1:2" x14ac:dyDescent="0.25">
      <c r="A7319" s="2">
        <v>7314</v>
      </c>
      <c r="B7319" s="11" t="str">
        <f>"00345407"</f>
        <v>00345407</v>
      </c>
    </row>
    <row r="7320" spans="1:2" x14ac:dyDescent="0.25">
      <c r="A7320" s="2">
        <v>7315</v>
      </c>
      <c r="B7320" s="11" t="str">
        <f>"00345540"</f>
        <v>00345540</v>
      </c>
    </row>
    <row r="7321" spans="1:2" x14ac:dyDescent="0.25">
      <c r="A7321" s="2">
        <v>7316</v>
      </c>
      <c r="B7321" s="11" t="str">
        <f>"00345561"</f>
        <v>00345561</v>
      </c>
    </row>
    <row r="7322" spans="1:2" x14ac:dyDescent="0.25">
      <c r="A7322" s="2">
        <v>7317</v>
      </c>
      <c r="B7322" s="11" t="str">
        <f>"00345570"</f>
        <v>00345570</v>
      </c>
    </row>
    <row r="7323" spans="1:2" x14ac:dyDescent="0.25">
      <c r="A7323" s="2">
        <v>7318</v>
      </c>
      <c r="B7323" s="11" t="str">
        <f>"00345576"</f>
        <v>00345576</v>
      </c>
    </row>
    <row r="7324" spans="1:2" x14ac:dyDescent="0.25">
      <c r="A7324" s="2">
        <v>7319</v>
      </c>
      <c r="B7324" s="11" t="str">
        <f>"00345578"</f>
        <v>00345578</v>
      </c>
    </row>
    <row r="7325" spans="1:2" x14ac:dyDescent="0.25">
      <c r="A7325" s="2">
        <v>7320</v>
      </c>
      <c r="B7325" s="11" t="str">
        <f>"00345602"</f>
        <v>00345602</v>
      </c>
    </row>
    <row r="7326" spans="1:2" x14ac:dyDescent="0.25">
      <c r="A7326" s="2">
        <v>7321</v>
      </c>
      <c r="B7326" s="11" t="str">
        <f>"00345717"</f>
        <v>00345717</v>
      </c>
    </row>
    <row r="7327" spans="1:2" x14ac:dyDescent="0.25">
      <c r="A7327" s="2">
        <v>7322</v>
      </c>
      <c r="B7327" s="11" t="str">
        <f>"00345723"</f>
        <v>00345723</v>
      </c>
    </row>
    <row r="7328" spans="1:2" x14ac:dyDescent="0.25">
      <c r="A7328" s="2">
        <v>7323</v>
      </c>
      <c r="B7328" s="11" t="str">
        <f>"00345755"</f>
        <v>00345755</v>
      </c>
    </row>
    <row r="7329" spans="1:2" x14ac:dyDescent="0.25">
      <c r="A7329" s="2">
        <v>7324</v>
      </c>
      <c r="B7329" s="11" t="str">
        <f>"00345783"</f>
        <v>00345783</v>
      </c>
    </row>
    <row r="7330" spans="1:2" x14ac:dyDescent="0.25">
      <c r="A7330" s="2">
        <v>7325</v>
      </c>
      <c r="B7330" s="11" t="str">
        <f>"00345864"</f>
        <v>00345864</v>
      </c>
    </row>
    <row r="7331" spans="1:2" x14ac:dyDescent="0.25">
      <c r="A7331" s="2">
        <v>7326</v>
      </c>
      <c r="B7331" s="11" t="str">
        <f>"00345922"</f>
        <v>00345922</v>
      </c>
    </row>
    <row r="7332" spans="1:2" x14ac:dyDescent="0.25">
      <c r="A7332" s="2">
        <v>7327</v>
      </c>
      <c r="B7332" s="11" t="str">
        <f>"00345968"</f>
        <v>00345968</v>
      </c>
    </row>
    <row r="7333" spans="1:2" x14ac:dyDescent="0.25">
      <c r="A7333" s="2">
        <v>7328</v>
      </c>
      <c r="B7333" s="11" t="str">
        <f>"00346011"</f>
        <v>00346011</v>
      </c>
    </row>
    <row r="7334" spans="1:2" x14ac:dyDescent="0.25">
      <c r="A7334" s="2">
        <v>7329</v>
      </c>
      <c r="B7334" s="11" t="str">
        <f>"00346141"</f>
        <v>00346141</v>
      </c>
    </row>
    <row r="7335" spans="1:2" x14ac:dyDescent="0.25">
      <c r="A7335" s="2">
        <v>7330</v>
      </c>
      <c r="B7335" s="11" t="str">
        <f>"00346161"</f>
        <v>00346161</v>
      </c>
    </row>
    <row r="7336" spans="1:2" x14ac:dyDescent="0.25">
      <c r="A7336" s="2">
        <v>7331</v>
      </c>
      <c r="B7336" s="11" t="str">
        <f>"00346314"</f>
        <v>00346314</v>
      </c>
    </row>
    <row r="7337" spans="1:2" x14ac:dyDescent="0.25">
      <c r="A7337" s="2">
        <v>7332</v>
      </c>
      <c r="B7337" s="11" t="str">
        <f>"00346368"</f>
        <v>00346368</v>
      </c>
    </row>
    <row r="7338" spans="1:2" x14ac:dyDescent="0.25">
      <c r="A7338" s="2">
        <v>7333</v>
      </c>
      <c r="B7338" s="11" t="str">
        <f>"00346560"</f>
        <v>00346560</v>
      </c>
    </row>
    <row r="7339" spans="1:2" x14ac:dyDescent="0.25">
      <c r="A7339" s="2">
        <v>7334</v>
      </c>
      <c r="B7339" s="11" t="str">
        <f>"00346780"</f>
        <v>00346780</v>
      </c>
    </row>
    <row r="7340" spans="1:2" x14ac:dyDescent="0.25">
      <c r="A7340" s="2">
        <v>7335</v>
      </c>
      <c r="B7340" s="11" t="str">
        <f>"00346810"</f>
        <v>00346810</v>
      </c>
    </row>
    <row r="7341" spans="1:2" x14ac:dyDescent="0.25">
      <c r="A7341" s="2">
        <v>7336</v>
      </c>
      <c r="B7341" s="11" t="str">
        <f>"00346868"</f>
        <v>00346868</v>
      </c>
    </row>
    <row r="7342" spans="1:2" x14ac:dyDescent="0.25">
      <c r="A7342" s="2">
        <v>7337</v>
      </c>
      <c r="B7342" s="11" t="str">
        <f>"00346910"</f>
        <v>00346910</v>
      </c>
    </row>
    <row r="7343" spans="1:2" x14ac:dyDescent="0.25">
      <c r="A7343" s="2">
        <v>7338</v>
      </c>
      <c r="B7343" s="11" t="str">
        <f>"00346968"</f>
        <v>00346968</v>
      </c>
    </row>
    <row r="7344" spans="1:2" x14ac:dyDescent="0.25">
      <c r="A7344" s="2">
        <v>7339</v>
      </c>
      <c r="B7344" s="11" t="str">
        <f>"00347033"</f>
        <v>00347033</v>
      </c>
    </row>
    <row r="7345" spans="1:2" x14ac:dyDescent="0.25">
      <c r="A7345" s="2">
        <v>7340</v>
      </c>
      <c r="B7345" s="11" t="str">
        <f>"00347047"</f>
        <v>00347047</v>
      </c>
    </row>
    <row r="7346" spans="1:2" x14ac:dyDescent="0.25">
      <c r="A7346" s="2">
        <v>7341</v>
      </c>
      <c r="B7346" s="11" t="str">
        <f>"00347072"</f>
        <v>00347072</v>
      </c>
    </row>
    <row r="7347" spans="1:2" x14ac:dyDescent="0.25">
      <c r="A7347" s="2">
        <v>7342</v>
      </c>
      <c r="B7347" s="11" t="str">
        <f>"00347346"</f>
        <v>00347346</v>
      </c>
    </row>
    <row r="7348" spans="1:2" x14ac:dyDescent="0.25">
      <c r="A7348" s="2">
        <v>7343</v>
      </c>
      <c r="B7348" s="11" t="str">
        <f>"00347358"</f>
        <v>00347358</v>
      </c>
    </row>
    <row r="7349" spans="1:2" x14ac:dyDescent="0.25">
      <c r="A7349" s="2">
        <v>7344</v>
      </c>
      <c r="B7349" s="11" t="str">
        <f>"00347445"</f>
        <v>00347445</v>
      </c>
    </row>
    <row r="7350" spans="1:2" x14ac:dyDescent="0.25">
      <c r="A7350" s="2">
        <v>7345</v>
      </c>
      <c r="B7350" s="11" t="str">
        <f>"00347468"</f>
        <v>00347468</v>
      </c>
    </row>
    <row r="7351" spans="1:2" x14ac:dyDescent="0.25">
      <c r="A7351" s="2">
        <v>7346</v>
      </c>
      <c r="B7351" s="11" t="str">
        <f>"00347602"</f>
        <v>00347602</v>
      </c>
    </row>
    <row r="7352" spans="1:2" x14ac:dyDescent="0.25">
      <c r="A7352" s="2">
        <v>7347</v>
      </c>
      <c r="B7352" s="11" t="str">
        <f>"00347675"</f>
        <v>00347675</v>
      </c>
    </row>
    <row r="7353" spans="1:2" x14ac:dyDescent="0.25">
      <c r="A7353" s="2">
        <v>7348</v>
      </c>
      <c r="B7353" s="11" t="str">
        <f>"00347695"</f>
        <v>00347695</v>
      </c>
    </row>
    <row r="7354" spans="1:2" x14ac:dyDescent="0.25">
      <c r="A7354" s="2">
        <v>7349</v>
      </c>
      <c r="B7354" s="11" t="str">
        <f>"00347765"</f>
        <v>00347765</v>
      </c>
    </row>
    <row r="7355" spans="1:2" x14ac:dyDescent="0.25">
      <c r="A7355" s="2">
        <v>7350</v>
      </c>
      <c r="B7355" s="11" t="str">
        <f>"00348057"</f>
        <v>00348057</v>
      </c>
    </row>
    <row r="7356" spans="1:2" x14ac:dyDescent="0.25">
      <c r="A7356" s="2">
        <v>7351</v>
      </c>
      <c r="B7356" s="11" t="str">
        <f>"00348073"</f>
        <v>00348073</v>
      </c>
    </row>
    <row r="7357" spans="1:2" x14ac:dyDescent="0.25">
      <c r="A7357" s="2">
        <v>7352</v>
      </c>
      <c r="B7357" s="11" t="str">
        <f>"00348170"</f>
        <v>00348170</v>
      </c>
    </row>
    <row r="7358" spans="1:2" x14ac:dyDescent="0.25">
      <c r="A7358" s="2">
        <v>7353</v>
      </c>
      <c r="B7358" s="11" t="str">
        <f>"00348179"</f>
        <v>00348179</v>
      </c>
    </row>
    <row r="7359" spans="1:2" x14ac:dyDescent="0.25">
      <c r="A7359" s="2">
        <v>7354</v>
      </c>
      <c r="B7359" s="11" t="str">
        <f>"00348188"</f>
        <v>00348188</v>
      </c>
    </row>
    <row r="7360" spans="1:2" x14ac:dyDescent="0.25">
      <c r="A7360" s="2">
        <v>7355</v>
      </c>
      <c r="B7360" s="11" t="str">
        <f>"00348207"</f>
        <v>00348207</v>
      </c>
    </row>
    <row r="7361" spans="1:2" x14ac:dyDescent="0.25">
      <c r="A7361" s="2">
        <v>7356</v>
      </c>
      <c r="B7361" s="11" t="str">
        <f>"00348263"</f>
        <v>00348263</v>
      </c>
    </row>
    <row r="7362" spans="1:2" x14ac:dyDescent="0.25">
      <c r="A7362" s="2">
        <v>7357</v>
      </c>
      <c r="B7362" s="11" t="str">
        <f>"00348282"</f>
        <v>00348282</v>
      </c>
    </row>
    <row r="7363" spans="1:2" x14ac:dyDescent="0.25">
      <c r="A7363" s="2">
        <v>7358</v>
      </c>
      <c r="B7363" s="11" t="str">
        <f>"00348295"</f>
        <v>00348295</v>
      </c>
    </row>
    <row r="7364" spans="1:2" x14ac:dyDescent="0.25">
      <c r="A7364" s="2">
        <v>7359</v>
      </c>
      <c r="B7364" s="11" t="str">
        <f>"00348486"</f>
        <v>00348486</v>
      </c>
    </row>
    <row r="7365" spans="1:2" x14ac:dyDescent="0.25">
      <c r="A7365" s="2">
        <v>7360</v>
      </c>
      <c r="B7365" s="11" t="str">
        <f>"00348550"</f>
        <v>00348550</v>
      </c>
    </row>
    <row r="7366" spans="1:2" x14ac:dyDescent="0.25">
      <c r="A7366" s="2">
        <v>7361</v>
      </c>
      <c r="B7366" s="11" t="str">
        <f>"00348595"</f>
        <v>00348595</v>
      </c>
    </row>
    <row r="7367" spans="1:2" x14ac:dyDescent="0.25">
      <c r="A7367" s="2">
        <v>7362</v>
      </c>
      <c r="B7367" s="11" t="str">
        <f>"00348716"</f>
        <v>00348716</v>
      </c>
    </row>
    <row r="7368" spans="1:2" x14ac:dyDescent="0.25">
      <c r="A7368" s="2">
        <v>7363</v>
      </c>
      <c r="B7368" s="11" t="str">
        <f>"00348769"</f>
        <v>00348769</v>
      </c>
    </row>
    <row r="7369" spans="1:2" x14ac:dyDescent="0.25">
      <c r="A7369" s="2">
        <v>7364</v>
      </c>
      <c r="B7369" s="11" t="str">
        <f>"00348809"</f>
        <v>00348809</v>
      </c>
    </row>
    <row r="7370" spans="1:2" x14ac:dyDescent="0.25">
      <c r="A7370" s="2">
        <v>7365</v>
      </c>
      <c r="B7370" s="11" t="str">
        <f>"00348869"</f>
        <v>00348869</v>
      </c>
    </row>
    <row r="7371" spans="1:2" x14ac:dyDescent="0.25">
      <c r="A7371" s="2">
        <v>7366</v>
      </c>
      <c r="B7371" s="11" t="str">
        <f>"00348985"</f>
        <v>00348985</v>
      </c>
    </row>
    <row r="7372" spans="1:2" x14ac:dyDescent="0.25">
      <c r="A7372" s="2">
        <v>7367</v>
      </c>
      <c r="B7372" s="11" t="str">
        <f>"00349083"</f>
        <v>00349083</v>
      </c>
    </row>
    <row r="7373" spans="1:2" x14ac:dyDescent="0.25">
      <c r="A7373" s="2">
        <v>7368</v>
      </c>
      <c r="B7373" s="11" t="str">
        <f>"00349115"</f>
        <v>00349115</v>
      </c>
    </row>
    <row r="7374" spans="1:2" x14ac:dyDescent="0.25">
      <c r="A7374" s="2">
        <v>7369</v>
      </c>
      <c r="B7374" s="11" t="str">
        <f>"00349131"</f>
        <v>00349131</v>
      </c>
    </row>
    <row r="7375" spans="1:2" x14ac:dyDescent="0.25">
      <c r="A7375" s="2">
        <v>7370</v>
      </c>
      <c r="B7375" s="11" t="str">
        <f>"00349184"</f>
        <v>00349184</v>
      </c>
    </row>
    <row r="7376" spans="1:2" x14ac:dyDescent="0.25">
      <c r="A7376" s="2">
        <v>7371</v>
      </c>
      <c r="B7376" s="11" t="str">
        <f>"00349188"</f>
        <v>00349188</v>
      </c>
    </row>
    <row r="7377" spans="1:2" x14ac:dyDescent="0.25">
      <c r="A7377" s="2">
        <v>7372</v>
      </c>
      <c r="B7377" s="11" t="str">
        <f>"00349201"</f>
        <v>00349201</v>
      </c>
    </row>
    <row r="7378" spans="1:2" x14ac:dyDescent="0.25">
      <c r="A7378" s="2">
        <v>7373</v>
      </c>
      <c r="B7378" s="11" t="str">
        <f>"00349210"</f>
        <v>00349210</v>
      </c>
    </row>
    <row r="7379" spans="1:2" x14ac:dyDescent="0.25">
      <c r="A7379" s="2">
        <v>7374</v>
      </c>
      <c r="B7379" s="11" t="str">
        <f>"00349317"</f>
        <v>00349317</v>
      </c>
    </row>
    <row r="7380" spans="1:2" x14ac:dyDescent="0.25">
      <c r="A7380" s="2">
        <v>7375</v>
      </c>
      <c r="B7380" s="11" t="str">
        <f>"00349339"</f>
        <v>00349339</v>
      </c>
    </row>
    <row r="7381" spans="1:2" x14ac:dyDescent="0.25">
      <c r="A7381" s="2">
        <v>7376</v>
      </c>
      <c r="B7381" s="11" t="str">
        <f>"00349554"</f>
        <v>00349554</v>
      </c>
    </row>
    <row r="7382" spans="1:2" x14ac:dyDescent="0.25">
      <c r="A7382" s="2">
        <v>7377</v>
      </c>
      <c r="B7382" s="11" t="str">
        <f>"00349558"</f>
        <v>00349558</v>
      </c>
    </row>
    <row r="7383" spans="1:2" x14ac:dyDescent="0.25">
      <c r="A7383" s="2">
        <v>7378</v>
      </c>
      <c r="B7383" s="11" t="str">
        <f>"00349564"</f>
        <v>00349564</v>
      </c>
    </row>
    <row r="7384" spans="1:2" x14ac:dyDescent="0.25">
      <c r="A7384" s="2">
        <v>7379</v>
      </c>
      <c r="B7384" s="11" t="str">
        <f>"00349599"</f>
        <v>00349599</v>
      </c>
    </row>
    <row r="7385" spans="1:2" x14ac:dyDescent="0.25">
      <c r="A7385" s="2">
        <v>7380</v>
      </c>
      <c r="B7385" s="11" t="str">
        <f>"00349639"</f>
        <v>00349639</v>
      </c>
    </row>
    <row r="7386" spans="1:2" x14ac:dyDescent="0.25">
      <c r="A7386" s="2">
        <v>7381</v>
      </c>
      <c r="B7386" s="11" t="str">
        <f>"00349703"</f>
        <v>00349703</v>
      </c>
    </row>
    <row r="7387" spans="1:2" x14ac:dyDescent="0.25">
      <c r="A7387" s="2">
        <v>7382</v>
      </c>
      <c r="B7387" s="11" t="str">
        <f>"00349709"</f>
        <v>00349709</v>
      </c>
    </row>
    <row r="7388" spans="1:2" x14ac:dyDescent="0.25">
      <c r="A7388" s="2">
        <v>7383</v>
      </c>
      <c r="B7388" s="11" t="str">
        <f>"00349711"</f>
        <v>00349711</v>
      </c>
    </row>
    <row r="7389" spans="1:2" x14ac:dyDescent="0.25">
      <c r="A7389" s="2">
        <v>7384</v>
      </c>
      <c r="B7389" s="11" t="str">
        <f>"00349739"</f>
        <v>00349739</v>
      </c>
    </row>
    <row r="7390" spans="1:2" x14ac:dyDescent="0.25">
      <c r="A7390" s="2">
        <v>7385</v>
      </c>
      <c r="B7390" s="11" t="str">
        <f>"00349774"</f>
        <v>00349774</v>
      </c>
    </row>
    <row r="7391" spans="1:2" x14ac:dyDescent="0.25">
      <c r="A7391" s="2">
        <v>7386</v>
      </c>
      <c r="B7391" s="11" t="str">
        <f>"00349787"</f>
        <v>00349787</v>
      </c>
    </row>
    <row r="7392" spans="1:2" x14ac:dyDescent="0.25">
      <c r="A7392" s="2">
        <v>7387</v>
      </c>
      <c r="B7392" s="11" t="str">
        <f>"00349855"</f>
        <v>00349855</v>
      </c>
    </row>
    <row r="7393" spans="1:2" x14ac:dyDescent="0.25">
      <c r="A7393" s="2">
        <v>7388</v>
      </c>
      <c r="B7393" s="11" t="str">
        <f>"00349859"</f>
        <v>00349859</v>
      </c>
    </row>
    <row r="7394" spans="1:2" x14ac:dyDescent="0.25">
      <c r="A7394" s="2">
        <v>7389</v>
      </c>
      <c r="B7394" s="11" t="str">
        <f>"00349876"</f>
        <v>00349876</v>
      </c>
    </row>
    <row r="7395" spans="1:2" x14ac:dyDescent="0.25">
      <c r="A7395" s="2">
        <v>7390</v>
      </c>
      <c r="B7395" s="11" t="str">
        <f>"00349906"</f>
        <v>00349906</v>
      </c>
    </row>
    <row r="7396" spans="1:2" x14ac:dyDescent="0.25">
      <c r="A7396" s="2">
        <v>7391</v>
      </c>
      <c r="B7396" s="11" t="str">
        <f>"00349918"</f>
        <v>00349918</v>
      </c>
    </row>
    <row r="7397" spans="1:2" x14ac:dyDescent="0.25">
      <c r="A7397" s="2">
        <v>7392</v>
      </c>
      <c r="B7397" s="11" t="str">
        <f>"00349994"</f>
        <v>00349994</v>
      </c>
    </row>
    <row r="7398" spans="1:2" x14ac:dyDescent="0.25">
      <c r="A7398" s="2">
        <v>7393</v>
      </c>
      <c r="B7398" s="11" t="str">
        <f>"00350003"</f>
        <v>00350003</v>
      </c>
    </row>
    <row r="7399" spans="1:2" x14ac:dyDescent="0.25">
      <c r="A7399" s="2">
        <v>7394</v>
      </c>
      <c r="B7399" s="11" t="str">
        <f>"00350087"</f>
        <v>00350087</v>
      </c>
    </row>
    <row r="7400" spans="1:2" x14ac:dyDescent="0.25">
      <c r="A7400" s="2">
        <v>7395</v>
      </c>
      <c r="B7400" s="11" t="str">
        <f>"00350215"</f>
        <v>00350215</v>
      </c>
    </row>
    <row r="7401" spans="1:2" x14ac:dyDescent="0.25">
      <c r="A7401" s="2">
        <v>7396</v>
      </c>
      <c r="B7401" s="11" t="str">
        <f>"00350277"</f>
        <v>00350277</v>
      </c>
    </row>
    <row r="7402" spans="1:2" x14ac:dyDescent="0.25">
      <c r="A7402" s="2">
        <v>7397</v>
      </c>
      <c r="B7402" s="11" t="str">
        <f>"00350317"</f>
        <v>00350317</v>
      </c>
    </row>
    <row r="7403" spans="1:2" x14ac:dyDescent="0.25">
      <c r="A7403" s="2">
        <v>7398</v>
      </c>
      <c r="B7403" s="11" t="str">
        <f>"00350323"</f>
        <v>00350323</v>
      </c>
    </row>
    <row r="7404" spans="1:2" x14ac:dyDescent="0.25">
      <c r="A7404" s="2">
        <v>7399</v>
      </c>
      <c r="B7404" s="11" t="str">
        <f>"00350334"</f>
        <v>00350334</v>
      </c>
    </row>
    <row r="7405" spans="1:2" x14ac:dyDescent="0.25">
      <c r="A7405" s="2">
        <v>7400</v>
      </c>
      <c r="B7405" s="11" t="str">
        <f>"00350378"</f>
        <v>00350378</v>
      </c>
    </row>
    <row r="7406" spans="1:2" x14ac:dyDescent="0.25">
      <c r="A7406" s="2">
        <v>7401</v>
      </c>
      <c r="B7406" s="11" t="str">
        <f>"00350422"</f>
        <v>00350422</v>
      </c>
    </row>
    <row r="7407" spans="1:2" x14ac:dyDescent="0.25">
      <c r="A7407" s="2">
        <v>7402</v>
      </c>
      <c r="B7407" s="11" t="str">
        <f>"00350444"</f>
        <v>00350444</v>
      </c>
    </row>
    <row r="7408" spans="1:2" x14ac:dyDescent="0.25">
      <c r="A7408" s="2">
        <v>7403</v>
      </c>
      <c r="B7408" s="11" t="str">
        <f>"00350478"</f>
        <v>00350478</v>
      </c>
    </row>
    <row r="7409" spans="1:2" x14ac:dyDescent="0.25">
      <c r="A7409" s="2">
        <v>7404</v>
      </c>
      <c r="B7409" s="11" t="str">
        <f>"00350518"</f>
        <v>00350518</v>
      </c>
    </row>
    <row r="7410" spans="1:2" x14ac:dyDescent="0.25">
      <c r="A7410" s="2">
        <v>7405</v>
      </c>
      <c r="B7410" s="11" t="str">
        <f>"00350632"</f>
        <v>00350632</v>
      </c>
    </row>
    <row r="7411" spans="1:2" x14ac:dyDescent="0.25">
      <c r="A7411" s="2">
        <v>7406</v>
      </c>
      <c r="B7411" s="11" t="str">
        <f>"00350842"</f>
        <v>00350842</v>
      </c>
    </row>
    <row r="7412" spans="1:2" x14ac:dyDescent="0.25">
      <c r="A7412" s="2">
        <v>7407</v>
      </c>
      <c r="B7412" s="11" t="str">
        <f>"00351005"</f>
        <v>00351005</v>
      </c>
    </row>
    <row r="7413" spans="1:2" x14ac:dyDescent="0.25">
      <c r="A7413" s="2">
        <v>7408</v>
      </c>
      <c r="B7413" s="11" t="str">
        <f>"00351041"</f>
        <v>00351041</v>
      </c>
    </row>
    <row r="7414" spans="1:2" x14ac:dyDescent="0.25">
      <c r="A7414" s="2">
        <v>7409</v>
      </c>
      <c r="B7414" s="11" t="str">
        <f>"00351050"</f>
        <v>00351050</v>
      </c>
    </row>
    <row r="7415" spans="1:2" x14ac:dyDescent="0.25">
      <c r="A7415" s="2">
        <v>7410</v>
      </c>
      <c r="B7415" s="11" t="str">
        <f>"00351267"</f>
        <v>00351267</v>
      </c>
    </row>
    <row r="7416" spans="1:2" x14ac:dyDescent="0.25">
      <c r="A7416" s="2">
        <v>7411</v>
      </c>
      <c r="B7416" s="11" t="str">
        <f>"00351275"</f>
        <v>00351275</v>
      </c>
    </row>
    <row r="7417" spans="1:2" x14ac:dyDescent="0.25">
      <c r="A7417" s="2">
        <v>7412</v>
      </c>
      <c r="B7417" s="11" t="str">
        <f>"00351311"</f>
        <v>00351311</v>
      </c>
    </row>
    <row r="7418" spans="1:2" x14ac:dyDescent="0.25">
      <c r="A7418" s="2">
        <v>7413</v>
      </c>
      <c r="B7418" s="11" t="str">
        <f>"00351393"</f>
        <v>00351393</v>
      </c>
    </row>
    <row r="7419" spans="1:2" x14ac:dyDescent="0.25">
      <c r="A7419" s="2">
        <v>7414</v>
      </c>
      <c r="B7419" s="11" t="str">
        <f>"00351427"</f>
        <v>00351427</v>
      </c>
    </row>
    <row r="7420" spans="1:2" x14ac:dyDescent="0.25">
      <c r="A7420" s="2">
        <v>7415</v>
      </c>
      <c r="B7420" s="11" t="str">
        <f>"00351434"</f>
        <v>00351434</v>
      </c>
    </row>
    <row r="7421" spans="1:2" x14ac:dyDescent="0.25">
      <c r="A7421" s="2">
        <v>7416</v>
      </c>
      <c r="B7421" s="11" t="str">
        <f>"00351512"</f>
        <v>00351512</v>
      </c>
    </row>
    <row r="7422" spans="1:2" x14ac:dyDescent="0.25">
      <c r="A7422" s="2">
        <v>7417</v>
      </c>
      <c r="B7422" s="11" t="str">
        <f>"00351519"</f>
        <v>00351519</v>
      </c>
    </row>
    <row r="7423" spans="1:2" x14ac:dyDescent="0.25">
      <c r="A7423" s="2">
        <v>7418</v>
      </c>
      <c r="B7423" s="11" t="str">
        <f>"00351533"</f>
        <v>00351533</v>
      </c>
    </row>
    <row r="7424" spans="1:2" x14ac:dyDescent="0.25">
      <c r="A7424" s="2">
        <v>7419</v>
      </c>
      <c r="B7424" s="11" t="str">
        <f>"00351539"</f>
        <v>00351539</v>
      </c>
    </row>
    <row r="7425" spans="1:2" x14ac:dyDescent="0.25">
      <c r="A7425" s="2">
        <v>7420</v>
      </c>
      <c r="B7425" s="11" t="str">
        <f>"00351668"</f>
        <v>00351668</v>
      </c>
    </row>
    <row r="7426" spans="1:2" x14ac:dyDescent="0.25">
      <c r="A7426" s="2">
        <v>7421</v>
      </c>
      <c r="B7426" s="11" t="str">
        <f>"00351695"</f>
        <v>00351695</v>
      </c>
    </row>
    <row r="7427" spans="1:2" x14ac:dyDescent="0.25">
      <c r="A7427" s="2">
        <v>7422</v>
      </c>
      <c r="B7427" s="11" t="str">
        <f>"00351698"</f>
        <v>00351698</v>
      </c>
    </row>
    <row r="7428" spans="1:2" x14ac:dyDescent="0.25">
      <c r="A7428" s="2">
        <v>7423</v>
      </c>
      <c r="B7428" s="11" t="str">
        <f>"00351743"</f>
        <v>00351743</v>
      </c>
    </row>
    <row r="7429" spans="1:2" x14ac:dyDescent="0.25">
      <c r="A7429" s="2">
        <v>7424</v>
      </c>
      <c r="B7429" s="11" t="str">
        <f>"00351772"</f>
        <v>00351772</v>
      </c>
    </row>
    <row r="7430" spans="1:2" x14ac:dyDescent="0.25">
      <c r="A7430" s="2">
        <v>7425</v>
      </c>
      <c r="B7430" s="11" t="str">
        <f>"00351820"</f>
        <v>00351820</v>
      </c>
    </row>
    <row r="7431" spans="1:2" x14ac:dyDescent="0.25">
      <c r="A7431" s="2">
        <v>7426</v>
      </c>
      <c r="B7431" s="11" t="str">
        <f>"00351824"</f>
        <v>00351824</v>
      </c>
    </row>
    <row r="7432" spans="1:2" x14ac:dyDescent="0.25">
      <c r="A7432" s="2">
        <v>7427</v>
      </c>
      <c r="B7432" s="11" t="str">
        <f>"00351826"</f>
        <v>00351826</v>
      </c>
    </row>
    <row r="7433" spans="1:2" x14ac:dyDescent="0.25">
      <c r="A7433" s="2">
        <v>7428</v>
      </c>
      <c r="B7433" s="11" t="str">
        <f>"00351830"</f>
        <v>00351830</v>
      </c>
    </row>
    <row r="7434" spans="1:2" x14ac:dyDescent="0.25">
      <c r="A7434" s="2">
        <v>7429</v>
      </c>
      <c r="B7434" s="11" t="str">
        <f>"00351893"</f>
        <v>00351893</v>
      </c>
    </row>
    <row r="7435" spans="1:2" x14ac:dyDescent="0.25">
      <c r="A7435" s="2">
        <v>7430</v>
      </c>
      <c r="B7435" s="11" t="str">
        <f>"00351907"</f>
        <v>00351907</v>
      </c>
    </row>
    <row r="7436" spans="1:2" x14ac:dyDescent="0.25">
      <c r="A7436" s="2">
        <v>7431</v>
      </c>
      <c r="B7436" s="11" t="str">
        <f>"00351990"</f>
        <v>00351990</v>
      </c>
    </row>
    <row r="7437" spans="1:2" x14ac:dyDescent="0.25">
      <c r="A7437" s="2">
        <v>7432</v>
      </c>
      <c r="B7437" s="11" t="str">
        <f>"00351997"</f>
        <v>00351997</v>
      </c>
    </row>
    <row r="7438" spans="1:2" x14ac:dyDescent="0.25">
      <c r="A7438" s="2">
        <v>7433</v>
      </c>
      <c r="B7438" s="11" t="str">
        <f>"00352027"</f>
        <v>00352027</v>
      </c>
    </row>
    <row r="7439" spans="1:2" x14ac:dyDescent="0.25">
      <c r="A7439" s="2">
        <v>7434</v>
      </c>
      <c r="B7439" s="11" t="str">
        <f>"00352050"</f>
        <v>00352050</v>
      </c>
    </row>
    <row r="7440" spans="1:2" x14ac:dyDescent="0.25">
      <c r="A7440" s="2">
        <v>7435</v>
      </c>
      <c r="B7440" s="11" t="str">
        <f>"00352078"</f>
        <v>00352078</v>
      </c>
    </row>
    <row r="7441" spans="1:2" x14ac:dyDescent="0.25">
      <c r="A7441" s="2">
        <v>7436</v>
      </c>
      <c r="B7441" s="11" t="str">
        <f>"00352191"</f>
        <v>00352191</v>
      </c>
    </row>
    <row r="7442" spans="1:2" x14ac:dyDescent="0.25">
      <c r="A7442" s="2">
        <v>7437</v>
      </c>
      <c r="B7442" s="11" t="str">
        <f>"00352192"</f>
        <v>00352192</v>
      </c>
    </row>
    <row r="7443" spans="1:2" x14ac:dyDescent="0.25">
      <c r="A7443" s="2">
        <v>7438</v>
      </c>
      <c r="B7443" s="11" t="str">
        <f>"00352228"</f>
        <v>00352228</v>
      </c>
    </row>
    <row r="7444" spans="1:2" x14ac:dyDescent="0.25">
      <c r="A7444" s="2">
        <v>7439</v>
      </c>
      <c r="B7444" s="11" t="str">
        <f>"00352259"</f>
        <v>00352259</v>
      </c>
    </row>
    <row r="7445" spans="1:2" x14ac:dyDescent="0.25">
      <c r="A7445" s="2">
        <v>7440</v>
      </c>
      <c r="B7445" s="11" t="str">
        <f>"00352338"</f>
        <v>00352338</v>
      </c>
    </row>
    <row r="7446" spans="1:2" x14ac:dyDescent="0.25">
      <c r="A7446" s="2">
        <v>7441</v>
      </c>
      <c r="B7446" s="11" t="str">
        <f>"00352358"</f>
        <v>00352358</v>
      </c>
    </row>
    <row r="7447" spans="1:2" x14ac:dyDescent="0.25">
      <c r="A7447" s="2">
        <v>7442</v>
      </c>
      <c r="B7447" s="11" t="str">
        <f>"00352368"</f>
        <v>00352368</v>
      </c>
    </row>
    <row r="7448" spans="1:2" x14ac:dyDescent="0.25">
      <c r="A7448" s="2">
        <v>7443</v>
      </c>
      <c r="B7448" s="11" t="str">
        <f>"00352386"</f>
        <v>00352386</v>
      </c>
    </row>
    <row r="7449" spans="1:2" x14ac:dyDescent="0.25">
      <c r="A7449" s="2">
        <v>7444</v>
      </c>
      <c r="B7449" s="11" t="str">
        <f>"00352397"</f>
        <v>00352397</v>
      </c>
    </row>
    <row r="7450" spans="1:2" x14ac:dyDescent="0.25">
      <c r="A7450" s="2">
        <v>7445</v>
      </c>
      <c r="B7450" s="11" t="str">
        <f>"00352479"</f>
        <v>00352479</v>
      </c>
    </row>
    <row r="7451" spans="1:2" x14ac:dyDescent="0.25">
      <c r="A7451" s="2">
        <v>7446</v>
      </c>
      <c r="B7451" s="11" t="str">
        <f>"00352498"</f>
        <v>00352498</v>
      </c>
    </row>
    <row r="7452" spans="1:2" x14ac:dyDescent="0.25">
      <c r="A7452" s="2">
        <v>7447</v>
      </c>
      <c r="B7452" s="11" t="str">
        <f>"00352535"</f>
        <v>00352535</v>
      </c>
    </row>
    <row r="7453" spans="1:2" x14ac:dyDescent="0.25">
      <c r="A7453" s="2">
        <v>7448</v>
      </c>
      <c r="B7453" s="11" t="str">
        <f>"00352545"</f>
        <v>00352545</v>
      </c>
    </row>
    <row r="7454" spans="1:2" x14ac:dyDescent="0.25">
      <c r="A7454" s="2">
        <v>7449</v>
      </c>
      <c r="B7454" s="11" t="str">
        <f>"00352549"</f>
        <v>00352549</v>
      </c>
    </row>
    <row r="7455" spans="1:2" x14ac:dyDescent="0.25">
      <c r="A7455" s="2">
        <v>7450</v>
      </c>
      <c r="B7455" s="11" t="str">
        <f>"00352554"</f>
        <v>00352554</v>
      </c>
    </row>
    <row r="7456" spans="1:2" x14ac:dyDescent="0.25">
      <c r="A7456" s="2">
        <v>7451</v>
      </c>
      <c r="B7456" s="11" t="str">
        <f>"00352611"</f>
        <v>00352611</v>
      </c>
    </row>
    <row r="7457" spans="1:2" x14ac:dyDescent="0.25">
      <c r="A7457" s="2">
        <v>7452</v>
      </c>
      <c r="B7457" s="11" t="str">
        <f>"00352762"</f>
        <v>00352762</v>
      </c>
    </row>
    <row r="7458" spans="1:2" x14ac:dyDescent="0.25">
      <c r="A7458" s="2">
        <v>7453</v>
      </c>
      <c r="B7458" s="11" t="str">
        <f>"00352816"</f>
        <v>00352816</v>
      </c>
    </row>
    <row r="7459" spans="1:2" x14ac:dyDescent="0.25">
      <c r="A7459" s="2">
        <v>7454</v>
      </c>
      <c r="B7459" s="11" t="str">
        <f>"00352930"</f>
        <v>00352930</v>
      </c>
    </row>
    <row r="7460" spans="1:2" x14ac:dyDescent="0.25">
      <c r="A7460" s="2">
        <v>7455</v>
      </c>
      <c r="B7460" s="11" t="str">
        <f>"00352962"</f>
        <v>00352962</v>
      </c>
    </row>
    <row r="7461" spans="1:2" x14ac:dyDescent="0.25">
      <c r="A7461" s="2">
        <v>7456</v>
      </c>
      <c r="B7461" s="11" t="str">
        <f>"00353408"</f>
        <v>00353408</v>
      </c>
    </row>
    <row r="7462" spans="1:2" x14ac:dyDescent="0.25">
      <c r="A7462" s="2">
        <v>7457</v>
      </c>
      <c r="B7462" s="11" t="str">
        <f>"00353420"</f>
        <v>00353420</v>
      </c>
    </row>
    <row r="7463" spans="1:2" x14ac:dyDescent="0.25">
      <c r="A7463" s="2">
        <v>7458</v>
      </c>
      <c r="B7463" s="11" t="str">
        <f>"00353470"</f>
        <v>00353470</v>
      </c>
    </row>
    <row r="7464" spans="1:2" x14ac:dyDescent="0.25">
      <c r="A7464" s="2">
        <v>7459</v>
      </c>
      <c r="B7464" s="11" t="str">
        <f>"00353544"</f>
        <v>00353544</v>
      </c>
    </row>
    <row r="7465" spans="1:2" x14ac:dyDescent="0.25">
      <c r="A7465" s="2">
        <v>7460</v>
      </c>
      <c r="B7465" s="11" t="str">
        <f>"00353554"</f>
        <v>00353554</v>
      </c>
    </row>
    <row r="7466" spans="1:2" x14ac:dyDescent="0.25">
      <c r="A7466" s="2">
        <v>7461</v>
      </c>
      <c r="B7466" s="11" t="str">
        <f>"00353578"</f>
        <v>00353578</v>
      </c>
    </row>
    <row r="7467" spans="1:2" x14ac:dyDescent="0.25">
      <c r="A7467" s="2">
        <v>7462</v>
      </c>
      <c r="B7467" s="11" t="str">
        <f>"00353696"</f>
        <v>00353696</v>
      </c>
    </row>
    <row r="7468" spans="1:2" x14ac:dyDescent="0.25">
      <c r="A7468" s="2">
        <v>7463</v>
      </c>
      <c r="B7468" s="11" t="str">
        <f>"00353865"</f>
        <v>00353865</v>
      </c>
    </row>
    <row r="7469" spans="1:2" x14ac:dyDescent="0.25">
      <c r="A7469" s="2">
        <v>7464</v>
      </c>
      <c r="B7469" s="11" t="str">
        <f>"00353881"</f>
        <v>00353881</v>
      </c>
    </row>
    <row r="7470" spans="1:2" x14ac:dyDescent="0.25">
      <c r="A7470" s="2">
        <v>7465</v>
      </c>
      <c r="B7470" s="11" t="str">
        <f>"00353919"</f>
        <v>00353919</v>
      </c>
    </row>
    <row r="7471" spans="1:2" x14ac:dyDescent="0.25">
      <c r="A7471" s="2">
        <v>7466</v>
      </c>
      <c r="B7471" s="11" t="str">
        <f>"00353927"</f>
        <v>00353927</v>
      </c>
    </row>
    <row r="7472" spans="1:2" x14ac:dyDescent="0.25">
      <c r="A7472" s="2">
        <v>7467</v>
      </c>
      <c r="B7472" s="11" t="str">
        <f>"00353965"</f>
        <v>00353965</v>
      </c>
    </row>
    <row r="7473" spans="1:2" x14ac:dyDescent="0.25">
      <c r="A7473" s="2">
        <v>7468</v>
      </c>
      <c r="B7473" s="11" t="str">
        <f>"00354057"</f>
        <v>00354057</v>
      </c>
    </row>
    <row r="7474" spans="1:2" x14ac:dyDescent="0.25">
      <c r="A7474" s="2">
        <v>7469</v>
      </c>
      <c r="B7474" s="11" t="str">
        <f>"00354095"</f>
        <v>00354095</v>
      </c>
    </row>
    <row r="7475" spans="1:2" x14ac:dyDescent="0.25">
      <c r="A7475" s="2">
        <v>7470</v>
      </c>
      <c r="B7475" s="11" t="str">
        <f>"00354115"</f>
        <v>00354115</v>
      </c>
    </row>
    <row r="7476" spans="1:2" x14ac:dyDescent="0.25">
      <c r="A7476" s="2">
        <v>7471</v>
      </c>
      <c r="B7476" s="11" t="str">
        <f>"00354152"</f>
        <v>00354152</v>
      </c>
    </row>
    <row r="7477" spans="1:2" x14ac:dyDescent="0.25">
      <c r="A7477" s="2">
        <v>7472</v>
      </c>
      <c r="B7477" s="11" t="str">
        <f>"00354198"</f>
        <v>00354198</v>
      </c>
    </row>
    <row r="7478" spans="1:2" x14ac:dyDescent="0.25">
      <c r="A7478" s="2">
        <v>7473</v>
      </c>
      <c r="B7478" s="11" t="str">
        <f>"00354233"</f>
        <v>00354233</v>
      </c>
    </row>
    <row r="7479" spans="1:2" x14ac:dyDescent="0.25">
      <c r="A7479" s="2">
        <v>7474</v>
      </c>
      <c r="B7479" s="11" t="str">
        <f>"00354257"</f>
        <v>00354257</v>
      </c>
    </row>
    <row r="7480" spans="1:2" x14ac:dyDescent="0.25">
      <c r="A7480" s="2">
        <v>7475</v>
      </c>
      <c r="B7480" s="11" t="str">
        <f>"00354296"</f>
        <v>00354296</v>
      </c>
    </row>
    <row r="7481" spans="1:2" x14ac:dyDescent="0.25">
      <c r="A7481" s="2">
        <v>7476</v>
      </c>
      <c r="B7481" s="11" t="str">
        <f>"00354673"</f>
        <v>00354673</v>
      </c>
    </row>
    <row r="7482" spans="1:2" x14ac:dyDescent="0.25">
      <c r="A7482" s="2">
        <v>7477</v>
      </c>
      <c r="B7482" s="11" t="str">
        <f>"00354687"</f>
        <v>00354687</v>
      </c>
    </row>
    <row r="7483" spans="1:2" x14ac:dyDescent="0.25">
      <c r="A7483" s="2">
        <v>7478</v>
      </c>
      <c r="B7483" s="11" t="str">
        <f>"00354754"</f>
        <v>00354754</v>
      </c>
    </row>
    <row r="7484" spans="1:2" x14ac:dyDescent="0.25">
      <c r="A7484" s="2">
        <v>7479</v>
      </c>
      <c r="B7484" s="11" t="str">
        <f>"00354756"</f>
        <v>00354756</v>
      </c>
    </row>
    <row r="7485" spans="1:2" x14ac:dyDescent="0.25">
      <c r="A7485" s="2">
        <v>7480</v>
      </c>
      <c r="B7485" s="11" t="str">
        <f>"00354813"</f>
        <v>00354813</v>
      </c>
    </row>
    <row r="7486" spans="1:2" x14ac:dyDescent="0.25">
      <c r="A7486" s="2">
        <v>7481</v>
      </c>
      <c r="B7486" s="11" t="str">
        <f>"00354828"</f>
        <v>00354828</v>
      </c>
    </row>
    <row r="7487" spans="1:2" x14ac:dyDescent="0.25">
      <c r="A7487" s="2">
        <v>7482</v>
      </c>
      <c r="B7487" s="11" t="str">
        <f>"00354841"</f>
        <v>00354841</v>
      </c>
    </row>
    <row r="7488" spans="1:2" x14ac:dyDescent="0.25">
      <c r="A7488" s="2">
        <v>7483</v>
      </c>
      <c r="B7488" s="11" t="str">
        <f>"00354862"</f>
        <v>00354862</v>
      </c>
    </row>
    <row r="7489" spans="1:2" x14ac:dyDescent="0.25">
      <c r="A7489" s="2">
        <v>7484</v>
      </c>
      <c r="B7489" s="11" t="str">
        <f>"00354867"</f>
        <v>00354867</v>
      </c>
    </row>
    <row r="7490" spans="1:2" x14ac:dyDescent="0.25">
      <c r="A7490" s="2">
        <v>7485</v>
      </c>
      <c r="B7490" s="11" t="str">
        <f>"00354882"</f>
        <v>00354882</v>
      </c>
    </row>
    <row r="7491" spans="1:2" x14ac:dyDescent="0.25">
      <c r="A7491" s="2">
        <v>7486</v>
      </c>
      <c r="B7491" s="11" t="str">
        <f>"00354963"</f>
        <v>00354963</v>
      </c>
    </row>
    <row r="7492" spans="1:2" x14ac:dyDescent="0.25">
      <c r="A7492" s="2">
        <v>7487</v>
      </c>
      <c r="B7492" s="11" t="str">
        <f>"00355040"</f>
        <v>00355040</v>
      </c>
    </row>
    <row r="7493" spans="1:2" x14ac:dyDescent="0.25">
      <c r="A7493" s="2">
        <v>7488</v>
      </c>
      <c r="B7493" s="11" t="str">
        <f>"00355045"</f>
        <v>00355045</v>
      </c>
    </row>
    <row r="7494" spans="1:2" x14ac:dyDescent="0.25">
      <c r="A7494" s="2">
        <v>7489</v>
      </c>
      <c r="B7494" s="11" t="str">
        <f>"00355056"</f>
        <v>00355056</v>
      </c>
    </row>
    <row r="7495" spans="1:2" x14ac:dyDescent="0.25">
      <c r="A7495" s="2">
        <v>7490</v>
      </c>
      <c r="B7495" s="11" t="str">
        <f>"00355128"</f>
        <v>00355128</v>
      </c>
    </row>
    <row r="7496" spans="1:2" x14ac:dyDescent="0.25">
      <c r="A7496" s="2">
        <v>7491</v>
      </c>
      <c r="B7496" s="11" t="str">
        <f>"00355139"</f>
        <v>00355139</v>
      </c>
    </row>
    <row r="7497" spans="1:2" x14ac:dyDescent="0.25">
      <c r="A7497" s="2">
        <v>7492</v>
      </c>
      <c r="B7497" s="11" t="str">
        <f>"00355148"</f>
        <v>00355148</v>
      </c>
    </row>
    <row r="7498" spans="1:2" x14ac:dyDescent="0.25">
      <c r="A7498" s="2">
        <v>7493</v>
      </c>
      <c r="B7498" s="11" t="str">
        <f>"00355157"</f>
        <v>00355157</v>
      </c>
    </row>
    <row r="7499" spans="1:2" x14ac:dyDescent="0.25">
      <c r="A7499" s="2">
        <v>7494</v>
      </c>
      <c r="B7499" s="11" t="str">
        <f>"00355184"</f>
        <v>00355184</v>
      </c>
    </row>
    <row r="7500" spans="1:2" x14ac:dyDescent="0.25">
      <c r="A7500" s="2">
        <v>7495</v>
      </c>
      <c r="B7500" s="11" t="str">
        <f>"00355219"</f>
        <v>00355219</v>
      </c>
    </row>
    <row r="7501" spans="1:2" x14ac:dyDescent="0.25">
      <c r="A7501" s="2">
        <v>7496</v>
      </c>
      <c r="B7501" s="11" t="str">
        <f>"00355220"</f>
        <v>00355220</v>
      </c>
    </row>
    <row r="7502" spans="1:2" x14ac:dyDescent="0.25">
      <c r="A7502" s="2">
        <v>7497</v>
      </c>
      <c r="B7502" s="11" t="str">
        <f>"00355224"</f>
        <v>00355224</v>
      </c>
    </row>
    <row r="7503" spans="1:2" x14ac:dyDescent="0.25">
      <c r="A7503" s="2">
        <v>7498</v>
      </c>
      <c r="B7503" s="11" t="str">
        <f>"00355254"</f>
        <v>00355254</v>
      </c>
    </row>
    <row r="7504" spans="1:2" x14ac:dyDescent="0.25">
      <c r="A7504" s="2">
        <v>7499</v>
      </c>
      <c r="B7504" s="11" t="str">
        <f>"00355329"</f>
        <v>00355329</v>
      </c>
    </row>
    <row r="7505" spans="1:2" x14ac:dyDescent="0.25">
      <c r="A7505" s="2">
        <v>7500</v>
      </c>
      <c r="B7505" s="11" t="str">
        <f>"00355387"</f>
        <v>00355387</v>
      </c>
    </row>
    <row r="7506" spans="1:2" x14ac:dyDescent="0.25">
      <c r="A7506" s="2">
        <v>7501</v>
      </c>
      <c r="B7506" s="11" t="str">
        <f>"00355400"</f>
        <v>00355400</v>
      </c>
    </row>
    <row r="7507" spans="1:2" x14ac:dyDescent="0.25">
      <c r="A7507" s="2">
        <v>7502</v>
      </c>
      <c r="B7507" s="11" t="str">
        <f>"00355433"</f>
        <v>00355433</v>
      </c>
    </row>
    <row r="7508" spans="1:2" x14ac:dyDescent="0.25">
      <c r="A7508" s="2">
        <v>7503</v>
      </c>
      <c r="B7508" s="11" t="str">
        <f>"00355513"</f>
        <v>00355513</v>
      </c>
    </row>
    <row r="7509" spans="1:2" x14ac:dyDescent="0.25">
      <c r="A7509" s="2">
        <v>7504</v>
      </c>
      <c r="B7509" s="11" t="str">
        <f>"00355521"</f>
        <v>00355521</v>
      </c>
    </row>
    <row r="7510" spans="1:2" x14ac:dyDescent="0.25">
      <c r="A7510" s="2">
        <v>7505</v>
      </c>
      <c r="B7510" s="11" t="str">
        <f>"00355539"</f>
        <v>00355539</v>
      </c>
    </row>
    <row r="7511" spans="1:2" x14ac:dyDescent="0.25">
      <c r="A7511" s="2">
        <v>7506</v>
      </c>
      <c r="B7511" s="11" t="str">
        <f>"00355608"</f>
        <v>00355608</v>
      </c>
    </row>
    <row r="7512" spans="1:2" x14ac:dyDescent="0.25">
      <c r="A7512" s="2">
        <v>7507</v>
      </c>
      <c r="B7512" s="11" t="str">
        <f>"00355635"</f>
        <v>00355635</v>
      </c>
    </row>
    <row r="7513" spans="1:2" x14ac:dyDescent="0.25">
      <c r="A7513" s="2">
        <v>7508</v>
      </c>
      <c r="B7513" s="11" t="str">
        <f>"00355646"</f>
        <v>00355646</v>
      </c>
    </row>
    <row r="7514" spans="1:2" x14ac:dyDescent="0.25">
      <c r="A7514" s="2">
        <v>7509</v>
      </c>
      <c r="B7514" s="11" t="str">
        <f>"00355682"</f>
        <v>00355682</v>
      </c>
    </row>
    <row r="7515" spans="1:2" x14ac:dyDescent="0.25">
      <c r="A7515" s="2">
        <v>7510</v>
      </c>
      <c r="B7515" s="11" t="str">
        <f>"00355683"</f>
        <v>00355683</v>
      </c>
    </row>
    <row r="7516" spans="1:2" x14ac:dyDescent="0.25">
      <c r="A7516" s="2">
        <v>7511</v>
      </c>
      <c r="B7516" s="11" t="str">
        <f>"00355729"</f>
        <v>00355729</v>
      </c>
    </row>
    <row r="7517" spans="1:2" x14ac:dyDescent="0.25">
      <c r="A7517" s="2">
        <v>7512</v>
      </c>
      <c r="B7517" s="11" t="str">
        <f>"00355766"</f>
        <v>00355766</v>
      </c>
    </row>
    <row r="7518" spans="1:2" x14ac:dyDescent="0.25">
      <c r="A7518" s="2">
        <v>7513</v>
      </c>
      <c r="B7518" s="11" t="str">
        <f>"00355886"</f>
        <v>00355886</v>
      </c>
    </row>
    <row r="7519" spans="1:2" x14ac:dyDescent="0.25">
      <c r="A7519" s="2">
        <v>7514</v>
      </c>
      <c r="B7519" s="11" t="str">
        <f>"00355920"</f>
        <v>00355920</v>
      </c>
    </row>
    <row r="7520" spans="1:2" x14ac:dyDescent="0.25">
      <c r="A7520" s="2">
        <v>7515</v>
      </c>
      <c r="B7520" s="11" t="str">
        <f>"00356069"</f>
        <v>00356069</v>
      </c>
    </row>
    <row r="7521" spans="1:2" x14ac:dyDescent="0.25">
      <c r="A7521" s="2">
        <v>7516</v>
      </c>
      <c r="B7521" s="11" t="str">
        <f>"00356224"</f>
        <v>00356224</v>
      </c>
    </row>
    <row r="7522" spans="1:2" x14ac:dyDescent="0.25">
      <c r="A7522" s="2">
        <v>7517</v>
      </c>
      <c r="B7522" s="11" t="str">
        <f>"00356291"</f>
        <v>00356291</v>
      </c>
    </row>
    <row r="7523" spans="1:2" x14ac:dyDescent="0.25">
      <c r="A7523" s="2">
        <v>7518</v>
      </c>
      <c r="B7523" s="11" t="str">
        <f>"00356374"</f>
        <v>00356374</v>
      </c>
    </row>
    <row r="7524" spans="1:2" x14ac:dyDescent="0.25">
      <c r="A7524" s="2">
        <v>7519</v>
      </c>
      <c r="B7524" s="11" t="str">
        <f>"00356386"</f>
        <v>00356386</v>
      </c>
    </row>
    <row r="7525" spans="1:2" x14ac:dyDescent="0.25">
      <c r="A7525" s="2">
        <v>7520</v>
      </c>
      <c r="B7525" s="11" t="str">
        <f>"00356393"</f>
        <v>00356393</v>
      </c>
    </row>
    <row r="7526" spans="1:2" x14ac:dyDescent="0.25">
      <c r="A7526" s="2">
        <v>7521</v>
      </c>
      <c r="B7526" s="11" t="str">
        <f>"00356398"</f>
        <v>00356398</v>
      </c>
    </row>
    <row r="7527" spans="1:2" x14ac:dyDescent="0.25">
      <c r="A7527" s="2">
        <v>7522</v>
      </c>
      <c r="B7527" s="11" t="str">
        <f>"00356564"</f>
        <v>00356564</v>
      </c>
    </row>
    <row r="7528" spans="1:2" x14ac:dyDescent="0.25">
      <c r="A7528" s="2">
        <v>7523</v>
      </c>
      <c r="B7528" s="11" t="str">
        <f>"00356696"</f>
        <v>00356696</v>
      </c>
    </row>
    <row r="7529" spans="1:2" x14ac:dyDescent="0.25">
      <c r="A7529" s="2">
        <v>7524</v>
      </c>
      <c r="B7529" s="11" t="str">
        <f>"00356706"</f>
        <v>00356706</v>
      </c>
    </row>
    <row r="7530" spans="1:2" x14ac:dyDescent="0.25">
      <c r="A7530" s="2">
        <v>7525</v>
      </c>
      <c r="B7530" s="11" t="str">
        <f>"00356726"</f>
        <v>00356726</v>
      </c>
    </row>
    <row r="7531" spans="1:2" x14ac:dyDescent="0.25">
      <c r="A7531" s="2">
        <v>7526</v>
      </c>
      <c r="B7531" s="11" t="str">
        <f>"00356804"</f>
        <v>00356804</v>
      </c>
    </row>
    <row r="7532" spans="1:2" x14ac:dyDescent="0.25">
      <c r="A7532" s="2">
        <v>7527</v>
      </c>
      <c r="B7532" s="11" t="str">
        <f>"00356899"</f>
        <v>00356899</v>
      </c>
    </row>
    <row r="7533" spans="1:2" x14ac:dyDescent="0.25">
      <c r="A7533" s="2">
        <v>7528</v>
      </c>
      <c r="B7533" s="11" t="str">
        <f>"00356971"</f>
        <v>00356971</v>
      </c>
    </row>
    <row r="7534" spans="1:2" x14ac:dyDescent="0.25">
      <c r="A7534" s="2">
        <v>7529</v>
      </c>
      <c r="B7534" s="11" t="str">
        <f>"00356993"</f>
        <v>00356993</v>
      </c>
    </row>
    <row r="7535" spans="1:2" x14ac:dyDescent="0.25">
      <c r="A7535" s="2">
        <v>7530</v>
      </c>
      <c r="B7535" s="11" t="str">
        <f>"00357032"</f>
        <v>00357032</v>
      </c>
    </row>
    <row r="7536" spans="1:2" x14ac:dyDescent="0.25">
      <c r="A7536" s="2">
        <v>7531</v>
      </c>
      <c r="B7536" s="11" t="str">
        <f>"00357061"</f>
        <v>00357061</v>
      </c>
    </row>
    <row r="7537" spans="1:2" x14ac:dyDescent="0.25">
      <c r="A7537" s="2">
        <v>7532</v>
      </c>
      <c r="B7537" s="11" t="str">
        <f>"00357098"</f>
        <v>00357098</v>
      </c>
    </row>
    <row r="7538" spans="1:2" x14ac:dyDescent="0.25">
      <c r="A7538" s="2">
        <v>7533</v>
      </c>
      <c r="B7538" s="11" t="str">
        <f>"00357173"</f>
        <v>00357173</v>
      </c>
    </row>
    <row r="7539" spans="1:2" x14ac:dyDescent="0.25">
      <c r="A7539" s="2">
        <v>7534</v>
      </c>
      <c r="B7539" s="11" t="str">
        <f>"00357359"</f>
        <v>00357359</v>
      </c>
    </row>
    <row r="7540" spans="1:2" x14ac:dyDescent="0.25">
      <c r="A7540" s="2">
        <v>7535</v>
      </c>
      <c r="B7540" s="11" t="str">
        <f>"00357372"</f>
        <v>00357372</v>
      </c>
    </row>
    <row r="7541" spans="1:2" x14ac:dyDescent="0.25">
      <c r="A7541" s="2">
        <v>7536</v>
      </c>
      <c r="B7541" s="11" t="str">
        <f>"00357402"</f>
        <v>00357402</v>
      </c>
    </row>
    <row r="7542" spans="1:2" x14ac:dyDescent="0.25">
      <c r="A7542" s="2">
        <v>7537</v>
      </c>
      <c r="B7542" s="11" t="str">
        <f>"00357539"</f>
        <v>00357539</v>
      </c>
    </row>
    <row r="7543" spans="1:2" x14ac:dyDescent="0.25">
      <c r="A7543" s="2">
        <v>7538</v>
      </c>
      <c r="B7543" s="11" t="str">
        <f>"00357672"</f>
        <v>00357672</v>
      </c>
    </row>
    <row r="7544" spans="1:2" x14ac:dyDescent="0.25">
      <c r="A7544" s="2">
        <v>7539</v>
      </c>
      <c r="B7544" s="11" t="str">
        <f>"00357704"</f>
        <v>00357704</v>
      </c>
    </row>
    <row r="7545" spans="1:2" x14ac:dyDescent="0.25">
      <c r="A7545" s="2">
        <v>7540</v>
      </c>
      <c r="B7545" s="11" t="str">
        <f>"00357803"</f>
        <v>00357803</v>
      </c>
    </row>
    <row r="7546" spans="1:2" x14ac:dyDescent="0.25">
      <c r="A7546" s="2">
        <v>7541</v>
      </c>
      <c r="B7546" s="11" t="str">
        <f>"00357838"</f>
        <v>00357838</v>
      </c>
    </row>
    <row r="7547" spans="1:2" x14ac:dyDescent="0.25">
      <c r="A7547" s="2">
        <v>7542</v>
      </c>
      <c r="B7547" s="11" t="str">
        <f>"00357861"</f>
        <v>00357861</v>
      </c>
    </row>
    <row r="7548" spans="1:2" x14ac:dyDescent="0.25">
      <c r="A7548" s="2">
        <v>7543</v>
      </c>
      <c r="B7548" s="11" t="str">
        <f>"00357881"</f>
        <v>00357881</v>
      </c>
    </row>
    <row r="7549" spans="1:2" x14ac:dyDescent="0.25">
      <c r="A7549" s="2">
        <v>7544</v>
      </c>
      <c r="B7549" s="11" t="str">
        <f>"00357885"</f>
        <v>00357885</v>
      </c>
    </row>
    <row r="7550" spans="1:2" x14ac:dyDescent="0.25">
      <c r="A7550" s="2">
        <v>7545</v>
      </c>
      <c r="B7550" s="11" t="str">
        <f>"00357934"</f>
        <v>00357934</v>
      </c>
    </row>
    <row r="7551" spans="1:2" x14ac:dyDescent="0.25">
      <c r="A7551" s="2">
        <v>7546</v>
      </c>
      <c r="B7551" s="11" t="str">
        <f>"00357969"</f>
        <v>00357969</v>
      </c>
    </row>
    <row r="7552" spans="1:2" x14ac:dyDescent="0.25">
      <c r="A7552" s="2">
        <v>7547</v>
      </c>
      <c r="B7552" s="11" t="str">
        <f>"00358030"</f>
        <v>00358030</v>
      </c>
    </row>
    <row r="7553" spans="1:2" x14ac:dyDescent="0.25">
      <c r="A7553" s="2">
        <v>7548</v>
      </c>
      <c r="B7553" s="11" t="str">
        <f>"00358057"</f>
        <v>00358057</v>
      </c>
    </row>
    <row r="7554" spans="1:2" x14ac:dyDescent="0.25">
      <c r="A7554" s="2">
        <v>7549</v>
      </c>
      <c r="B7554" s="11" t="str">
        <f>"00358092"</f>
        <v>00358092</v>
      </c>
    </row>
    <row r="7555" spans="1:2" x14ac:dyDescent="0.25">
      <c r="A7555" s="2">
        <v>7550</v>
      </c>
      <c r="B7555" s="11" t="str">
        <f>"00358109"</f>
        <v>00358109</v>
      </c>
    </row>
    <row r="7556" spans="1:2" x14ac:dyDescent="0.25">
      <c r="A7556" s="2">
        <v>7551</v>
      </c>
      <c r="B7556" s="11" t="str">
        <f>"00358161"</f>
        <v>00358161</v>
      </c>
    </row>
    <row r="7557" spans="1:2" x14ac:dyDescent="0.25">
      <c r="A7557" s="2">
        <v>7552</v>
      </c>
      <c r="B7557" s="11" t="str">
        <f>"00358370"</f>
        <v>00358370</v>
      </c>
    </row>
    <row r="7558" spans="1:2" x14ac:dyDescent="0.25">
      <c r="A7558" s="2">
        <v>7553</v>
      </c>
      <c r="B7558" s="11" t="str">
        <f>"00358476"</f>
        <v>00358476</v>
      </c>
    </row>
    <row r="7559" spans="1:2" x14ac:dyDescent="0.25">
      <c r="A7559" s="2">
        <v>7554</v>
      </c>
      <c r="B7559" s="11" t="str">
        <f>"00358592"</f>
        <v>00358592</v>
      </c>
    </row>
    <row r="7560" spans="1:2" x14ac:dyDescent="0.25">
      <c r="A7560" s="2">
        <v>7555</v>
      </c>
      <c r="B7560" s="11" t="str">
        <f>"00358834"</f>
        <v>00358834</v>
      </c>
    </row>
    <row r="7561" spans="1:2" x14ac:dyDescent="0.25">
      <c r="A7561" s="2">
        <v>7556</v>
      </c>
      <c r="B7561" s="11" t="str">
        <f>"00358882"</f>
        <v>00358882</v>
      </c>
    </row>
    <row r="7562" spans="1:2" x14ac:dyDescent="0.25">
      <c r="A7562" s="2">
        <v>7557</v>
      </c>
      <c r="B7562" s="11" t="str">
        <f>"00358884"</f>
        <v>00358884</v>
      </c>
    </row>
    <row r="7563" spans="1:2" x14ac:dyDescent="0.25">
      <c r="A7563" s="2">
        <v>7558</v>
      </c>
      <c r="B7563" s="11" t="str">
        <f>"00358919"</f>
        <v>00358919</v>
      </c>
    </row>
    <row r="7564" spans="1:2" x14ac:dyDescent="0.25">
      <c r="A7564" s="2">
        <v>7559</v>
      </c>
      <c r="B7564" s="11" t="str">
        <f>"00359003"</f>
        <v>00359003</v>
      </c>
    </row>
    <row r="7565" spans="1:2" x14ac:dyDescent="0.25">
      <c r="A7565" s="2">
        <v>7560</v>
      </c>
      <c r="B7565" s="11" t="str">
        <f>"00359030"</f>
        <v>00359030</v>
      </c>
    </row>
    <row r="7566" spans="1:2" x14ac:dyDescent="0.25">
      <c r="A7566" s="2">
        <v>7561</v>
      </c>
      <c r="B7566" s="11" t="str">
        <f>"00359038"</f>
        <v>00359038</v>
      </c>
    </row>
    <row r="7567" spans="1:2" x14ac:dyDescent="0.25">
      <c r="A7567" s="2">
        <v>7562</v>
      </c>
      <c r="B7567" s="11" t="str">
        <f>"00359051"</f>
        <v>00359051</v>
      </c>
    </row>
    <row r="7568" spans="1:2" x14ac:dyDescent="0.25">
      <c r="A7568" s="2">
        <v>7563</v>
      </c>
      <c r="B7568" s="11" t="str">
        <f>"00359058"</f>
        <v>00359058</v>
      </c>
    </row>
    <row r="7569" spans="1:2" x14ac:dyDescent="0.25">
      <c r="A7569" s="2">
        <v>7564</v>
      </c>
      <c r="B7569" s="11" t="str">
        <f>"00359095"</f>
        <v>00359095</v>
      </c>
    </row>
    <row r="7570" spans="1:2" x14ac:dyDescent="0.25">
      <c r="A7570" s="2">
        <v>7565</v>
      </c>
      <c r="B7570" s="11" t="str">
        <f>"00359100"</f>
        <v>00359100</v>
      </c>
    </row>
    <row r="7571" spans="1:2" x14ac:dyDescent="0.25">
      <c r="A7571" s="2">
        <v>7566</v>
      </c>
      <c r="B7571" s="11" t="str">
        <f>"00359768"</f>
        <v>00359768</v>
      </c>
    </row>
    <row r="7572" spans="1:2" x14ac:dyDescent="0.25">
      <c r="A7572" s="2">
        <v>7567</v>
      </c>
      <c r="B7572" s="11" t="str">
        <f>"00359815"</f>
        <v>00359815</v>
      </c>
    </row>
    <row r="7573" spans="1:2" x14ac:dyDescent="0.25">
      <c r="A7573" s="2">
        <v>7568</v>
      </c>
      <c r="B7573" s="11" t="str">
        <f>"00359857"</f>
        <v>00359857</v>
      </c>
    </row>
    <row r="7574" spans="1:2" x14ac:dyDescent="0.25">
      <c r="A7574" s="2">
        <v>7569</v>
      </c>
      <c r="B7574" s="11" t="str">
        <f>"00359999"</f>
        <v>00359999</v>
      </c>
    </row>
    <row r="7575" spans="1:2" x14ac:dyDescent="0.25">
      <c r="A7575" s="2">
        <v>7570</v>
      </c>
      <c r="B7575" s="11" t="str">
        <f>"00360079"</f>
        <v>00360079</v>
      </c>
    </row>
    <row r="7576" spans="1:2" x14ac:dyDescent="0.25">
      <c r="A7576" s="2">
        <v>7571</v>
      </c>
      <c r="B7576" s="11" t="str">
        <f>"00360284"</f>
        <v>00360284</v>
      </c>
    </row>
    <row r="7577" spans="1:2" x14ac:dyDescent="0.25">
      <c r="A7577" s="2">
        <v>7572</v>
      </c>
      <c r="B7577" s="11" t="str">
        <f>"00360453"</f>
        <v>00360453</v>
      </c>
    </row>
    <row r="7578" spans="1:2" x14ac:dyDescent="0.25">
      <c r="A7578" s="2">
        <v>7573</v>
      </c>
      <c r="B7578" s="11" t="str">
        <f>"00360517"</f>
        <v>00360517</v>
      </c>
    </row>
    <row r="7579" spans="1:2" x14ac:dyDescent="0.25">
      <c r="A7579" s="2">
        <v>7574</v>
      </c>
      <c r="B7579" s="11" t="str">
        <f>"00360526"</f>
        <v>00360526</v>
      </c>
    </row>
    <row r="7580" spans="1:2" x14ac:dyDescent="0.25">
      <c r="A7580" s="2">
        <v>7575</v>
      </c>
      <c r="B7580" s="11" t="str">
        <f>"00360555"</f>
        <v>00360555</v>
      </c>
    </row>
    <row r="7581" spans="1:2" x14ac:dyDescent="0.25">
      <c r="A7581" s="2">
        <v>7576</v>
      </c>
      <c r="B7581" s="11" t="str">
        <f>"00360674"</f>
        <v>00360674</v>
      </c>
    </row>
    <row r="7582" spans="1:2" x14ac:dyDescent="0.25">
      <c r="A7582" s="2">
        <v>7577</v>
      </c>
      <c r="B7582" s="11" t="str">
        <f>"00360675"</f>
        <v>00360675</v>
      </c>
    </row>
    <row r="7583" spans="1:2" x14ac:dyDescent="0.25">
      <c r="A7583" s="2">
        <v>7578</v>
      </c>
      <c r="B7583" s="11" t="str">
        <f>"00360685"</f>
        <v>00360685</v>
      </c>
    </row>
    <row r="7584" spans="1:2" x14ac:dyDescent="0.25">
      <c r="A7584" s="2">
        <v>7579</v>
      </c>
      <c r="B7584" s="11" t="str">
        <f>"00360869"</f>
        <v>00360869</v>
      </c>
    </row>
    <row r="7585" spans="1:2" x14ac:dyDescent="0.25">
      <c r="A7585" s="2">
        <v>7580</v>
      </c>
      <c r="B7585" s="11" t="str">
        <f>"00360875"</f>
        <v>00360875</v>
      </c>
    </row>
    <row r="7586" spans="1:2" x14ac:dyDescent="0.25">
      <c r="A7586" s="2">
        <v>7581</v>
      </c>
      <c r="B7586" s="11" t="str">
        <f>"00360897"</f>
        <v>00360897</v>
      </c>
    </row>
    <row r="7587" spans="1:2" x14ac:dyDescent="0.25">
      <c r="A7587" s="2">
        <v>7582</v>
      </c>
      <c r="B7587" s="11" t="str">
        <f>"00361046"</f>
        <v>00361046</v>
      </c>
    </row>
    <row r="7588" spans="1:2" x14ac:dyDescent="0.25">
      <c r="A7588" s="2">
        <v>7583</v>
      </c>
      <c r="B7588" s="11" t="str">
        <f>"00361076"</f>
        <v>00361076</v>
      </c>
    </row>
    <row r="7589" spans="1:2" x14ac:dyDescent="0.25">
      <c r="A7589" s="2">
        <v>7584</v>
      </c>
      <c r="B7589" s="11" t="str">
        <f>"00361148"</f>
        <v>00361148</v>
      </c>
    </row>
    <row r="7590" spans="1:2" x14ac:dyDescent="0.25">
      <c r="A7590" s="2">
        <v>7585</v>
      </c>
      <c r="B7590" s="11" t="str">
        <f>"00361178"</f>
        <v>00361178</v>
      </c>
    </row>
    <row r="7591" spans="1:2" x14ac:dyDescent="0.25">
      <c r="A7591" s="2">
        <v>7586</v>
      </c>
      <c r="B7591" s="11" t="str">
        <f>"00361211"</f>
        <v>00361211</v>
      </c>
    </row>
    <row r="7592" spans="1:2" x14ac:dyDescent="0.25">
      <c r="A7592" s="2">
        <v>7587</v>
      </c>
      <c r="B7592" s="11" t="str">
        <f>"00361229"</f>
        <v>00361229</v>
      </c>
    </row>
    <row r="7593" spans="1:2" x14ac:dyDescent="0.25">
      <c r="A7593" s="2">
        <v>7588</v>
      </c>
      <c r="B7593" s="11" t="str">
        <f>"00361240"</f>
        <v>00361240</v>
      </c>
    </row>
    <row r="7594" spans="1:2" x14ac:dyDescent="0.25">
      <c r="A7594" s="2">
        <v>7589</v>
      </c>
      <c r="B7594" s="11" t="str">
        <f>"00361247"</f>
        <v>00361247</v>
      </c>
    </row>
    <row r="7595" spans="1:2" x14ac:dyDescent="0.25">
      <c r="A7595" s="2">
        <v>7590</v>
      </c>
      <c r="B7595" s="11" t="str">
        <f>"00361309"</f>
        <v>00361309</v>
      </c>
    </row>
    <row r="7596" spans="1:2" x14ac:dyDescent="0.25">
      <c r="A7596" s="2">
        <v>7591</v>
      </c>
      <c r="B7596" s="11" t="str">
        <f>"00361395"</f>
        <v>00361395</v>
      </c>
    </row>
    <row r="7597" spans="1:2" x14ac:dyDescent="0.25">
      <c r="A7597" s="2">
        <v>7592</v>
      </c>
      <c r="B7597" s="11" t="str">
        <f>"00361413"</f>
        <v>00361413</v>
      </c>
    </row>
    <row r="7598" spans="1:2" x14ac:dyDescent="0.25">
      <c r="A7598" s="2">
        <v>7593</v>
      </c>
      <c r="B7598" s="11" t="str">
        <f>"00361483"</f>
        <v>00361483</v>
      </c>
    </row>
    <row r="7599" spans="1:2" x14ac:dyDescent="0.25">
      <c r="A7599" s="2">
        <v>7594</v>
      </c>
      <c r="B7599" s="11" t="str">
        <f>"00361501"</f>
        <v>00361501</v>
      </c>
    </row>
    <row r="7600" spans="1:2" x14ac:dyDescent="0.25">
      <c r="A7600" s="2">
        <v>7595</v>
      </c>
      <c r="B7600" s="11" t="str">
        <f>"00361603"</f>
        <v>00361603</v>
      </c>
    </row>
    <row r="7601" spans="1:2" x14ac:dyDescent="0.25">
      <c r="A7601" s="2">
        <v>7596</v>
      </c>
      <c r="B7601" s="11" t="str">
        <f>"00361633"</f>
        <v>00361633</v>
      </c>
    </row>
    <row r="7602" spans="1:2" x14ac:dyDescent="0.25">
      <c r="A7602" s="2">
        <v>7597</v>
      </c>
      <c r="B7602" s="11" t="str">
        <f>"00361692"</f>
        <v>00361692</v>
      </c>
    </row>
    <row r="7603" spans="1:2" x14ac:dyDescent="0.25">
      <c r="A7603" s="2">
        <v>7598</v>
      </c>
      <c r="B7603" s="11" t="str">
        <f>"00361693"</f>
        <v>00361693</v>
      </c>
    </row>
    <row r="7604" spans="1:2" x14ac:dyDescent="0.25">
      <c r="A7604" s="2">
        <v>7599</v>
      </c>
      <c r="B7604" s="11" t="str">
        <f>"00361718"</f>
        <v>00361718</v>
      </c>
    </row>
    <row r="7605" spans="1:2" x14ac:dyDescent="0.25">
      <c r="A7605" s="2">
        <v>7600</v>
      </c>
      <c r="B7605" s="11" t="str">
        <f>"00361733"</f>
        <v>00361733</v>
      </c>
    </row>
    <row r="7606" spans="1:2" x14ac:dyDescent="0.25">
      <c r="A7606" s="2">
        <v>7601</v>
      </c>
      <c r="B7606" s="11" t="str">
        <f>"00361734"</f>
        <v>00361734</v>
      </c>
    </row>
    <row r="7607" spans="1:2" x14ac:dyDescent="0.25">
      <c r="A7607" s="2">
        <v>7602</v>
      </c>
      <c r="B7607" s="11" t="str">
        <f>"00361754"</f>
        <v>00361754</v>
      </c>
    </row>
    <row r="7608" spans="1:2" x14ac:dyDescent="0.25">
      <c r="A7608" s="2">
        <v>7603</v>
      </c>
      <c r="B7608" s="11" t="str">
        <f>"00361756"</f>
        <v>00361756</v>
      </c>
    </row>
    <row r="7609" spans="1:2" x14ac:dyDescent="0.25">
      <c r="A7609" s="2">
        <v>7604</v>
      </c>
      <c r="B7609" s="11" t="str">
        <f>"00361783"</f>
        <v>00361783</v>
      </c>
    </row>
    <row r="7610" spans="1:2" x14ac:dyDescent="0.25">
      <c r="A7610" s="2">
        <v>7605</v>
      </c>
      <c r="B7610" s="11" t="str">
        <f>"00361829"</f>
        <v>00361829</v>
      </c>
    </row>
    <row r="7611" spans="1:2" x14ac:dyDescent="0.25">
      <c r="A7611" s="2">
        <v>7606</v>
      </c>
      <c r="B7611" s="11" t="str">
        <f>"00362011"</f>
        <v>00362011</v>
      </c>
    </row>
    <row r="7612" spans="1:2" x14ac:dyDescent="0.25">
      <c r="A7612" s="2">
        <v>7607</v>
      </c>
      <c r="B7612" s="11" t="str">
        <f>"00362022"</f>
        <v>00362022</v>
      </c>
    </row>
    <row r="7613" spans="1:2" x14ac:dyDescent="0.25">
      <c r="A7613" s="2">
        <v>7608</v>
      </c>
      <c r="B7613" s="11" t="str">
        <f>"00362058"</f>
        <v>00362058</v>
      </c>
    </row>
    <row r="7614" spans="1:2" x14ac:dyDescent="0.25">
      <c r="A7614" s="2">
        <v>7609</v>
      </c>
      <c r="B7614" s="11" t="str">
        <f>"00362068"</f>
        <v>00362068</v>
      </c>
    </row>
    <row r="7615" spans="1:2" x14ac:dyDescent="0.25">
      <c r="A7615" s="2">
        <v>7610</v>
      </c>
      <c r="B7615" s="11" t="str">
        <f>"00362107"</f>
        <v>00362107</v>
      </c>
    </row>
    <row r="7616" spans="1:2" x14ac:dyDescent="0.25">
      <c r="A7616" s="2">
        <v>7611</v>
      </c>
      <c r="B7616" s="11" t="str">
        <f>"00362160"</f>
        <v>00362160</v>
      </c>
    </row>
    <row r="7617" spans="1:2" x14ac:dyDescent="0.25">
      <c r="A7617" s="2">
        <v>7612</v>
      </c>
      <c r="B7617" s="11" t="str">
        <f>"00362243"</f>
        <v>00362243</v>
      </c>
    </row>
    <row r="7618" spans="1:2" x14ac:dyDescent="0.25">
      <c r="A7618" s="2">
        <v>7613</v>
      </c>
      <c r="B7618" s="11" t="str">
        <f>"00362264"</f>
        <v>00362264</v>
      </c>
    </row>
    <row r="7619" spans="1:2" x14ac:dyDescent="0.25">
      <c r="A7619" s="2">
        <v>7614</v>
      </c>
      <c r="B7619" s="11" t="str">
        <f>"00362283"</f>
        <v>00362283</v>
      </c>
    </row>
    <row r="7620" spans="1:2" x14ac:dyDescent="0.25">
      <c r="A7620" s="2">
        <v>7615</v>
      </c>
      <c r="B7620" s="11" t="str">
        <f>"00362296"</f>
        <v>00362296</v>
      </c>
    </row>
    <row r="7621" spans="1:2" x14ac:dyDescent="0.25">
      <c r="A7621" s="2">
        <v>7616</v>
      </c>
      <c r="B7621" s="11" t="str">
        <f>"00362321"</f>
        <v>00362321</v>
      </c>
    </row>
    <row r="7622" spans="1:2" x14ac:dyDescent="0.25">
      <c r="A7622" s="2">
        <v>7617</v>
      </c>
      <c r="B7622" s="11" t="str">
        <f>"00362381"</f>
        <v>00362381</v>
      </c>
    </row>
    <row r="7623" spans="1:2" x14ac:dyDescent="0.25">
      <c r="A7623" s="2">
        <v>7618</v>
      </c>
      <c r="B7623" s="11" t="str">
        <f>"00362420"</f>
        <v>00362420</v>
      </c>
    </row>
    <row r="7624" spans="1:2" x14ac:dyDescent="0.25">
      <c r="A7624" s="2">
        <v>7619</v>
      </c>
      <c r="B7624" s="11" t="str">
        <f>"00362453"</f>
        <v>00362453</v>
      </c>
    </row>
    <row r="7625" spans="1:2" x14ac:dyDescent="0.25">
      <c r="A7625" s="2">
        <v>7620</v>
      </c>
      <c r="B7625" s="11" t="str">
        <f>"00362481"</f>
        <v>00362481</v>
      </c>
    </row>
    <row r="7626" spans="1:2" x14ac:dyDescent="0.25">
      <c r="A7626" s="2">
        <v>7621</v>
      </c>
      <c r="B7626" s="11" t="str">
        <f>"00362547"</f>
        <v>00362547</v>
      </c>
    </row>
    <row r="7627" spans="1:2" x14ac:dyDescent="0.25">
      <c r="A7627" s="2">
        <v>7622</v>
      </c>
      <c r="B7627" s="11" t="str">
        <f>"00362590"</f>
        <v>00362590</v>
      </c>
    </row>
    <row r="7628" spans="1:2" x14ac:dyDescent="0.25">
      <c r="A7628" s="2">
        <v>7623</v>
      </c>
      <c r="B7628" s="11" t="str">
        <f>"00362687"</f>
        <v>00362687</v>
      </c>
    </row>
    <row r="7629" spans="1:2" x14ac:dyDescent="0.25">
      <c r="A7629" s="2">
        <v>7624</v>
      </c>
      <c r="B7629" s="11" t="str">
        <f>"00362711"</f>
        <v>00362711</v>
      </c>
    </row>
    <row r="7630" spans="1:2" x14ac:dyDescent="0.25">
      <c r="A7630" s="2">
        <v>7625</v>
      </c>
      <c r="B7630" s="11" t="str">
        <f>"00362715"</f>
        <v>00362715</v>
      </c>
    </row>
    <row r="7631" spans="1:2" x14ac:dyDescent="0.25">
      <c r="A7631" s="2">
        <v>7626</v>
      </c>
      <c r="B7631" s="11" t="str">
        <f>"00362733"</f>
        <v>00362733</v>
      </c>
    </row>
    <row r="7632" spans="1:2" x14ac:dyDescent="0.25">
      <c r="A7632" s="2">
        <v>7627</v>
      </c>
      <c r="B7632" s="11" t="str">
        <f>"00362798"</f>
        <v>00362798</v>
      </c>
    </row>
    <row r="7633" spans="1:2" x14ac:dyDescent="0.25">
      <c r="A7633" s="2">
        <v>7628</v>
      </c>
      <c r="B7633" s="11" t="str">
        <f>"00362886"</f>
        <v>00362886</v>
      </c>
    </row>
    <row r="7634" spans="1:2" x14ac:dyDescent="0.25">
      <c r="A7634" s="2">
        <v>7629</v>
      </c>
      <c r="B7634" s="11" t="str">
        <f>"00362892"</f>
        <v>00362892</v>
      </c>
    </row>
    <row r="7635" spans="1:2" x14ac:dyDescent="0.25">
      <c r="A7635" s="2">
        <v>7630</v>
      </c>
      <c r="B7635" s="11" t="str">
        <f>"00362987"</f>
        <v>00362987</v>
      </c>
    </row>
    <row r="7636" spans="1:2" x14ac:dyDescent="0.25">
      <c r="A7636" s="2">
        <v>7631</v>
      </c>
      <c r="B7636" s="11" t="str">
        <f>"00362994"</f>
        <v>00362994</v>
      </c>
    </row>
    <row r="7637" spans="1:2" x14ac:dyDescent="0.25">
      <c r="A7637" s="2">
        <v>7632</v>
      </c>
      <c r="B7637" s="11" t="str">
        <f>"00363083"</f>
        <v>00363083</v>
      </c>
    </row>
    <row r="7638" spans="1:2" x14ac:dyDescent="0.25">
      <c r="A7638" s="2">
        <v>7633</v>
      </c>
      <c r="B7638" s="11" t="str">
        <f>"00363123"</f>
        <v>00363123</v>
      </c>
    </row>
    <row r="7639" spans="1:2" x14ac:dyDescent="0.25">
      <c r="A7639" s="2">
        <v>7634</v>
      </c>
      <c r="B7639" s="11" t="str">
        <f>"00363213"</f>
        <v>00363213</v>
      </c>
    </row>
    <row r="7640" spans="1:2" x14ac:dyDescent="0.25">
      <c r="A7640" s="2">
        <v>7635</v>
      </c>
      <c r="B7640" s="11" t="str">
        <f>"00363229"</f>
        <v>00363229</v>
      </c>
    </row>
    <row r="7641" spans="1:2" x14ac:dyDescent="0.25">
      <c r="A7641" s="2">
        <v>7636</v>
      </c>
      <c r="B7641" s="11" t="str">
        <f>"00363243"</f>
        <v>00363243</v>
      </c>
    </row>
    <row r="7642" spans="1:2" x14ac:dyDescent="0.25">
      <c r="A7642" s="2">
        <v>7637</v>
      </c>
      <c r="B7642" s="11" t="str">
        <f>"00363253"</f>
        <v>00363253</v>
      </c>
    </row>
    <row r="7643" spans="1:2" x14ac:dyDescent="0.25">
      <c r="A7643" s="2">
        <v>7638</v>
      </c>
      <c r="B7643" s="11" t="str">
        <f>"00363256"</f>
        <v>00363256</v>
      </c>
    </row>
    <row r="7644" spans="1:2" x14ac:dyDescent="0.25">
      <c r="A7644" s="2">
        <v>7639</v>
      </c>
      <c r="B7644" s="11" t="str">
        <f>"00363316"</f>
        <v>00363316</v>
      </c>
    </row>
    <row r="7645" spans="1:2" x14ac:dyDescent="0.25">
      <c r="A7645" s="2">
        <v>7640</v>
      </c>
      <c r="B7645" s="11" t="str">
        <f>"00363720"</f>
        <v>00363720</v>
      </c>
    </row>
    <row r="7646" spans="1:2" x14ac:dyDescent="0.25">
      <c r="A7646" s="2">
        <v>7641</v>
      </c>
      <c r="B7646" s="11" t="str">
        <f>"00363771"</f>
        <v>00363771</v>
      </c>
    </row>
    <row r="7647" spans="1:2" x14ac:dyDescent="0.25">
      <c r="A7647" s="2">
        <v>7642</v>
      </c>
      <c r="B7647" s="11" t="str">
        <f>"00363815"</f>
        <v>00363815</v>
      </c>
    </row>
    <row r="7648" spans="1:2" x14ac:dyDescent="0.25">
      <c r="A7648" s="2">
        <v>7643</v>
      </c>
      <c r="B7648" s="11" t="str">
        <f>"00363973"</f>
        <v>00363973</v>
      </c>
    </row>
    <row r="7649" spans="1:2" x14ac:dyDescent="0.25">
      <c r="A7649" s="2">
        <v>7644</v>
      </c>
      <c r="B7649" s="11" t="str">
        <f>"00363990"</f>
        <v>00363990</v>
      </c>
    </row>
    <row r="7650" spans="1:2" x14ac:dyDescent="0.25">
      <c r="A7650" s="2">
        <v>7645</v>
      </c>
      <c r="B7650" s="11" t="str">
        <f>"00364012"</f>
        <v>00364012</v>
      </c>
    </row>
    <row r="7651" spans="1:2" x14ac:dyDescent="0.25">
      <c r="A7651" s="2">
        <v>7646</v>
      </c>
      <c r="B7651" s="11" t="str">
        <f>"00364061"</f>
        <v>00364061</v>
      </c>
    </row>
    <row r="7652" spans="1:2" x14ac:dyDescent="0.25">
      <c r="A7652" s="2">
        <v>7647</v>
      </c>
      <c r="B7652" s="11" t="str">
        <f>"00364081"</f>
        <v>00364081</v>
      </c>
    </row>
    <row r="7653" spans="1:2" x14ac:dyDescent="0.25">
      <c r="A7653" s="2">
        <v>7648</v>
      </c>
      <c r="B7653" s="11" t="str">
        <f>"00364092"</f>
        <v>00364092</v>
      </c>
    </row>
    <row r="7654" spans="1:2" x14ac:dyDescent="0.25">
      <c r="A7654" s="2">
        <v>7649</v>
      </c>
      <c r="B7654" s="11" t="str">
        <f>"00364154"</f>
        <v>00364154</v>
      </c>
    </row>
    <row r="7655" spans="1:2" x14ac:dyDescent="0.25">
      <c r="A7655" s="2">
        <v>7650</v>
      </c>
      <c r="B7655" s="11" t="str">
        <f>"00364224"</f>
        <v>00364224</v>
      </c>
    </row>
    <row r="7656" spans="1:2" x14ac:dyDescent="0.25">
      <c r="A7656" s="2">
        <v>7651</v>
      </c>
      <c r="B7656" s="11" t="str">
        <f>"00364317"</f>
        <v>00364317</v>
      </c>
    </row>
    <row r="7657" spans="1:2" x14ac:dyDescent="0.25">
      <c r="A7657" s="2">
        <v>7652</v>
      </c>
      <c r="B7657" s="11" t="str">
        <f>"00364330"</f>
        <v>00364330</v>
      </c>
    </row>
    <row r="7658" spans="1:2" x14ac:dyDescent="0.25">
      <c r="A7658" s="2">
        <v>7653</v>
      </c>
      <c r="B7658" s="11" t="str">
        <f>"00364342"</f>
        <v>00364342</v>
      </c>
    </row>
    <row r="7659" spans="1:2" x14ac:dyDescent="0.25">
      <c r="A7659" s="2">
        <v>7654</v>
      </c>
      <c r="B7659" s="11" t="str">
        <f>"00364395"</f>
        <v>00364395</v>
      </c>
    </row>
    <row r="7660" spans="1:2" x14ac:dyDescent="0.25">
      <c r="A7660" s="2">
        <v>7655</v>
      </c>
      <c r="B7660" s="11" t="str">
        <f>"00364744"</f>
        <v>00364744</v>
      </c>
    </row>
    <row r="7661" spans="1:2" x14ac:dyDescent="0.25">
      <c r="A7661" s="2">
        <v>7656</v>
      </c>
      <c r="B7661" s="11" t="str">
        <f>"00364752"</f>
        <v>00364752</v>
      </c>
    </row>
    <row r="7662" spans="1:2" x14ac:dyDescent="0.25">
      <c r="A7662" s="2">
        <v>7657</v>
      </c>
      <c r="B7662" s="11" t="str">
        <f>"00364856"</f>
        <v>00364856</v>
      </c>
    </row>
    <row r="7663" spans="1:2" x14ac:dyDescent="0.25">
      <c r="A7663" s="2">
        <v>7658</v>
      </c>
      <c r="B7663" s="11" t="str">
        <f>"00364902"</f>
        <v>00364902</v>
      </c>
    </row>
    <row r="7664" spans="1:2" x14ac:dyDescent="0.25">
      <c r="A7664" s="2">
        <v>7659</v>
      </c>
      <c r="B7664" s="11" t="str">
        <f>"00364941"</f>
        <v>00364941</v>
      </c>
    </row>
    <row r="7665" spans="1:2" x14ac:dyDescent="0.25">
      <c r="A7665" s="2">
        <v>7660</v>
      </c>
      <c r="B7665" s="11" t="str">
        <f>"00365060"</f>
        <v>00365060</v>
      </c>
    </row>
    <row r="7666" spans="1:2" x14ac:dyDescent="0.25">
      <c r="A7666" s="2">
        <v>7661</v>
      </c>
      <c r="B7666" s="11" t="str">
        <f>"00365117"</f>
        <v>00365117</v>
      </c>
    </row>
    <row r="7667" spans="1:2" x14ac:dyDescent="0.25">
      <c r="A7667" s="2">
        <v>7662</v>
      </c>
      <c r="B7667" s="11" t="str">
        <f>"00365376"</f>
        <v>00365376</v>
      </c>
    </row>
    <row r="7668" spans="1:2" x14ac:dyDescent="0.25">
      <c r="A7668" s="2">
        <v>7663</v>
      </c>
      <c r="B7668" s="11" t="str">
        <f>"00365393"</f>
        <v>00365393</v>
      </c>
    </row>
    <row r="7669" spans="1:2" x14ac:dyDescent="0.25">
      <c r="A7669" s="2">
        <v>7664</v>
      </c>
      <c r="B7669" s="11" t="str">
        <f>"00365424"</f>
        <v>00365424</v>
      </c>
    </row>
    <row r="7670" spans="1:2" x14ac:dyDescent="0.25">
      <c r="A7670" s="2">
        <v>7665</v>
      </c>
      <c r="B7670" s="11" t="str">
        <f>"00365433"</f>
        <v>00365433</v>
      </c>
    </row>
    <row r="7671" spans="1:2" x14ac:dyDescent="0.25">
      <c r="A7671" s="2">
        <v>7666</v>
      </c>
      <c r="B7671" s="11" t="str">
        <f>"00365485"</f>
        <v>00365485</v>
      </c>
    </row>
    <row r="7672" spans="1:2" x14ac:dyDescent="0.25">
      <c r="A7672" s="2">
        <v>7667</v>
      </c>
      <c r="B7672" s="11" t="str">
        <f>"00365501"</f>
        <v>00365501</v>
      </c>
    </row>
    <row r="7673" spans="1:2" x14ac:dyDescent="0.25">
      <c r="A7673" s="2">
        <v>7668</v>
      </c>
      <c r="B7673" s="11" t="str">
        <f>"00365757"</f>
        <v>00365757</v>
      </c>
    </row>
    <row r="7674" spans="1:2" x14ac:dyDescent="0.25">
      <c r="A7674" s="2">
        <v>7669</v>
      </c>
      <c r="B7674" s="11" t="str">
        <f>"00365776"</f>
        <v>00365776</v>
      </c>
    </row>
    <row r="7675" spans="1:2" x14ac:dyDescent="0.25">
      <c r="A7675" s="2">
        <v>7670</v>
      </c>
      <c r="B7675" s="11" t="str">
        <f>"00365834"</f>
        <v>00365834</v>
      </c>
    </row>
    <row r="7676" spans="1:2" x14ac:dyDescent="0.25">
      <c r="A7676" s="2">
        <v>7671</v>
      </c>
      <c r="B7676" s="11" t="str">
        <f>"00365874"</f>
        <v>00365874</v>
      </c>
    </row>
    <row r="7677" spans="1:2" x14ac:dyDescent="0.25">
      <c r="A7677" s="2">
        <v>7672</v>
      </c>
      <c r="B7677" s="11" t="str">
        <f>"00365880"</f>
        <v>00365880</v>
      </c>
    </row>
    <row r="7678" spans="1:2" x14ac:dyDescent="0.25">
      <c r="A7678" s="2">
        <v>7673</v>
      </c>
      <c r="B7678" s="11" t="str">
        <f>"00365965"</f>
        <v>00365965</v>
      </c>
    </row>
    <row r="7679" spans="1:2" x14ac:dyDescent="0.25">
      <c r="A7679" s="2">
        <v>7674</v>
      </c>
      <c r="B7679" s="11" t="str">
        <f>"00366056"</f>
        <v>00366056</v>
      </c>
    </row>
    <row r="7680" spans="1:2" x14ac:dyDescent="0.25">
      <c r="A7680" s="2">
        <v>7675</v>
      </c>
      <c r="B7680" s="11" t="str">
        <f>"00366085"</f>
        <v>00366085</v>
      </c>
    </row>
    <row r="7681" spans="1:2" x14ac:dyDescent="0.25">
      <c r="A7681" s="2">
        <v>7676</v>
      </c>
      <c r="B7681" s="11" t="str">
        <f>"00366160"</f>
        <v>00366160</v>
      </c>
    </row>
    <row r="7682" spans="1:2" x14ac:dyDescent="0.25">
      <c r="A7682" s="2">
        <v>7677</v>
      </c>
      <c r="B7682" s="11" t="str">
        <f>"00366194"</f>
        <v>00366194</v>
      </c>
    </row>
    <row r="7683" spans="1:2" x14ac:dyDescent="0.25">
      <c r="A7683" s="2">
        <v>7678</v>
      </c>
      <c r="B7683" s="11" t="str">
        <f>"00366202"</f>
        <v>00366202</v>
      </c>
    </row>
    <row r="7684" spans="1:2" x14ac:dyDescent="0.25">
      <c r="A7684" s="2">
        <v>7679</v>
      </c>
      <c r="B7684" s="11" t="str">
        <f>"00366210"</f>
        <v>00366210</v>
      </c>
    </row>
    <row r="7685" spans="1:2" x14ac:dyDescent="0.25">
      <c r="A7685" s="2">
        <v>7680</v>
      </c>
      <c r="B7685" s="11" t="str">
        <f>"00366212"</f>
        <v>00366212</v>
      </c>
    </row>
    <row r="7686" spans="1:2" x14ac:dyDescent="0.25">
      <c r="A7686" s="2">
        <v>7681</v>
      </c>
      <c r="B7686" s="11" t="str">
        <f>"00366219"</f>
        <v>00366219</v>
      </c>
    </row>
    <row r="7687" spans="1:2" x14ac:dyDescent="0.25">
      <c r="A7687" s="2">
        <v>7682</v>
      </c>
      <c r="B7687" s="11" t="str">
        <f>"00366386"</f>
        <v>00366386</v>
      </c>
    </row>
    <row r="7688" spans="1:2" x14ac:dyDescent="0.25">
      <c r="A7688" s="2">
        <v>7683</v>
      </c>
      <c r="B7688" s="11" t="str">
        <f>"00366482"</f>
        <v>00366482</v>
      </c>
    </row>
    <row r="7689" spans="1:2" x14ac:dyDescent="0.25">
      <c r="A7689" s="2">
        <v>7684</v>
      </c>
      <c r="B7689" s="11" t="str">
        <f>"00366497"</f>
        <v>00366497</v>
      </c>
    </row>
    <row r="7690" spans="1:2" x14ac:dyDescent="0.25">
      <c r="A7690" s="2">
        <v>7685</v>
      </c>
      <c r="B7690" s="11" t="str">
        <f>"00366701"</f>
        <v>00366701</v>
      </c>
    </row>
    <row r="7691" spans="1:2" x14ac:dyDescent="0.25">
      <c r="A7691" s="2">
        <v>7686</v>
      </c>
      <c r="B7691" s="11" t="str">
        <f>"00366770"</f>
        <v>00366770</v>
      </c>
    </row>
    <row r="7692" spans="1:2" x14ac:dyDescent="0.25">
      <c r="A7692" s="2">
        <v>7687</v>
      </c>
      <c r="B7692" s="11" t="str">
        <f>"00366863"</f>
        <v>00366863</v>
      </c>
    </row>
    <row r="7693" spans="1:2" x14ac:dyDescent="0.25">
      <c r="A7693" s="2">
        <v>7688</v>
      </c>
      <c r="B7693" s="11" t="str">
        <f>"00366952"</f>
        <v>00366952</v>
      </c>
    </row>
    <row r="7694" spans="1:2" x14ac:dyDescent="0.25">
      <c r="A7694" s="2">
        <v>7689</v>
      </c>
      <c r="B7694" s="11" t="str">
        <f>"00367131"</f>
        <v>00367131</v>
      </c>
    </row>
    <row r="7695" spans="1:2" x14ac:dyDescent="0.25">
      <c r="A7695" s="2">
        <v>7690</v>
      </c>
      <c r="B7695" s="11" t="str">
        <f>"00367145"</f>
        <v>00367145</v>
      </c>
    </row>
    <row r="7696" spans="1:2" x14ac:dyDescent="0.25">
      <c r="A7696" s="2">
        <v>7691</v>
      </c>
      <c r="B7696" s="11" t="str">
        <f>"00367222"</f>
        <v>00367222</v>
      </c>
    </row>
    <row r="7697" spans="1:2" x14ac:dyDescent="0.25">
      <c r="A7697" s="2">
        <v>7692</v>
      </c>
      <c r="B7697" s="11" t="str">
        <f>"00367231"</f>
        <v>00367231</v>
      </c>
    </row>
    <row r="7698" spans="1:2" x14ac:dyDescent="0.25">
      <c r="A7698" s="2">
        <v>7693</v>
      </c>
      <c r="B7698" s="11" t="str">
        <f>"00367237"</f>
        <v>00367237</v>
      </c>
    </row>
    <row r="7699" spans="1:2" x14ac:dyDescent="0.25">
      <c r="A7699" s="2">
        <v>7694</v>
      </c>
      <c r="B7699" s="11" t="str">
        <f>"00367440"</f>
        <v>00367440</v>
      </c>
    </row>
    <row r="7700" spans="1:2" x14ac:dyDescent="0.25">
      <c r="A7700" s="2">
        <v>7695</v>
      </c>
      <c r="B7700" s="11" t="str">
        <f>"00367460"</f>
        <v>00367460</v>
      </c>
    </row>
    <row r="7701" spans="1:2" x14ac:dyDescent="0.25">
      <c r="A7701" s="2">
        <v>7696</v>
      </c>
      <c r="B7701" s="11" t="str">
        <f>"00367473"</f>
        <v>00367473</v>
      </c>
    </row>
    <row r="7702" spans="1:2" x14ac:dyDescent="0.25">
      <c r="A7702" s="2">
        <v>7697</v>
      </c>
      <c r="B7702" s="11" t="str">
        <f>"00367503"</f>
        <v>00367503</v>
      </c>
    </row>
    <row r="7703" spans="1:2" x14ac:dyDescent="0.25">
      <c r="A7703" s="2">
        <v>7698</v>
      </c>
      <c r="B7703" s="11" t="str">
        <f>"00367514"</f>
        <v>00367514</v>
      </c>
    </row>
    <row r="7704" spans="1:2" x14ac:dyDescent="0.25">
      <c r="A7704" s="2">
        <v>7699</v>
      </c>
      <c r="B7704" s="11" t="str">
        <f>"00367523"</f>
        <v>00367523</v>
      </c>
    </row>
    <row r="7705" spans="1:2" x14ac:dyDescent="0.25">
      <c r="A7705" s="2">
        <v>7700</v>
      </c>
      <c r="B7705" s="11" t="str">
        <f>"00367598"</f>
        <v>00367598</v>
      </c>
    </row>
    <row r="7706" spans="1:2" x14ac:dyDescent="0.25">
      <c r="A7706" s="2">
        <v>7701</v>
      </c>
      <c r="B7706" s="11" t="str">
        <f>"00367619"</f>
        <v>00367619</v>
      </c>
    </row>
    <row r="7707" spans="1:2" x14ac:dyDescent="0.25">
      <c r="A7707" s="2">
        <v>7702</v>
      </c>
      <c r="B7707" s="11" t="str">
        <f>"00367629"</f>
        <v>00367629</v>
      </c>
    </row>
    <row r="7708" spans="1:2" x14ac:dyDescent="0.25">
      <c r="A7708" s="2">
        <v>7703</v>
      </c>
      <c r="B7708" s="11" t="str">
        <f>"00367761"</f>
        <v>00367761</v>
      </c>
    </row>
    <row r="7709" spans="1:2" x14ac:dyDescent="0.25">
      <c r="A7709" s="2">
        <v>7704</v>
      </c>
      <c r="B7709" s="11" t="str">
        <f>"00367839"</f>
        <v>00367839</v>
      </c>
    </row>
    <row r="7710" spans="1:2" x14ac:dyDescent="0.25">
      <c r="A7710" s="2">
        <v>7705</v>
      </c>
      <c r="B7710" s="11" t="str">
        <f>"00367948"</f>
        <v>00367948</v>
      </c>
    </row>
    <row r="7711" spans="1:2" x14ac:dyDescent="0.25">
      <c r="A7711" s="2">
        <v>7706</v>
      </c>
      <c r="B7711" s="11" t="str">
        <f>"00367956"</f>
        <v>00367956</v>
      </c>
    </row>
    <row r="7712" spans="1:2" x14ac:dyDescent="0.25">
      <c r="A7712" s="2">
        <v>7707</v>
      </c>
      <c r="B7712" s="11" t="str">
        <f>"00368225"</f>
        <v>00368225</v>
      </c>
    </row>
    <row r="7713" spans="1:2" x14ac:dyDescent="0.25">
      <c r="A7713" s="2">
        <v>7708</v>
      </c>
      <c r="B7713" s="11" t="str">
        <f>"00368245"</f>
        <v>00368245</v>
      </c>
    </row>
    <row r="7714" spans="1:2" x14ac:dyDescent="0.25">
      <c r="A7714" s="2">
        <v>7709</v>
      </c>
      <c r="B7714" s="11" t="str">
        <f>"00368278"</f>
        <v>00368278</v>
      </c>
    </row>
    <row r="7715" spans="1:2" x14ac:dyDescent="0.25">
      <c r="A7715" s="2">
        <v>7710</v>
      </c>
      <c r="B7715" s="11" t="str">
        <f>"00368325"</f>
        <v>00368325</v>
      </c>
    </row>
    <row r="7716" spans="1:2" x14ac:dyDescent="0.25">
      <c r="A7716" s="2">
        <v>7711</v>
      </c>
      <c r="B7716" s="11" t="str">
        <f>"00368366"</f>
        <v>00368366</v>
      </c>
    </row>
    <row r="7717" spans="1:2" x14ac:dyDescent="0.25">
      <c r="A7717" s="2">
        <v>7712</v>
      </c>
      <c r="B7717" s="11" t="str">
        <f>"00368368"</f>
        <v>00368368</v>
      </c>
    </row>
    <row r="7718" spans="1:2" x14ac:dyDescent="0.25">
      <c r="A7718" s="2">
        <v>7713</v>
      </c>
      <c r="B7718" s="11" t="str">
        <f>"00368394"</f>
        <v>00368394</v>
      </c>
    </row>
    <row r="7719" spans="1:2" x14ac:dyDescent="0.25">
      <c r="A7719" s="2">
        <v>7714</v>
      </c>
      <c r="B7719" s="11" t="str">
        <f>"00368435"</f>
        <v>00368435</v>
      </c>
    </row>
    <row r="7720" spans="1:2" x14ac:dyDescent="0.25">
      <c r="A7720" s="2">
        <v>7715</v>
      </c>
      <c r="B7720" s="11" t="str">
        <f>"00368473"</f>
        <v>00368473</v>
      </c>
    </row>
    <row r="7721" spans="1:2" x14ac:dyDescent="0.25">
      <c r="A7721" s="2">
        <v>7716</v>
      </c>
      <c r="B7721" s="11" t="str">
        <f>"00368571"</f>
        <v>00368571</v>
      </c>
    </row>
    <row r="7722" spans="1:2" x14ac:dyDescent="0.25">
      <c r="A7722" s="2">
        <v>7717</v>
      </c>
      <c r="B7722" s="11" t="str">
        <f>"00368592"</f>
        <v>00368592</v>
      </c>
    </row>
    <row r="7723" spans="1:2" x14ac:dyDescent="0.25">
      <c r="A7723" s="2">
        <v>7718</v>
      </c>
      <c r="B7723" s="11" t="str">
        <f>"00368613"</f>
        <v>00368613</v>
      </c>
    </row>
    <row r="7724" spans="1:2" x14ac:dyDescent="0.25">
      <c r="A7724" s="2">
        <v>7719</v>
      </c>
      <c r="B7724" s="11" t="str">
        <f>"00368661"</f>
        <v>00368661</v>
      </c>
    </row>
    <row r="7725" spans="1:2" x14ac:dyDescent="0.25">
      <c r="A7725" s="2">
        <v>7720</v>
      </c>
      <c r="B7725" s="11" t="str">
        <f>"00368691"</f>
        <v>00368691</v>
      </c>
    </row>
    <row r="7726" spans="1:2" x14ac:dyDescent="0.25">
      <c r="A7726" s="2">
        <v>7721</v>
      </c>
      <c r="B7726" s="11" t="str">
        <f>"00368920"</f>
        <v>00368920</v>
      </c>
    </row>
    <row r="7727" spans="1:2" x14ac:dyDescent="0.25">
      <c r="A7727" s="2">
        <v>7722</v>
      </c>
      <c r="B7727" s="11" t="str">
        <f>"00368943"</f>
        <v>00368943</v>
      </c>
    </row>
    <row r="7728" spans="1:2" x14ac:dyDescent="0.25">
      <c r="A7728" s="2">
        <v>7723</v>
      </c>
      <c r="B7728" s="11" t="str">
        <f>"00368959"</f>
        <v>00368959</v>
      </c>
    </row>
    <row r="7729" spans="1:2" x14ac:dyDescent="0.25">
      <c r="A7729" s="2">
        <v>7724</v>
      </c>
      <c r="B7729" s="11" t="str">
        <f>"00368983"</f>
        <v>00368983</v>
      </c>
    </row>
    <row r="7730" spans="1:2" x14ac:dyDescent="0.25">
      <c r="A7730" s="2">
        <v>7725</v>
      </c>
      <c r="B7730" s="11" t="str">
        <f>"00369036"</f>
        <v>00369036</v>
      </c>
    </row>
    <row r="7731" spans="1:2" x14ac:dyDescent="0.25">
      <c r="A7731" s="2">
        <v>7726</v>
      </c>
      <c r="B7731" s="11" t="str">
        <f>"00369078"</f>
        <v>00369078</v>
      </c>
    </row>
    <row r="7732" spans="1:2" x14ac:dyDescent="0.25">
      <c r="A7732" s="2">
        <v>7727</v>
      </c>
      <c r="B7732" s="11" t="str">
        <f>"00369085"</f>
        <v>00369085</v>
      </c>
    </row>
    <row r="7733" spans="1:2" x14ac:dyDescent="0.25">
      <c r="A7733" s="2">
        <v>7728</v>
      </c>
      <c r="B7733" s="11" t="str">
        <f>"00369141"</f>
        <v>00369141</v>
      </c>
    </row>
    <row r="7734" spans="1:2" x14ac:dyDescent="0.25">
      <c r="A7734" s="2">
        <v>7729</v>
      </c>
      <c r="B7734" s="11" t="str">
        <f>"00369184"</f>
        <v>00369184</v>
      </c>
    </row>
    <row r="7735" spans="1:2" x14ac:dyDescent="0.25">
      <c r="A7735" s="2">
        <v>7730</v>
      </c>
      <c r="B7735" s="11" t="str">
        <f>"00369267"</f>
        <v>00369267</v>
      </c>
    </row>
    <row r="7736" spans="1:2" x14ac:dyDescent="0.25">
      <c r="A7736" s="2">
        <v>7731</v>
      </c>
      <c r="B7736" s="11" t="str">
        <f>"00369316"</f>
        <v>00369316</v>
      </c>
    </row>
    <row r="7737" spans="1:2" x14ac:dyDescent="0.25">
      <c r="A7737" s="2">
        <v>7732</v>
      </c>
      <c r="B7737" s="11" t="str">
        <f>"00369325"</f>
        <v>00369325</v>
      </c>
    </row>
    <row r="7738" spans="1:2" x14ac:dyDescent="0.25">
      <c r="A7738" s="2">
        <v>7733</v>
      </c>
      <c r="B7738" s="11" t="str">
        <f>"00369357"</f>
        <v>00369357</v>
      </c>
    </row>
    <row r="7739" spans="1:2" x14ac:dyDescent="0.25">
      <c r="A7739" s="2">
        <v>7734</v>
      </c>
      <c r="B7739" s="11" t="str">
        <f>"00369358"</f>
        <v>00369358</v>
      </c>
    </row>
    <row r="7740" spans="1:2" x14ac:dyDescent="0.25">
      <c r="A7740" s="2">
        <v>7735</v>
      </c>
      <c r="B7740" s="11" t="str">
        <f>"00369362"</f>
        <v>00369362</v>
      </c>
    </row>
    <row r="7741" spans="1:2" x14ac:dyDescent="0.25">
      <c r="A7741" s="2">
        <v>7736</v>
      </c>
      <c r="B7741" s="11" t="str">
        <f>"00369371"</f>
        <v>00369371</v>
      </c>
    </row>
    <row r="7742" spans="1:2" x14ac:dyDescent="0.25">
      <c r="A7742" s="2">
        <v>7737</v>
      </c>
      <c r="B7742" s="11" t="str">
        <f>"00369393"</f>
        <v>00369393</v>
      </c>
    </row>
    <row r="7743" spans="1:2" x14ac:dyDescent="0.25">
      <c r="A7743" s="2">
        <v>7738</v>
      </c>
      <c r="B7743" s="11" t="str">
        <f>"00369507"</f>
        <v>00369507</v>
      </c>
    </row>
    <row r="7744" spans="1:2" x14ac:dyDescent="0.25">
      <c r="A7744" s="2">
        <v>7739</v>
      </c>
      <c r="B7744" s="11" t="str">
        <f>"00369568"</f>
        <v>00369568</v>
      </c>
    </row>
    <row r="7745" spans="1:2" x14ac:dyDescent="0.25">
      <c r="A7745" s="2">
        <v>7740</v>
      </c>
      <c r="B7745" s="11" t="str">
        <f>"00369663"</f>
        <v>00369663</v>
      </c>
    </row>
    <row r="7746" spans="1:2" x14ac:dyDescent="0.25">
      <c r="A7746" s="2">
        <v>7741</v>
      </c>
      <c r="B7746" s="11" t="str">
        <f>"00369669"</f>
        <v>00369669</v>
      </c>
    </row>
    <row r="7747" spans="1:2" x14ac:dyDescent="0.25">
      <c r="A7747" s="2">
        <v>7742</v>
      </c>
      <c r="B7747" s="11" t="str">
        <f>"00369673"</f>
        <v>00369673</v>
      </c>
    </row>
    <row r="7748" spans="1:2" x14ac:dyDescent="0.25">
      <c r="A7748" s="2">
        <v>7743</v>
      </c>
      <c r="B7748" s="11" t="str">
        <f>"00369681"</f>
        <v>00369681</v>
      </c>
    </row>
    <row r="7749" spans="1:2" x14ac:dyDescent="0.25">
      <c r="A7749" s="2">
        <v>7744</v>
      </c>
      <c r="B7749" s="11" t="str">
        <f>"00369736"</f>
        <v>00369736</v>
      </c>
    </row>
    <row r="7750" spans="1:2" x14ac:dyDescent="0.25">
      <c r="A7750" s="2">
        <v>7745</v>
      </c>
      <c r="B7750" s="11" t="str">
        <f>"00369785"</f>
        <v>00369785</v>
      </c>
    </row>
    <row r="7751" spans="1:2" x14ac:dyDescent="0.25">
      <c r="A7751" s="2">
        <v>7746</v>
      </c>
      <c r="B7751" s="11" t="str">
        <f>"00369829"</f>
        <v>00369829</v>
      </c>
    </row>
    <row r="7752" spans="1:2" x14ac:dyDescent="0.25">
      <c r="A7752" s="2">
        <v>7747</v>
      </c>
      <c r="B7752" s="11" t="str">
        <f>"00369850"</f>
        <v>00369850</v>
      </c>
    </row>
    <row r="7753" spans="1:2" x14ac:dyDescent="0.25">
      <c r="A7753" s="2">
        <v>7748</v>
      </c>
      <c r="B7753" s="11" t="str">
        <f>"00369852"</f>
        <v>00369852</v>
      </c>
    </row>
    <row r="7754" spans="1:2" x14ac:dyDescent="0.25">
      <c r="A7754" s="2">
        <v>7749</v>
      </c>
      <c r="B7754" s="11" t="str">
        <f>"00369884"</f>
        <v>00369884</v>
      </c>
    </row>
    <row r="7755" spans="1:2" x14ac:dyDescent="0.25">
      <c r="A7755" s="2">
        <v>7750</v>
      </c>
      <c r="B7755" s="11" t="str">
        <f>"00369922"</f>
        <v>00369922</v>
      </c>
    </row>
    <row r="7756" spans="1:2" x14ac:dyDescent="0.25">
      <c r="A7756" s="2">
        <v>7751</v>
      </c>
      <c r="B7756" s="11" t="str">
        <f>"00370041"</f>
        <v>00370041</v>
      </c>
    </row>
    <row r="7757" spans="1:2" x14ac:dyDescent="0.25">
      <c r="A7757" s="2">
        <v>7752</v>
      </c>
      <c r="B7757" s="11" t="str">
        <f>"00370214"</f>
        <v>00370214</v>
      </c>
    </row>
    <row r="7758" spans="1:2" x14ac:dyDescent="0.25">
      <c r="A7758" s="2">
        <v>7753</v>
      </c>
      <c r="B7758" s="11" t="str">
        <f>"00370221"</f>
        <v>00370221</v>
      </c>
    </row>
    <row r="7759" spans="1:2" x14ac:dyDescent="0.25">
      <c r="A7759" s="2">
        <v>7754</v>
      </c>
      <c r="B7759" s="11" t="str">
        <f>"00370240"</f>
        <v>00370240</v>
      </c>
    </row>
    <row r="7760" spans="1:2" x14ac:dyDescent="0.25">
      <c r="A7760" s="2">
        <v>7755</v>
      </c>
      <c r="B7760" s="11" t="str">
        <f>"00370244"</f>
        <v>00370244</v>
      </c>
    </row>
    <row r="7761" spans="1:2" x14ac:dyDescent="0.25">
      <c r="A7761" s="2">
        <v>7756</v>
      </c>
      <c r="B7761" s="11" t="str">
        <f>"00370290"</f>
        <v>00370290</v>
      </c>
    </row>
    <row r="7762" spans="1:2" x14ac:dyDescent="0.25">
      <c r="A7762" s="2">
        <v>7757</v>
      </c>
      <c r="B7762" s="11" t="str">
        <f>"00370670"</f>
        <v>00370670</v>
      </c>
    </row>
    <row r="7763" spans="1:2" x14ac:dyDescent="0.25">
      <c r="A7763" s="2">
        <v>7758</v>
      </c>
      <c r="B7763" s="11" t="str">
        <f>"00370678"</f>
        <v>00370678</v>
      </c>
    </row>
    <row r="7764" spans="1:2" x14ac:dyDescent="0.25">
      <c r="A7764" s="2">
        <v>7759</v>
      </c>
      <c r="B7764" s="11" t="str">
        <f>"00370682"</f>
        <v>00370682</v>
      </c>
    </row>
    <row r="7765" spans="1:2" x14ac:dyDescent="0.25">
      <c r="A7765" s="2">
        <v>7760</v>
      </c>
      <c r="B7765" s="11" t="str">
        <f>"00370740"</f>
        <v>00370740</v>
      </c>
    </row>
    <row r="7766" spans="1:2" x14ac:dyDescent="0.25">
      <c r="A7766" s="2">
        <v>7761</v>
      </c>
      <c r="B7766" s="11" t="str">
        <f>"00370753"</f>
        <v>00370753</v>
      </c>
    </row>
    <row r="7767" spans="1:2" x14ac:dyDescent="0.25">
      <c r="A7767" s="2">
        <v>7762</v>
      </c>
      <c r="B7767" s="11" t="str">
        <f>"00370765"</f>
        <v>00370765</v>
      </c>
    </row>
    <row r="7768" spans="1:2" x14ac:dyDescent="0.25">
      <c r="A7768" s="2">
        <v>7763</v>
      </c>
      <c r="B7768" s="11" t="str">
        <f>"00370840"</f>
        <v>00370840</v>
      </c>
    </row>
    <row r="7769" spans="1:2" x14ac:dyDescent="0.25">
      <c r="A7769" s="2">
        <v>7764</v>
      </c>
      <c r="B7769" s="11" t="str">
        <f>"00370868"</f>
        <v>00370868</v>
      </c>
    </row>
    <row r="7770" spans="1:2" x14ac:dyDescent="0.25">
      <c r="A7770" s="2">
        <v>7765</v>
      </c>
      <c r="B7770" s="11" t="str">
        <f>"00370892"</f>
        <v>00370892</v>
      </c>
    </row>
    <row r="7771" spans="1:2" x14ac:dyDescent="0.25">
      <c r="A7771" s="2">
        <v>7766</v>
      </c>
      <c r="B7771" s="11" t="str">
        <f>"00370899"</f>
        <v>00370899</v>
      </c>
    </row>
    <row r="7772" spans="1:2" x14ac:dyDescent="0.25">
      <c r="A7772" s="2">
        <v>7767</v>
      </c>
      <c r="B7772" s="11" t="str">
        <f>"00370939"</f>
        <v>00370939</v>
      </c>
    </row>
    <row r="7773" spans="1:2" x14ac:dyDescent="0.25">
      <c r="A7773" s="2">
        <v>7768</v>
      </c>
      <c r="B7773" s="11" t="str">
        <f>"00370940"</f>
        <v>00370940</v>
      </c>
    </row>
    <row r="7774" spans="1:2" x14ac:dyDescent="0.25">
      <c r="A7774" s="2">
        <v>7769</v>
      </c>
      <c r="B7774" s="11" t="str">
        <f>"00371042"</f>
        <v>00371042</v>
      </c>
    </row>
    <row r="7775" spans="1:2" x14ac:dyDescent="0.25">
      <c r="A7775" s="2">
        <v>7770</v>
      </c>
      <c r="B7775" s="11" t="str">
        <f>"00371045"</f>
        <v>00371045</v>
      </c>
    </row>
    <row r="7776" spans="1:2" x14ac:dyDescent="0.25">
      <c r="A7776" s="2">
        <v>7771</v>
      </c>
      <c r="B7776" s="11" t="str">
        <f>"00371058"</f>
        <v>00371058</v>
      </c>
    </row>
    <row r="7777" spans="1:2" x14ac:dyDescent="0.25">
      <c r="A7777" s="2">
        <v>7772</v>
      </c>
      <c r="B7777" s="11" t="str">
        <f>"00371117"</f>
        <v>00371117</v>
      </c>
    </row>
    <row r="7778" spans="1:2" x14ac:dyDescent="0.25">
      <c r="A7778" s="2">
        <v>7773</v>
      </c>
      <c r="B7778" s="11" t="str">
        <f>"00371166"</f>
        <v>00371166</v>
      </c>
    </row>
    <row r="7779" spans="1:2" x14ac:dyDescent="0.25">
      <c r="A7779" s="2">
        <v>7774</v>
      </c>
      <c r="B7779" s="11" t="str">
        <f>"00371221"</f>
        <v>00371221</v>
      </c>
    </row>
    <row r="7780" spans="1:2" x14ac:dyDescent="0.25">
      <c r="A7780" s="2">
        <v>7775</v>
      </c>
      <c r="B7780" s="11" t="str">
        <f>"00371238"</f>
        <v>00371238</v>
      </c>
    </row>
    <row r="7781" spans="1:2" x14ac:dyDescent="0.25">
      <c r="A7781" s="2">
        <v>7776</v>
      </c>
      <c r="B7781" s="11" t="str">
        <f>"00371296"</f>
        <v>00371296</v>
      </c>
    </row>
    <row r="7782" spans="1:2" x14ac:dyDescent="0.25">
      <c r="A7782" s="2">
        <v>7777</v>
      </c>
      <c r="B7782" s="11" t="str">
        <f>"00371389"</f>
        <v>00371389</v>
      </c>
    </row>
    <row r="7783" spans="1:2" x14ac:dyDescent="0.25">
      <c r="A7783" s="2">
        <v>7778</v>
      </c>
      <c r="B7783" s="11" t="str">
        <f>"00371453"</f>
        <v>00371453</v>
      </c>
    </row>
    <row r="7784" spans="1:2" x14ac:dyDescent="0.25">
      <c r="A7784" s="2">
        <v>7779</v>
      </c>
      <c r="B7784" s="11" t="str">
        <f>"00371506"</f>
        <v>00371506</v>
      </c>
    </row>
    <row r="7785" spans="1:2" x14ac:dyDescent="0.25">
      <c r="A7785" s="2">
        <v>7780</v>
      </c>
      <c r="B7785" s="11" t="str">
        <f>"00371610"</f>
        <v>00371610</v>
      </c>
    </row>
    <row r="7786" spans="1:2" x14ac:dyDescent="0.25">
      <c r="A7786" s="2">
        <v>7781</v>
      </c>
      <c r="B7786" s="11" t="str">
        <f>"00371687"</f>
        <v>00371687</v>
      </c>
    </row>
    <row r="7787" spans="1:2" x14ac:dyDescent="0.25">
      <c r="A7787" s="2">
        <v>7782</v>
      </c>
      <c r="B7787" s="11" t="str">
        <f>"00371980"</f>
        <v>00371980</v>
      </c>
    </row>
    <row r="7788" spans="1:2" x14ac:dyDescent="0.25">
      <c r="A7788" s="2">
        <v>7783</v>
      </c>
      <c r="B7788" s="11" t="str">
        <f>"00372150"</f>
        <v>00372150</v>
      </c>
    </row>
    <row r="7789" spans="1:2" x14ac:dyDescent="0.25">
      <c r="A7789" s="2">
        <v>7784</v>
      </c>
      <c r="B7789" s="11" t="str">
        <f>"00372181"</f>
        <v>00372181</v>
      </c>
    </row>
    <row r="7790" spans="1:2" x14ac:dyDescent="0.25">
      <c r="A7790" s="2">
        <v>7785</v>
      </c>
      <c r="B7790" s="11" t="str">
        <f>"00372288"</f>
        <v>00372288</v>
      </c>
    </row>
    <row r="7791" spans="1:2" x14ac:dyDescent="0.25">
      <c r="A7791" s="2">
        <v>7786</v>
      </c>
      <c r="B7791" s="11" t="str">
        <f>"00372417"</f>
        <v>00372417</v>
      </c>
    </row>
    <row r="7792" spans="1:2" x14ac:dyDescent="0.25">
      <c r="A7792" s="2">
        <v>7787</v>
      </c>
      <c r="B7792" s="11" t="str">
        <f>"00372458"</f>
        <v>00372458</v>
      </c>
    </row>
    <row r="7793" spans="1:2" x14ac:dyDescent="0.25">
      <c r="A7793" s="2">
        <v>7788</v>
      </c>
      <c r="B7793" s="11" t="str">
        <f>"00372530"</f>
        <v>00372530</v>
      </c>
    </row>
    <row r="7794" spans="1:2" x14ac:dyDescent="0.25">
      <c r="A7794" s="2">
        <v>7789</v>
      </c>
      <c r="B7794" s="11" t="str">
        <f>"00372558"</f>
        <v>00372558</v>
      </c>
    </row>
    <row r="7795" spans="1:2" x14ac:dyDescent="0.25">
      <c r="A7795" s="2">
        <v>7790</v>
      </c>
      <c r="B7795" s="11" t="str">
        <f>"00372567"</f>
        <v>00372567</v>
      </c>
    </row>
    <row r="7796" spans="1:2" x14ac:dyDescent="0.25">
      <c r="A7796" s="2">
        <v>7791</v>
      </c>
      <c r="B7796" s="11" t="str">
        <f>"00372631"</f>
        <v>00372631</v>
      </c>
    </row>
    <row r="7797" spans="1:2" x14ac:dyDescent="0.25">
      <c r="A7797" s="2">
        <v>7792</v>
      </c>
      <c r="B7797" s="11" t="str">
        <f>"00372659"</f>
        <v>00372659</v>
      </c>
    </row>
    <row r="7798" spans="1:2" x14ac:dyDescent="0.25">
      <c r="A7798" s="2">
        <v>7793</v>
      </c>
      <c r="B7798" s="11" t="str">
        <f>"00372671"</f>
        <v>00372671</v>
      </c>
    </row>
    <row r="7799" spans="1:2" x14ac:dyDescent="0.25">
      <c r="A7799" s="2">
        <v>7794</v>
      </c>
      <c r="B7799" s="11" t="str">
        <f>"00372695"</f>
        <v>00372695</v>
      </c>
    </row>
    <row r="7800" spans="1:2" x14ac:dyDescent="0.25">
      <c r="A7800" s="2">
        <v>7795</v>
      </c>
      <c r="B7800" s="11" t="str">
        <f>"00372773"</f>
        <v>00372773</v>
      </c>
    </row>
    <row r="7801" spans="1:2" x14ac:dyDescent="0.25">
      <c r="A7801" s="2">
        <v>7796</v>
      </c>
      <c r="B7801" s="11" t="str">
        <f>"00372906"</f>
        <v>00372906</v>
      </c>
    </row>
    <row r="7802" spans="1:2" x14ac:dyDescent="0.25">
      <c r="A7802" s="2">
        <v>7797</v>
      </c>
      <c r="B7802" s="11" t="str">
        <f>"00372966"</f>
        <v>00372966</v>
      </c>
    </row>
    <row r="7803" spans="1:2" x14ac:dyDescent="0.25">
      <c r="A7803" s="2">
        <v>7798</v>
      </c>
      <c r="B7803" s="11" t="str">
        <f>"00372971"</f>
        <v>00372971</v>
      </c>
    </row>
    <row r="7804" spans="1:2" x14ac:dyDescent="0.25">
      <c r="A7804" s="2">
        <v>7799</v>
      </c>
      <c r="B7804" s="11" t="str">
        <f>"00372981"</f>
        <v>00372981</v>
      </c>
    </row>
    <row r="7805" spans="1:2" x14ac:dyDescent="0.25">
      <c r="A7805" s="2">
        <v>7800</v>
      </c>
      <c r="B7805" s="11" t="str">
        <f>"00373139"</f>
        <v>00373139</v>
      </c>
    </row>
    <row r="7806" spans="1:2" x14ac:dyDescent="0.25">
      <c r="A7806" s="2">
        <v>7801</v>
      </c>
      <c r="B7806" s="11" t="str">
        <f>"00373162"</f>
        <v>00373162</v>
      </c>
    </row>
    <row r="7807" spans="1:2" x14ac:dyDescent="0.25">
      <c r="A7807" s="2">
        <v>7802</v>
      </c>
      <c r="B7807" s="11" t="str">
        <f>"00373402"</f>
        <v>00373402</v>
      </c>
    </row>
    <row r="7808" spans="1:2" x14ac:dyDescent="0.25">
      <c r="A7808" s="2">
        <v>7803</v>
      </c>
      <c r="B7808" s="11" t="str">
        <f>"00373468"</f>
        <v>00373468</v>
      </c>
    </row>
    <row r="7809" spans="1:2" x14ac:dyDescent="0.25">
      <c r="A7809" s="2">
        <v>7804</v>
      </c>
      <c r="B7809" s="11" t="str">
        <f>"00373517"</f>
        <v>00373517</v>
      </c>
    </row>
    <row r="7810" spans="1:2" x14ac:dyDescent="0.25">
      <c r="A7810" s="2">
        <v>7805</v>
      </c>
      <c r="B7810" s="11" t="str">
        <f>"00373602"</f>
        <v>00373602</v>
      </c>
    </row>
    <row r="7811" spans="1:2" x14ac:dyDescent="0.25">
      <c r="A7811" s="2">
        <v>7806</v>
      </c>
      <c r="B7811" s="11" t="str">
        <f>"00373615"</f>
        <v>00373615</v>
      </c>
    </row>
    <row r="7812" spans="1:2" x14ac:dyDescent="0.25">
      <c r="A7812" s="2">
        <v>7807</v>
      </c>
      <c r="B7812" s="11" t="str">
        <f>"00373729"</f>
        <v>00373729</v>
      </c>
    </row>
    <row r="7813" spans="1:2" x14ac:dyDescent="0.25">
      <c r="A7813" s="2">
        <v>7808</v>
      </c>
      <c r="B7813" s="11" t="str">
        <f>"00373972"</f>
        <v>00373972</v>
      </c>
    </row>
    <row r="7814" spans="1:2" x14ac:dyDescent="0.25">
      <c r="A7814" s="2">
        <v>7809</v>
      </c>
      <c r="B7814" s="11" t="str">
        <f>"00373975"</f>
        <v>00373975</v>
      </c>
    </row>
    <row r="7815" spans="1:2" x14ac:dyDescent="0.25">
      <c r="A7815" s="2">
        <v>7810</v>
      </c>
      <c r="B7815" s="11" t="str">
        <f>"00373999"</f>
        <v>00373999</v>
      </c>
    </row>
    <row r="7816" spans="1:2" x14ac:dyDescent="0.25">
      <c r="A7816" s="2">
        <v>7811</v>
      </c>
      <c r="B7816" s="11" t="str">
        <f>"00374008"</f>
        <v>00374008</v>
      </c>
    </row>
    <row r="7817" spans="1:2" x14ac:dyDescent="0.25">
      <c r="A7817" s="2">
        <v>7812</v>
      </c>
      <c r="B7817" s="11" t="str">
        <f>"00374042"</f>
        <v>00374042</v>
      </c>
    </row>
    <row r="7818" spans="1:2" x14ac:dyDescent="0.25">
      <c r="A7818" s="2">
        <v>7813</v>
      </c>
      <c r="B7818" s="11" t="str">
        <f>"00374043"</f>
        <v>00374043</v>
      </c>
    </row>
    <row r="7819" spans="1:2" x14ac:dyDescent="0.25">
      <c r="A7819" s="2">
        <v>7814</v>
      </c>
      <c r="B7819" s="11" t="str">
        <f>"00374048"</f>
        <v>00374048</v>
      </c>
    </row>
    <row r="7820" spans="1:2" x14ac:dyDescent="0.25">
      <c r="A7820" s="2">
        <v>7815</v>
      </c>
      <c r="B7820" s="11" t="str">
        <f>"00374054"</f>
        <v>00374054</v>
      </c>
    </row>
    <row r="7821" spans="1:2" x14ac:dyDescent="0.25">
      <c r="A7821" s="2">
        <v>7816</v>
      </c>
      <c r="B7821" s="11" t="str">
        <f>"00374167"</f>
        <v>00374167</v>
      </c>
    </row>
    <row r="7822" spans="1:2" x14ac:dyDescent="0.25">
      <c r="A7822" s="2">
        <v>7817</v>
      </c>
      <c r="B7822" s="11" t="str">
        <f>"00374206"</f>
        <v>00374206</v>
      </c>
    </row>
    <row r="7823" spans="1:2" x14ac:dyDescent="0.25">
      <c r="A7823" s="2">
        <v>7818</v>
      </c>
      <c r="B7823" s="11" t="str">
        <f>"00374630"</f>
        <v>00374630</v>
      </c>
    </row>
    <row r="7824" spans="1:2" x14ac:dyDescent="0.25">
      <c r="A7824" s="2">
        <v>7819</v>
      </c>
      <c r="B7824" s="11" t="str">
        <f>"00374647"</f>
        <v>00374647</v>
      </c>
    </row>
    <row r="7825" spans="1:2" x14ac:dyDescent="0.25">
      <c r="A7825" s="2">
        <v>7820</v>
      </c>
      <c r="B7825" s="11" t="str">
        <f>"00374669"</f>
        <v>00374669</v>
      </c>
    </row>
    <row r="7826" spans="1:2" x14ac:dyDescent="0.25">
      <c r="A7826" s="2">
        <v>7821</v>
      </c>
      <c r="B7826" s="11" t="str">
        <f>"00374672"</f>
        <v>00374672</v>
      </c>
    </row>
    <row r="7827" spans="1:2" x14ac:dyDescent="0.25">
      <c r="A7827" s="2">
        <v>7822</v>
      </c>
      <c r="B7827" s="11" t="str">
        <f>"00374915"</f>
        <v>00374915</v>
      </c>
    </row>
    <row r="7828" spans="1:2" x14ac:dyDescent="0.25">
      <c r="A7828" s="2">
        <v>7823</v>
      </c>
      <c r="B7828" s="11" t="str">
        <f>"00375010"</f>
        <v>00375010</v>
      </c>
    </row>
    <row r="7829" spans="1:2" x14ac:dyDescent="0.25">
      <c r="A7829" s="2">
        <v>7824</v>
      </c>
      <c r="B7829" s="11" t="str">
        <f>"00375059"</f>
        <v>00375059</v>
      </c>
    </row>
    <row r="7830" spans="1:2" x14ac:dyDescent="0.25">
      <c r="A7830" s="2">
        <v>7825</v>
      </c>
      <c r="B7830" s="11" t="str">
        <f>"00375081"</f>
        <v>00375081</v>
      </c>
    </row>
    <row r="7831" spans="1:2" x14ac:dyDescent="0.25">
      <c r="A7831" s="2">
        <v>7826</v>
      </c>
      <c r="B7831" s="11" t="str">
        <f>"00375094"</f>
        <v>00375094</v>
      </c>
    </row>
    <row r="7832" spans="1:2" x14ac:dyDescent="0.25">
      <c r="A7832" s="2">
        <v>7827</v>
      </c>
      <c r="B7832" s="11" t="str">
        <f>"00375162"</f>
        <v>00375162</v>
      </c>
    </row>
    <row r="7833" spans="1:2" x14ac:dyDescent="0.25">
      <c r="A7833" s="2">
        <v>7828</v>
      </c>
      <c r="B7833" s="11" t="str">
        <f>"00375520"</f>
        <v>00375520</v>
      </c>
    </row>
    <row r="7834" spans="1:2" x14ac:dyDescent="0.25">
      <c r="A7834" s="2">
        <v>7829</v>
      </c>
      <c r="B7834" s="11" t="str">
        <f>"00375539"</f>
        <v>00375539</v>
      </c>
    </row>
    <row r="7835" spans="1:2" x14ac:dyDescent="0.25">
      <c r="A7835" s="2">
        <v>7830</v>
      </c>
      <c r="B7835" s="11" t="str">
        <f>"00375605"</f>
        <v>00375605</v>
      </c>
    </row>
    <row r="7836" spans="1:2" x14ac:dyDescent="0.25">
      <c r="A7836" s="2">
        <v>7831</v>
      </c>
      <c r="B7836" s="11" t="str">
        <f>"00375653"</f>
        <v>00375653</v>
      </c>
    </row>
    <row r="7837" spans="1:2" x14ac:dyDescent="0.25">
      <c r="A7837" s="2">
        <v>7832</v>
      </c>
      <c r="B7837" s="11" t="str">
        <f>"00375697"</f>
        <v>00375697</v>
      </c>
    </row>
    <row r="7838" spans="1:2" x14ac:dyDescent="0.25">
      <c r="A7838" s="2">
        <v>7833</v>
      </c>
      <c r="B7838" s="11" t="str">
        <f>"00375726"</f>
        <v>00375726</v>
      </c>
    </row>
    <row r="7839" spans="1:2" x14ac:dyDescent="0.25">
      <c r="A7839" s="2">
        <v>7834</v>
      </c>
      <c r="B7839" s="11" t="str">
        <f>"00375919"</f>
        <v>00375919</v>
      </c>
    </row>
    <row r="7840" spans="1:2" x14ac:dyDescent="0.25">
      <c r="A7840" s="2">
        <v>7835</v>
      </c>
      <c r="B7840" s="11" t="str">
        <f>"00375928"</f>
        <v>00375928</v>
      </c>
    </row>
    <row r="7841" spans="1:2" x14ac:dyDescent="0.25">
      <c r="A7841" s="2">
        <v>7836</v>
      </c>
      <c r="B7841" s="11" t="str">
        <f>"00376098"</f>
        <v>00376098</v>
      </c>
    </row>
    <row r="7842" spans="1:2" x14ac:dyDescent="0.25">
      <c r="A7842" s="2">
        <v>7837</v>
      </c>
      <c r="B7842" s="11" t="str">
        <f>"00376128"</f>
        <v>00376128</v>
      </c>
    </row>
    <row r="7843" spans="1:2" x14ac:dyDescent="0.25">
      <c r="A7843" s="2">
        <v>7838</v>
      </c>
      <c r="B7843" s="11" t="str">
        <f>"00376142"</f>
        <v>00376142</v>
      </c>
    </row>
    <row r="7844" spans="1:2" x14ac:dyDescent="0.25">
      <c r="A7844" s="2">
        <v>7839</v>
      </c>
      <c r="B7844" s="11" t="str">
        <f>"00376237"</f>
        <v>00376237</v>
      </c>
    </row>
    <row r="7845" spans="1:2" x14ac:dyDescent="0.25">
      <c r="A7845" s="2">
        <v>7840</v>
      </c>
      <c r="B7845" s="11" t="str">
        <f>"00376316"</f>
        <v>00376316</v>
      </c>
    </row>
    <row r="7846" spans="1:2" x14ac:dyDescent="0.25">
      <c r="A7846" s="2">
        <v>7841</v>
      </c>
      <c r="B7846" s="11" t="str">
        <f>"00376335"</f>
        <v>00376335</v>
      </c>
    </row>
    <row r="7847" spans="1:2" x14ac:dyDescent="0.25">
      <c r="A7847" s="2">
        <v>7842</v>
      </c>
      <c r="B7847" s="11" t="str">
        <f>"00376421"</f>
        <v>00376421</v>
      </c>
    </row>
    <row r="7848" spans="1:2" x14ac:dyDescent="0.25">
      <c r="A7848" s="2">
        <v>7843</v>
      </c>
      <c r="B7848" s="11" t="str">
        <f>"00376491"</f>
        <v>00376491</v>
      </c>
    </row>
    <row r="7849" spans="1:2" x14ac:dyDescent="0.25">
      <c r="A7849" s="2">
        <v>7844</v>
      </c>
      <c r="B7849" s="11" t="str">
        <f>"00376540"</f>
        <v>00376540</v>
      </c>
    </row>
    <row r="7850" spans="1:2" x14ac:dyDescent="0.25">
      <c r="A7850" s="2">
        <v>7845</v>
      </c>
      <c r="B7850" s="11" t="str">
        <f>"00376550"</f>
        <v>00376550</v>
      </c>
    </row>
    <row r="7851" spans="1:2" x14ac:dyDescent="0.25">
      <c r="A7851" s="2">
        <v>7846</v>
      </c>
      <c r="B7851" s="11" t="str">
        <f>"00376569"</f>
        <v>00376569</v>
      </c>
    </row>
    <row r="7852" spans="1:2" x14ac:dyDescent="0.25">
      <c r="A7852" s="2">
        <v>7847</v>
      </c>
      <c r="B7852" s="11" t="str">
        <f>"00376750"</f>
        <v>00376750</v>
      </c>
    </row>
    <row r="7853" spans="1:2" x14ac:dyDescent="0.25">
      <c r="A7853" s="2">
        <v>7848</v>
      </c>
      <c r="B7853" s="11" t="str">
        <f>"00376865"</f>
        <v>00376865</v>
      </c>
    </row>
    <row r="7854" spans="1:2" x14ac:dyDescent="0.25">
      <c r="A7854" s="2">
        <v>7849</v>
      </c>
      <c r="B7854" s="11" t="str">
        <f>"00376956"</f>
        <v>00376956</v>
      </c>
    </row>
    <row r="7855" spans="1:2" x14ac:dyDescent="0.25">
      <c r="A7855" s="2">
        <v>7850</v>
      </c>
      <c r="B7855" s="11" t="str">
        <f>"00376984"</f>
        <v>00376984</v>
      </c>
    </row>
    <row r="7856" spans="1:2" x14ac:dyDescent="0.25">
      <c r="A7856" s="2">
        <v>7851</v>
      </c>
      <c r="B7856" s="11" t="str">
        <f>"00377116"</f>
        <v>00377116</v>
      </c>
    </row>
    <row r="7857" spans="1:2" x14ac:dyDescent="0.25">
      <c r="A7857" s="2">
        <v>7852</v>
      </c>
      <c r="B7857" s="11" t="str">
        <f>"00377270"</f>
        <v>00377270</v>
      </c>
    </row>
    <row r="7858" spans="1:2" x14ac:dyDescent="0.25">
      <c r="A7858" s="2">
        <v>7853</v>
      </c>
      <c r="B7858" s="11" t="str">
        <f>"00377284"</f>
        <v>00377284</v>
      </c>
    </row>
    <row r="7859" spans="1:2" x14ac:dyDescent="0.25">
      <c r="A7859" s="2">
        <v>7854</v>
      </c>
      <c r="B7859" s="11" t="str">
        <f>"00377352"</f>
        <v>00377352</v>
      </c>
    </row>
    <row r="7860" spans="1:2" x14ac:dyDescent="0.25">
      <c r="A7860" s="2">
        <v>7855</v>
      </c>
      <c r="B7860" s="11" t="str">
        <f>"00377420"</f>
        <v>00377420</v>
      </c>
    </row>
    <row r="7861" spans="1:2" x14ac:dyDescent="0.25">
      <c r="A7861" s="2">
        <v>7856</v>
      </c>
      <c r="B7861" s="11" t="str">
        <f>"00377466"</f>
        <v>00377466</v>
      </c>
    </row>
    <row r="7862" spans="1:2" x14ac:dyDescent="0.25">
      <c r="A7862" s="2">
        <v>7857</v>
      </c>
      <c r="B7862" s="11" t="str">
        <f>"00377517"</f>
        <v>00377517</v>
      </c>
    </row>
    <row r="7863" spans="1:2" x14ac:dyDescent="0.25">
      <c r="A7863" s="2">
        <v>7858</v>
      </c>
      <c r="B7863" s="11" t="str">
        <f>"00377526"</f>
        <v>00377526</v>
      </c>
    </row>
    <row r="7864" spans="1:2" x14ac:dyDescent="0.25">
      <c r="A7864" s="2">
        <v>7859</v>
      </c>
      <c r="B7864" s="11" t="str">
        <f>"00377585"</f>
        <v>00377585</v>
      </c>
    </row>
    <row r="7865" spans="1:2" x14ac:dyDescent="0.25">
      <c r="A7865" s="2">
        <v>7860</v>
      </c>
      <c r="B7865" s="11" t="str">
        <f>"00377588"</f>
        <v>00377588</v>
      </c>
    </row>
    <row r="7866" spans="1:2" x14ac:dyDescent="0.25">
      <c r="A7866" s="2">
        <v>7861</v>
      </c>
      <c r="B7866" s="11" t="str">
        <f>"00377691"</f>
        <v>00377691</v>
      </c>
    </row>
    <row r="7867" spans="1:2" x14ac:dyDescent="0.25">
      <c r="A7867" s="2">
        <v>7862</v>
      </c>
      <c r="B7867" s="11" t="str">
        <f>"00377877"</f>
        <v>00377877</v>
      </c>
    </row>
    <row r="7868" spans="1:2" x14ac:dyDescent="0.25">
      <c r="A7868" s="2">
        <v>7863</v>
      </c>
      <c r="B7868" s="11" t="str">
        <f>"00377913"</f>
        <v>00377913</v>
      </c>
    </row>
    <row r="7869" spans="1:2" x14ac:dyDescent="0.25">
      <c r="A7869" s="2">
        <v>7864</v>
      </c>
      <c r="B7869" s="11" t="str">
        <f>"00378132"</f>
        <v>00378132</v>
      </c>
    </row>
    <row r="7870" spans="1:2" x14ac:dyDescent="0.25">
      <c r="A7870" s="2">
        <v>7865</v>
      </c>
      <c r="B7870" s="11" t="str">
        <f>"00378217"</f>
        <v>00378217</v>
      </c>
    </row>
    <row r="7871" spans="1:2" x14ac:dyDescent="0.25">
      <c r="A7871" s="2">
        <v>7866</v>
      </c>
      <c r="B7871" s="11" t="str">
        <f>"00378223"</f>
        <v>00378223</v>
      </c>
    </row>
    <row r="7872" spans="1:2" x14ac:dyDescent="0.25">
      <c r="A7872" s="2">
        <v>7867</v>
      </c>
      <c r="B7872" s="11" t="str">
        <f>"00378261"</f>
        <v>00378261</v>
      </c>
    </row>
    <row r="7873" spans="1:2" x14ac:dyDescent="0.25">
      <c r="A7873" s="2">
        <v>7868</v>
      </c>
      <c r="B7873" s="11" t="str">
        <f>"00378351"</f>
        <v>00378351</v>
      </c>
    </row>
    <row r="7874" spans="1:2" x14ac:dyDescent="0.25">
      <c r="A7874" s="2">
        <v>7869</v>
      </c>
      <c r="B7874" s="11" t="str">
        <f>"00378614"</f>
        <v>00378614</v>
      </c>
    </row>
    <row r="7875" spans="1:2" x14ac:dyDescent="0.25">
      <c r="A7875" s="2">
        <v>7870</v>
      </c>
      <c r="B7875" s="11" t="str">
        <f>"00378628"</f>
        <v>00378628</v>
      </c>
    </row>
    <row r="7876" spans="1:2" x14ac:dyDescent="0.25">
      <c r="A7876" s="2">
        <v>7871</v>
      </c>
      <c r="B7876" s="11" t="str">
        <f>"00378675"</f>
        <v>00378675</v>
      </c>
    </row>
    <row r="7877" spans="1:2" x14ac:dyDescent="0.25">
      <c r="A7877" s="2">
        <v>7872</v>
      </c>
      <c r="B7877" s="11" t="str">
        <f>"00378745"</f>
        <v>00378745</v>
      </c>
    </row>
    <row r="7878" spans="1:2" x14ac:dyDescent="0.25">
      <c r="A7878" s="2">
        <v>7873</v>
      </c>
      <c r="B7878" s="11" t="str">
        <f>"00378748"</f>
        <v>00378748</v>
      </c>
    </row>
    <row r="7879" spans="1:2" x14ac:dyDescent="0.25">
      <c r="A7879" s="2">
        <v>7874</v>
      </c>
      <c r="B7879" s="11" t="str">
        <f>"00378909"</f>
        <v>00378909</v>
      </c>
    </row>
    <row r="7880" spans="1:2" x14ac:dyDescent="0.25">
      <c r="A7880" s="2">
        <v>7875</v>
      </c>
      <c r="B7880" s="11" t="str">
        <f>"00378965"</f>
        <v>00378965</v>
      </c>
    </row>
    <row r="7881" spans="1:2" x14ac:dyDescent="0.25">
      <c r="A7881" s="2">
        <v>7876</v>
      </c>
      <c r="B7881" s="11" t="str">
        <f>"00378970"</f>
        <v>00378970</v>
      </c>
    </row>
    <row r="7882" spans="1:2" x14ac:dyDescent="0.25">
      <c r="A7882" s="2">
        <v>7877</v>
      </c>
      <c r="B7882" s="11" t="str">
        <f>"00378998"</f>
        <v>00378998</v>
      </c>
    </row>
    <row r="7883" spans="1:2" x14ac:dyDescent="0.25">
      <c r="A7883" s="2">
        <v>7878</v>
      </c>
      <c r="B7883" s="11" t="str">
        <f>"00379035"</f>
        <v>00379035</v>
      </c>
    </row>
    <row r="7884" spans="1:2" x14ac:dyDescent="0.25">
      <c r="A7884" s="2">
        <v>7879</v>
      </c>
      <c r="B7884" s="11" t="str">
        <f>"00379040"</f>
        <v>00379040</v>
      </c>
    </row>
    <row r="7885" spans="1:2" x14ac:dyDescent="0.25">
      <c r="A7885" s="2">
        <v>7880</v>
      </c>
      <c r="B7885" s="11" t="str">
        <f>"00379058"</f>
        <v>00379058</v>
      </c>
    </row>
    <row r="7886" spans="1:2" x14ac:dyDescent="0.25">
      <c r="A7886" s="2">
        <v>7881</v>
      </c>
      <c r="B7886" s="11" t="str">
        <f>"00379122"</f>
        <v>00379122</v>
      </c>
    </row>
    <row r="7887" spans="1:2" x14ac:dyDescent="0.25">
      <c r="A7887" s="2">
        <v>7882</v>
      </c>
      <c r="B7887" s="11" t="str">
        <f>"00379127"</f>
        <v>00379127</v>
      </c>
    </row>
    <row r="7888" spans="1:2" x14ac:dyDescent="0.25">
      <c r="A7888" s="2">
        <v>7883</v>
      </c>
      <c r="B7888" s="11" t="str">
        <f>"00379172"</f>
        <v>00379172</v>
      </c>
    </row>
    <row r="7889" spans="1:2" x14ac:dyDescent="0.25">
      <c r="A7889" s="2">
        <v>7884</v>
      </c>
      <c r="B7889" s="11" t="str">
        <f>"00379296"</f>
        <v>00379296</v>
      </c>
    </row>
    <row r="7890" spans="1:2" x14ac:dyDescent="0.25">
      <c r="A7890" s="2">
        <v>7885</v>
      </c>
      <c r="B7890" s="11" t="str">
        <f>"00379307"</f>
        <v>00379307</v>
      </c>
    </row>
    <row r="7891" spans="1:2" x14ac:dyDescent="0.25">
      <c r="A7891" s="2">
        <v>7886</v>
      </c>
      <c r="B7891" s="11" t="str">
        <f>"00379359"</f>
        <v>00379359</v>
      </c>
    </row>
    <row r="7892" spans="1:2" x14ac:dyDescent="0.25">
      <c r="A7892" s="2">
        <v>7887</v>
      </c>
      <c r="B7892" s="11" t="str">
        <f>"00379426"</f>
        <v>00379426</v>
      </c>
    </row>
    <row r="7893" spans="1:2" x14ac:dyDescent="0.25">
      <c r="A7893" s="2">
        <v>7888</v>
      </c>
      <c r="B7893" s="11" t="str">
        <f>"00379532"</f>
        <v>00379532</v>
      </c>
    </row>
    <row r="7894" spans="1:2" x14ac:dyDescent="0.25">
      <c r="A7894" s="2">
        <v>7889</v>
      </c>
      <c r="B7894" s="11" t="str">
        <f>"00379588"</f>
        <v>00379588</v>
      </c>
    </row>
    <row r="7895" spans="1:2" x14ac:dyDescent="0.25">
      <c r="A7895" s="2">
        <v>7890</v>
      </c>
      <c r="B7895" s="11" t="str">
        <f>"00379632"</f>
        <v>00379632</v>
      </c>
    </row>
    <row r="7896" spans="1:2" x14ac:dyDescent="0.25">
      <c r="A7896" s="2">
        <v>7891</v>
      </c>
      <c r="B7896" s="11" t="str">
        <f>"00379740"</f>
        <v>00379740</v>
      </c>
    </row>
    <row r="7897" spans="1:2" x14ac:dyDescent="0.25">
      <c r="A7897" s="2">
        <v>7892</v>
      </c>
      <c r="B7897" s="11" t="str">
        <f>"00379769"</f>
        <v>00379769</v>
      </c>
    </row>
    <row r="7898" spans="1:2" x14ac:dyDescent="0.25">
      <c r="A7898" s="2">
        <v>7893</v>
      </c>
      <c r="B7898" s="11" t="str">
        <f>"00379935"</f>
        <v>00379935</v>
      </c>
    </row>
    <row r="7899" spans="1:2" x14ac:dyDescent="0.25">
      <c r="A7899" s="2">
        <v>7894</v>
      </c>
      <c r="B7899" s="11" t="str">
        <f>"00380009"</f>
        <v>00380009</v>
      </c>
    </row>
    <row r="7900" spans="1:2" x14ac:dyDescent="0.25">
      <c r="A7900" s="2">
        <v>7895</v>
      </c>
      <c r="B7900" s="11" t="str">
        <f>"00380070"</f>
        <v>00380070</v>
      </c>
    </row>
    <row r="7901" spans="1:2" x14ac:dyDescent="0.25">
      <c r="A7901" s="2">
        <v>7896</v>
      </c>
      <c r="B7901" s="11" t="str">
        <f>"00380082"</f>
        <v>00380082</v>
      </c>
    </row>
    <row r="7902" spans="1:2" x14ac:dyDescent="0.25">
      <c r="A7902" s="2">
        <v>7897</v>
      </c>
      <c r="B7902" s="11" t="str">
        <f>"00380104"</f>
        <v>00380104</v>
      </c>
    </row>
    <row r="7903" spans="1:2" x14ac:dyDescent="0.25">
      <c r="A7903" s="2">
        <v>7898</v>
      </c>
      <c r="B7903" s="11" t="str">
        <f>"00380269"</f>
        <v>00380269</v>
      </c>
    </row>
    <row r="7904" spans="1:2" x14ac:dyDescent="0.25">
      <c r="A7904" s="2">
        <v>7899</v>
      </c>
      <c r="B7904" s="11" t="str">
        <f>"00380301"</f>
        <v>00380301</v>
      </c>
    </row>
    <row r="7905" spans="1:2" x14ac:dyDescent="0.25">
      <c r="A7905" s="2">
        <v>7900</v>
      </c>
      <c r="B7905" s="11" t="str">
        <f>"00380492"</f>
        <v>00380492</v>
      </c>
    </row>
    <row r="7906" spans="1:2" x14ac:dyDescent="0.25">
      <c r="A7906" s="2">
        <v>7901</v>
      </c>
      <c r="B7906" s="11" t="str">
        <f>"00380586"</f>
        <v>00380586</v>
      </c>
    </row>
    <row r="7907" spans="1:2" x14ac:dyDescent="0.25">
      <c r="A7907" s="2">
        <v>7902</v>
      </c>
      <c r="B7907" s="11" t="str">
        <f>"00380589"</f>
        <v>00380589</v>
      </c>
    </row>
    <row r="7908" spans="1:2" x14ac:dyDescent="0.25">
      <c r="A7908" s="2">
        <v>7903</v>
      </c>
      <c r="B7908" s="11" t="str">
        <f>"00380610"</f>
        <v>00380610</v>
      </c>
    </row>
    <row r="7909" spans="1:2" x14ac:dyDescent="0.25">
      <c r="A7909" s="2">
        <v>7904</v>
      </c>
      <c r="B7909" s="11" t="str">
        <f>"00380625"</f>
        <v>00380625</v>
      </c>
    </row>
    <row r="7910" spans="1:2" x14ac:dyDescent="0.25">
      <c r="A7910" s="2">
        <v>7905</v>
      </c>
      <c r="B7910" s="11" t="str">
        <f>"00380675"</f>
        <v>00380675</v>
      </c>
    </row>
    <row r="7911" spans="1:2" x14ac:dyDescent="0.25">
      <c r="A7911" s="2">
        <v>7906</v>
      </c>
      <c r="B7911" s="11" t="str">
        <f>"00380704"</f>
        <v>00380704</v>
      </c>
    </row>
    <row r="7912" spans="1:2" x14ac:dyDescent="0.25">
      <c r="A7912" s="2">
        <v>7907</v>
      </c>
      <c r="B7912" s="11" t="str">
        <f>"00380711"</f>
        <v>00380711</v>
      </c>
    </row>
    <row r="7913" spans="1:2" x14ac:dyDescent="0.25">
      <c r="A7913" s="2">
        <v>7908</v>
      </c>
      <c r="B7913" s="11" t="str">
        <f>"00380742"</f>
        <v>00380742</v>
      </c>
    </row>
    <row r="7914" spans="1:2" x14ac:dyDescent="0.25">
      <c r="A7914" s="2">
        <v>7909</v>
      </c>
      <c r="B7914" s="11" t="str">
        <f>"00380860"</f>
        <v>00380860</v>
      </c>
    </row>
    <row r="7915" spans="1:2" x14ac:dyDescent="0.25">
      <c r="A7915" s="2">
        <v>7910</v>
      </c>
      <c r="B7915" s="11" t="str">
        <f>"00380877"</f>
        <v>00380877</v>
      </c>
    </row>
    <row r="7916" spans="1:2" x14ac:dyDescent="0.25">
      <c r="A7916" s="2">
        <v>7911</v>
      </c>
      <c r="B7916" s="11" t="str">
        <f>"00380887"</f>
        <v>00380887</v>
      </c>
    </row>
    <row r="7917" spans="1:2" x14ac:dyDescent="0.25">
      <c r="A7917" s="2">
        <v>7912</v>
      </c>
      <c r="B7917" s="11" t="str">
        <f>"00380979"</f>
        <v>00380979</v>
      </c>
    </row>
    <row r="7918" spans="1:2" x14ac:dyDescent="0.25">
      <c r="A7918" s="2">
        <v>7913</v>
      </c>
      <c r="B7918" s="11" t="str">
        <f>"00381076"</f>
        <v>00381076</v>
      </c>
    </row>
    <row r="7919" spans="1:2" x14ac:dyDescent="0.25">
      <c r="A7919" s="2">
        <v>7914</v>
      </c>
      <c r="B7919" s="11" t="str">
        <f>"00381260"</f>
        <v>00381260</v>
      </c>
    </row>
    <row r="7920" spans="1:2" x14ac:dyDescent="0.25">
      <c r="A7920" s="2">
        <v>7915</v>
      </c>
      <c r="B7920" s="11" t="str">
        <f>"00381298"</f>
        <v>00381298</v>
      </c>
    </row>
    <row r="7921" spans="1:2" x14ac:dyDescent="0.25">
      <c r="A7921" s="2">
        <v>7916</v>
      </c>
      <c r="B7921" s="11" t="str">
        <f>"00381443"</f>
        <v>00381443</v>
      </c>
    </row>
    <row r="7922" spans="1:2" x14ac:dyDescent="0.25">
      <c r="A7922" s="2">
        <v>7917</v>
      </c>
      <c r="B7922" s="11" t="str">
        <f>"00381466"</f>
        <v>00381466</v>
      </c>
    </row>
    <row r="7923" spans="1:2" x14ac:dyDescent="0.25">
      <c r="A7923" s="2">
        <v>7918</v>
      </c>
      <c r="B7923" s="11" t="str">
        <f>"00381594"</f>
        <v>00381594</v>
      </c>
    </row>
    <row r="7924" spans="1:2" x14ac:dyDescent="0.25">
      <c r="A7924" s="2">
        <v>7919</v>
      </c>
      <c r="B7924" s="11" t="str">
        <f>"00381699"</f>
        <v>00381699</v>
      </c>
    </row>
    <row r="7925" spans="1:2" x14ac:dyDescent="0.25">
      <c r="A7925" s="2">
        <v>7920</v>
      </c>
      <c r="B7925" s="11" t="str">
        <f>"00381707"</f>
        <v>00381707</v>
      </c>
    </row>
    <row r="7926" spans="1:2" x14ac:dyDescent="0.25">
      <c r="A7926" s="2">
        <v>7921</v>
      </c>
      <c r="B7926" s="11" t="str">
        <f>"00381768"</f>
        <v>00381768</v>
      </c>
    </row>
    <row r="7927" spans="1:2" x14ac:dyDescent="0.25">
      <c r="A7927" s="2">
        <v>7922</v>
      </c>
      <c r="B7927" s="11" t="str">
        <f>"00381811"</f>
        <v>00381811</v>
      </c>
    </row>
    <row r="7928" spans="1:2" x14ac:dyDescent="0.25">
      <c r="A7928" s="2">
        <v>7923</v>
      </c>
      <c r="B7928" s="11" t="str">
        <f>"00381856"</f>
        <v>00381856</v>
      </c>
    </row>
    <row r="7929" spans="1:2" x14ac:dyDescent="0.25">
      <c r="A7929" s="2">
        <v>7924</v>
      </c>
      <c r="B7929" s="11" t="str">
        <f>"00381858"</f>
        <v>00381858</v>
      </c>
    </row>
    <row r="7930" spans="1:2" x14ac:dyDescent="0.25">
      <c r="A7930" s="2">
        <v>7925</v>
      </c>
      <c r="B7930" s="11" t="str">
        <f>"00381874"</f>
        <v>00381874</v>
      </c>
    </row>
    <row r="7931" spans="1:2" x14ac:dyDescent="0.25">
      <c r="A7931" s="2">
        <v>7926</v>
      </c>
      <c r="B7931" s="11" t="str">
        <f>"00381907"</f>
        <v>00381907</v>
      </c>
    </row>
    <row r="7932" spans="1:2" x14ac:dyDescent="0.25">
      <c r="A7932" s="2">
        <v>7927</v>
      </c>
      <c r="B7932" s="11" t="str">
        <f>"00381980"</f>
        <v>00381980</v>
      </c>
    </row>
    <row r="7933" spans="1:2" x14ac:dyDescent="0.25">
      <c r="A7933" s="2">
        <v>7928</v>
      </c>
      <c r="B7933" s="11" t="str">
        <f>"00382079"</f>
        <v>00382079</v>
      </c>
    </row>
    <row r="7934" spans="1:2" x14ac:dyDescent="0.25">
      <c r="A7934" s="2">
        <v>7929</v>
      </c>
      <c r="B7934" s="11" t="str">
        <f>"00382126"</f>
        <v>00382126</v>
      </c>
    </row>
    <row r="7935" spans="1:2" x14ac:dyDescent="0.25">
      <c r="A7935" s="2">
        <v>7930</v>
      </c>
      <c r="B7935" s="11" t="str">
        <f>"00382154"</f>
        <v>00382154</v>
      </c>
    </row>
    <row r="7936" spans="1:2" x14ac:dyDescent="0.25">
      <c r="A7936" s="2">
        <v>7931</v>
      </c>
      <c r="B7936" s="11" t="str">
        <f>"00382204"</f>
        <v>00382204</v>
      </c>
    </row>
    <row r="7937" spans="1:2" x14ac:dyDescent="0.25">
      <c r="A7937" s="2">
        <v>7932</v>
      </c>
      <c r="B7937" s="11" t="str">
        <f>"00382235"</f>
        <v>00382235</v>
      </c>
    </row>
    <row r="7938" spans="1:2" x14ac:dyDescent="0.25">
      <c r="A7938" s="2">
        <v>7933</v>
      </c>
      <c r="B7938" s="11" t="str">
        <f>"00382238"</f>
        <v>00382238</v>
      </c>
    </row>
    <row r="7939" spans="1:2" x14ac:dyDescent="0.25">
      <c r="A7939" s="2">
        <v>7934</v>
      </c>
      <c r="B7939" s="11" t="str">
        <f>"00382373"</f>
        <v>00382373</v>
      </c>
    </row>
    <row r="7940" spans="1:2" x14ac:dyDescent="0.25">
      <c r="A7940" s="2">
        <v>7935</v>
      </c>
      <c r="B7940" s="11" t="str">
        <f>"00382403"</f>
        <v>00382403</v>
      </c>
    </row>
    <row r="7941" spans="1:2" x14ac:dyDescent="0.25">
      <c r="A7941" s="2">
        <v>7936</v>
      </c>
      <c r="B7941" s="11" t="str">
        <f>"00382491"</f>
        <v>00382491</v>
      </c>
    </row>
    <row r="7942" spans="1:2" x14ac:dyDescent="0.25">
      <c r="A7942" s="2">
        <v>7937</v>
      </c>
      <c r="B7942" s="11" t="str">
        <f>"00382507"</f>
        <v>00382507</v>
      </c>
    </row>
    <row r="7943" spans="1:2" x14ac:dyDescent="0.25">
      <c r="A7943" s="2">
        <v>7938</v>
      </c>
      <c r="B7943" s="11" t="str">
        <f>"00382537"</f>
        <v>00382537</v>
      </c>
    </row>
    <row r="7944" spans="1:2" x14ac:dyDescent="0.25">
      <c r="A7944" s="2">
        <v>7939</v>
      </c>
      <c r="B7944" s="11" t="str">
        <f>"00382730"</f>
        <v>00382730</v>
      </c>
    </row>
    <row r="7945" spans="1:2" x14ac:dyDescent="0.25">
      <c r="A7945" s="2">
        <v>7940</v>
      </c>
      <c r="B7945" s="11" t="str">
        <f>"00382761"</f>
        <v>00382761</v>
      </c>
    </row>
    <row r="7946" spans="1:2" x14ac:dyDescent="0.25">
      <c r="A7946" s="2">
        <v>7941</v>
      </c>
      <c r="B7946" s="11" t="str">
        <f>"00382978"</f>
        <v>00382978</v>
      </c>
    </row>
    <row r="7947" spans="1:2" x14ac:dyDescent="0.25">
      <c r="A7947" s="2">
        <v>7942</v>
      </c>
      <c r="B7947" s="11" t="str">
        <f>"00383065"</f>
        <v>00383065</v>
      </c>
    </row>
    <row r="7948" spans="1:2" x14ac:dyDescent="0.25">
      <c r="A7948" s="2">
        <v>7943</v>
      </c>
      <c r="B7948" s="11" t="str">
        <f>"00383100"</f>
        <v>00383100</v>
      </c>
    </row>
    <row r="7949" spans="1:2" x14ac:dyDescent="0.25">
      <c r="A7949" s="2">
        <v>7944</v>
      </c>
      <c r="B7949" s="11" t="str">
        <f>"00383196"</f>
        <v>00383196</v>
      </c>
    </row>
    <row r="7950" spans="1:2" x14ac:dyDescent="0.25">
      <c r="A7950" s="2">
        <v>7945</v>
      </c>
      <c r="B7950" s="11" t="str">
        <f>"00383326"</f>
        <v>00383326</v>
      </c>
    </row>
    <row r="7951" spans="1:2" x14ac:dyDescent="0.25">
      <c r="A7951" s="2">
        <v>7946</v>
      </c>
      <c r="B7951" s="11" t="str">
        <f>"00383362"</f>
        <v>00383362</v>
      </c>
    </row>
    <row r="7952" spans="1:2" x14ac:dyDescent="0.25">
      <c r="A7952" s="2">
        <v>7947</v>
      </c>
      <c r="B7952" s="11" t="str">
        <f>"00383542"</f>
        <v>00383542</v>
      </c>
    </row>
    <row r="7953" spans="1:2" x14ac:dyDescent="0.25">
      <c r="A7953" s="2">
        <v>7948</v>
      </c>
      <c r="B7953" s="11" t="str">
        <f>"00383643"</f>
        <v>00383643</v>
      </c>
    </row>
    <row r="7954" spans="1:2" x14ac:dyDescent="0.25">
      <c r="A7954" s="2">
        <v>7949</v>
      </c>
      <c r="B7954" s="11" t="str">
        <f>"00383664"</f>
        <v>00383664</v>
      </c>
    </row>
    <row r="7955" spans="1:2" x14ac:dyDescent="0.25">
      <c r="A7955" s="2">
        <v>7950</v>
      </c>
      <c r="B7955" s="11" t="str">
        <f>"00383676"</f>
        <v>00383676</v>
      </c>
    </row>
    <row r="7956" spans="1:2" x14ac:dyDescent="0.25">
      <c r="A7956" s="2">
        <v>7951</v>
      </c>
      <c r="B7956" s="11" t="str">
        <f>"00383694"</f>
        <v>00383694</v>
      </c>
    </row>
    <row r="7957" spans="1:2" x14ac:dyDescent="0.25">
      <c r="A7957" s="2">
        <v>7952</v>
      </c>
      <c r="B7957" s="11" t="str">
        <f>"00383743"</f>
        <v>00383743</v>
      </c>
    </row>
    <row r="7958" spans="1:2" x14ac:dyDescent="0.25">
      <c r="A7958" s="2">
        <v>7953</v>
      </c>
      <c r="B7958" s="11" t="str">
        <f>"00383760"</f>
        <v>00383760</v>
      </c>
    </row>
    <row r="7959" spans="1:2" x14ac:dyDescent="0.25">
      <c r="A7959" s="2">
        <v>7954</v>
      </c>
      <c r="B7959" s="11" t="str">
        <f>"00383768"</f>
        <v>00383768</v>
      </c>
    </row>
    <row r="7960" spans="1:2" x14ac:dyDescent="0.25">
      <c r="A7960" s="2">
        <v>7955</v>
      </c>
      <c r="B7960" s="11" t="str">
        <f>"00383923"</f>
        <v>00383923</v>
      </c>
    </row>
    <row r="7961" spans="1:2" x14ac:dyDescent="0.25">
      <c r="A7961" s="2">
        <v>7956</v>
      </c>
      <c r="B7961" s="11" t="str">
        <f>"00383994"</f>
        <v>00383994</v>
      </c>
    </row>
    <row r="7962" spans="1:2" x14ac:dyDescent="0.25">
      <c r="A7962" s="2">
        <v>7957</v>
      </c>
      <c r="B7962" s="11" t="str">
        <f>"00384100"</f>
        <v>00384100</v>
      </c>
    </row>
    <row r="7963" spans="1:2" x14ac:dyDescent="0.25">
      <c r="A7963" s="2">
        <v>7958</v>
      </c>
      <c r="B7963" s="11" t="str">
        <f>"00384183"</f>
        <v>00384183</v>
      </c>
    </row>
    <row r="7964" spans="1:2" x14ac:dyDescent="0.25">
      <c r="A7964" s="2">
        <v>7959</v>
      </c>
      <c r="B7964" s="11" t="str">
        <f>"00384312"</f>
        <v>00384312</v>
      </c>
    </row>
    <row r="7965" spans="1:2" x14ac:dyDescent="0.25">
      <c r="A7965" s="2">
        <v>7960</v>
      </c>
      <c r="B7965" s="11" t="str">
        <f>"00384560"</f>
        <v>00384560</v>
      </c>
    </row>
    <row r="7966" spans="1:2" x14ac:dyDescent="0.25">
      <c r="A7966" s="2">
        <v>7961</v>
      </c>
      <c r="B7966" s="11" t="str">
        <f>"00384563"</f>
        <v>00384563</v>
      </c>
    </row>
    <row r="7967" spans="1:2" x14ac:dyDescent="0.25">
      <c r="A7967" s="2">
        <v>7962</v>
      </c>
      <c r="B7967" s="11" t="str">
        <f>"00384908"</f>
        <v>00384908</v>
      </c>
    </row>
    <row r="7968" spans="1:2" x14ac:dyDescent="0.25">
      <c r="A7968" s="2">
        <v>7963</v>
      </c>
      <c r="B7968" s="11" t="str">
        <f>"00385019"</f>
        <v>00385019</v>
      </c>
    </row>
    <row r="7969" spans="1:2" x14ac:dyDescent="0.25">
      <c r="A7969" s="2">
        <v>7964</v>
      </c>
      <c r="B7969" s="11" t="str">
        <f>"00385037"</f>
        <v>00385037</v>
      </c>
    </row>
    <row r="7970" spans="1:2" x14ac:dyDescent="0.25">
      <c r="A7970" s="2">
        <v>7965</v>
      </c>
      <c r="B7970" s="11" t="str">
        <f>"00385101"</f>
        <v>00385101</v>
      </c>
    </row>
    <row r="7971" spans="1:2" x14ac:dyDescent="0.25">
      <c r="A7971" s="2">
        <v>7966</v>
      </c>
      <c r="B7971" s="11" t="str">
        <f>"00385122"</f>
        <v>00385122</v>
      </c>
    </row>
    <row r="7972" spans="1:2" x14ac:dyDescent="0.25">
      <c r="A7972" s="2">
        <v>7967</v>
      </c>
      <c r="B7972" s="11" t="str">
        <f>"00385152"</f>
        <v>00385152</v>
      </c>
    </row>
    <row r="7973" spans="1:2" x14ac:dyDescent="0.25">
      <c r="A7973" s="2">
        <v>7968</v>
      </c>
      <c r="B7973" s="11" t="str">
        <f>"00385432"</f>
        <v>00385432</v>
      </c>
    </row>
    <row r="7974" spans="1:2" x14ac:dyDescent="0.25">
      <c r="A7974" s="2">
        <v>7969</v>
      </c>
      <c r="B7974" s="11" t="str">
        <f>"00385437"</f>
        <v>00385437</v>
      </c>
    </row>
    <row r="7975" spans="1:2" x14ac:dyDescent="0.25">
      <c r="A7975" s="2">
        <v>7970</v>
      </c>
      <c r="B7975" s="11" t="str">
        <f>"00385478"</f>
        <v>00385478</v>
      </c>
    </row>
    <row r="7976" spans="1:2" x14ac:dyDescent="0.25">
      <c r="A7976" s="2">
        <v>7971</v>
      </c>
      <c r="B7976" s="11" t="str">
        <f>"00385535"</f>
        <v>00385535</v>
      </c>
    </row>
    <row r="7977" spans="1:2" x14ac:dyDescent="0.25">
      <c r="A7977" s="2">
        <v>7972</v>
      </c>
      <c r="B7977" s="11" t="str">
        <f>"00385602"</f>
        <v>00385602</v>
      </c>
    </row>
    <row r="7978" spans="1:2" x14ac:dyDescent="0.25">
      <c r="A7978" s="2">
        <v>7973</v>
      </c>
      <c r="B7978" s="11" t="str">
        <f>"00385619"</f>
        <v>00385619</v>
      </c>
    </row>
    <row r="7979" spans="1:2" x14ac:dyDescent="0.25">
      <c r="A7979" s="2">
        <v>7974</v>
      </c>
      <c r="B7979" s="11" t="str">
        <f>"00385769"</f>
        <v>00385769</v>
      </c>
    </row>
    <row r="7980" spans="1:2" x14ac:dyDescent="0.25">
      <c r="A7980" s="2">
        <v>7975</v>
      </c>
      <c r="B7980" s="11" t="str">
        <f>"00385784"</f>
        <v>00385784</v>
      </c>
    </row>
    <row r="7981" spans="1:2" x14ac:dyDescent="0.25">
      <c r="A7981" s="2">
        <v>7976</v>
      </c>
      <c r="B7981" s="11" t="str">
        <f>"00385805"</f>
        <v>00385805</v>
      </c>
    </row>
    <row r="7982" spans="1:2" x14ac:dyDescent="0.25">
      <c r="A7982" s="2">
        <v>7977</v>
      </c>
      <c r="B7982" s="11" t="str">
        <f>"00385848"</f>
        <v>00385848</v>
      </c>
    </row>
    <row r="7983" spans="1:2" x14ac:dyDescent="0.25">
      <c r="A7983" s="2">
        <v>7978</v>
      </c>
      <c r="B7983" s="11" t="str">
        <f>"00385967"</f>
        <v>00385967</v>
      </c>
    </row>
    <row r="7984" spans="1:2" x14ac:dyDescent="0.25">
      <c r="A7984" s="2">
        <v>7979</v>
      </c>
      <c r="B7984" s="11" t="str">
        <f>"00386012"</f>
        <v>00386012</v>
      </c>
    </row>
    <row r="7985" spans="1:2" x14ac:dyDescent="0.25">
      <c r="A7985" s="2">
        <v>7980</v>
      </c>
      <c r="B7985" s="11" t="str">
        <f>"00386179"</f>
        <v>00386179</v>
      </c>
    </row>
    <row r="7986" spans="1:2" x14ac:dyDescent="0.25">
      <c r="A7986" s="2">
        <v>7981</v>
      </c>
      <c r="B7986" s="11" t="str">
        <f>"00386257"</f>
        <v>00386257</v>
      </c>
    </row>
    <row r="7987" spans="1:2" x14ac:dyDescent="0.25">
      <c r="A7987" s="2">
        <v>7982</v>
      </c>
      <c r="B7987" s="11" t="str">
        <f>"00386303"</f>
        <v>00386303</v>
      </c>
    </row>
    <row r="7988" spans="1:2" x14ac:dyDescent="0.25">
      <c r="A7988" s="2">
        <v>7983</v>
      </c>
      <c r="B7988" s="11" t="str">
        <f>"00386365"</f>
        <v>00386365</v>
      </c>
    </row>
    <row r="7989" spans="1:2" x14ac:dyDescent="0.25">
      <c r="A7989" s="2">
        <v>7984</v>
      </c>
      <c r="B7989" s="11" t="str">
        <f>"00386415"</f>
        <v>00386415</v>
      </c>
    </row>
    <row r="7990" spans="1:2" x14ac:dyDescent="0.25">
      <c r="A7990" s="2">
        <v>7985</v>
      </c>
      <c r="B7990" s="11" t="str">
        <f>"00386444"</f>
        <v>00386444</v>
      </c>
    </row>
    <row r="7991" spans="1:2" x14ac:dyDescent="0.25">
      <c r="A7991" s="2">
        <v>7986</v>
      </c>
      <c r="B7991" s="11" t="str">
        <f>"00386449"</f>
        <v>00386449</v>
      </c>
    </row>
    <row r="7992" spans="1:2" x14ac:dyDescent="0.25">
      <c r="A7992" s="2">
        <v>7987</v>
      </c>
      <c r="B7992" s="11" t="str">
        <f>"00386569"</f>
        <v>00386569</v>
      </c>
    </row>
    <row r="7993" spans="1:2" x14ac:dyDescent="0.25">
      <c r="A7993" s="2">
        <v>7988</v>
      </c>
      <c r="B7993" s="11" t="str">
        <f>"00386599"</f>
        <v>00386599</v>
      </c>
    </row>
    <row r="7994" spans="1:2" x14ac:dyDescent="0.25">
      <c r="A7994" s="2">
        <v>7989</v>
      </c>
      <c r="B7994" s="11" t="str">
        <f>"00386603"</f>
        <v>00386603</v>
      </c>
    </row>
    <row r="7995" spans="1:2" x14ac:dyDescent="0.25">
      <c r="A7995" s="2">
        <v>7990</v>
      </c>
      <c r="B7995" s="11" t="str">
        <f>"00386721"</f>
        <v>00386721</v>
      </c>
    </row>
    <row r="7996" spans="1:2" x14ac:dyDescent="0.25">
      <c r="A7996" s="2">
        <v>7991</v>
      </c>
      <c r="B7996" s="11" t="str">
        <f>"00386755"</f>
        <v>00386755</v>
      </c>
    </row>
    <row r="7997" spans="1:2" x14ac:dyDescent="0.25">
      <c r="A7997" s="2">
        <v>7992</v>
      </c>
      <c r="B7997" s="11" t="str">
        <f>"00386815"</f>
        <v>00386815</v>
      </c>
    </row>
    <row r="7998" spans="1:2" x14ac:dyDescent="0.25">
      <c r="A7998" s="2">
        <v>7993</v>
      </c>
      <c r="B7998" s="11" t="str">
        <f>"00386829"</f>
        <v>00386829</v>
      </c>
    </row>
    <row r="7999" spans="1:2" x14ac:dyDescent="0.25">
      <c r="A7999" s="2">
        <v>7994</v>
      </c>
      <c r="B7999" s="11" t="str">
        <f>"00387099"</f>
        <v>00387099</v>
      </c>
    </row>
    <row r="8000" spans="1:2" x14ac:dyDescent="0.25">
      <c r="A8000" s="2">
        <v>7995</v>
      </c>
      <c r="B8000" s="11" t="str">
        <f>"00387112"</f>
        <v>00387112</v>
      </c>
    </row>
    <row r="8001" spans="1:2" x14ac:dyDescent="0.25">
      <c r="A8001" s="2">
        <v>7996</v>
      </c>
      <c r="B8001" s="11" t="str">
        <f>"00387386"</f>
        <v>00387386</v>
      </c>
    </row>
    <row r="8002" spans="1:2" x14ac:dyDescent="0.25">
      <c r="A8002" s="2">
        <v>7997</v>
      </c>
      <c r="B8002" s="11" t="str">
        <f>"00387435"</f>
        <v>00387435</v>
      </c>
    </row>
    <row r="8003" spans="1:2" x14ac:dyDescent="0.25">
      <c r="A8003" s="2">
        <v>7998</v>
      </c>
      <c r="B8003" s="11" t="str">
        <f>"00387450"</f>
        <v>00387450</v>
      </c>
    </row>
    <row r="8004" spans="1:2" x14ac:dyDescent="0.25">
      <c r="A8004" s="2">
        <v>7999</v>
      </c>
      <c r="B8004" s="11" t="str">
        <f>"00387451"</f>
        <v>00387451</v>
      </c>
    </row>
    <row r="8005" spans="1:2" x14ac:dyDescent="0.25">
      <c r="A8005" s="2">
        <v>8000</v>
      </c>
      <c r="B8005" s="11" t="str">
        <f>"00387489"</f>
        <v>00387489</v>
      </c>
    </row>
    <row r="8006" spans="1:2" x14ac:dyDescent="0.25">
      <c r="A8006" s="2">
        <v>8001</v>
      </c>
      <c r="B8006" s="11" t="str">
        <f>"00387505"</f>
        <v>00387505</v>
      </c>
    </row>
    <row r="8007" spans="1:2" x14ac:dyDescent="0.25">
      <c r="A8007" s="2">
        <v>8002</v>
      </c>
      <c r="B8007" s="11" t="str">
        <f>"00387526"</f>
        <v>00387526</v>
      </c>
    </row>
    <row r="8008" spans="1:2" x14ac:dyDescent="0.25">
      <c r="A8008" s="2">
        <v>8003</v>
      </c>
      <c r="B8008" s="11" t="str">
        <f>"00387552"</f>
        <v>00387552</v>
      </c>
    </row>
    <row r="8009" spans="1:2" x14ac:dyDescent="0.25">
      <c r="A8009" s="2">
        <v>8004</v>
      </c>
      <c r="B8009" s="11" t="str">
        <f>"00387567"</f>
        <v>00387567</v>
      </c>
    </row>
    <row r="8010" spans="1:2" x14ac:dyDescent="0.25">
      <c r="A8010" s="2">
        <v>8005</v>
      </c>
      <c r="B8010" s="11" t="str">
        <f>"00387615"</f>
        <v>00387615</v>
      </c>
    </row>
    <row r="8011" spans="1:2" x14ac:dyDescent="0.25">
      <c r="A8011" s="2">
        <v>8006</v>
      </c>
      <c r="B8011" s="11" t="str">
        <f>"00387618"</f>
        <v>00387618</v>
      </c>
    </row>
    <row r="8012" spans="1:2" x14ac:dyDescent="0.25">
      <c r="A8012" s="2">
        <v>8007</v>
      </c>
      <c r="B8012" s="11" t="str">
        <f>"00387637"</f>
        <v>00387637</v>
      </c>
    </row>
    <row r="8013" spans="1:2" x14ac:dyDescent="0.25">
      <c r="A8013" s="2">
        <v>8008</v>
      </c>
      <c r="B8013" s="11" t="str">
        <f>"00387726"</f>
        <v>00387726</v>
      </c>
    </row>
    <row r="8014" spans="1:2" x14ac:dyDescent="0.25">
      <c r="A8014" s="2">
        <v>8009</v>
      </c>
      <c r="B8014" s="11" t="str">
        <f>"00387728"</f>
        <v>00387728</v>
      </c>
    </row>
    <row r="8015" spans="1:2" x14ac:dyDescent="0.25">
      <c r="A8015" s="2">
        <v>8010</v>
      </c>
      <c r="B8015" s="11" t="str">
        <f>"00387730"</f>
        <v>00387730</v>
      </c>
    </row>
    <row r="8016" spans="1:2" x14ac:dyDescent="0.25">
      <c r="A8016" s="2">
        <v>8011</v>
      </c>
      <c r="B8016" s="11" t="str">
        <f>"00387754"</f>
        <v>00387754</v>
      </c>
    </row>
    <row r="8017" spans="1:2" x14ac:dyDescent="0.25">
      <c r="A8017" s="2">
        <v>8012</v>
      </c>
      <c r="B8017" s="11" t="str">
        <f>"00387881"</f>
        <v>00387881</v>
      </c>
    </row>
    <row r="8018" spans="1:2" x14ac:dyDescent="0.25">
      <c r="A8018" s="2">
        <v>8013</v>
      </c>
      <c r="B8018" s="11" t="str">
        <f>"00387889"</f>
        <v>00387889</v>
      </c>
    </row>
    <row r="8019" spans="1:2" x14ac:dyDescent="0.25">
      <c r="A8019" s="2">
        <v>8014</v>
      </c>
      <c r="B8019" s="11" t="str">
        <f>"00387932"</f>
        <v>00387932</v>
      </c>
    </row>
    <row r="8020" spans="1:2" x14ac:dyDescent="0.25">
      <c r="A8020" s="2">
        <v>8015</v>
      </c>
      <c r="B8020" s="11" t="str">
        <f>"00387976"</f>
        <v>00387976</v>
      </c>
    </row>
    <row r="8021" spans="1:2" x14ac:dyDescent="0.25">
      <c r="A8021" s="2">
        <v>8016</v>
      </c>
      <c r="B8021" s="11" t="str">
        <f>"00388094"</f>
        <v>00388094</v>
      </c>
    </row>
    <row r="8022" spans="1:2" x14ac:dyDescent="0.25">
      <c r="A8022" s="2">
        <v>8017</v>
      </c>
      <c r="B8022" s="11" t="str">
        <f>"00388097"</f>
        <v>00388097</v>
      </c>
    </row>
    <row r="8023" spans="1:2" x14ac:dyDescent="0.25">
      <c r="A8023" s="2">
        <v>8018</v>
      </c>
      <c r="B8023" s="11" t="str">
        <f>"00388271"</f>
        <v>00388271</v>
      </c>
    </row>
    <row r="8024" spans="1:2" x14ac:dyDescent="0.25">
      <c r="A8024" s="2">
        <v>8019</v>
      </c>
      <c r="B8024" s="11" t="str">
        <f>"00388278"</f>
        <v>00388278</v>
      </c>
    </row>
    <row r="8025" spans="1:2" x14ac:dyDescent="0.25">
      <c r="A8025" s="2">
        <v>8020</v>
      </c>
      <c r="B8025" s="11" t="str">
        <f>"00388318"</f>
        <v>00388318</v>
      </c>
    </row>
    <row r="8026" spans="1:2" x14ac:dyDescent="0.25">
      <c r="A8026" s="2">
        <v>8021</v>
      </c>
      <c r="B8026" s="11" t="str">
        <f>"00388323"</f>
        <v>00388323</v>
      </c>
    </row>
    <row r="8027" spans="1:2" x14ac:dyDescent="0.25">
      <c r="A8027" s="2">
        <v>8022</v>
      </c>
      <c r="B8027" s="11" t="str">
        <f>"00388353"</f>
        <v>00388353</v>
      </c>
    </row>
    <row r="8028" spans="1:2" x14ac:dyDescent="0.25">
      <c r="A8028" s="2">
        <v>8023</v>
      </c>
      <c r="B8028" s="11" t="str">
        <f>"00388390"</f>
        <v>00388390</v>
      </c>
    </row>
    <row r="8029" spans="1:2" x14ac:dyDescent="0.25">
      <c r="A8029" s="2">
        <v>8024</v>
      </c>
      <c r="B8029" s="11" t="str">
        <f>"00388417"</f>
        <v>00388417</v>
      </c>
    </row>
    <row r="8030" spans="1:2" x14ac:dyDescent="0.25">
      <c r="A8030" s="2">
        <v>8025</v>
      </c>
      <c r="B8030" s="11" t="str">
        <f>"00388471"</f>
        <v>00388471</v>
      </c>
    </row>
    <row r="8031" spans="1:2" x14ac:dyDescent="0.25">
      <c r="A8031" s="2">
        <v>8026</v>
      </c>
      <c r="B8031" s="11" t="str">
        <f>"00388607"</f>
        <v>00388607</v>
      </c>
    </row>
    <row r="8032" spans="1:2" x14ac:dyDescent="0.25">
      <c r="A8032" s="2">
        <v>8027</v>
      </c>
      <c r="B8032" s="11" t="str">
        <f>"00388898"</f>
        <v>00388898</v>
      </c>
    </row>
    <row r="8033" spans="1:2" x14ac:dyDescent="0.25">
      <c r="A8033" s="2">
        <v>8028</v>
      </c>
      <c r="B8033" s="11" t="str">
        <f>"00388959"</f>
        <v>00388959</v>
      </c>
    </row>
    <row r="8034" spans="1:2" x14ac:dyDescent="0.25">
      <c r="A8034" s="2">
        <v>8029</v>
      </c>
      <c r="B8034" s="11" t="str">
        <f>"00389118"</f>
        <v>00389118</v>
      </c>
    </row>
    <row r="8035" spans="1:2" x14ac:dyDescent="0.25">
      <c r="A8035" s="2">
        <v>8030</v>
      </c>
      <c r="B8035" s="11" t="str">
        <f>"00389169"</f>
        <v>00389169</v>
      </c>
    </row>
    <row r="8036" spans="1:2" x14ac:dyDescent="0.25">
      <c r="A8036" s="2">
        <v>8031</v>
      </c>
      <c r="B8036" s="11" t="str">
        <f>"00389178"</f>
        <v>00389178</v>
      </c>
    </row>
    <row r="8037" spans="1:2" x14ac:dyDescent="0.25">
      <c r="A8037" s="2">
        <v>8032</v>
      </c>
      <c r="B8037" s="11" t="str">
        <f>"00389253"</f>
        <v>00389253</v>
      </c>
    </row>
    <row r="8038" spans="1:2" x14ac:dyDescent="0.25">
      <c r="A8038" s="2">
        <v>8033</v>
      </c>
      <c r="B8038" s="11" t="str">
        <f>"00389260"</f>
        <v>00389260</v>
      </c>
    </row>
    <row r="8039" spans="1:2" x14ac:dyDescent="0.25">
      <c r="A8039" s="2">
        <v>8034</v>
      </c>
      <c r="B8039" s="11" t="str">
        <f>"00389408"</f>
        <v>00389408</v>
      </c>
    </row>
    <row r="8040" spans="1:2" x14ac:dyDescent="0.25">
      <c r="A8040" s="2">
        <v>8035</v>
      </c>
      <c r="B8040" s="11" t="str">
        <f>"00389413"</f>
        <v>00389413</v>
      </c>
    </row>
    <row r="8041" spans="1:2" x14ac:dyDescent="0.25">
      <c r="A8041" s="2">
        <v>8036</v>
      </c>
      <c r="B8041" s="11" t="str">
        <f>"00389434"</f>
        <v>00389434</v>
      </c>
    </row>
    <row r="8042" spans="1:2" x14ac:dyDescent="0.25">
      <c r="A8042" s="2">
        <v>8037</v>
      </c>
      <c r="B8042" s="11" t="str">
        <f>"00389702"</f>
        <v>00389702</v>
      </c>
    </row>
    <row r="8043" spans="1:2" x14ac:dyDescent="0.25">
      <c r="A8043" s="2">
        <v>8038</v>
      </c>
      <c r="B8043" s="11" t="str">
        <f>"00389746"</f>
        <v>00389746</v>
      </c>
    </row>
    <row r="8044" spans="1:2" x14ac:dyDescent="0.25">
      <c r="A8044" s="2">
        <v>8039</v>
      </c>
      <c r="B8044" s="11" t="str">
        <f>"00389760"</f>
        <v>00389760</v>
      </c>
    </row>
    <row r="8045" spans="1:2" x14ac:dyDescent="0.25">
      <c r="A8045" s="2">
        <v>8040</v>
      </c>
      <c r="B8045" s="11" t="str">
        <f>"00389766"</f>
        <v>00389766</v>
      </c>
    </row>
    <row r="8046" spans="1:2" x14ac:dyDescent="0.25">
      <c r="A8046" s="2">
        <v>8041</v>
      </c>
      <c r="B8046" s="11" t="str">
        <f>"00389771"</f>
        <v>00389771</v>
      </c>
    </row>
    <row r="8047" spans="1:2" x14ac:dyDescent="0.25">
      <c r="A8047" s="2">
        <v>8042</v>
      </c>
      <c r="B8047" s="11" t="str">
        <f>"00389785"</f>
        <v>00389785</v>
      </c>
    </row>
    <row r="8048" spans="1:2" x14ac:dyDescent="0.25">
      <c r="A8048" s="2">
        <v>8043</v>
      </c>
      <c r="B8048" s="11" t="str">
        <f>"00389999"</f>
        <v>00389999</v>
      </c>
    </row>
    <row r="8049" spans="1:2" x14ac:dyDescent="0.25">
      <c r="A8049" s="2">
        <v>8044</v>
      </c>
      <c r="B8049" s="11" t="str">
        <f>"00390035"</f>
        <v>00390035</v>
      </c>
    </row>
    <row r="8050" spans="1:2" x14ac:dyDescent="0.25">
      <c r="A8050" s="2">
        <v>8045</v>
      </c>
      <c r="B8050" s="11" t="str">
        <f>"00390123"</f>
        <v>00390123</v>
      </c>
    </row>
    <row r="8051" spans="1:2" x14ac:dyDescent="0.25">
      <c r="A8051" s="2">
        <v>8046</v>
      </c>
      <c r="B8051" s="11" t="str">
        <f>"00390126"</f>
        <v>00390126</v>
      </c>
    </row>
    <row r="8052" spans="1:2" x14ac:dyDescent="0.25">
      <c r="A8052" s="2">
        <v>8047</v>
      </c>
      <c r="B8052" s="11" t="str">
        <f>"00390206"</f>
        <v>00390206</v>
      </c>
    </row>
    <row r="8053" spans="1:2" x14ac:dyDescent="0.25">
      <c r="A8053" s="2">
        <v>8048</v>
      </c>
      <c r="B8053" s="11" t="str">
        <f>"00390379"</f>
        <v>00390379</v>
      </c>
    </row>
    <row r="8054" spans="1:2" x14ac:dyDescent="0.25">
      <c r="A8054" s="2">
        <v>8049</v>
      </c>
      <c r="B8054" s="11" t="str">
        <f>"00390395"</f>
        <v>00390395</v>
      </c>
    </row>
    <row r="8055" spans="1:2" x14ac:dyDescent="0.25">
      <c r="A8055" s="2">
        <v>8050</v>
      </c>
      <c r="B8055" s="11" t="str">
        <f>"00390437"</f>
        <v>00390437</v>
      </c>
    </row>
    <row r="8056" spans="1:2" x14ac:dyDescent="0.25">
      <c r="A8056" s="2">
        <v>8051</v>
      </c>
      <c r="B8056" s="11" t="str">
        <f>"00390504"</f>
        <v>00390504</v>
      </c>
    </row>
    <row r="8057" spans="1:2" x14ac:dyDescent="0.25">
      <c r="A8057" s="2">
        <v>8052</v>
      </c>
      <c r="B8057" s="11" t="str">
        <f>"00390539"</f>
        <v>00390539</v>
      </c>
    </row>
    <row r="8058" spans="1:2" x14ac:dyDescent="0.25">
      <c r="A8058" s="2">
        <v>8053</v>
      </c>
      <c r="B8058" s="11" t="str">
        <f>"00390616"</f>
        <v>00390616</v>
      </c>
    </row>
    <row r="8059" spans="1:2" x14ac:dyDescent="0.25">
      <c r="A8059" s="2">
        <v>8054</v>
      </c>
      <c r="B8059" s="11" t="str">
        <f>"00390645"</f>
        <v>00390645</v>
      </c>
    </row>
    <row r="8060" spans="1:2" x14ac:dyDescent="0.25">
      <c r="A8060" s="2">
        <v>8055</v>
      </c>
      <c r="B8060" s="11" t="str">
        <f>"00390676"</f>
        <v>00390676</v>
      </c>
    </row>
    <row r="8061" spans="1:2" x14ac:dyDescent="0.25">
      <c r="A8061" s="2">
        <v>8056</v>
      </c>
      <c r="B8061" s="11" t="str">
        <f>"00390702"</f>
        <v>00390702</v>
      </c>
    </row>
    <row r="8062" spans="1:2" x14ac:dyDescent="0.25">
      <c r="A8062" s="2">
        <v>8057</v>
      </c>
      <c r="B8062" s="11" t="str">
        <f>"00390714"</f>
        <v>00390714</v>
      </c>
    </row>
    <row r="8063" spans="1:2" x14ac:dyDescent="0.25">
      <c r="A8063" s="2">
        <v>8058</v>
      </c>
      <c r="B8063" s="11" t="str">
        <f>"00390739"</f>
        <v>00390739</v>
      </c>
    </row>
    <row r="8064" spans="1:2" x14ac:dyDescent="0.25">
      <c r="A8064" s="2">
        <v>8059</v>
      </c>
      <c r="B8064" s="11" t="str">
        <f>"00390747"</f>
        <v>00390747</v>
      </c>
    </row>
    <row r="8065" spans="1:2" x14ac:dyDescent="0.25">
      <c r="A8065" s="2">
        <v>8060</v>
      </c>
      <c r="B8065" s="11" t="str">
        <f>"00390758"</f>
        <v>00390758</v>
      </c>
    </row>
    <row r="8066" spans="1:2" x14ac:dyDescent="0.25">
      <c r="A8066" s="2">
        <v>8061</v>
      </c>
      <c r="B8066" s="11" t="str">
        <f>"00390844"</f>
        <v>00390844</v>
      </c>
    </row>
    <row r="8067" spans="1:2" x14ac:dyDescent="0.25">
      <c r="A8067" s="2">
        <v>8062</v>
      </c>
      <c r="B8067" s="11" t="str">
        <f>"00390851"</f>
        <v>00390851</v>
      </c>
    </row>
    <row r="8068" spans="1:2" x14ac:dyDescent="0.25">
      <c r="A8068" s="2">
        <v>8063</v>
      </c>
      <c r="B8068" s="11" t="str">
        <f>"00390895"</f>
        <v>00390895</v>
      </c>
    </row>
    <row r="8069" spans="1:2" x14ac:dyDescent="0.25">
      <c r="A8069" s="2">
        <v>8064</v>
      </c>
      <c r="B8069" s="11" t="str">
        <f>"00390902"</f>
        <v>00390902</v>
      </c>
    </row>
    <row r="8070" spans="1:2" x14ac:dyDescent="0.25">
      <c r="A8070" s="2">
        <v>8065</v>
      </c>
      <c r="B8070" s="11" t="str">
        <f>"00391016"</f>
        <v>00391016</v>
      </c>
    </row>
    <row r="8071" spans="1:2" x14ac:dyDescent="0.25">
      <c r="A8071" s="2">
        <v>8066</v>
      </c>
      <c r="B8071" s="11" t="str">
        <f>"00391201"</f>
        <v>00391201</v>
      </c>
    </row>
    <row r="8072" spans="1:2" x14ac:dyDescent="0.25">
      <c r="A8072" s="2">
        <v>8067</v>
      </c>
      <c r="B8072" s="11" t="str">
        <f>"00391218"</f>
        <v>00391218</v>
      </c>
    </row>
    <row r="8073" spans="1:2" x14ac:dyDescent="0.25">
      <c r="A8073" s="2">
        <v>8068</v>
      </c>
      <c r="B8073" s="11" t="str">
        <f>"00391241"</f>
        <v>00391241</v>
      </c>
    </row>
    <row r="8074" spans="1:2" x14ac:dyDescent="0.25">
      <c r="A8074" s="2">
        <v>8069</v>
      </c>
      <c r="B8074" s="11" t="str">
        <f>"00391258"</f>
        <v>00391258</v>
      </c>
    </row>
    <row r="8075" spans="1:2" x14ac:dyDescent="0.25">
      <c r="A8075" s="2">
        <v>8070</v>
      </c>
      <c r="B8075" s="11" t="str">
        <f>"00391396"</f>
        <v>00391396</v>
      </c>
    </row>
    <row r="8076" spans="1:2" x14ac:dyDescent="0.25">
      <c r="A8076" s="2">
        <v>8071</v>
      </c>
      <c r="B8076" s="11" t="str">
        <f>"00391418"</f>
        <v>00391418</v>
      </c>
    </row>
    <row r="8077" spans="1:2" x14ac:dyDescent="0.25">
      <c r="A8077" s="2">
        <v>8072</v>
      </c>
      <c r="B8077" s="11" t="str">
        <f>"00391521"</f>
        <v>00391521</v>
      </c>
    </row>
    <row r="8078" spans="1:2" x14ac:dyDescent="0.25">
      <c r="A8078" s="2">
        <v>8073</v>
      </c>
      <c r="B8078" s="11" t="str">
        <f>"00391522"</f>
        <v>00391522</v>
      </c>
    </row>
    <row r="8079" spans="1:2" x14ac:dyDescent="0.25">
      <c r="A8079" s="2">
        <v>8074</v>
      </c>
      <c r="B8079" s="11" t="str">
        <f>"00391559"</f>
        <v>00391559</v>
      </c>
    </row>
    <row r="8080" spans="1:2" x14ac:dyDescent="0.25">
      <c r="A8080" s="2">
        <v>8075</v>
      </c>
      <c r="B8080" s="11" t="str">
        <f>"00391611"</f>
        <v>00391611</v>
      </c>
    </row>
    <row r="8081" spans="1:2" x14ac:dyDescent="0.25">
      <c r="A8081" s="2">
        <v>8076</v>
      </c>
      <c r="B8081" s="11" t="str">
        <f>"00391653"</f>
        <v>00391653</v>
      </c>
    </row>
    <row r="8082" spans="1:2" x14ac:dyDescent="0.25">
      <c r="A8082" s="2">
        <v>8077</v>
      </c>
      <c r="B8082" s="11" t="str">
        <f>"00391762"</f>
        <v>00391762</v>
      </c>
    </row>
    <row r="8083" spans="1:2" x14ac:dyDescent="0.25">
      <c r="A8083" s="2">
        <v>8078</v>
      </c>
      <c r="B8083" s="11" t="str">
        <f>"00391782"</f>
        <v>00391782</v>
      </c>
    </row>
    <row r="8084" spans="1:2" x14ac:dyDescent="0.25">
      <c r="A8084" s="2">
        <v>8079</v>
      </c>
      <c r="B8084" s="11" t="str">
        <f>"00391805"</f>
        <v>00391805</v>
      </c>
    </row>
    <row r="8085" spans="1:2" x14ac:dyDescent="0.25">
      <c r="A8085" s="2">
        <v>8080</v>
      </c>
      <c r="B8085" s="11" t="str">
        <f>"00391851"</f>
        <v>00391851</v>
      </c>
    </row>
    <row r="8086" spans="1:2" x14ac:dyDescent="0.25">
      <c r="A8086" s="2">
        <v>8081</v>
      </c>
      <c r="B8086" s="11" t="str">
        <f>"00391881"</f>
        <v>00391881</v>
      </c>
    </row>
    <row r="8087" spans="1:2" x14ac:dyDescent="0.25">
      <c r="A8087" s="2">
        <v>8082</v>
      </c>
      <c r="B8087" s="11" t="str">
        <f>"00391898"</f>
        <v>00391898</v>
      </c>
    </row>
    <row r="8088" spans="1:2" x14ac:dyDescent="0.25">
      <c r="A8088" s="2">
        <v>8083</v>
      </c>
      <c r="B8088" s="11" t="str">
        <f>"00392050"</f>
        <v>00392050</v>
      </c>
    </row>
    <row r="8089" spans="1:2" x14ac:dyDescent="0.25">
      <c r="A8089" s="2">
        <v>8084</v>
      </c>
      <c r="B8089" s="11" t="str">
        <f>"00392055"</f>
        <v>00392055</v>
      </c>
    </row>
    <row r="8090" spans="1:2" x14ac:dyDescent="0.25">
      <c r="A8090" s="2">
        <v>8085</v>
      </c>
      <c r="B8090" s="11" t="str">
        <f>"00392074"</f>
        <v>00392074</v>
      </c>
    </row>
    <row r="8091" spans="1:2" x14ac:dyDescent="0.25">
      <c r="A8091" s="2">
        <v>8086</v>
      </c>
      <c r="B8091" s="11" t="str">
        <f>"00392430"</f>
        <v>00392430</v>
      </c>
    </row>
    <row r="8092" spans="1:2" x14ac:dyDescent="0.25">
      <c r="A8092" s="2">
        <v>8087</v>
      </c>
      <c r="B8092" s="11" t="str">
        <f>"00392494"</f>
        <v>00392494</v>
      </c>
    </row>
    <row r="8093" spans="1:2" x14ac:dyDescent="0.25">
      <c r="A8093" s="2">
        <v>8088</v>
      </c>
      <c r="B8093" s="11" t="str">
        <f>"00392511"</f>
        <v>00392511</v>
      </c>
    </row>
    <row r="8094" spans="1:2" x14ac:dyDescent="0.25">
      <c r="A8094" s="2">
        <v>8089</v>
      </c>
      <c r="B8094" s="11" t="str">
        <f>"00392673"</f>
        <v>00392673</v>
      </c>
    </row>
    <row r="8095" spans="1:2" x14ac:dyDescent="0.25">
      <c r="A8095" s="2">
        <v>8090</v>
      </c>
      <c r="B8095" s="11" t="str">
        <f>"00392756"</f>
        <v>00392756</v>
      </c>
    </row>
    <row r="8096" spans="1:2" x14ac:dyDescent="0.25">
      <c r="A8096" s="2">
        <v>8091</v>
      </c>
      <c r="B8096" s="11" t="str">
        <f>"00392785"</f>
        <v>00392785</v>
      </c>
    </row>
    <row r="8097" spans="1:2" x14ac:dyDescent="0.25">
      <c r="A8097" s="2">
        <v>8092</v>
      </c>
      <c r="B8097" s="11" t="str">
        <f>"00392793"</f>
        <v>00392793</v>
      </c>
    </row>
    <row r="8098" spans="1:2" x14ac:dyDescent="0.25">
      <c r="A8098" s="2">
        <v>8093</v>
      </c>
      <c r="B8098" s="11" t="str">
        <f>"00392804"</f>
        <v>00392804</v>
      </c>
    </row>
    <row r="8099" spans="1:2" x14ac:dyDescent="0.25">
      <c r="A8099" s="2">
        <v>8094</v>
      </c>
      <c r="B8099" s="11" t="str">
        <f>"00392865"</f>
        <v>00392865</v>
      </c>
    </row>
    <row r="8100" spans="1:2" x14ac:dyDescent="0.25">
      <c r="A8100" s="2">
        <v>8095</v>
      </c>
      <c r="B8100" s="11" t="str">
        <f>"00393014"</f>
        <v>00393014</v>
      </c>
    </row>
    <row r="8101" spans="1:2" x14ac:dyDescent="0.25">
      <c r="A8101" s="2">
        <v>8096</v>
      </c>
      <c r="B8101" s="11" t="str">
        <f>"00393046"</f>
        <v>00393046</v>
      </c>
    </row>
    <row r="8102" spans="1:2" x14ac:dyDescent="0.25">
      <c r="A8102" s="2">
        <v>8097</v>
      </c>
      <c r="B8102" s="11" t="str">
        <f>"00393091"</f>
        <v>00393091</v>
      </c>
    </row>
    <row r="8103" spans="1:2" x14ac:dyDescent="0.25">
      <c r="A8103" s="2">
        <v>8098</v>
      </c>
      <c r="B8103" s="11" t="str">
        <f>"00393124"</f>
        <v>00393124</v>
      </c>
    </row>
    <row r="8104" spans="1:2" x14ac:dyDescent="0.25">
      <c r="A8104" s="2">
        <v>8099</v>
      </c>
      <c r="B8104" s="11" t="str">
        <f>"00393134"</f>
        <v>00393134</v>
      </c>
    </row>
    <row r="8105" spans="1:2" x14ac:dyDescent="0.25">
      <c r="A8105" s="2">
        <v>8100</v>
      </c>
      <c r="B8105" s="11" t="str">
        <f>"00393305"</f>
        <v>00393305</v>
      </c>
    </row>
    <row r="8106" spans="1:2" x14ac:dyDescent="0.25">
      <c r="A8106" s="2">
        <v>8101</v>
      </c>
      <c r="B8106" s="11" t="str">
        <f>"00393592"</f>
        <v>00393592</v>
      </c>
    </row>
    <row r="8107" spans="1:2" x14ac:dyDescent="0.25">
      <c r="A8107" s="2">
        <v>8102</v>
      </c>
      <c r="B8107" s="11" t="str">
        <f>"00393640"</f>
        <v>00393640</v>
      </c>
    </row>
    <row r="8108" spans="1:2" x14ac:dyDescent="0.25">
      <c r="A8108" s="2">
        <v>8103</v>
      </c>
      <c r="B8108" s="11" t="str">
        <f>"00393661"</f>
        <v>00393661</v>
      </c>
    </row>
    <row r="8109" spans="1:2" x14ac:dyDescent="0.25">
      <c r="A8109" s="2">
        <v>8104</v>
      </c>
      <c r="B8109" s="11" t="str">
        <f>"00393698"</f>
        <v>00393698</v>
      </c>
    </row>
    <row r="8110" spans="1:2" x14ac:dyDescent="0.25">
      <c r="A8110" s="2">
        <v>8105</v>
      </c>
      <c r="B8110" s="11" t="str">
        <f>"00393719"</f>
        <v>00393719</v>
      </c>
    </row>
    <row r="8111" spans="1:2" x14ac:dyDescent="0.25">
      <c r="A8111" s="2">
        <v>8106</v>
      </c>
      <c r="B8111" s="11" t="str">
        <f>"00393867"</f>
        <v>00393867</v>
      </c>
    </row>
    <row r="8112" spans="1:2" x14ac:dyDescent="0.25">
      <c r="A8112" s="2">
        <v>8107</v>
      </c>
      <c r="B8112" s="11" t="str">
        <f>"00394016"</f>
        <v>00394016</v>
      </c>
    </row>
    <row r="8113" spans="1:2" x14ac:dyDescent="0.25">
      <c r="A8113" s="2">
        <v>8108</v>
      </c>
      <c r="B8113" s="11" t="str">
        <f>"00394037"</f>
        <v>00394037</v>
      </c>
    </row>
    <row r="8114" spans="1:2" x14ac:dyDescent="0.25">
      <c r="A8114" s="2">
        <v>8109</v>
      </c>
      <c r="B8114" s="11" t="str">
        <f>"00394082"</f>
        <v>00394082</v>
      </c>
    </row>
    <row r="8115" spans="1:2" x14ac:dyDescent="0.25">
      <c r="A8115" s="2">
        <v>8110</v>
      </c>
      <c r="B8115" s="11" t="str">
        <f>"00394147"</f>
        <v>00394147</v>
      </c>
    </row>
    <row r="8116" spans="1:2" x14ac:dyDescent="0.25">
      <c r="A8116" s="2">
        <v>8111</v>
      </c>
      <c r="B8116" s="11" t="str">
        <f>"00394166"</f>
        <v>00394166</v>
      </c>
    </row>
    <row r="8117" spans="1:2" x14ac:dyDescent="0.25">
      <c r="A8117" s="2">
        <v>8112</v>
      </c>
      <c r="B8117" s="11" t="str">
        <f>"00394430"</f>
        <v>00394430</v>
      </c>
    </row>
    <row r="8118" spans="1:2" x14ac:dyDescent="0.25">
      <c r="A8118" s="2">
        <v>8113</v>
      </c>
      <c r="B8118" s="11" t="str">
        <f>"00394471"</f>
        <v>00394471</v>
      </c>
    </row>
    <row r="8119" spans="1:2" x14ac:dyDescent="0.25">
      <c r="A8119" s="2">
        <v>8114</v>
      </c>
      <c r="B8119" s="11" t="str">
        <f>"00394510"</f>
        <v>00394510</v>
      </c>
    </row>
    <row r="8120" spans="1:2" x14ac:dyDescent="0.25">
      <c r="A8120" s="2">
        <v>8115</v>
      </c>
      <c r="B8120" s="11" t="str">
        <f>"00394533"</f>
        <v>00394533</v>
      </c>
    </row>
    <row r="8121" spans="1:2" x14ac:dyDescent="0.25">
      <c r="A8121" s="2">
        <v>8116</v>
      </c>
      <c r="B8121" s="11" t="str">
        <f>"00394563"</f>
        <v>00394563</v>
      </c>
    </row>
    <row r="8122" spans="1:2" x14ac:dyDescent="0.25">
      <c r="A8122" s="2">
        <v>8117</v>
      </c>
      <c r="B8122" s="11" t="str">
        <f>"00394565"</f>
        <v>00394565</v>
      </c>
    </row>
    <row r="8123" spans="1:2" x14ac:dyDescent="0.25">
      <c r="A8123" s="2">
        <v>8118</v>
      </c>
      <c r="B8123" s="11" t="str">
        <f>"00394596"</f>
        <v>00394596</v>
      </c>
    </row>
    <row r="8124" spans="1:2" x14ac:dyDescent="0.25">
      <c r="A8124" s="2">
        <v>8119</v>
      </c>
      <c r="B8124" s="11" t="str">
        <f>"00394744"</f>
        <v>00394744</v>
      </c>
    </row>
    <row r="8125" spans="1:2" x14ac:dyDescent="0.25">
      <c r="A8125" s="2">
        <v>8120</v>
      </c>
      <c r="B8125" s="11" t="str">
        <f>"00395050"</f>
        <v>00395050</v>
      </c>
    </row>
    <row r="8126" spans="1:2" x14ac:dyDescent="0.25">
      <c r="A8126" s="2">
        <v>8121</v>
      </c>
      <c r="B8126" s="11" t="str">
        <f>"00395096"</f>
        <v>00395096</v>
      </c>
    </row>
    <row r="8127" spans="1:2" x14ac:dyDescent="0.25">
      <c r="A8127" s="2">
        <v>8122</v>
      </c>
      <c r="B8127" s="11" t="str">
        <f>"00395113"</f>
        <v>00395113</v>
      </c>
    </row>
    <row r="8128" spans="1:2" x14ac:dyDescent="0.25">
      <c r="A8128" s="2">
        <v>8123</v>
      </c>
      <c r="B8128" s="11" t="str">
        <f>"00395463"</f>
        <v>00395463</v>
      </c>
    </row>
    <row r="8129" spans="1:2" x14ac:dyDescent="0.25">
      <c r="A8129" s="2">
        <v>8124</v>
      </c>
      <c r="B8129" s="11" t="str">
        <f>"00395633"</f>
        <v>00395633</v>
      </c>
    </row>
    <row r="8130" spans="1:2" x14ac:dyDescent="0.25">
      <c r="A8130" s="2">
        <v>8125</v>
      </c>
      <c r="B8130" s="11" t="str">
        <f>"00395905"</f>
        <v>00395905</v>
      </c>
    </row>
    <row r="8131" spans="1:2" x14ac:dyDescent="0.25">
      <c r="A8131" s="2">
        <v>8126</v>
      </c>
      <c r="B8131" s="11" t="str">
        <f>"00395958"</f>
        <v>00395958</v>
      </c>
    </row>
    <row r="8132" spans="1:2" x14ac:dyDescent="0.25">
      <c r="A8132" s="2">
        <v>8127</v>
      </c>
      <c r="B8132" s="11" t="str">
        <f>"00396007"</f>
        <v>00396007</v>
      </c>
    </row>
    <row r="8133" spans="1:2" x14ac:dyDescent="0.25">
      <c r="A8133" s="2">
        <v>8128</v>
      </c>
      <c r="B8133" s="11" t="str">
        <f>"00396015"</f>
        <v>00396015</v>
      </c>
    </row>
    <row r="8134" spans="1:2" x14ac:dyDescent="0.25">
      <c r="A8134" s="2">
        <v>8129</v>
      </c>
      <c r="B8134" s="11" t="str">
        <f>"00396019"</f>
        <v>00396019</v>
      </c>
    </row>
    <row r="8135" spans="1:2" x14ac:dyDescent="0.25">
      <c r="A8135" s="2">
        <v>8130</v>
      </c>
      <c r="B8135" s="11" t="str">
        <f>"00396088"</f>
        <v>00396088</v>
      </c>
    </row>
    <row r="8136" spans="1:2" x14ac:dyDescent="0.25">
      <c r="A8136" s="2">
        <v>8131</v>
      </c>
      <c r="B8136" s="11" t="str">
        <f>"00396160"</f>
        <v>00396160</v>
      </c>
    </row>
    <row r="8137" spans="1:2" x14ac:dyDescent="0.25">
      <c r="A8137" s="2">
        <v>8132</v>
      </c>
      <c r="B8137" s="11" t="str">
        <f>"00396170"</f>
        <v>00396170</v>
      </c>
    </row>
    <row r="8138" spans="1:2" x14ac:dyDescent="0.25">
      <c r="A8138" s="2">
        <v>8133</v>
      </c>
      <c r="B8138" s="11" t="str">
        <f>"00396336"</f>
        <v>00396336</v>
      </c>
    </row>
    <row r="8139" spans="1:2" x14ac:dyDescent="0.25">
      <c r="A8139" s="2">
        <v>8134</v>
      </c>
      <c r="B8139" s="11" t="str">
        <f>"00396359"</f>
        <v>00396359</v>
      </c>
    </row>
    <row r="8140" spans="1:2" x14ac:dyDescent="0.25">
      <c r="A8140" s="2">
        <v>8135</v>
      </c>
      <c r="B8140" s="11" t="str">
        <f>"00396442"</f>
        <v>00396442</v>
      </c>
    </row>
    <row r="8141" spans="1:2" x14ac:dyDescent="0.25">
      <c r="A8141" s="2">
        <v>8136</v>
      </c>
      <c r="B8141" s="11" t="str">
        <f>"00396467"</f>
        <v>00396467</v>
      </c>
    </row>
    <row r="8142" spans="1:2" x14ac:dyDescent="0.25">
      <c r="A8142" s="2">
        <v>8137</v>
      </c>
      <c r="B8142" s="11" t="str">
        <f>"00396492"</f>
        <v>00396492</v>
      </c>
    </row>
    <row r="8143" spans="1:2" x14ac:dyDescent="0.25">
      <c r="A8143" s="2">
        <v>8138</v>
      </c>
      <c r="B8143" s="11" t="str">
        <f>"00396505"</f>
        <v>00396505</v>
      </c>
    </row>
    <row r="8144" spans="1:2" x14ac:dyDescent="0.25">
      <c r="A8144" s="2">
        <v>8139</v>
      </c>
      <c r="B8144" s="11" t="str">
        <f>"00396634"</f>
        <v>00396634</v>
      </c>
    </row>
    <row r="8145" spans="1:2" x14ac:dyDescent="0.25">
      <c r="A8145" s="2">
        <v>8140</v>
      </c>
      <c r="B8145" s="11" t="str">
        <f>"00396721"</f>
        <v>00396721</v>
      </c>
    </row>
    <row r="8146" spans="1:2" x14ac:dyDescent="0.25">
      <c r="A8146" s="2">
        <v>8141</v>
      </c>
      <c r="B8146" s="11" t="str">
        <f>"00396731"</f>
        <v>00396731</v>
      </c>
    </row>
    <row r="8147" spans="1:2" x14ac:dyDescent="0.25">
      <c r="A8147" s="2">
        <v>8142</v>
      </c>
      <c r="B8147" s="11" t="str">
        <f>"00396825"</f>
        <v>00396825</v>
      </c>
    </row>
    <row r="8148" spans="1:2" x14ac:dyDescent="0.25">
      <c r="A8148" s="2">
        <v>8143</v>
      </c>
      <c r="B8148" s="11" t="str">
        <f>"00396835"</f>
        <v>00396835</v>
      </c>
    </row>
    <row r="8149" spans="1:2" x14ac:dyDescent="0.25">
      <c r="A8149" s="2">
        <v>8144</v>
      </c>
      <c r="B8149" s="11" t="str">
        <f>"00396859"</f>
        <v>00396859</v>
      </c>
    </row>
    <row r="8150" spans="1:2" x14ac:dyDescent="0.25">
      <c r="A8150" s="2">
        <v>8145</v>
      </c>
      <c r="B8150" s="11" t="str">
        <f>"00396891"</f>
        <v>00396891</v>
      </c>
    </row>
    <row r="8151" spans="1:2" x14ac:dyDescent="0.25">
      <c r="A8151" s="2">
        <v>8146</v>
      </c>
      <c r="B8151" s="11" t="str">
        <f>"00396932"</f>
        <v>00396932</v>
      </c>
    </row>
    <row r="8152" spans="1:2" x14ac:dyDescent="0.25">
      <c r="A8152" s="2">
        <v>8147</v>
      </c>
      <c r="B8152" s="11" t="str">
        <f>"00396955"</f>
        <v>00396955</v>
      </c>
    </row>
    <row r="8153" spans="1:2" x14ac:dyDescent="0.25">
      <c r="A8153" s="2">
        <v>8148</v>
      </c>
      <c r="B8153" s="11" t="str">
        <f>"00396982"</f>
        <v>00396982</v>
      </c>
    </row>
    <row r="8154" spans="1:2" x14ac:dyDescent="0.25">
      <c r="A8154" s="2">
        <v>8149</v>
      </c>
      <c r="B8154" s="11" t="str">
        <f>"00397068"</f>
        <v>00397068</v>
      </c>
    </row>
    <row r="8155" spans="1:2" x14ac:dyDescent="0.25">
      <c r="A8155" s="2">
        <v>8150</v>
      </c>
      <c r="B8155" s="11" t="str">
        <f>"00397161"</f>
        <v>00397161</v>
      </c>
    </row>
    <row r="8156" spans="1:2" x14ac:dyDescent="0.25">
      <c r="A8156" s="2">
        <v>8151</v>
      </c>
      <c r="B8156" s="11" t="str">
        <f>"00397166"</f>
        <v>00397166</v>
      </c>
    </row>
    <row r="8157" spans="1:2" x14ac:dyDescent="0.25">
      <c r="A8157" s="2">
        <v>8152</v>
      </c>
      <c r="B8157" s="11" t="str">
        <f>"00397239"</f>
        <v>00397239</v>
      </c>
    </row>
    <row r="8158" spans="1:2" x14ac:dyDescent="0.25">
      <c r="A8158" s="2">
        <v>8153</v>
      </c>
      <c r="B8158" s="11" t="str">
        <f>"00397577"</f>
        <v>00397577</v>
      </c>
    </row>
    <row r="8159" spans="1:2" x14ac:dyDescent="0.25">
      <c r="A8159" s="2">
        <v>8154</v>
      </c>
      <c r="B8159" s="11" t="str">
        <f>"00397643"</f>
        <v>00397643</v>
      </c>
    </row>
    <row r="8160" spans="1:2" x14ac:dyDescent="0.25">
      <c r="A8160" s="2">
        <v>8155</v>
      </c>
      <c r="B8160" s="11" t="str">
        <f>"00397682"</f>
        <v>00397682</v>
      </c>
    </row>
    <row r="8161" spans="1:2" x14ac:dyDescent="0.25">
      <c r="A8161" s="2">
        <v>8156</v>
      </c>
      <c r="B8161" s="11" t="str">
        <f>"00397726"</f>
        <v>00397726</v>
      </c>
    </row>
    <row r="8162" spans="1:2" x14ac:dyDescent="0.25">
      <c r="A8162" s="2">
        <v>8157</v>
      </c>
      <c r="B8162" s="11" t="str">
        <f>"00397730"</f>
        <v>00397730</v>
      </c>
    </row>
    <row r="8163" spans="1:2" x14ac:dyDescent="0.25">
      <c r="A8163" s="2">
        <v>8158</v>
      </c>
      <c r="B8163" s="11" t="str">
        <f>"00397732"</f>
        <v>00397732</v>
      </c>
    </row>
    <row r="8164" spans="1:2" x14ac:dyDescent="0.25">
      <c r="A8164" s="2">
        <v>8159</v>
      </c>
      <c r="B8164" s="11" t="str">
        <f>"00397892"</f>
        <v>00397892</v>
      </c>
    </row>
    <row r="8165" spans="1:2" x14ac:dyDescent="0.25">
      <c r="A8165" s="2">
        <v>8160</v>
      </c>
      <c r="B8165" s="11" t="str">
        <f>"00397893"</f>
        <v>00397893</v>
      </c>
    </row>
    <row r="8166" spans="1:2" x14ac:dyDescent="0.25">
      <c r="A8166" s="2">
        <v>8161</v>
      </c>
      <c r="B8166" s="11" t="str">
        <f>"00397959"</f>
        <v>00397959</v>
      </c>
    </row>
    <row r="8167" spans="1:2" x14ac:dyDescent="0.25">
      <c r="A8167" s="2">
        <v>8162</v>
      </c>
      <c r="B8167" s="11" t="str">
        <f>"00397995"</f>
        <v>00397995</v>
      </c>
    </row>
    <row r="8168" spans="1:2" x14ac:dyDescent="0.25">
      <c r="A8168" s="2">
        <v>8163</v>
      </c>
      <c r="B8168" s="11" t="str">
        <f>"00398020"</f>
        <v>00398020</v>
      </c>
    </row>
    <row r="8169" spans="1:2" x14ac:dyDescent="0.25">
      <c r="A8169" s="2">
        <v>8164</v>
      </c>
      <c r="B8169" s="11" t="str">
        <f>"00398057"</f>
        <v>00398057</v>
      </c>
    </row>
    <row r="8170" spans="1:2" x14ac:dyDescent="0.25">
      <c r="A8170" s="2">
        <v>8165</v>
      </c>
      <c r="B8170" s="11" t="str">
        <f>"00398078"</f>
        <v>00398078</v>
      </c>
    </row>
    <row r="8171" spans="1:2" x14ac:dyDescent="0.25">
      <c r="A8171" s="2">
        <v>8166</v>
      </c>
      <c r="B8171" s="11" t="str">
        <f>"00398103"</f>
        <v>00398103</v>
      </c>
    </row>
    <row r="8172" spans="1:2" x14ac:dyDescent="0.25">
      <c r="A8172" s="2">
        <v>8167</v>
      </c>
      <c r="B8172" s="11" t="str">
        <f>"00398174"</f>
        <v>00398174</v>
      </c>
    </row>
    <row r="8173" spans="1:2" x14ac:dyDescent="0.25">
      <c r="A8173" s="2">
        <v>8168</v>
      </c>
      <c r="B8173" s="11" t="str">
        <f>"00398241"</f>
        <v>00398241</v>
      </c>
    </row>
    <row r="8174" spans="1:2" x14ac:dyDescent="0.25">
      <c r="A8174" s="2">
        <v>8169</v>
      </c>
      <c r="B8174" s="11" t="str">
        <f>"00398249"</f>
        <v>00398249</v>
      </c>
    </row>
    <row r="8175" spans="1:2" x14ac:dyDescent="0.25">
      <c r="A8175" s="2">
        <v>8170</v>
      </c>
      <c r="B8175" s="11" t="str">
        <f>"00398273"</f>
        <v>00398273</v>
      </c>
    </row>
    <row r="8176" spans="1:2" x14ac:dyDescent="0.25">
      <c r="A8176" s="2">
        <v>8171</v>
      </c>
      <c r="B8176" s="11" t="str">
        <f>"00398298"</f>
        <v>00398298</v>
      </c>
    </row>
    <row r="8177" spans="1:2" x14ac:dyDescent="0.25">
      <c r="A8177" s="2">
        <v>8172</v>
      </c>
      <c r="B8177" s="11" t="str">
        <f>"00398415"</f>
        <v>00398415</v>
      </c>
    </row>
    <row r="8178" spans="1:2" x14ac:dyDescent="0.25">
      <c r="A8178" s="2">
        <v>8173</v>
      </c>
      <c r="B8178" s="11" t="str">
        <f>"00398524"</f>
        <v>00398524</v>
      </c>
    </row>
    <row r="8179" spans="1:2" x14ac:dyDescent="0.25">
      <c r="A8179" s="2">
        <v>8174</v>
      </c>
      <c r="B8179" s="11" t="str">
        <f>"00398530"</f>
        <v>00398530</v>
      </c>
    </row>
    <row r="8180" spans="1:2" x14ac:dyDescent="0.25">
      <c r="A8180" s="2">
        <v>8175</v>
      </c>
      <c r="B8180" s="11" t="str">
        <f>"00398541"</f>
        <v>00398541</v>
      </c>
    </row>
    <row r="8181" spans="1:2" x14ac:dyDescent="0.25">
      <c r="A8181" s="2">
        <v>8176</v>
      </c>
      <c r="B8181" s="11" t="str">
        <f>"00398572"</f>
        <v>00398572</v>
      </c>
    </row>
    <row r="8182" spans="1:2" x14ac:dyDescent="0.25">
      <c r="A8182" s="2">
        <v>8177</v>
      </c>
      <c r="B8182" s="11" t="str">
        <f>"00398629"</f>
        <v>00398629</v>
      </c>
    </row>
    <row r="8183" spans="1:2" x14ac:dyDescent="0.25">
      <c r="A8183" s="2">
        <v>8178</v>
      </c>
      <c r="B8183" s="11" t="str">
        <f>"00398803"</f>
        <v>00398803</v>
      </c>
    </row>
    <row r="8184" spans="1:2" x14ac:dyDescent="0.25">
      <c r="A8184" s="2">
        <v>8179</v>
      </c>
      <c r="B8184" s="11" t="str">
        <f>"00398888"</f>
        <v>00398888</v>
      </c>
    </row>
    <row r="8185" spans="1:2" x14ac:dyDescent="0.25">
      <c r="A8185" s="2">
        <v>8180</v>
      </c>
      <c r="B8185" s="11" t="str">
        <f>"00398898"</f>
        <v>00398898</v>
      </c>
    </row>
    <row r="8186" spans="1:2" x14ac:dyDescent="0.25">
      <c r="A8186" s="2">
        <v>8181</v>
      </c>
      <c r="B8186" s="11" t="str">
        <f>"00398903"</f>
        <v>00398903</v>
      </c>
    </row>
    <row r="8187" spans="1:2" x14ac:dyDescent="0.25">
      <c r="A8187" s="2">
        <v>8182</v>
      </c>
      <c r="B8187" s="11" t="str">
        <f>"00398975"</f>
        <v>00398975</v>
      </c>
    </row>
    <row r="8188" spans="1:2" x14ac:dyDescent="0.25">
      <c r="A8188" s="2">
        <v>8183</v>
      </c>
      <c r="B8188" s="11" t="str">
        <f>"00398994"</f>
        <v>00398994</v>
      </c>
    </row>
    <row r="8189" spans="1:2" x14ac:dyDescent="0.25">
      <c r="A8189" s="2">
        <v>8184</v>
      </c>
      <c r="B8189" s="11" t="str">
        <f>"00398997"</f>
        <v>00398997</v>
      </c>
    </row>
    <row r="8190" spans="1:2" x14ac:dyDescent="0.25">
      <c r="A8190" s="2">
        <v>8185</v>
      </c>
      <c r="B8190" s="11" t="str">
        <f>"00399240"</f>
        <v>00399240</v>
      </c>
    </row>
    <row r="8191" spans="1:2" x14ac:dyDescent="0.25">
      <c r="A8191" s="2">
        <v>8186</v>
      </c>
      <c r="B8191" s="11" t="str">
        <f>"00399249"</f>
        <v>00399249</v>
      </c>
    </row>
    <row r="8192" spans="1:2" x14ac:dyDescent="0.25">
      <c r="A8192" s="2">
        <v>8187</v>
      </c>
      <c r="B8192" s="11" t="str">
        <f>"00399252"</f>
        <v>00399252</v>
      </c>
    </row>
    <row r="8193" spans="1:2" x14ac:dyDescent="0.25">
      <c r="A8193" s="2">
        <v>8188</v>
      </c>
      <c r="B8193" s="11" t="str">
        <f>"00399410"</f>
        <v>00399410</v>
      </c>
    </row>
    <row r="8194" spans="1:2" x14ac:dyDescent="0.25">
      <c r="A8194" s="2">
        <v>8189</v>
      </c>
      <c r="B8194" s="11" t="str">
        <f>"00399422"</f>
        <v>00399422</v>
      </c>
    </row>
    <row r="8195" spans="1:2" x14ac:dyDescent="0.25">
      <c r="A8195" s="2">
        <v>8190</v>
      </c>
      <c r="B8195" s="11" t="str">
        <f>"00399429"</f>
        <v>00399429</v>
      </c>
    </row>
    <row r="8196" spans="1:2" x14ac:dyDescent="0.25">
      <c r="A8196" s="2">
        <v>8191</v>
      </c>
      <c r="B8196" s="11" t="str">
        <f>"00399445"</f>
        <v>00399445</v>
      </c>
    </row>
    <row r="8197" spans="1:2" x14ac:dyDescent="0.25">
      <c r="A8197" s="2">
        <v>8192</v>
      </c>
      <c r="B8197" s="11" t="str">
        <f>"00399931"</f>
        <v>00399931</v>
      </c>
    </row>
    <row r="8198" spans="1:2" x14ac:dyDescent="0.25">
      <c r="A8198" s="2">
        <v>8193</v>
      </c>
      <c r="B8198" s="11" t="str">
        <f>"00400086"</f>
        <v>00400086</v>
      </c>
    </row>
    <row r="8199" spans="1:2" x14ac:dyDescent="0.25">
      <c r="A8199" s="2">
        <v>8194</v>
      </c>
      <c r="B8199" s="11" t="str">
        <f>"00400097"</f>
        <v>00400097</v>
      </c>
    </row>
    <row r="8200" spans="1:2" x14ac:dyDescent="0.25">
      <c r="A8200" s="2">
        <v>8195</v>
      </c>
      <c r="B8200" s="11" t="str">
        <f>"00400273"</f>
        <v>00400273</v>
      </c>
    </row>
    <row r="8201" spans="1:2" x14ac:dyDescent="0.25">
      <c r="A8201" s="2">
        <v>8196</v>
      </c>
      <c r="B8201" s="11" t="str">
        <f>"00400318"</f>
        <v>00400318</v>
      </c>
    </row>
    <row r="8202" spans="1:2" x14ac:dyDescent="0.25">
      <c r="A8202" s="2">
        <v>8197</v>
      </c>
      <c r="B8202" s="11" t="str">
        <f>"00400339"</f>
        <v>00400339</v>
      </c>
    </row>
    <row r="8203" spans="1:2" x14ac:dyDescent="0.25">
      <c r="A8203" s="2">
        <v>8198</v>
      </c>
      <c r="B8203" s="11" t="str">
        <f>"00400352"</f>
        <v>00400352</v>
      </c>
    </row>
    <row r="8204" spans="1:2" x14ac:dyDescent="0.25">
      <c r="A8204" s="2">
        <v>8199</v>
      </c>
      <c r="B8204" s="11" t="str">
        <f>"00400385"</f>
        <v>00400385</v>
      </c>
    </row>
    <row r="8205" spans="1:2" x14ac:dyDescent="0.25">
      <c r="A8205" s="2">
        <v>8200</v>
      </c>
      <c r="B8205" s="11" t="str">
        <f>"00400431"</f>
        <v>00400431</v>
      </c>
    </row>
    <row r="8206" spans="1:2" x14ac:dyDescent="0.25">
      <c r="A8206" s="2">
        <v>8201</v>
      </c>
      <c r="B8206" s="11" t="str">
        <f>"00400452"</f>
        <v>00400452</v>
      </c>
    </row>
    <row r="8207" spans="1:2" x14ac:dyDescent="0.25">
      <c r="A8207" s="2">
        <v>8202</v>
      </c>
      <c r="B8207" s="11" t="str">
        <f>"00400514"</f>
        <v>00400514</v>
      </c>
    </row>
    <row r="8208" spans="1:2" x14ac:dyDescent="0.25">
      <c r="A8208" s="2">
        <v>8203</v>
      </c>
      <c r="B8208" s="11" t="str">
        <f>"00400549"</f>
        <v>00400549</v>
      </c>
    </row>
    <row r="8209" spans="1:2" x14ac:dyDescent="0.25">
      <c r="A8209" s="2">
        <v>8204</v>
      </c>
      <c r="B8209" s="11" t="str">
        <f>"00400619"</f>
        <v>00400619</v>
      </c>
    </row>
    <row r="8210" spans="1:2" x14ac:dyDescent="0.25">
      <c r="A8210" s="2">
        <v>8205</v>
      </c>
      <c r="B8210" s="11" t="str">
        <f>"00400658"</f>
        <v>00400658</v>
      </c>
    </row>
    <row r="8211" spans="1:2" x14ac:dyDescent="0.25">
      <c r="A8211" s="2">
        <v>8206</v>
      </c>
      <c r="B8211" s="11" t="str">
        <f>"00400677"</f>
        <v>00400677</v>
      </c>
    </row>
    <row r="8212" spans="1:2" x14ac:dyDescent="0.25">
      <c r="A8212" s="2">
        <v>8207</v>
      </c>
      <c r="B8212" s="11" t="str">
        <f>"00400681"</f>
        <v>00400681</v>
      </c>
    </row>
    <row r="8213" spans="1:2" x14ac:dyDescent="0.25">
      <c r="A8213" s="2">
        <v>8208</v>
      </c>
      <c r="B8213" s="11" t="str">
        <f>"00400715"</f>
        <v>00400715</v>
      </c>
    </row>
    <row r="8214" spans="1:2" x14ac:dyDescent="0.25">
      <c r="A8214" s="2">
        <v>8209</v>
      </c>
      <c r="B8214" s="11" t="str">
        <f>"00400852"</f>
        <v>00400852</v>
      </c>
    </row>
    <row r="8215" spans="1:2" x14ac:dyDescent="0.25">
      <c r="A8215" s="2">
        <v>8210</v>
      </c>
      <c r="B8215" s="11" t="str">
        <f>"00400934"</f>
        <v>00400934</v>
      </c>
    </row>
    <row r="8216" spans="1:2" x14ac:dyDescent="0.25">
      <c r="A8216" s="2">
        <v>8211</v>
      </c>
      <c r="B8216" s="11" t="str">
        <f>"00400994"</f>
        <v>00400994</v>
      </c>
    </row>
    <row r="8217" spans="1:2" x14ac:dyDescent="0.25">
      <c r="A8217" s="2">
        <v>8212</v>
      </c>
      <c r="B8217" s="11" t="str">
        <f>"00401003"</f>
        <v>00401003</v>
      </c>
    </row>
    <row r="8218" spans="1:2" x14ac:dyDescent="0.25">
      <c r="A8218" s="2">
        <v>8213</v>
      </c>
      <c r="B8218" s="11" t="str">
        <f>"00401168"</f>
        <v>00401168</v>
      </c>
    </row>
    <row r="8219" spans="1:2" x14ac:dyDescent="0.25">
      <c r="A8219" s="2">
        <v>8214</v>
      </c>
      <c r="B8219" s="11" t="str">
        <f>"00401404"</f>
        <v>00401404</v>
      </c>
    </row>
    <row r="8220" spans="1:2" x14ac:dyDescent="0.25">
      <c r="A8220" s="2">
        <v>8215</v>
      </c>
      <c r="B8220" s="11" t="str">
        <f>"00401418"</f>
        <v>00401418</v>
      </c>
    </row>
    <row r="8221" spans="1:2" x14ac:dyDescent="0.25">
      <c r="A8221" s="2">
        <v>8216</v>
      </c>
      <c r="B8221" s="11" t="str">
        <f>"00401469"</f>
        <v>00401469</v>
      </c>
    </row>
    <row r="8222" spans="1:2" x14ac:dyDescent="0.25">
      <c r="A8222" s="2">
        <v>8217</v>
      </c>
      <c r="B8222" s="11" t="str">
        <f>"00401503"</f>
        <v>00401503</v>
      </c>
    </row>
    <row r="8223" spans="1:2" x14ac:dyDescent="0.25">
      <c r="A8223" s="2">
        <v>8218</v>
      </c>
      <c r="B8223" s="11" t="str">
        <f>"00401717"</f>
        <v>00401717</v>
      </c>
    </row>
    <row r="8224" spans="1:2" x14ac:dyDescent="0.25">
      <c r="A8224" s="2">
        <v>8219</v>
      </c>
      <c r="B8224" s="11" t="str">
        <f>"00401772"</f>
        <v>00401772</v>
      </c>
    </row>
    <row r="8225" spans="1:2" x14ac:dyDescent="0.25">
      <c r="A8225" s="2">
        <v>8220</v>
      </c>
      <c r="B8225" s="11" t="str">
        <f>"00401796"</f>
        <v>00401796</v>
      </c>
    </row>
    <row r="8226" spans="1:2" x14ac:dyDescent="0.25">
      <c r="A8226" s="2">
        <v>8221</v>
      </c>
      <c r="B8226" s="11" t="str">
        <f>"00402244"</f>
        <v>00402244</v>
      </c>
    </row>
    <row r="8227" spans="1:2" x14ac:dyDescent="0.25">
      <c r="A8227" s="2">
        <v>8222</v>
      </c>
      <c r="B8227" s="11" t="str">
        <f>"00402302"</f>
        <v>00402302</v>
      </c>
    </row>
    <row r="8228" spans="1:2" x14ac:dyDescent="0.25">
      <c r="A8228" s="2">
        <v>8223</v>
      </c>
      <c r="B8228" s="11" t="str">
        <f>"00402343"</f>
        <v>00402343</v>
      </c>
    </row>
    <row r="8229" spans="1:2" x14ac:dyDescent="0.25">
      <c r="A8229" s="2">
        <v>8224</v>
      </c>
      <c r="B8229" s="11" t="str">
        <f>"00402347"</f>
        <v>00402347</v>
      </c>
    </row>
    <row r="8230" spans="1:2" x14ac:dyDescent="0.25">
      <c r="A8230" s="2">
        <v>8225</v>
      </c>
      <c r="B8230" s="11" t="str">
        <f>"00402487"</f>
        <v>00402487</v>
      </c>
    </row>
    <row r="8231" spans="1:2" x14ac:dyDescent="0.25">
      <c r="A8231" s="2">
        <v>8226</v>
      </c>
      <c r="B8231" s="11" t="str">
        <f>"00402526"</f>
        <v>00402526</v>
      </c>
    </row>
    <row r="8232" spans="1:2" x14ac:dyDescent="0.25">
      <c r="A8232" s="2">
        <v>8227</v>
      </c>
      <c r="B8232" s="11" t="str">
        <f>"00402567"</f>
        <v>00402567</v>
      </c>
    </row>
    <row r="8233" spans="1:2" x14ac:dyDescent="0.25">
      <c r="A8233" s="2">
        <v>8228</v>
      </c>
      <c r="B8233" s="11" t="str">
        <f>"00402669"</f>
        <v>00402669</v>
      </c>
    </row>
    <row r="8234" spans="1:2" x14ac:dyDescent="0.25">
      <c r="A8234" s="2">
        <v>8229</v>
      </c>
      <c r="B8234" s="11" t="str">
        <f>"00402682"</f>
        <v>00402682</v>
      </c>
    </row>
    <row r="8235" spans="1:2" x14ac:dyDescent="0.25">
      <c r="A8235" s="2">
        <v>8230</v>
      </c>
      <c r="B8235" s="11" t="str">
        <f>"00402741"</f>
        <v>00402741</v>
      </c>
    </row>
    <row r="8236" spans="1:2" x14ac:dyDescent="0.25">
      <c r="A8236" s="2">
        <v>8231</v>
      </c>
      <c r="B8236" s="11" t="str">
        <f>"00402799"</f>
        <v>00402799</v>
      </c>
    </row>
    <row r="8237" spans="1:2" x14ac:dyDescent="0.25">
      <c r="A8237" s="2">
        <v>8232</v>
      </c>
      <c r="B8237" s="11" t="str">
        <f>"00403088"</f>
        <v>00403088</v>
      </c>
    </row>
    <row r="8238" spans="1:2" x14ac:dyDescent="0.25">
      <c r="A8238" s="2">
        <v>8233</v>
      </c>
      <c r="B8238" s="11" t="str">
        <f>"00403185"</f>
        <v>00403185</v>
      </c>
    </row>
    <row r="8239" spans="1:2" x14ac:dyDescent="0.25">
      <c r="A8239" s="2">
        <v>8234</v>
      </c>
      <c r="B8239" s="11" t="str">
        <f>"00403403"</f>
        <v>00403403</v>
      </c>
    </row>
    <row r="8240" spans="1:2" x14ac:dyDescent="0.25">
      <c r="A8240" s="2">
        <v>8235</v>
      </c>
      <c r="B8240" s="11" t="str">
        <f>"00403410"</f>
        <v>00403410</v>
      </c>
    </row>
    <row r="8241" spans="1:2" x14ac:dyDescent="0.25">
      <c r="A8241" s="2">
        <v>8236</v>
      </c>
      <c r="B8241" s="11" t="str">
        <f>"00403451"</f>
        <v>00403451</v>
      </c>
    </row>
    <row r="8242" spans="1:2" x14ac:dyDescent="0.25">
      <c r="A8242" s="2">
        <v>8237</v>
      </c>
      <c r="B8242" s="11" t="str">
        <f>"00403511"</f>
        <v>00403511</v>
      </c>
    </row>
    <row r="8243" spans="1:2" x14ac:dyDescent="0.25">
      <c r="A8243" s="2">
        <v>8238</v>
      </c>
      <c r="B8243" s="11" t="str">
        <f>"00403545"</f>
        <v>00403545</v>
      </c>
    </row>
    <row r="8244" spans="1:2" x14ac:dyDescent="0.25">
      <c r="A8244" s="2">
        <v>8239</v>
      </c>
      <c r="B8244" s="11" t="str">
        <f>"00403555"</f>
        <v>00403555</v>
      </c>
    </row>
    <row r="8245" spans="1:2" x14ac:dyDescent="0.25">
      <c r="A8245" s="2">
        <v>8240</v>
      </c>
      <c r="B8245" s="11" t="str">
        <f>"00403630"</f>
        <v>00403630</v>
      </c>
    </row>
    <row r="8246" spans="1:2" x14ac:dyDescent="0.25">
      <c r="A8246" s="2">
        <v>8241</v>
      </c>
      <c r="B8246" s="11" t="str">
        <f>"00403652"</f>
        <v>00403652</v>
      </c>
    </row>
    <row r="8247" spans="1:2" x14ac:dyDescent="0.25">
      <c r="A8247" s="2">
        <v>8242</v>
      </c>
      <c r="B8247" s="11" t="str">
        <f>"00403669"</f>
        <v>00403669</v>
      </c>
    </row>
    <row r="8248" spans="1:2" x14ac:dyDescent="0.25">
      <c r="A8248" s="2">
        <v>8243</v>
      </c>
      <c r="B8248" s="11" t="str">
        <f>"00403738"</f>
        <v>00403738</v>
      </c>
    </row>
    <row r="8249" spans="1:2" x14ac:dyDescent="0.25">
      <c r="A8249" s="2">
        <v>8244</v>
      </c>
      <c r="B8249" s="11" t="str">
        <f>"00403752"</f>
        <v>00403752</v>
      </c>
    </row>
    <row r="8250" spans="1:2" x14ac:dyDescent="0.25">
      <c r="A8250" s="2">
        <v>8245</v>
      </c>
      <c r="B8250" s="11" t="str">
        <f>"00403796"</f>
        <v>00403796</v>
      </c>
    </row>
    <row r="8251" spans="1:2" x14ac:dyDescent="0.25">
      <c r="A8251" s="2">
        <v>8246</v>
      </c>
      <c r="B8251" s="11" t="str">
        <f>"00403802"</f>
        <v>00403802</v>
      </c>
    </row>
    <row r="8252" spans="1:2" x14ac:dyDescent="0.25">
      <c r="A8252" s="2">
        <v>8247</v>
      </c>
      <c r="B8252" s="11" t="str">
        <f>"00403815"</f>
        <v>00403815</v>
      </c>
    </row>
    <row r="8253" spans="1:2" x14ac:dyDescent="0.25">
      <c r="A8253" s="2">
        <v>8248</v>
      </c>
      <c r="B8253" s="11" t="str">
        <f>"00404011"</f>
        <v>00404011</v>
      </c>
    </row>
    <row r="8254" spans="1:2" x14ac:dyDescent="0.25">
      <c r="A8254" s="2">
        <v>8249</v>
      </c>
      <c r="B8254" s="11" t="str">
        <f>"00404032"</f>
        <v>00404032</v>
      </c>
    </row>
    <row r="8255" spans="1:2" x14ac:dyDescent="0.25">
      <c r="A8255" s="2">
        <v>8250</v>
      </c>
      <c r="B8255" s="11" t="str">
        <f>"00404041"</f>
        <v>00404041</v>
      </c>
    </row>
    <row r="8256" spans="1:2" x14ac:dyDescent="0.25">
      <c r="A8256" s="2">
        <v>8251</v>
      </c>
      <c r="B8256" s="11" t="str">
        <f>"00404066"</f>
        <v>00404066</v>
      </c>
    </row>
    <row r="8257" spans="1:2" x14ac:dyDescent="0.25">
      <c r="A8257" s="2">
        <v>8252</v>
      </c>
      <c r="B8257" s="11" t="str">
        <f>"00404223"</f>
        <v>00404223</v>
      </c>
    </row>
    <row r="8258" spans="1:2" x14ac:dyDescent="0.25">
      <c r="A8258" s="2">
        <v>8253</v>
      </c>
      <c r="B8258" s="11" t="str">
        <f>"00404350"</f>
        <v>00404350</v>
      </c>
    </row>
    <row r="8259" spans="1:2" x14ac:dyDescent="0.25">
      <c r="A8259" s="2">
        <v>8254</v>
      </c>
      <c r="B8259" s="11" t="str">
        <f>"00404387"</f>
        <v>00404387</v>
      </c>
    </row>
    <row r="8260" spans="1:2" x14ac:dyDescent="0.25">
      <c r="A8260" s="2">
        <v>8255</v>
      </c>
      <c r="B8260" s="11" t="str">
        <f>"00404449"</f>
        <v>00404449</v>
      </c>
    </row>
    <row r="8261" spans="1:2" x14ac:dyDescent="0.25">
      <c r="A8261" s="2">
        <v>8256</v>
      </c>
      <c r="B8261" s="11" t="str">
        <f>"00404494"</f>
        <v>00404494</v>
      </c>
    </row>
    <row r="8262" spans="1:2" x14ac:dyDescent="0.25">
      <c r="A8262" s="2">
        <v>8257</v>
      </c>
      <c r="B8262" s="11" t="str">
        <f>"00404499"</f>
        <v>00404499</v>
      </c>
    </row>
    <row r="8263" spans="1:2" x14ac:dyDescent="0.25">
      <c r="A8263" s="2">
        <v>8258</v>
      </c>
      <c r="B8263" s="11" t="str">
        <f>"00404592"</f>
        <v>00404592</v>
      </c>
    </row>
    <row r="8264" spans="1:2" x14ac:dyDescent="0.25">
      <c r="A8264" s="2">
        <v>8259</v>
      </c>
      <c r="B8264" s="11" t="str">
        <f>"00404605"</f>
        <v>00404605</v>
      </c>
    </row>
    <row r="8265" spans="1:2" x14ac:dyDescent="0.25">
      <c r="A8265" s="2">
        <v>8260</v>
      </c>
      <c r="B8265" s="11" t="str">
        <f>"00404759"</f>
        <v>00404759</v>
      </c>
    </row>
    <row r="8266" spans="1:2" x14ac:dyDescent="0.25">
      <c r="A8266" s="2">
        <v>8261</v>
      </c>
      <c r="B8266" s="11" t="str">
        <f>"00404768"</f>
        <v>00404768</v>
      </c>
    </row>
    <row r="8267" spans="1:2" x14ac:dyDescent="0.25">
      <c r="A8267" s="2">
        <v>8262</v>
      </c>
      <c r="B8267" s="11" t="str">
        <f>"00404865"</f>
        <v>00404865</v>
      </c>
    </row>
    <row r="8268" spans="1:2" x14ac:dyDescent="0.25">
      <c r="A8268" s="2">
        <v>8263</v>
      </c>
      <c r="B8268" s="11" t="str">
        <f>"00404869"</f>
        <v>00404869</v>
      </c>
    </row>
    <row r="8269" spans="1:2" x14ac:dyDescent="0.25">
      <c r="A8269" s="2">
        <v>8264</v>
      </c>
      <c r="B8269" s="11" t="str">
        <f>"00404999"</f>
        <v>00404999</v>
      </c>
    </row>
    <row r="8270" spans="1:2" x14ac:dyDescent="0.25">
      <c r="A8270" s="2">
        <v>8265</v>
      </c>
      <c r="B8270" s="11" t="str">
        <f>"00405021"</f>
        <v>00405021</v>
      </c>
    </row>
    <row r="8271" spans="1:2" x14ac:dyDescent="0.25">
      <c r="A8271" s="2">
        <v>8266</v>
      </c>
      <c r="B8271" s="11" t="str">
        <f>"00405192"</f>
        <v>00405192</v>
      </c>
    </row>
    <row r="8272" spans="1:2" x14ac:dyDescent="0.25">
      <c r="A8272" s="2">
        <v>8267</v>
      </c>
      <c r="B8272" s="11" t="str">
        <f>"00405265"</f>
        <v>00405265</v>
      </c>
    </row>
    <row r="8273" spans="1:2" x14ac:dyDescent="0.25">
      <c r="A8273" s="2">
        <v>8268</v>
      </c>
      <c r="B8273" s="11" t="str">
        <f>"00405365"</f>
        <v>00405365</v>
      </c>
    </row>
    <row r="8274" spans="1:2" x14ac:dyDescent="0.25">
      <c r="A8274" s="2">
        <v>8269</v>
      </c>
      <c r="B8274" s="11" t="str">
        <f>"00405423"</f>
        <v>00405423</v>
      </c>
    </row>
    <row r="8275" spans="1:2" x14ac:dyDescent="0.25">
      <c r="A8275" s="2">
        <v>8270</v>
      </c>
      <c r="B8275" s="11" t="str">
        <f>"00405436"</f>
        <v>00405436</v>
      </c>
    </row>
    <row r="8276" spans="1:2" x14ac:dyDescent="0.25">
      <c r="A8276" s="2">
        <v>8271</v>
      </c>
      <c r="B8276" s="11" t="str">
        <f>"00405442"</f>
        <v>00405442</v>
      </c>
    </row>
    <row r="8277" spans="1:2" x14ac:dyDescent="0.25">
      <c r="A8277" s="2">
        <v>8272</v>
      </c>
      <c r="B8277" s="11" t="str">
        <f>"00405467"</f>
        <v>00405467</v>
      </c>
    </row>
    <row r="8278" spans="1:2" x14ac:dyDescent="0.25">
      <c r="A8278" s="2">
        <v>8273</v>
      </c>
      <c r="B8278" s="11" t="str">
        <f>"00405535"</f>
        <v>00405535</v>
      </c>
    </row>
    <row r="8279" spans="1:2" x14ac:dyDescent="0.25">
      <c r="A8279" s="2">
        <v>8274</v>
      </c>
      <c r="B8279" s="11" t="str">
        <f>"00405558"</f>
        <v>00405558</v>
      </c>
    </row>
    <row r="8280" spans="1:2" x14ac:dyDescent="0.25">
      <c r="A8280" s="2">
        <v>8275</v>
      </c>
      <c r="B8280" s="11" t="str">
        <f>"00405611"</f>
        <v>00405611</v>
      </c>
    </row>
    <row r="8281" spans="1:2" x14ac:dyDescent="0.25">
      <c r="A8281" s="2">
        <v>8276</v>
      </c>
      <c r="B8281" s="11" t="str">
        <f>"00405617"</f>
        <v>00405617</v>
      </c>
    </row>
    <row r="8282" spans="1:2" x14ac:dyDescent="0.25">
      <c r="A8282" s="2">
        <v>8277</v>
      </c>
      <c r="B8282" s="11" t="str">
        <f>"00405662"</f>
        <v>00405662</v>
      </c>
    </row>
    <row r="8283" spans="1:2" x14ac:dyDescent="0.25">
      <c r="A8283" s="2">
        <v>8278</v>
      </c>
      <c r="B8283" s="11" t="str">
        <f>"00405684"</f>
        <v>00405684</v>
      </c>
    </row>
    <row r="8284" spans="1:2" x14ac:dyDescent="0.25">
      <c r="A8284" s="2">
        <v>8279</v>
      </c>
      <c r="B8284" s="11" t="str">
        <f>"00405952"</f>
        <v>00405952</v>
      </c>
    </row>
    <row r="8285" spans="1:2" x14ac:dyDescent="0.25">
      <c r="A8285" s="2">
        <v>8280</v>
      </c>
      <c r="B8285" s="11" t="str">
        <f>"00405987"</f>
        <v>00405987</v>
      </c>
    </row>
    <row r="8286" spans="1:2" x14ac:dyDescent="0.25">
      <c r="A8286" s="2">
        <v>8281</v>
      </c>
      <c r="B8286" s="11" t="str">
        <f>"00405989"</f>
        <v>00405989</v>
      </c>
    </row>
    <row r="8287" spans="1:2" x14ac:dyDescent="0.25">
      <c r="A8287" s="2">
        <v>8282</v>
      </c>
      <c r="B8287" s="11" t="str">
        <f>"00406257"</f>
        <v>00406257</v>
      </c>
    </row>
    <row r="8288" spans="1:2" x14ac:dyDescent="0.25">
      <c r="A8288" s="2">
        <v>8283</v>
      </c>
      <c r="B8288" s="11" t="str">
        <f>"00406343"</f>
        <v>00406343</v>
      </c>
    </row>
    <row r="8289" spans="1:2" x14ac:dyDescent="0.25">
      <c r="A8289" s="2">
        <v>8284</v>
      </c>
      <c r="B8289" s="11" t="str">
        <f>"00406354"</f>
        <v>00406354</v>
      </c>
    </row>
    <row r="8290" spans="1:2" x14ac:dyDescent="0.25">
      <c r="A8290" s="2">
        <v>8285</v>
      </c>
      <c r="B8290" s="11" t="str">
        <f>"00406484"</f>
        <v>00406484</v>
      </c>
    </row>
    <row r="8291" spans="1:2" x14ac:dyDescent="0.25">
      <c r="A8291" s="2">
        <v>8286</v>
      </c>
      <c r="B8291" s="11" t="str">
        <f>"00406569"</f>
        <v>00406569</v>
      </c>
    </row>
    <row r="8292" spans="1:2" x14ac:dyDescent="0.25">
      <c r="A8292" s="2">
        <v>8287</v>
      </c>
      <c r="B8292" s="11" t="str">
        <f>"00406629"</f>
        <v>00406629</v>
      </c>
    </row>
    <row r="8293" spans="1:2" x14ac:dyDescent="0.25">
      <c r="A8293" s="2">
        <v>8288</v>
      </c>
      <c r="B8293" s="11" t="str">
        <f>"00406664"</f>
        <v>00406664</v>
      </c>
    </row>
    <row r="8294" spans="1:2" x14ac:dyDescent="0.25">
      <c r="A8294" s="2">
        <v>8289</v>
      </c>
      <c r="B8294" s="11" t="str">
        <f>"00406783"</f>
        <v>00406783</v>
      </c>
    </row>
    <row r="8295" spans="1:2" x14ac:dyDescent="0.25">
      <c r="A8295" s="2">
        <v>8290</v>
      </c>
      <c r="B8295" s="11" t="str">
        <f>"00406812"</f>
        <v>00406812</v>
      </c>
    </row>
    <row r="8296" spans="1:2" x14ac:dyDescent="0.25">
      <c r="A8296" s="2">
        <v>8291</v>
      </c>
      <c r="B8296" s="11" t="str">
        <f>"00406940"</f>
        <v>00406940</v>
      </c>
    </row>
    <row r="8297" spans="1:2" x14ac:dyDescent="0.25">
      <c r="A8297" s="2">
        <v>8292</v>
      </c>
      <c r="B8297" s="11" t="str">
        <f>"00407041"</f>
        <v>00407041</v>
      </c>
    </row>
    <row r="8298" spans="1:2" x14ac:dyDescent="0.25">
      <c r="A8298" s="2">
        <v>8293</v>
      </c>
      <c r="B8298" s="11" t="str">
        <f>"00407114"</f>
        <v>00407114</v>
      </c>
    </row>
    <row r="8299" spans="1:2" x14ac:dyDescent="0.25">
      <c r="A8299" s="2">
        <v>8294</v>
      </c>
      <c r="B8299" s="11" t="str">
        <f>"00407137"</f>
        <v>00407137</v>
      </c>
    </row>
    <row r="8300" spans="1:2" x14ac:dyDescent="0.25">
      <c r="A8300" s="2">
        <v>8295</v>
      </c>
      <c r="B8300" s="11" t="str">
        <f>"00407186"</f>
        <v>00407186</v>
      </c>
    </row>
    <row r="8301" spans="1:2" x14ac:dyDescent="0.25">
      <c r="A8301" s="2">
        <v>8296</v>
      </c>
      <c r="B8301" s="11" t="str">
        <f>"00407202"</f>
        <v>00407202</v>
      </c>
    </row>
    <row r="8302" spans="1:2" x14ac:dyDescent="0.25">
      <c r="A8302" s="2">
        <v>8297</v>
      </c>
      <c r="B8302" s="11" t="str">
        <f>"00407375"</f>
        <v>00407375</v>
      </c>
    </row>
    <row r="8303" spans="1:2" x14ac:dyDescent="0.25">
      <c r="A8303" s="2">
        <v>8298</v>
      </c>
      <c r="B8303" s="11" t="str">
        <f>"00407382"</f>
        <v>00407382</v>
      </c>
    </row>
    <row r="8304" spans="1:2" x14ac:dyDescent="0.25">
      <c r="A8304" s="2">
        <v>8299</v>
      </c>
      <c r="B8304" s="11" t="str">
        <f>"00407419"</f>
        <v>00407419</v>
      </c>
    </row>
    <row r="8305" spans="1:2" x14ac:dyDescent="0.25">
      <c r="A8305" s="2">
        <v>8300</v>
      </c>
      <c r="B8305" s="11" t="str">
        <f>"00407431"</f>
        <v>00407431</v>
      </c>
    </row>
    <row r="8306" spans="1:2" x14ac:dyDescent="0.25">
      <c r="A8306" s="2">
        <v>8301</v>
      </c>
      <c r="B8306" s="11" t="str">
        <f>"00407491"</f>
        <v>00407491</v>
      </c>
    </row>
    <row r="8307" spans="1:2" x14ac:dyDescent="0.25">
      <c r="A8307" s="2">
        <v>8302</v>
      </c>
      <c r="B8307" s="11" t="str">
        <f>"00407592"</f>
        <v>00407592</v>
      </c>
    </row>
    <row r="8308" spans="1:2" x14ac:dyDescent="0.25">
      <c r="A8308" s="2">
        <v>8303</v>
      </c>
      <c r="B8308" s="11" t="str">
        <f>"00407631"</f>
        <v>00407631</v>
      </c>
    </row>
    <row r="8309" spans="1:2" x14ac:dyDescent="0.25">
      <c r="A8309" s="2">
        <v>8304</v>
      </c>
      <c r="B8309" s="11" t="str">
        <f>"00407664"</f>
        <v>00407664</v>
      </c>
    </row>
    <row r="8310" spans="1:2" x14ac:dyDescent="0.25">
      <c r="A8310" s="2">
        <v>8305</v>
      </c>
      <c r="B8310" s="11" t="str">
        <f>"00407760"</f>
        <v>00407760</v>
      </c>
    </row>
    <row r="8311" spans="1:2" x14ac:dyDescent="0.25">
      <c r="A8311" s="2">
        <v>8306</v>
      </c>
      <c r="B8311" s="11" t="str">
        <f>"00407840"</f>
        <v>00407840</v>
      </c>
    </row>
    <row r="8312" spans="1:2" x14ac:dyDescent="0.25">
      <c r="A8312" s="2">
        <v>8307</v>
      </c>
      <c r="B8312" s="11" t="str">
        <f>"00408000"</f>
        <v>00408000</v>
      </c>
    </row>
    <row r="8313" spans="1:2" x14ac:dyDescent="0.25">
      <c r="A8313" s="2">
        <v>8308</v>
      </c>
      <c r="B8313" s="11" t="str">
        <f>"00408139"</f>
        <v>00408139</v>
      </c>
    </row>
    <row r="8314" spans="1:2" x14ac:dyDescent="0.25">
      <c r="A8314" s="2">
        <v>8309</v>
      </c>
      <c r="B8314" s="11" t="str">
        <f>"00408170"</f>
        <v>00408170</v>
      </c>
    </row>
    <row r="8315" spans="1:2" x14ac:dyDescent="0.25">
      <c r="A8315" s="2">
        <v>8310</v>
      </c>
      <c r="B8315" s="11" t="str">
        <f>"00408189"</f>
        <v>00408189</v>
      </c>
    </row>
    <row r="8316" spans="1:2" x14ac:dyDescent="0.25">
      <c r="A8316" s="2">
        <v>8311</v>
      </c>
      <c r="B8316" s="11" t="str">
        <f>"00408302"</f>
        <v>00408302</v>
      </c>
    </row>
    <row r="8317" spans="1:2" x14ac:dyDescent="0.25">
      <c r="A8317" s="2">
        <v>8312</v>
      </c>
      <c r="B8317" s="11" t="str">
        <f>"00408627"</f>
        <v>00408627</v>
      </c>
    </row>
    <row r="8318" spans="1:2" x14ac:dyDescent="0.25">
      <c r="A8318" s="2">
        <v>8313</v>
      </c>
      <c r="B8318" s="11" t="str">
        <f>"00408656"</f>
        <v>00408656</v>
      </c>
    </row>
    <row r="8319" spans="1:2" x14ac:dyDescent="0.25">
      <c r="A8319" s="2">
        <v>8314</v>
      </c>
      <c r="B8319" s="11" t="str">
        <f>"00408683"</f>
        <v>00408683</v>
      </c>
    </row>
    <row r="8320" spans="1:2" x14ac:dyDescent="0.25">
      <c r="A8320" s="2">
        <v>8315</v>
      </c>
      <c r="B8320" s="11" t="str">
        <f>"00408816"</f>
        <v>00408816</v>
      </c>
    </row>
    <row r="8321" spans="1:2" x14ac:dyDescent="0.25">
      <c r="A8321" s="2">
        <v>8316</v>
      </c>
      <c r="B8321" s="11" t="str">
        <f>"00408876"</f>
        <v>00408876</v>
      </c>
    </row>
    <row r="8322" spans="1:2" x14ac:dyDescent="0.25">
      <c r="A8322" s="2">
        <v>8317</v>
      </c>
      <c r="B8322" s="11" t="str">
        <f>"00408878"</f>
        <v>00408878</v>
      </c>
    </row>
    <row r="8323" spans="1:2" x14ac:dyDescent="0.25">
      <c r="A8323" s="2">
        <v>8318</v>
      </c>
      <c r="B8323" s="11" t="str">
        <f>"00408979"</f>
        <v>00408979</v>
      </c>
    </row>
    <row r="8324" spans="1:2" x14ac:dyDescent="0.25">
      <c r="A8324" s="2">
        <v>8319</v>
      </c>
      <c r="B8324" s="11" t="str">
        <f>"00408994"</f>
        <v>00408994</v>
      </c>
    </row>
    <row r="8325" spans="1:2" x14ac:dyDescent="0.25">
      <c r="A8325" s="2">
        <v>8320</v>
      </c>
      <c r="B8325" s="11" t="str">
        <f>"00409059"</f>
        <v>00409059</v>
      </c>
    </row>
    <row r="8326" spans="1:2" x14ac:dyDescent="0.25">
      <c r="A8326" s="2">
        <v>8321</v>
      </c>
      <c r="B8326" s="11" t="str">
        <f>"00409291"</f>
        <v>00409291</v>
      </c>
    </row>
    <row r="8327" spans="1:2" x14ac:dyDescent="0.25">
      <c r="A8327" s="2">
        <v>8322</v>
      </c>
      <c r="B8327" s="11" t="str">
        <f>"00409324"</f>
        <v>00409324</v>
      </c>
    </row>
    <row r="8328" spans="1:2" x14ac:dyDescent="0.25">
      <c r="A8328" s="2">
        <v>8323</v>
      </c>
      <c r="B8328" s="11" t="str">
        <f>"00409351"</f>
        <v>00409351</v>
      </c>
    </row>
    <row r="8329" spans="1:2" x14ac:dyDescent="0.25">
      <c r="A8329" s="2">
        <v>8324</v>
      </c>
      <c r="B8329" s="11" t="str">
        <f>"00409570"</f>
        <v>00409570</v>
      </c>
    </row>
    <row r="8330" spans="1:2" x14ac:dyDescent="0.25">
      <c r="A8330" s="2">
        <v>8325</v>
      </c>
      <c r="B8330" s="11" t="str">
        <f>"00409645"</f>
        <v>00409645</v>
      </c>
    </row>
    <row r="8331" spans="1:2" x14ac:dyDescent="0.25">
      <c r="A8331" s="2">
        <v>8326</v>
      </c>
      <c r="B8331" s="11" t="str">
        <f>"00409688"</f>
        <v>00409688</v>
      </c>
    </row>
    <row r="8332" spans="1:2" x14ac:dyDescent="0.25">
      <c r="A8332" s="2">
        <v>8327</v>
      </c>
      <c r="B8332" s="11" t="str">
        <f>"00409731"</f>
        <v>00409731</v>
      </c>
    </row>
    <row r="8333" spans="1:2" x14ac:dyDescent="0.25">
      <c r="A8333" s="2">
        <v>8328</v>
      </c>
      <c r="B8333" s="11" t="str">
        <f>"00409771"</f>
        <v>00409771</v>
      </c>
    </row>
    <row r="8334" spans="1:2" x14ac:dyDescent="0.25">
      <c r="A8334" s="2">
        <v>8329</v>
      </c>
      <c r="B8334" s="11" t="str">
        <f>"00409812"</f>
        <v>00409812</v>
      </c>
    </row>
    <row r="8335" spans="1:2" x14ac:dyDescent="0.25">
      <c r="A8335" s="2">
        <v>8330</v>
      </c>
      <c r="B8335" s="11" t="str">
        <f>"00409872"</f>
        <v>00409872</v>
      </c>
    </row>
    <row r="8336" spans="1:2" x14ac:dyDescent="0.25">
      <c r="A8336" s="2">
        <v>8331</v>
      </c>
      <c r="B8336" s="11" t="str">
        <f>"00410035"</f>
        <v>00410035</v>
      </c>
    </row>
    <row r="8337" spans="1:2" x14ac:dyDescent="0.25">
      <c r="A8337" s="2">
        <v>8332</v>
      </c>
      <c r="B8337" s="11" t="str">
        <f>"00410265"</f>
        <v>00410265</v>
      </c>
    </row>
    <row r="8338" spans="1:2" x14ac:dyDescent="0.25">
      <c r="A8338" s="2">
        <v>8333</v>
      </c>
      <c r="B8338" s="11" t="str">
        <f>"00410288"</f>
        <v>00410288</v>
      </c>
    </row>
    <row r="8339" spans="1:2" x14ac:dyDescent="0.25">
      <c r="A8339" s="2">
        <v>8334</v>
      </c>
      <c r="B8339" s="11" t="str">
        <f>"00410370"</f>
        <v>00410370</v>
      </c>
    </row>
    <row r="8340" spans="1:2" x14ac:dyDescent="0.25">
      <c r="A8340" s="2">
        <v>8335</v>
      </c>
      <c r="B8340" s="11" t="str">
        <f>"00410381"</f>
        <v>00410381</v>
      </c>
    </row>
    <row r="8341" spans="1:2" x14ac:dyDescent="0.25">
      <c r="A8341" s="2">
        <v>8336</v>
      </c>
      <c r="B8341" s="11" t="str">
        <f>"00410443"</f>
        <v>00410443</v>
      </c>
    </row>
    <row r="8342" spans="1:2" x14ac:dyDescent="0.25">
      <c r="A8342" s="2">
        <v>8337</v>
      </c>
      <c r="B8342" s="11" t="str">
        <f>"00410506"</f>
        <v>00410506</v>
      </c>
    </row>
    <row r="8343" spans="1:2" x14ac:dyDescent="0.25">
      <c r="A8343" s="2">
        <v>8338</v>
      </c>
      <c r="B8343" s="11" t="str">
        <f>"00410663"</f>
        <v>00410663</v>
      </c>
    </row>
    <row r="8344" spans="1:2" x14ac:dyDescent="0.25">
      <c r="A8344" s="2">
        <v>8339</v>
      </c>
      <c r="B8344" s="11" t="str">
        <f>"00410730"</f>
        <v>00410730</v>
      </c>
    </row>
    <row r="8345" spans="1:2" x14ac:dyDescent="0.25">
      <c r="A8345" s="2">
        <v>8340</v>
      </c>
      <c r="B8345" s="11" t="str">
        <f>"00410815"</f>
        <v>00410815</v>
      </c>
    </row>
    <row r="8346" spans="1:2" x14ac:dyDescent="0.25">
      <c r="A8346" s="2">
        <v>8341</v>
      </c>
      <c r="B8346" s="11" t="str">
        <f>"00410986"</f>
        <v>00410986</v>
      </c>
    </row>
    <row r="8347" spans="1:2" x14ac:dyDescent="0.25">
      <c r="A8347" s="2">
        <v>8342</v>
      </c>
      <c r="B8347" s="11" t="str">
        <f>"00411024"</f>
        <v>00411024</v>
      </c>
    </row>
    <row r="8348" spans="1:2" x14ac:dyDescent="0.25">
      <c r="A8348" s="2">
        <v>8343</v>
      </c>
      <c r="B8348" s="11" t="str">
        <f>"00411045"</f>
        <v>00411045</v>
      </c>
    </row>
    <row r="8349" spans="1:2" x14ac:dyDescent="0.25">
      <c r="A8349" s="2">
        <v>8344</v>
      </c>
      <c r="B8349" s="11" t="str">
        <f>"00411140"</f>
        <v>00411140</v>
      </c>
    </row>
    <row r="8350" spans="1:2" x14ac:dyDescent="0.25">
      <c r="A8350" s="2">
        <v>8345</v>
      </c>
      <c r="B8350" s="11" t="str">
        <f>"00411156"</f>
        <v>00411156</v>
      </c>
    </row>
    <row r="8351" spans="1:2" x14ac:dyDescent="0.25">
      <c r="A8351" s="2">
        <v>8346</v>
      </c>
      <c r="B8351" s="11" t="str">
        <f>"00411181"</f>
        <v>00411181</v>
      </c>
    </row>
    <row r="8352" spans="1:2" x14ac:dyDescent="0.25">
      <c r="A8352" s="2">
        <v>8347</v>
      </c>
      <c r="B8352" s="11" t="str">
        <f>"00411191"</f>
        <v>00411191</v>
      </c>
    </row>
    <row r="8353" spans="1:2" x14ac:dyDescent="0.25">
      <c r="A8353" s="2">
        <v>8348</v>
      </c>
      <c r="B8353" s="11" t="str">
        <f>"00411199"</f>
        <v>00411199</v>
      </c>
    </row>
    <row r="8354" spans="1:2" x14ac:dyDescent="0.25">
      <c r="A8354" s="2">
        <v>8349</v>
      </c>
      <c r="B8354" s="11" t="str">
        <f>"00411216"</f>
        <v>00411216</v>
      </c>
    </row>
    <row r="8355" spans="1:2" x14ac:dyDescent="0.25">
      <c r="A8355" s="2">
        <v>8350</v>
      </c>
      <c r="B8355" s="11" t="str">
        <f>"00411314"</f>
        <v>00411314</v>
      </c>
    </row>
    <row r="8356" spans="1:2" x14ac:dyDescent="0.25">
      <c r="A8356" s="2">
        <v>8351</v>
      </c>
      <c r="B8356" s="11" t="str">
        <f>"00411359"</f>
        <v>00411359</v>
      </c>
    </row>
    <row r="8357" spans="1:2" x14ac:dyDescent="0.25">
      <c r="A8357" s="2">
        <v>8352</v>
      </c>
      <c r="B8357" s="11" t="str">
        <f>"00411379"</f>
        <v>00411379</v>
      </c>
    </row>
    <row r="8358" spans="1:2" x14ac:dyDescent="0.25">
      <c r="A8358" s="2">
        <v>8353</v>
      </c>
      <c r="B8358" s="11" t="str">
        <f>"00411445"</f>
        <v>00411445</v>
      </c>
    </row>
    <row r="8359" spans="1:2" x14ac:dyDescent="0.25">
      <c r="A8359" s="2">
        <v>8354</v>
      </c>
      <c r="B8359" s="11" t="str">
        <f>"00411620"</f>
        <v>00411620</v>
      </c>
    </row>
    <row r="8360" spans="1:2" x14ac:dyDescent="0.25">
      <c r="A8360" s="2">
        <v>8355</v>
      </c>
      <c r="B8360" s="11" t="str">
        <f>"00415316"</f>
        <v>00415316</v>
      </c>
    </row>
    <row r="8361" spans="1:2" x14ac:dyDescent="0.25">
      <c r="A8361" s="2">
        <v>8356</v>
      </c>
      <c r="B8361" s="11" t="str">
        <f>"00415558"</f>
        <v>00415558</v>
      </c>
    </row>
    <row r="8362" spans="1:2" x14ac:dyDescent="0.25">
      <c r="A8362" s="2">
        <v>8357</v>
      </c>
      <c r="B8362" s="11" t="str">
        <f>"00415881"</f>
        <v>00415881</v>
      </c>
    </row>
    <row r="8363" spans="1:2" x14ac:dyDescent="0.25">
      <c r="A8363" s="2">
        <v>8358</v>
      </c>
      <c r="B8363" s="11" t="str">
        <f>"00416096"</f>
        <v>00416096</v>
      </c>
    </row>
    <row r="8364" spans="1:2" x14ac:dyDescent="0.25">
      <c r="A8364" s="2">
        <v>8359</v>
      </c>
      <c r="B8364" s="11" t="str">
        <f>"00416117"</f>
        <v>00416117</v>
      </c>
    </row>
    <row r="8365" spans="1:2" x14ac:dyDescent="0.25">
      <c r="A8365" s="2">
        <v>8360</v>
      </c>
      <c r="B8365" s="11" t="str">
        <f>"00416217"</f>
        <v>00416217</v>
      </c>
    </row>
    <row r="8366" spans="1:2" x14ac:dyDescent="0.25">
      <c r="A8366" s="2">
        <v>8361</v>
      </c>
      <c r="B8366" s="11" t="str">
        <f>"00416373"</f>
        <v>00416373</v>
      </c>
    </row>
    <row r="8367" spans="1:2" x14ac:dyDescent="0.25">
      <c r="A8367" s="2">
        <v>8362</v>
      </c>
      <c r="B8367" s="11" t="str">
        <f>"00416494"</f>
        <v>00416494</v>
      </c>
    </row>
    <row r="8368" spans="1:2" x14ac:dyDescent="0.25">
      <c r="A8368" s="2">
        <v>8363</v>
      </c>
      <c r="B8368" s="11" t="str">
        <f>"00416503"</f>
        <v>00416503</v>
      </c>
    </row>
    <row r="8369" spans="1:2" x14ac:dyDescent="0.25">
      <c r="A8369" s="2">
        <v>8364</v>
      </c>
      <c r="B8369" s="11" t="str">
        <f>"00416513"</f>
        <v>00416513</v>
      </c>
    </row>
    <row r="8370" spans="1:2" x14ac:dyDescent="0.25">
      <c r="A8370" s="2">
        <v>8365</v>
      </c>
      <c r="B8370" s="11" t="str">
        <f>"00416613"</f>
        <v>00416613</v>
      </c>
    </row>
    <row r="8371" spans="1:2" x14ac:dyDescent="0.25">
      <c r="A8371" s="2">
        <v>8366</v>
      </c>
      <c r="B8371" s="11" t="str">
        <f>"00416662"</f>
        <v>00416662</v>
      </c>
    </row>
    <row r="8372" spans="1:2" x14ac:dyDescent="0.25">
      <c r="A8372" s="2">
        <v>8367</v>
      </c>
      <c r="B8372" s="11" t="str">
        <f>"00416686"</f>
        <v>00416686</v>
      </c>
    </row>
    <row r="8373" spans="1:2" x14ac:dyDescent="0.25">
      <c r="A8373" s="2">
        <v>8368</v>
      </c>
      <c r="B8373" s="11" t="str">
        <f>"00416722"</f>
        <v>00416722</v>
      </c>
    </row>
    <row r="8374" spans="1:2" x14ac:dyDescent="0.25">
      <c r="A8374" s="2">
        <v>8369</v>
      </c>
      <c r="B8374" s="11" t="str">
        <f>"00416776"</f>
        <v>00416776</v>
      </c>
    </row>
    <row r="8375" spans="1:2" x14ac:dyDescent="0.25">
      <c r="A8375" s="2">
        <v>8370</v>
      </c>
      <c r="B8375" s="11" t="str">
        <f>"00416801"</f>
        <v>00416801</v>
      </c>
    </row>
    <row r="8376" spans="1:2" x14ac:dyDescent="0.25">
      <c r="A8376" s="2">
        <v>8371</v>
      </c>
      <c r="B8376" s="11" t="str">
        <f>"00416831"</f>
        <v>00416831</v>
      </c>
    </row>
    <row r="8377" spans="1:2" x14ac:dyDescent="0.25">
      <c r="A8377" s="2">
        <v>8372</v>
      </c>
      <c r="B8377" s="11" t="str">
        <f>"00416917"</f>
        <v>00416917</v>
      </c>
    </row>
    <row r="8378" spans="1:2" x14ac:dyDescent="0.25">
      <c r="A8378" s="2">
        <v>8373</v>
      </c>
      <c r="B8378" s="11" t="str">
        <f>"00416968"</f>
        <v>00416968</v>
      </c>
    </row>
    <row r="8379" spans="1:2" x14ac:dyDescent="0.25">
      <c r="A8379" s="2">
        <v>8374</v>
      </c>
      <c r="B8379" s="11" t="str">
        <f>"00417012"</f>
        <v>00417012</v>
      </c>
    </row>
    <row r="8380" spans="1:2" x14ac:dyDescent="0.25">
      <c r="A8380" s="2">
        <v>8375</v>
      </c>
      <c r="B8380" s="11" t="str">
        <f>"00417040"</f>
        <v>00417040</v>
      </c>
    </row>
    <row r="8381" spans="1:2" x14ac:dyDescent="0.25">
      <c r="A8381" s="2">
        <v>8376</v>
      </c>
      <c r="B8381" s="11" t="str">
        <f>"00417063"</f>
        <v>00417063</v>
      </c>
    </row>
    <row r="8382" spans="1:2" x14ac:dyDescent="0.25">
      <c r="A8382" s="2">
        <v>8377</v>
      </c>
      <c r="B8382" s="11" t="str">
        <f>"00417223"</f>
        <v>00417223</v>
      </c>
    </row>
    <row r="8383" spans="1:2" x14ac:dyDescent="0.25">
      <c r="A8383" s="2">
        <v>8378</v>
      </c>
      <c r="B8383" s="11" t="str">
        <f>"00417268"</f>
        <v>00417268</v>
      </c>
    </row>
    <row r="8384" spans="1:2" x14ac:dyDescent="0.25">
      <c r="A8384" s="2">
        <v>8379</v>
      </c>
      <c r="B8384" s="11" t="str">
        <f>"00417466"</f>
        <v>00417466</v>
      </c>
    </row>
    <row r="8385" spans="1:2" x14ac:dyDescent="0.25">
      <c r="A8385" s="2">
        <v>8380</v>
      </c>
      <c r="B8385" s="11" t="str">
        <f>"00417512"</f>
        <v>00417512</v>
      </c>
    </row>
    <row r="8386" spans="1:2" x14ac:dyDescent="0.25">
      <c r="A8386" s="2">
        <v>8381</v>
      </c>
      <c r="B8386" s="11" t="str">
        <f>"00417514"</f>
        <v>00417514</v>
      </c>
    </row>
    <row r="8387" spans="1:2" x14ac:dyDescent="0.25">
      <c r="A8387" s="2">
        <v>8382</v>
      </c>
      <c r="B8387" s="11" t="str">
        <f>"00417989"</f>
        <v>00417989</v>
      </c>
    </row>
    <row r="8388" spans="1:2" x14ac:dyDescent="0.25">
      <c r="A8388" s="2">
        <v>8383</v>
      </c>
      <c r="B8388" s="11" t="str">
        <f>"00418032"</f>
        <v>00418032</v>
      </c>
    </row>
    <row r="8389" spans="1:2" x14ac:dyDescent="0.25">
      <c r="A8389" s="2">
        <v>8384</v>
      </c>
      <c r="B8389" s="11" t="str">
        <f>"00418034"</f>
        <v>00418034</v>
      </c>
    </row>
    <row r="8390" spans="1:2" x14ac:dyDescent="0.25">
      <c r="A8390" s="2">
        <v>8385</v>
      </c>
      <c r="B8390" s="11" t="str">
        <f>"00418165"</f>
        <v>00418165</v>
      </c>
    </row>
    <row r="8391" spans="1:2" x14ac:dyDescent="0.25">
      <c r="A8391" s="2">
        <v>8386</v>
      </c>
      <c r="B8391" s="11" t="str">
        <f>"00418174"</f>
        <v>00418174</v>
      </c>
    </row>
    <row r="8392" spans="1:2" x14ac:dyDescent="0.25">
      <c r="A8392" s="2">
        <v>8387</v>
      </c>
      <c r="B8392" s="11" t="str">
        <f>"00418251"</f>
        <v>00418251</v>
      </c>
    </row>
    <row r="8393" spans="1:2" x14ac:dyDescent="0.25">
      <c r="A8393" s="2">
        <v>8388</v>
      </c>
      <c r="B8393" s="11" t="str">
        <f>"00418313"</f>
        <v>00418313</v>
      </c>
    </row>
    <row r="8394" spans="1:2" x14ac:dyDescent="0.25">
      <c r="A8394" s="2">
        <v>8389</v>
      </c>
      <c r="B8394" s="11" t="str">
        <f>"00418521"</f>
        <v>00418521</v>
      </c>
    </row>
    <row r="8395" spans="1:2" x14ac:dyDescent="0.25">
      <c r="A8395" s="2">
        <v>8390</v>
      </c>
      <c r="B8395" s="11" t="str">
        <f>"00418532"</f>
        <v>00418532</v>
      </c>
    </row>
    <row r="8396" spans="1:2" x14ac:dyDescent="0.25">
      <c r="A8396" s="2">
        <v>8391</v>
      </c>
      <c r="B8396" s="11" t="str">
        <f>"00418535"</f>
        <v>00418535</v>
      </c>
    </row>
    <row r="8397" spans="1:2" x14ac:dyDescent="0.25">
      <c r="A8397" s="2">
        <v>8392</v>
      </c>
      <c r="B8397" s="11" t="str">
        <f>"00418574"</f>
        <v>00418574</v>
      </c>
    </row>
    <row r="8398" spans="1:2" x14ac:dyDescent="0.25">
      <c r="A8398" s="2">
        <v>8393</v>
      </c>
      <c r="B8398" s="11" t="str">
        <f>"00418598"</f>
        <v>00418598</v>
      </c>
    </row>
    <row r="8399" spans="1:2" x14ac:dyDescent="0.25">
      <c r="A8399" s="2">
        <v>8394</v>
      </c>
      <c r="B8399" s="11" t="str">
        <f>"00418678"</f>
        <v>00418678</v>
      </c>
    </row>
    <row r="8400" spans="1:2" x14ac:dyDescent="0.25">
      <c r="A8400" s="2">
        <v>8395</v>
      </c>
      <c r="B8400" s="11" t="str">
        <f>"00418681"</f>
        <v>00418681</v>
      </c>
    </row>
    <row r="8401" spans="1:2" x14ac:dyDescent="0.25">
      <c r="A8401" s="2">
        <v>8396</v>
      </c>
      <c r="B8401" s="11" t="str">
        <f>"00418723"</f>
        <v>00418723</v>
      </c>
    </row>
    <row r="8402" spans="1:2" x14ac:dyDescent="0.25">
      <c r="A8402" s="2">
        <v>8397</v>
      </c>
      <c r="B8402" s="11" t="str">
        <f>"00418781"</f>
        <v>00418781</v>
      </c>
    </row>
    <row r="8403" spans="1:2" x14ac:dyDescent="0.25">
      <c r="A8403" s="2">
        <v>8398</v>
      </c>
      <c r="B8403" s="11" t="str">
        <f>"00418797"</f>
        <v>00418797</v>
      </c>
    </row>
    <row r="8404" spans="1:2" x14ac:dyDescent="0.25">
      <c r="A8404" s="2">
        <v>8399</v>
      </c>
      <c r="B8404" s="11" t="str">
        <f>"00419036"</f>
        <v>00419036</v>
      </c>
    </row>
    <row r="8405" spans="1:2" x14ac:dyDescent="0.25">
      <c r="A8405" s="2">
        <v>8400</v>
      </c>
      <c r="B8405" s="11" t="str">
        <f>"00419037"</f>
        <v>00419037</v>
      </c>
    </row>
    <row r="8406" spans="1:2" x14ac:dyDescent="0.25">
      <c r="A8406" s="2">
        <v>8401</v>
      </c>
      <c r="B8406" s="11" t="str">
        <f>"00419082"</f>
        <v>00419082</v>
      </c>
    </row>
    <row r="8407" spans="1:2" x14ac:dyDescent="0.25">
      <c r="A8407" s="2">
        <v>8402</v>
      </c>
      <c r="B8407" s="11" t="str">
        <f>"00419281"</f>
        <v>00419281</v>
      </c>
    </row>
    <row r="8408" spans="1:2" x14ac:dyDescent="0.25">
      <c r="A8408" s="2">
        <v>8403</v>
      </c>
      <c r="B8408" s="11" t="str">
        <f>"00419451"</f>
        <v>00419451</v>
      </c>
    </row>
    <row r="8409" spans="1:2" x14ac:dyDescent="0.25">
      <c r="A8409" s="2">
        <v>8404</v>
      </c>
      <c r="B8409" s="11" t="str">
        <f>"00419498"</f>
        <v>00419498</v>
      </c>
    </row>
    <row r="8410" spans="1:2" x14ac:dyDescent="0.25">
      <c r="A8410" s="2">
        <v>8405</v>
      </c>
      <c r="B8410" s="11" t="str">
        <f>"00419708"</f>
        <v>00419708</v>
      </c>
    </row>
    <row r="8411" spans="1:2" x14ac:dyDescent="0.25">
      <c r="A8411" s="2">
        <v>8406</v>
      </c>
      <c r="B8411" s="11" t="str">
        <f>"00419973"</f>
        <v>00419973</v>
      </c>
    </row>
    <row r="8412" spans="1:2" x14ac:dyDescent="0.25">
      <c r="A8412" s="2">
        <v>8407</v>
      </c>
      <c r="B8412" s="11" t="str">
        <f>"00420085"</f>
        <v>00420085</v>
      </c>
    </row>
    <row r="8413" spans="1:2" x14ac:dyDescent="0.25">
      <c r="A8413" s="2">
        <v>8408</v>
      </c>
      <c r="B8413" s="11" t="str">
        <f>"00420121"</f>
        <v>00420121</v>
      </c>
    </row>
    <row r="8414" spans="1:2" x14ac:dyDescent="0.25">
      <c r="A8414" s="2">
        <v>8409</v>
      </c>
      <c r="B8414" s="11" t="str">
        <f>"00420137"</f>
        <v>00420137</v>
      </c>
    </row>
    <row r="8415" spans="1:2" x14ac:dyDescent="0.25">
      <c r="A8415" s="2">
        <v>8410</v>
      </c>
      <c r="B8415" s="11" t="str">
        <f>"00420154"</f>
        <v>00420154</v>
      </c>
    </row>
    <row r="8416" spans="1:2" x14ac:dyDescent="0.25">
      <c r="A8416" s="2">
        <v>8411</v>
      </c>
      <c r="B8416" s="11" t="str">
        <f>"00420170"</f>
        <v>00420170</v>
      </c>
    </row>
    <row r="8417" spans="1:2" x14ac:dyDescent="0.25">
      <c r="A8417" s="2">
        <v>8412</v>
      </c>
      <c r="B8417" s="11" t="str">
        <f>"00420195"</f>
        <v>00420195</v>
      </c>
    </row>
    <row r="8418" spans="1:2" x14ac:dyDescent="0.25">
      <c r="A8418" s="2">
        <v>8413</v>
      </c>
      <c r="B8418" s="11" t="str">
        <f>"00420229"</f>
        <v>00420229</v>
      </c>
    </row>
    <row r="8419" spans="1:2" x14ac:dyDescent="0.25">
      <c r="A8419" s="2">
        <v>8414</v>
      </c>
      <c r="B8419" s="11" t="str">
        <f>"00420244"</f>
        <v>00420244</v>
      </c>
    </row>
    <row r="8420" spans="1:2" x14ac:dyDescent="0.25">
      <c r="A8420" s="2">
        <v>8415</v>
      </c>
      <c r="B8420" s="11" t="str">
        <f>"00420300"</f>
        <v>00420300</v>
      </c>
    </row>
    <row r="8421" spans="1:2" x14ac:dyDescent="0.25">
      <c r="A8421" s="2">
        <v>8416</v>
      </c>
      <c r="B8421" s="11" t="str">
        <f>"00420334"</f>
        <v>00420334</v>
      </c>
    </row>
    <row r="8422" spans="1:2" x14ac:dyDescent="0.25">
      <c r="A8422" s="2">
        <v>8417</v>
      </c>
      <c r="B8422" s="11" t="str">
        <f>"00420404"</f>
        <v>00420404</v>
      </c>
    </row>
    <row r="8423" spans="1:2" x14ac:dyDescent="0.25">
      <c r="A8423" s="2">
        <v>8418</v>
      </c>
      <c r="B8423" s="11" t="str">
        <f>"00420472"</f>
        <v>00420472</v>
      </c>
    </row>
    <row r="8424" spans="1:2" x14ac:dyDescent="0.25">
      <c r="A8424" s="2">
        <v>8419</v>
      </c>
      <c r="B8424" s="11" t="str">
        <f>"00420486"</f>
        <v>00420486</v>
      </c>
    </row>
    <row r="8425" spans="1:2" x14ac:dyDescent="0.25">
      <c r="A8425" s="2">
        <v>8420</v>
      </c>
      <c r="B8425" s="11" t="str">
        <f>"00420625"</f>
        <v>00420625</v>
      </c>
    </row>
    <row r="8426" spans="1:2" x14ac:dyDescent="0.25">
      <c r="A8426" s="2">
        <v>8421</v>
      </c>
      <c r="B8426" s="11" t="str">
        <f>"00420668"</f>
        <v>00420668</v>
      </c>
    </row>
    <row r="8427" spans="1:2" x14ac:dyDescent="0.25">
      <c r="A8427" s="2">
        <v>8422</v>
      </c>
      <c r="B8427" s="11" t="str">
        <f>"00420707"</f>
        <v>00420707</v>
      </c>
    </row>
    <row r="8428" spans="1:2" x14ac:dyDescent="0.25">
      <c r="A8428" s="2">
        <v>8423</v>
      </c>
      <c r="B8428" s="11" t="str">
        <f>"00420737"</f>
        <v>00420737</v>
      </c>
    </row>
    <row r="8429" spans="1:2" x14ac:dyDescent="0.25">
      <c r="A8429" s="2">
        <v>8424</v>
      </c>
      <c r="B8429" s="11" t="str">
        <f>"00420766"</f>
        <v>00420766</v>
      </c>
    </row>
    <row r="8430" spans="1:2" x14ac:dyDescent="0.25">
      <c r="A8430" s="2">
        <v>8425</v>
      </c>
      <c r="B8430" s="11" t="str">
        <f>"00420974"</f>
        <v>00420974</v>
      </c>
    </row>
    <row r="8431" spans="1:2" x14ac:dyDescent="0.25">
      <c r="A8431" s="2">
        <v>8426</v>
      </c>
      <c r="B8431" s="11" t="str">
        <f>"00421040"</f>
        <v>00421040</v>
      </c>
    </row>
    <row r="8432" spans="1:2" x14ac:dyDescent="0.25">
      <c r="A8432" s="2">
        <v>8427</v>
      </c>
      <c r="B8432" s="11" t="str">
        <f>"00421116"</f>
        <v>00421116</v>
      </c>
    </row>
    <row r="8433" spans="1:2" x14ac:dyDescent="0.25">
      <c r="A8433" s="2">
        <v>8428</v>
      </c>
      <c r="B8433" s="11" t="str">
        <f>"00421160"</f>
        <v>00421160</v>
      </c>
    </row>
    <row r="8434" spans="1:2" x14ac:dyDescent="0.25">
      <c r="A8434" s="2">
        <v>8429</v>
      </c>
      <c r="B8434" s="11" t="str">
        <f>"00421490"</f>
        <v>00421490</v>
      </c>
    </row>
    <row r="8435" spans="1:2" x14ac:dyDescent="0.25">
      <c r="A8435" s="2">
        <v>8430</v>
      </c>
      <c r="B8435" s="11" t="str">
        <f>"00421497"</f>
        <v>00421497</v>
      </c>
    </row>
    <row r="8436" spans="1:2" x14ac:dyDescent="0.25">
      <c r="A8436" s="2">
        <v>8431</v>
      </c>
      <c r="B8436" s="11" t="str">
        <f>"00421537"</f>
        <v>00421537</v>
      </c>
    </row>
    <row r="8437" spans="1:2" x14ac:dyDescent="0.25">
      <c r="A8437" s="2">
        <v>8432</v>
      </c>
      <c r="B8437" s="11" t="str">
        <f>"00421565"</f>
        <v>00421565</v>
      </c>
    </row>
    <row r="8438" spans="1:2" x14ac:dyDescent="0.25">
      <c r="A8438" s="2">
        <v>8433</v>
      </c>
      <c r="B8438" s="11" t="str">
        <f>"00421600"</f>
        <v>00421600</v>
      </c>
    </row>
    <row r="8439" spans="1:2" x14ac:dyDescent="0.25">
      <c r="A8439" s="2">
        <v>8434</v>
      </c>
      <c r="B8439" s="11" t="str">
        <f>"00421770"</f>
        <v>00421770</v>
      </c>
    </row>
    <row r="8440" spans="1:2" x14ac:dyDescent="0.25">
      <c r="A8440" s="2">
        <v>8435</v>
      </c>
      <c r="B8440" s="11" t="str">
        <f>"00421773"</f>
        <v>00421773</v>
      </c>
    </row>
    <row r="8441" spans="1:2" x14ac:dyDescent="0.25">
      <c r="A8441" s="2">
        <v>8436</v>
      </c>
      <c r="B8441" s="11" t="str">
        <f>"00421783"</f>
        <v>00421783</v>
      </c>
    </row>
    <row r="8442" spans="1:2" x14ac:dyDescent="0.25">
      <c r="A8442" s="2">
        <v>8437</v>
      </c>
      <c r="B8442" s="11" t="str">
        <f>"00421828"</f>
        <v>00421828</v>
      </c>
    </row>
    <row r="8443" spans="1:2" x14ac:dyDescent="0.25">
      <c r="A8443" s="2">
        <v>8438</v>
      </c>
      <c r="B8443" s="11" t="str">
        <f>"00421944"</f>
        <v>00421944</v>
      </c>
    </row>
    <row r="8444" spans="1:2" x14ac:dyDescent="0.25">
      <c r="A8444" s="2">
        <v>8439</v>
      </c>
      <c r="B8444" s="11" t="str">
        <f>"00421969"</f>
        <v>00421969</v>
      </c>
    </row>
    <row r="8445" spans="1:2" x14ac:dyDescent="0.25">
      <c r="A8445" s="2">
        <v>8440</v>
      </c>
      <c r="B8445" s="11" t="str">
        <f>"00422015"</f>
        <v>00422015</v>
      </c>
    </row>
    <row r="8446" spans="1:2" x14ac:dyDescent="0.25">
      <c r="A8446" s="2">
        <v>8441</v>
      </c>
      <c r="B8446" s="11" t="str">
        <f>"00422088"</f>
        <v>00422088</v>
      </c>
    </row>
    <row r="8447" spans="1:2" x14ac:dyDescent="0.25">
      <c r="A8447" s="2">
        <v>8442</v>
      </c>
      <c r="B8447" s="11" t="str">
        <f>"00422113"</f>
        <v>00422113</v>
      </c>
    </row>
    <row r="8448" spans="1:2" x14ac:dyDescent="0.25">
      <c r="A8448" s="2">
        <v>8443</v>
      </c>
      <c r="B8448" s="11" t="str">
        <f>"00422172"</f>
        <v>00422172</v>
      </c>
    </row>
    <row r="8449" spans="1:2" x14ac:dyDescent="0.25">
      <c r="A8449" s="2">
        <v>8444</v>
      </c>
      <c r="B8449" s="11" t="str">
        <f>"00422218"</f>
        <v>00422218</v>
      </c>
    </row>
    <row r="8450" spans="1:2" x14ac:dyDescent="0.25">
      <c r="A8450" s="2">
        <v>8445</v>
      </c>
      <c r="B8450" s="11" t="str">
        <f>"00422237"</f>
        <v>00422237</v>
      </c>
    </row>
    <row r="8451" spans="1:2" x14ac:dyDescent="0.25">
      <c r="A8451" s="2">
        <v>8446</v>
      </c>
      <c r="B8451" s="11" t="str">
        <f>"00422280"</f>
        <v>00422280</v>
      </c>
    </row>
    <row r="8452" spans="1:2" x14ac:dyDescent="0.25">
      <c r="A8452" s="2">
        <v>8447</v>
      </c>
      <c r="B8452" s="11" t="str">
        <f>"00422304"</f>
        <v>00422304</v>
      </c>
    </row>
    <row r="8453" spans="1:2" x14ac:dyDescent="0.25">
      <c r="A8453" s="2">
        <v>8448</v>
      </c>
      <c r="B8453" s="11" t="str">
        <f>"00422336"</f>
        <v>00422336</v>
      </c>
    </row>
    <row r="8454" spans="1:2" x14ac:dyDescent="0.25">
      <c r="A8454" s="2">
        <v>8449</v>
      </c>
      <c r="B8454" s="11" t="str">
        <f>"00422451"</f>
        <v>00422451</v>
      </c>
    </row>
    <row r="8455" spans="1:2" x14ac:dyDescent="0.25">
      <c r="A8455" s="2">
        <v>8450</v>
      </c>
      <c r="B8455" s="11" t="str">
        <f>"00422536"</f>
        <v>00422536</v>
      </c>
    </row>
    <row r="8456" spans="1:2" x14ac:dyDescent="0.25">
      <c r="A8456" s="2">
        <v>8451</v>
      </c>
      <c r="B8456" s="11" t="str">
        <f>"00422597"</f>
        <v>00422597</v>
      </c>
    </row>
    <row r="8457" spans="1:2" x14ac:dyDescent="0.25">
      <c r="A8457" s="2">
        <v>8452</v>
      </c>
      <c r="B8457" s="11" t="str">
        <f>"00422662"</f>
        <v>00422662</v>
      </c>
    </row>
    <row r="8458" spans="1:2" x14ac:dyDescent="0.25">
      <c r="A8458" s="2">
        <v>8453</v>
      </c>
      <c r="B8458" s="11" t="str">
        <f>"00422696"</f>
        <v>00422696</v>
      </c>
    </row>
    <row r="8459" spans="1:2" x14ac:dyDescent="0.25">
      <c r="A8459" s="2">
        <v>8454</v>
      </c>
      <c r="B8459" s="11" t="str">
        <f>"00422968"</f>
        <v>00422968</v>
      </c>
    </row>
    <row r="8460" spans="1:2" x14ac:dyDescent="0.25">
      <c r="A8460" s="2">
        <v>8455</v>
      </c>
      <c r="B8460" s="11" t="str">
        <f>"00423084"</f>
        <v>00423084</v>
      </c>
    </row>
    <row r="8461" spans="1:2" x14ac:dyDescent="0.25">
      <c r="A8461" s="2">
        <v>8456</v>
      </c>
      <c r="B8461" s="11" t="str">
        <f>"00423153"</f>
        <v>00423153</v>
      </c>
    </row>
    <row r="8462" spans="1:2" x14ac:dyDescent="0.25">
      <c r="A8462" s="2">
        <v>8457</v>
      </c>
      <c r="B8462" s="11" t="str">
        <f>"00423235"</f>
        <v>00423235</v>
      </c>
    </row>
    <row r="8463" spans="1:2" x14ac:dyDescent="0.25">
      <c r="A8463" s="2">
        <v>8458</v>
      </c>
      <c r="B8463" s="11" t="str">
        <f>"00423253"</f>
        <v>00423253</v>
      </c>
    </row>
    <row r="8464" spans="1:2" x14ac:dyDescent="0.25">
      <c r="A8464" s="2">
        <v>8459</v>
      </c>
      <c r="B8464" s="11" t="str">
        <f>"00423311"</f>
        <v>00423311</v>
      </c>
    </row>
    <row r="8465" spans="1:2" x14ac:dyDescent="0.25">
      <c r="A8465" s="2">
        <v>8460</v>
      </c>
      <c r="B8465" s="11" t="str">
        <f>"00423390"</f>
        <v>00423390</v>
      </c>
    </row>
    <row r="8466" spans="1:2" x14ac:dyDescent="0.25">
      <c r="A8466" s="2">
        <v>8461</v>
      </c>
      <c r="B8466" s="11" t="str">
        <f>"00423445"</f>
        <v>00423445</v>
      </c>
    </row>
    <row r="8467" spans="1:2" x14ac:dyDescent="0.25">
      <c r="A8467" s="2">
        <v>8462</v>
      </c>
      <c r="B8467" s="11" t="str">
        <f>"00423577"</f>
        <v>00423577</v>
      </c>
    </row>
    <row r="8468" spans="1:2" x14ac:dyDescent="0.25">
      <c r="A8468" s="2">
        <v>8463</v>
      </c>
      <c r="B8468" s="11" t="str">
        <f>"00423635"</f>
        <v>00423635</v>
      </c>
    </row>
    <row r="8469" spans="1:2" x14ac:dyDescent="0.25">
      <c r="A8469" s="2">
        <v>8464</v>
      </c>
      <c r="B8469" s="11" t="str">
        <f>"00423642"</f>
        <v>00423642</v>
      </c>
    </row>
    <row r="8470" spans="1:2" x14ac:dyDescent="0.25">
      <c r="A8470" s="2">
        <v>8465</v>
      </c>
      <c r="B8470" s="11" t="str">
        <f>"00423670"</f>
        <v>00423670</v>
      </c>
    </row>
    <row r="8471" spans="1:2" x14ac:dyDescent="0.25">
      <c r="A8471" s="2">
        <v>8466</v>
      </c>
      <c r="B8471" s="11" t="str">
        <f>"00423728"</f>
        <v>00423728</v>
      </c>
    </row>
    <row r="8472" spans="1:2" x14ac:dyDescent="0.25">
      <c r="A8472" s="2">
        <v>8467</v>
      </c>
      <c r="B8472" s="11" t="str">
        <f>"00423767"</f>
        <v>00423767</v>
      </c>
    </row>
    <row r="8473" spans="1:2" x14ac:dyDescent="0.25">
      <c r="A8473" s="2">
        <v>8468</v>
      </c>
      <c r="B8473" s="11" t="str">
        <f>"00423813"</f>
        <v>00423813</v>
      </c>
    </row>
    <row r="8474" spans="1:2" x14ac:dyDescent="0.25">
      <c r="A8474" s="2">
        <v>8469</v>
      </c>
      <c r="B8474" s="11" t="str">
        <f>"00423894"</f>
        <v>00423894</v>
      </c>
    </row>
    <row r="8475" spans="1:2" x14ac:dyDescent="0.25">
      <c r="A8475" s="2">
        <v>8470</v>
      </c>
      <c r="B8475" s="11" t="str">
        <f>"00423989"</f>
        <v>00423989</v>
      </c>
    </row>
    <row r="8476" spans="1:2" x14ac:dyDescent="0.25">
      <c r="A8476" s="2">
        <v>8471</v>
      </c>
      <c r="B8476" s="11" t="str">
        <f>"00424080"</f>
        <v>00424080</v>
      </c>
    </row>
    <row r="8477" spans="1:2" x14ac:dyDescent="0.25">
      <c r="A8477" s="2">
        <v>8472</v>
      </c>
      <c r="B8477" s="11" t="str">
        <f>"00424109"</f>
        <v>00424109</v>
      </c>
    </row>
    <row r="8478" spans="1:2" x14ac:dyDescent="0.25">
      <c r="A8478" s="2">
        <v>8473</v>
      </c>
      <c r="B8478" s="11" t="str">
        <f>"00424161"</f>
        <v>00424161</v>
      </c>
    </row>
    <row r="8479" spans="1:2" x14ac:dyDescent="0.25">
      <c r="A8479" s="2">
        <v>8474</v>
      </c>
      <c r="B8479" s="11" t="str">
        <f>"00424186"</f>
        <v>00424186</v>
      </c>
    </row>
    <row r="8480" spans="1:2" x14ac:dyDescent="0.25">
      <c r="A8480" s="2">
        <v>8475</v>
      </c>
      <c r="B8480" s="11" t="str">
        <f>"00424353"</f>
        <v>00424353</v>
      </c>
    </row>
    <row r="8481" spans="1:2" x14ac:dyDescent="0.25">
      <c r="A8481" s="2">
        <v>8476</v>
      </c>
      <c r="B8481" s="11" t="str">
        <f>"00424376"</f>
        <v>00424376</v>
      </c>
    </row>
    <row r="8482" spans="1:2" x14ac:dyDescent="0.25">
      <c r="A8482" s="2">
        <v>8477</v>
      </c>
      <c r="B8482" s="11" t="str">
        <f>"00424428"</f>
        <v>00424428</v>
      </c>
    </row>
    <row r="8483" spans="1:2" x14ac:dyDescent="0.25">
      <c r="A8483" s="2">
        <v>8478</v>
      </c>
      <c r="B8483" s="11" t="str">
        <f>"00424509"</f>
        <v>00424509</v>
      </c>
    </row>
    <row r="8484" spans="1:2" x14ac:dyDescent="0.25">
      <c r="A8484" s="2">
        <v>8479</v>
      </c>
      <c r="B8484" s="11" t="str">
        <f>"00424638"</f>
        <v>00424638</v>
      </c>
    </row>
    <row r="8485" spans="1:2" x14ac:dyDescent="0.25">
      <c r="A8485" s="2">
        <v>8480</v>
      </c>
      <c r="B8485" s="11" t="str">
        <f>"00424726"</f>
        <v>00424726</v>
      </c>
    </row>
    <row r="8486" spans="1:2" x14ac:dyDescent="0.25">
      <c r="A8486" s="2">
        <v>8481</v>
      </c>
      <c r="B8486" s="11" t="str">
        <f>"00424756"</f>
        <v>00424756</v>
      </c>
    </row>
    <row r="8487" spans="1:2" x14ac:dyDescent="0.25">
      <c r="A8487" s="2">
        <v>8482</v>
      </c>
      <c r="B8487" s="11" t="str">
        <f>"00424764"</f>
        <v>00424764</v>
      </c>
    </row>
    <row r="8488" spans="1:2" x14ac:dyDescent="0.25">
      <c r="A8488" s="2">
        <v>8483</v>
      </c>
      <c r="B8488" s="11" t="str">
        <f>"00424782"</f>
        <v>00424782</v>
      </c>
    </row>
    <row r="8489" spans="1:2" x14ac:dyDescent="0.25">
      <c r="A8489" s="2">
        <v>8484</v>
      </c>
      <c r="B8489" s="11" t="str">
        <f>"00424829"</f>
        <v>00424829</v>
      </c>
    </row>
    <row r="8490" spans="1:2" x14ac:dyDescent="0.25">
      <c r="A8490" s="2">
        <v>8485</v>
      </c>
      <c r="B8490" s="11" t="str">
        <f>"00424834"</f>
        <v>00424834</v>
      </c>
    </row>
    <row r="8491" spans="1:2" x14ac:dyDescent="0.25">
      <c r="A8491" s="2">
        <v>8486</v>
      </c>
      <c r="B8491" s="11" t="str">
        <f>"00424847"</f>
        <v>00424847</v>
      </c>
    </row>
    <row r="8492" spans="1:2" x14ac:dyDescent="0.25">
      <c r="A8492" s="2">
        <v>8487</v>
      </c>
      <c r="B8492" s="11" t="str">
        <f>"00424876"</f>
        <v>00424876</v>
      </c>
    </row>
    <row r="8493" spans="1:2" x14ac:dyDescent="0.25">
      <c r="A8493" s="2">
        <v>8488</v>
      </c>
      <c r="B8493" s="11" t="str">
        <f>"00424909"</f>
        <v>00424909</v>
      </c>
    </row>
    <row r="8494" spans="1:2" x14ac:dyDescent="0.25">
      <c r="A8494" s="2">
        <v>8489</v>
      </c>
      <c r="B8494" s="11" t="str">
        <f>"00424994"</f>
        <v>00424994</v>
      </c>
    </row>
    <row r="8495" spans="1:2" x14ac:dyDescent="0.25">
      <c r="A8495" s="2">
        <v>8490</v>
      </c>
      <c r="B8495" s="11" t="str">
        <f>"00425014"</f>
        <v>00425014</v>
      </c>
    </row>
    <row r="8496" spans="1:2" x14ac:dyDescent="0.25">
      <c r="A8496" s="2">
        <v>8491</v>
      </c>
      <c r="B8496" s="11" t="str">
        <f>"00425067"</f>
        <v>00425067</v>
      </c>
    </row>
    <row r="8497" spans="1:2" x14ac:dyDescent="0.25">
      <c r="A8497" s="2">
        <v>8492</v>
      </c>
      <c r="B8497" s="11" t="str">
        <f>"00425072"</f>
        <v>00425072</v>
      </c>
    </row>
    <row r="8498" spans="1:2" x14ac:dyDescent="0.25">
      <c r="A8498" s="2">
        <v>8493</v>
      </c>
      <c r="B8498" s="11" t="str">
        <f>"00425100"</f>
        <v>00425100</v>
      </c>
    </row>
    <row r="8499" spans="1:2" x14ac:dyDescent="0.25">
      <c r="A8499" s="2">
        <v>8494</v>
      </c>
      <c r="B8499" s="11" t="str">
        <f>"00425309"</f>
        <v>00425309</v>
      </c>
    </row>
    <row r="8500" spans="1:2" x14ac:dyDescent="0.25">
      <c r="A8500" s="2">
        <v>8495</v>
      </c>
      <c r="B8500" s="11" t="str">
        <f>"00425444"</f>
        <v>00425444</v>
      </c>
    </row>
    <row r="8501" spans="1:2" x14ac:dyDescent="0.25">
      <c r="A8501" s="2">
        <v>8496</v>
      </c>
      <c r="B8501" s="11" t="str">
        <f>"00425588"</f>
        <v>00425588</v>
      </c>
    </row>
    <row r="8502" spans="1:2" x14ac:dyDescent="0.25">
      <c r="A8502" s="2">
        <v>8497</v>
      </c>
      <c r="B8502" s="11" t="str">
        <f>"00425601"</f>
        <v>00425601</v>
      </c>
    </row>
    <row r="8503" spans="1:2" x14ac:dyDescent="0.25">
      <c r="A8503" s="2">
        <v>8498</v>
      </c>
      <c r="B8503" s="11" t="str">
        <f>"00425610"</f>
        <v>00425610</v>
      </c>
    </row>
    <row r="8504" spans="1:2" x14ac:dyDescent="0.25">
      <c r="A8504" s="2">
        <v>8499</v>
      </c>
      <c r="B8504" s="11" t="str">
        <f>"00425644"</f>
        <v>00425644</v>
      </c>
    </row>
    <row r="8505" spans="1:2" x14ac:dyDescent="0.25">
      <c r="A8505" s="2">
        <v>8500</v>
      </c>
      <c r="B8505" s="11" t="str">
        <f>"00425650"</f>
        <v>00425650</v>
      </c>
    </row>
    <row r="8506" spans="1:2" x14ac:dyDescent="0.25">
      <c r="A8506" s="2">
        <v>8501</v>
      </c>
      <c r="B8506" s="11" t="str">
        <f>"00425662"</f>
        <v>00425662</v>
      </c>
    </row>
    <row r="8507" spans="1:2" x14ac:dyDescent="0.25">
      <c r="A8507" s="2">
        <v>8502</v>
      </c>
      <c r="B8507" s="11" t="str">
        <f>"00425668"</f>
        <v>00425668</v>
      </c>
    </row>
    <row r="8508" spans="1:2" x14ac:dyDescent="0.25">
      <c r="A8508" s="2">
        <v>8503</v>
      </c>
      <c r="B8508" s="11" t="str">
        <f>"00425827"</f>
        <v>00425827</v>
      </c>
    </row>
    <row r="8509" spans="1:2" x14ac:dyDescent="0.25">
      <c r="A8509" s="2">
        <v>8504</v>
      </c>
      <c r="B8509" s="11" t="str">
        <f>"00425836"</f>
        <v>00425836</v>
      </c>
    </row>
    <row r="8510" spans="1:2" x14ac:dyDescent="0.25">
      <c r="A8510" s="2">
        <v>8505</v>
      </c>
      <c r="B8510" s="11" t="str">
        <f>"00425843"</f>
        <v>00425843</v>
      </c>
    </row>
    <row r="8511" spans="1:2" x14ac:dyDescent="0.25">
      <c r="A8511" s="2">
        <v>8506</v>
      </c>
      <c r="B8511" s="11" t="str">
        <f>"00425904"</f>
        <v>00425904</v>
      </c>
    </row>
    <row r="8512" spans="1:2" x14ac:dyDescent="0.25">
      <c r="A8512" s="2">
        <v>8507</v>
      </c>
      <c r="B8512" s="11" t="str">
        <f>"00425925"</f>
        <v>00425925</v>
      </c>
    </row>
    <row r="8513" spans="1:2" x14ac:dyDescent="0.25">
      <c r="A8513" s="2">
        <v>8508</v>
      </c>
      <c r="B8513" s="11" t="str">
        <f>"00425993"</f>
        <v>00425993</v>
      </c>
    </row>
    <row r="8514" spans="1:2" x14ac:dyDescent="0.25">
      <c r="A8514" s="2">
        <v>8509</v>
      </c>
      <c r="B8514" s="11" t="str">
        <f>"00425995"</f>
        <v>00425995</v>
      </c>
    </row>
    <row r="8515" spans="1:2" x14ac:dyDescent="0.25">
      <c r="A8515" s="2">
        <v>8510</v>
      </c>
      <c r="B8515" s="11" t="str">
        <f>"00426051"</f>
        <v>00426051</v>
      </c>
    </row>
    <row r="8516" spans="1:2" x14ac:dyDescent="0.25">
      <c r="A8516" s="2">
        <v>8511</v>
      </c>
      <c r="B8516" s="11" t="str">
        <f>"00426129"</f>
        <v>00426129</v>
      </c>
    </row>
    <row r="8517" spans="1:2" x14ac:dyDescent="0.25">
      <c r="A8517" s="2">
        <v>8512</v>
      </c>
      <c r="B8517" s="11" t="str">
        <f>"00426162"</f>
        <v>00426162</v>
      </c>
    </row>
    <row r="8518" spans="1:2" x14ac:dyDescent="0.25">
      <c r="A8518" s="2">
        <v>8513</v>
      </c>
      <c r="B8518" s="11" t="str">
        <f>"00426186"</f>
        <v>00426186</v>
      </c>
    </row>
    <row r="8519" spans="1:2" x14ac:dyDescent="0.25">
      <c r="A8519" s="2">
        <v>8514</v>
      </c>
      <c r="B8519" s="11" t="str">
        <f>"00426260"</f>
        <v>00426260</v>
      </c>
    </row>
    <row r="8520" spans="1:2" x14ac:dyDescent="0.25">
      <c r="A8520" s="2">
        <v>8515</v>
      </c>
      <c r="B8520" s="11" t="str">
        <f>"00426304"</f>
        <v>00426304</v>
      </c>
    </row>
    <row r="8521" spans="1:2" x14ac:dyDescent="0.25">
      <c r="A8521" s="2">
        <v>8516</v>
      </c>
      <c r="B8521" s="11" t="str">
        <f>"00426306"</f>
        <v>00426306</v>
      </c>
    </row>
    <row r="8522" spans="1:2" x14ac:dyDescent="0.25">
      <c r="A8522" s="2">
        <v>8517</v>
      </c>
      <c r="B8522" s="11" t="str">
        <f>"00426370"</f>
        <v>00426370</v>
      </c>
    </row>
    <row r="8523" spans="1:2" x14ac:dyDescent="0.25">
      <c r="A8523" s="2">
        <v>8518</v>
      </c>
      <c r="B8523" s="11" t="str">
        <f>"00426398"</f>
        <v>00426398</v>
      </c>
    </row>
    <row r="8524" spans="1:2" x14ac:dyDescent="0.25">
      <c r="A8524" s="2">
        <v>8519</v>
      </c>
      <c r="B8524" s="11" t="str">
        <f>"00426413"</f>
        <v>00426413</v>
      </c>
    </row>
    <row r="8525" spans="1:2" x14ac:dyDescent="0.25">
      <c r="A8525" s="2">
        <v>8520</v>
      </c>
      <c r="B8525" s="11" t="str">
        <f>"00426919"</f>
        <v>00426919</v>
      </c>
    </row>
    <row r="8526" spans="1:2" x14ac:dyDescent="0.25">
      <c r="A8526" s="2">
        <v>8521</v>
      </c>
      <c r="B8526" s="11" t="str">
        <f>"00426930"</f>
        <v>00426930</v>
      </c>
    </row>
    <row r="8527" spans="1:2" x14ac:dyDescent="0.25">
      <c r="A8527" s="2">
        <v>8522</v>
      </c>
      <c r="B8527" s="11" t="str">
        <f>"00426967"</f>
        <v>00426967</v>
      </c>
    </row>
    <row r="8528" spans="1:2" x14ac:dyDescent="0.25">
      <c r="A8528" s="2">
        <v>8523</v>
      </c>
      <c r="B8528" s="11" t="str">
        <f>"00426979"</f>
        <v>00426979</v>
      </c>
    </row>
    <row r="8529" spans="1:2" x14ac:dyDescent="0.25">
      <c r="A8529" s="2">
        <v>8524</v>
      </c>
      <c r="B8529" s="11" t="str">
        <f>"00426987"</f>
        <v>00426987</v>
      </c>
    </row>
    <row r="8530" spans="1:2" x14ac:dyDescent="0.25">
      <c r="A8530" s="2">
        <v>8525</v>
      </c>
      <c r="B8530" s="11" t="str">
        <f>"00427060"</f>
        <v>00427060</v>
      </c>
    </row>
    <row r="8531" spans="1:2" x14ac:dyDescent="0.25">
      <c r="A8531" s="2">
        <v>8526</v>
      </c>
      <c r="B8531" s="11" t="str">
        <f>"00427073"</f>
        <v>00427073</v>
      </c>
    </row>
    <row r="8532" spans="1:2" x14ac:dyDescent="0.25">
      <c r="A8532" s="2">
        <v>8527</v>
      </c>
      <c r="B8532" s="11" t="str">
        <f>"00427099"</f>
        <v>00427099</v>
      </c>
    </row>
    <row r="8533" spans="1:2" x14ac:dyDescent="0.25">
      <c r="A8533" s="2">
        <v>8528</v>
      </c>
      <c r="B8533" s="11" t="str">
        <f>"00427154"</f>
        <v>00427154</v>
      </c>
    </row>
    <row r="8534" spans="1:2" x14ac:dyDescent="0.25">
      <c r="A8534" s="2">
        <v>8529</v>
      </c>
      <c r="B8534" s="11" t="str">
        <f>"00427213"</f>
        <v>00427213</v>
      </c>
    </row>
    <row r="8535" spans="1:2" x14ac:dyDescent="0.25">
      <c r="A8535" s="2">
        <v>8530</v>
      </c>
      <c r="B8535" s="11" t="str">
        <f>"00427239"</f>
        <v>00427239</v>
      </c>
    </row>
    <row r="8536" spans="1:2" x14ac:dyDescent="0.25">
      <c r="A8536" s="2">
        <v>8531</v>
      </c>
      <c r="B8536" s="11" t="str">
        <f>"00427253"</f>
        <v>00427253</v>
      </c>
    </row>
    <row r="8537" spans="1:2" x14ac:dyDescent="0.25">
      <c r="A8537" s="2">
        <v>8532</v>
      </c>
      <c r="B8537" s="11" t="str">
        <f>"00427256"</f>
        <v>00427256</v>
      </c>
    </row>
    <row r="8538" spans="1:2" x14ac:dyDescent="0.25">
      <c r="A8538" s="2">
        <v>8533</v>
      </c>
      <c r="B8538" s="11" t="str">
        <f>"00427366"</f>
        <v>00427366</v>
      </c>
    </row>
    <row r="8539" spans="1:2" x14ac:dyDescent="0.25">
      <c r="A8539" s="2">
        <v>8534</v>
      </c>
      <c r="B8539" s="11" t="str">
        <f>"00427386"</f>
        <v>00427386</v>
      </c>
    </row>
    <row r="8540" spans="1:2" x14ac:dyDescent="0.25">
      <c r="A8540" s="2">
        <v>8535</v>
      </c>
      <c r="B8540" s="11" t="str">
        <f>"00427477"</f>
        <v>00427477</v>
      </c>
    </row>
    <row r="8541" spans="1:2" x14ac:dyDescent="0.25">
      <c r="A8541" s="2">
        <v>8536</v>
      </c>
      <c r="B8541" s="11" t="str">
        <f>"00427495"</f>
        <v>00427495</v>
      </c>
    </row>
    <row r="8542" spans="1:2" x14ac:dyDescent="0.25">
      <c r="A8542" s="2">
        <v>8537</v>
      </c>
      <c r="B8542" s="11" t="str">
        <f>"00427589"</f>
        <v>00427589</v>
      </c>
    </row>
    <row r="8543" spans="1:2" x14ac:dyDescent="0.25">
      <c r="A8543" s="2">
        <v>8538</v>
      </c>
      <c r="B8543" s="11" t="str">
        <f>"00427827"</f>
        <v>00427827</v>
      </c>
    </row>
    <row r="8544" spans="1:2" x14ac:dyDescent="0.25">
      <c r="A8544" s="2">
        <v>8539</v>
      </c>
      <c r="B8544" s="11" t="str">
        <f>"00427864"</f>
        <v>00427864</v>
      </c>
    </row>
    <row r="8545" spans="1:2" x14ac:dyDescent="0.25">
      <c r="A8545" s="2">
        <v>8540</v>
      </c>
      <c r="B8545" s="11" t="str">
        <f>"00427956"</f>
        <v>00427956</v>
      </c>
    </row>
    <row r="8546" spans="1:2" x14ac:dyDescent="0.25">
      <c r="A8546" s="2">
        <v>8541</v>
      </c>
      <c r="B8546" s="11" t="str">
        <f>"00427982"</f>
        <v>00427982</v>
      </c>
    </row>
    <row r="8547" spans="1:2" x14ac:dyDescent="0.25">
      <c r="A8547" s="2">
        <v>8542</v>
      </c>
      <c r="B8547" s="11" t="str">
        <f>"00428072"</f>
        <v>00428072</v>
      </c>
    </row>
    <row r="8548" spans="1:2" x14ac:dyDescent="0.25">
      <c r="A8548" s="2">
        <v>8543</v>
      </c>
      <c r="B8548" s="11" t="str">
        <f>"00428076"</f>
        <v>00428076</v>
      </c>
    </row>
    <row r="8549" spans="1:2" x14ac:dyDescent="0.25">
      <c r="A8549" s="2">
        <v>8544</v>
      </c>
      <c r="B8549" s="11" t="str">
        <f>"00428086"</f>
        <v>00428086</v>
      </c>
    </row>
    <row r="8550" spans="1:2" x14ac:dyDescent="0.25">
      <c r="A8550" s="2">
        <v>8545</v>
      </c>
      <c r="B8550" s="11" t="str">
        <f>"00428107"</f>
        <v>00428107</v>
      </c>
    </row>
    <row r="8551" spans="1:2" x14ac:dyDescent="0.25">
      <c r="A8551" s="2">
        <v>8546</v>
      </c>
      <c r="B8551" s="11" t="str">
        <f>"00428150"</f>
        <v>00428150</v>
      </c>
    </row>
    <row r="8552" spans="1:2" x14ac:dyDescent="0.25">
      <c r="A8552" s="2">
        <v>8547</v>
      </c>
      <c r="B8552" s="11" t="str">
        <f>"00428194"</f>
        <v>00428194</v>
      </c>
    </row>
    <row r="8553" spans="1:2" x14ac:dyDescent="0.25">
      <c r="A8553" s="2">
        <v>8548</v>
      </c>
      <c r="B8553" s="11" t="str">
        <f>"00428225"</f>
        <v>00428225</v>
      </c>
    </row>
    <row r="8554" spans="1:2" x14ac:dyDescent="0.25">
      <c r="A8554" s="2">
        <v>8549</v>
      </c>
      <c r="B8554" s="11" t="str">
        <f>"00428283"</f>
        <v>00428283</v>
      </c>
    </row>
    <row r="8555" spans="1:2" x14ac:dyDescent="0.25">
      <c r="A8555" s="2">
        <v>8550</v>
      </c>
      <c r="B8555" s="11" t="str">
        <f>"00428328"</f>
        <v>00428328</v>
      </c>
    </row>
    <row r="8556" spans="1:2" x14ac:dyDescent="0.25">
      <c r="A8556" s="2">
        <v>8551</v>
      </c>
      <c r="B8556" s="11" t="str">
        <f>"00428444"</f>
        <v>00428444</v>
      </c>
    </row>
    <row r="8557" spans="1:2" x14ac:dyDescent="0.25">
      <c r="A8557" s="2">
        <v>8552</v>
      </c>
      <c r="B8557" s="11" t="str">
        <f>"00428551"</f>
        <v>00428551</v>
      </c>
    </row>
    <row r="8558" spans="1:2" x14ac:dyDescent="0.25">
      <c r="A8558" s="2">
        <v>8553</v>
      </c>
      <c r="B8558" s="11" t="str">
        <f>"00428654"</f>
        <v>00428654</v>
      </c>
    </row>
    <row r="8559" spans="1:2" x14ac:dyDescent="0.25">
      <c r="A8559" s="2">
        <v>8554</v>
      </c>
      <c r="B8559" s="11" t="str">
        <f>"00428696"</f>
        <v>00428696</v>
      </c>
    </row>
    <row r="8560" spans="1:2" x14ac:dyDescent="0.25">
      <c r="A8560" s="2">
        <v>8555</v>
      </c>
      <c r="B8560" s="11" t="str">
        <f>"00428938"</f>
        <v>00428938</v>
      </c>
    </row>
    <row r="8561" spans="1:2" x14ac:dyDescent="0.25">
      <c r="A8561" s="2">
        <v>8556</v>
      </c>
      <c r="B8561" s="11" t="str">
        <f>"00428979"</f>
        <v>00428979</v>
      </c>
    </row>
    <row r="8562" spans="1:2" x14ac:dyDescent="0.25">
      <c r="A8562" s="2">
        <v>8557</v>
      </c>
      <c r="B8562" s="11" t="str">
        <f>"00428993"</f>
        <v>00428993</v>
      </c>
    </row>
    <row r="8563" spans="1:2" x14ac:dyDescent="0.25">
      <c r="A8563" s="2">
        <v>8558</v>
      </c>
      <c r="B8563" s="11" t="str">
        <f>"00428995"</f>
        <v>00428995</v>
      </c>
    </row>
    <row r="8564" spans="1:2" x14ac:dyDescent="0.25">
      <c r="A8564" s="2">
        <v>8559</v>
      </c>
      <c r="B8564" s="11" t="str">
        <f>"00429012"</f>
        <v>00429012</v>
      </c>
    </row>
    <row r="8565" spans="1:2" x14ac:dyDescent="0.25">
      <c r="A8565" s="2">
        <v>8560</v>
      </c>
      <c r="B8565" s="11" t="str">
        <f>"00429064"</f>
        <v>00429064</v>
      </c>
    </row>
    <row r="8566" spans="1:2" x14ac:dyDescent="0.25">
      <c r="A8566" s="2">
        <v>8561</v>
      </c>
      <c r="B8566" s="11" t="str">
        <f>"00429088"</f>
        <v>00429088</v>
      </c>
    </row>
    <row r="8567" spans="1:2" x14ac:dyDescent="0.25">
      <c r="A8567" s="2">
        <v>8562</v>
      </c>
      <c r="B8567" s="11" t="str">
        <f>"00429122"</f>
        <v>00429122</v>
      </c>
    </row>
    <row r="8568" spans="1:2" x14ac:dyDescent="0.25">
      <c r="A8568" s="2">
        <v>8563</v>
      </c>
      <c r="B8568" s="11" t="str">
        <f>"00429161"</f>
        <v>00429161</v>
      </c>
    </row>
    <row r="8569" spans="1:2" x14ac:dyDescent="0.25">
      <c r="A8569" s="2">
        <v>8564</v>
      </c>
      <c r="B8569" s="11" t="str">
        <f>"00429165"</f>
        <v>00429165</v>
      </c>
    </row>
    <row r="8570" spans="1:2" x14ac:dyDescent="0.25">
      <c r="A8570" s="2">
        <v>8565</v>
      </c>
      <c r="B8570" s="11" t="str">
        <f>"00429224"</f>
        <v>00429224</v>
      </c>
    </row>
    <row r="8571" spans="1:2" x14ac:dyDescent="0.25">
      <c r="A8571" s="2">
        <v>8566</v>
      </c>
      <c r="B8571" s="11" t="str">
        <f>"00429249"</f>
        <v>00429249</v>
      </c>
    </row>
    <row r="8572" spans="1:2" x14ac:dyDescent="0.25">
      <c r="A8572" s="2">
        <v>8567</v>
      </c>
      <c r="B8572" s="11" t="str">
        <f>"00429513"</f>
        <v>00429513</v>
      </c>
    </row>
    <row r="8573" spans="1:2" x14ac:dyDescent="0.25">
      <c r="A8573" s="2">
        <v>8568</v>
      </c>
      <c r="B8573" s="11" t="str">
        <f>"00429613"</f>
        <v>00429613</v>
      </c>
    </row>
    <row r="8574" spans="1:2" x14ac:dyDescent="0.25">
      <c r="A8574" s="2">
        <v>8569</v>
      </c>
      <c r="B8574" s="11" t="str">
        <f>"00429621"</f>
        <v>00429621</v>
      </c>
    </row>
    <row r="8575" spans="1:2" x14ac:dyDescent="0.25">
      <c r="A8575" s="2">
        <v>8570</v>
      </c>
      <c r="B8575" s="11" t="str">
        <f>"00429646"</f>
        <v>00429646</v>
      </c>
    </row>
    <row r="8576" spans="1:2" x14ac:dyDescent="0.25">
      <c r="A8576" s="2">
        <v>8571</v>
      </c>
      <c r="B8576" s="11" t="str">
        <f>"00429803"</f>
        <v>00429803</v>
      </c>
    </row>
    <row r="8577" spans="1:2" x14ac:dyDescent="0.25">
      <c r="A8577" s="2">
        <v>8572</v>
      </c>
      <c r="B8577" s="11" t="str">
        <f>"00429805"</f>
        <v>00429805</v>
      </c>
    </row>
    <row r="8578" spans="1:2" x14ac:dyDescent="0.25">
      <c r="A8578" s="2">
        <v>8573</v>
      </c>
      <c r="B8578" s="11" t="str">
        <f>"00429809"</f>
        <v>00429809</v>
      </c>
    </row>
    <row r="8579" spans="1:2" x14ac:dyDescent="0.25">
      <c r="A8579" s="2">
        <v>8574</v>
      </c>
      <c r="B8579" s="11" t="str">
        <f>"00429821"</f>
        <v>00429821</v>
      </c>
    </row>
    <row r="8580" spans="1:2" x14ac:dyDescent="0.25">
      <c r="A8580" s="2">
        <v>8575</v>
      </c>
      <c r="B8580" s="11" t="str">
        <f>"00429978"</f>
        <v>00429978</v>
      </c>
    </row>
    <row r="8581" spans="1:2" x14ac:dyDescent="0.25">
      <c r="A8581" s="2">
        <v>8576</v>
      </c>
      <c r="B8581" s="11" t="str">
        <f>"00430040"</f>
        <v>00430040</v>
      </c>
    </row>
    <row r="8582" spans="1:2" x14ac:dyDescent="0.25">
      <c r="A8582" s="2">
        <v>8577</v>
      </c>
      <c r="B8582" s="11" t="str">
        <f>"00430089"</f>
        <v>00430089</v>
      </c>
    </row>
    <row r="8583" spans="1:2" x14ac:dyDescent="0.25">
      <c r="A8583" s="2">
        <v>8578</v>
      </c>
      <c r="B8583" s="11" t="str">
        <f>"00430108"</f>
        <v>00430108</v>
      </c>
    </row>
    <row r="8584" spans="1:2" x14ac:dyDescent="0.25">
      <c r="A8584" s="2">
        <v>8579</v>
      </c>
      <c r="B8584" s="11" t="str">
        <f>"00430220"</f>
        <v>00430220</v>
      </c>
    </row>
    <row r="8585" spans="1:2" x14ac:dyDescent="0.25">
      <c r="A8585" s="2">
        <v>8580</v>
      </c>
      <c r="B8585" s="11" t="str">
        <f>"00430290"</f>
        <v>00430290</v>
      </c>
    </row>
    <row r="8586" spans="1:2" x14ac:dyDescent="0.25">
      <c r="A8586" s="2">
        <v>8581</v>
      </c>
      <c r="B8586" s="11" t="str">
        <f>"00430291"</f>
        <v>00430291</v>
      </c>
    </row>
    <row r="8587" spans="1:2" x14ac:dyDescent="0.25">
      <c r="A8587" s="2">
        <v>8582</v>
      </c>
      <c r="B8587" s="11" t="str">
        <f>"00430295"</f>
        <v>00430295</v>
      </c>
    </row>
    <row r="8588" spans="1:2" x14ac:dyDescent="0.25">
      <c r="A8588" s="2">
        <v>8583</v>
      </c>
      <c r="B8588" s="11" t="str">
        <f>"00430309"</f>
        <v>00430309</v>
      </c>
    </row>
    <row r="8589" spans="1:2" x14ac:dyDescent="0.25">
      <c r="A8589" s="2">
        <v>8584</v>
      </c>
      <c r="B8589" s="11" t="str">
        <f>"00430500"</f>
        <v>00430500</v>
      </c>
    </row>
    <row r="8590" spans="1:2" x14ac:dyDescent="0.25">
      <c r="A8590" s="2">
        <v>8585</v>
      </c>
      <c r="B8590" s="11" t="str">
        <f>"00430534"</f>
        <v>00430534</v>
      </c>
    </row>
    <row r="8591" spans="1:2" x14ac:dyDescent="0.25">
      <c r="A8591" s="2">
        <v>8586</v>
      </c>
      <c r="B8591" s="11" t="str">
        <f>"00430574"</f>
        <v>00430574</v>
      </c>
    </row>
    <row r="8592" spans="1:2" x14ac:dyDescent="0.25">
      <c r="A8592" s="2">
        <v>8587</v>
      </c>
      <c r="B8592" s="11" t="str">
        <f>"00430674"</f>
        <v>00430674</v>
      </c>
    </row>
    <row r="8593" spans="1:2" x14ac:dyDescent="0.25">
      <c r="A8593" s="2">
        <v>8588</v>
      </c>
      <c r="B8593" s="11" t="str">
        <f>"00430776"</f>
        <v>00430776</v>
      </c>
    </row>
    <row r="8594" spans="1:2" x14ac:dyDescent="0.25">
      <c r="A8594" s="2">
        <v>8589</v>
      </c>
      <c r="B8594" s="11" t="str">
        <f>"00430847"</f>
        <v>00430847</v>
      </c>
    </row>
    <row r="8595" spans="1:2" x14ac:dyDescent="0.25">
      <c r="A8595" s="2">
        <v>8590</v>
      </c>
      <c r="B8595" s="11" t="str">
        <f>"00430873"</f>
        <v>00430873</v>
      </c>
    </row>
    <row r="8596" spans="1:2" x14ac:dyDescent="0.25">
      <c r="A8596" s="2">
        <v>8591</v>
      </c>
      <c r="B8596" s="11" t="str">
        <f>"00430913"</f>
        <v>00430913</v>
      </c>
    </row>
    <row r="8597" spans="1:2" x14ac:dyDescent="0.25">
      <c r="A8597" s="2">
        <v>8592</v>
      </c>
      <c r="B8597" s="11" t="str">
        <f>"00431091"</f>
        <v>00431091</v>
      </c>
    </row>
    <row r="8598" spans="1:2" x14ac:dyDescent="0.25">
      <c r="A8598" s="2">
        <v>8593</v>
      </c>
      <c r="B8598" s="11" t="str">
        <f>"00431141"</f>
        <v>00431141</v>
      </c>
    </row>
    <row r="8599" spans="1:2" x14ac:dyDescent="0.25">
      <c r="A8599" s="2">
        <v>8594</v>
      </c>
      <c r="B8599" s="11" t="str">
        <f>"00431169"</f>
        <v>00431169</v>
      </c>
    </row>
    <row r="8600" spans="1:2" x14ac:dyDescent="0.25">
      <c r="A8600" s="2">
        <v>8595</v>
      </c>
      <c r="B8600" s="11" t="str">
        <f>"00431206"</f>
        <v>00431206</v>
      </c>
    </row>
    <row r="8601" spans="1:2" x14ac:dyDescent="0.25">
      <c r="A8601" s="2">
        <v>8596</v>
      </c>
      <c r="B8601" s="11" t="str">
        <f>"00431320"</f>
        <v>00431320</v>
      </c>
    </row>
    <row r="8602" spans="1:2" x14ac:dyDescent="0.25">
      <c r="A8602" s="2">
        <v>8597</v>
      </c>
      <c r="B8602" s="11" t="str">
        <f>"00431511"</f>
        <v>00431511</v>
      </c>
    </row>
    <row r="8603" spans="1:2" x14ac:dyDescent="0.25">
      <c r="A8603" s="2">
        <v>8598</v>
      </c>
      <c r="B8603" s="11" t="str">
        <f>"00431515"</f>
        <v>00431515</v>
      </c>
    </row>
    <row r="8604" spans="1:2" x14ac:dyDescent="0.25">
      <c r="A8604" s="2">
        <v>8599</v>
      </c>
      <c r="B8604" s="11" t="str">
        <f>"00431559"</f>
        <v>00431559</v>
      </c>
    </row>
    <row r="8605" spans="1:2" x14ac:dyDescent="0.25">
      <c r="A8605" s="2">
        <v>8600</v>
      </c>
      <c r="B8605" s="11" t="str">
        <f>"00431563"</f>
        <v>00431563</v>
      </c>
    </row>
    <row r="8606" spans="1:2" x14ac:dyDescent="0.25">
      <c r="A8606" s="2">
        <v>8601</v>
      </c>
      <c r="B8606" s="11" t="str">
        <f>"00431578"</f>
        <v>00431578</v>
      </c>
    </row>
    <row r="8607" spans="1:2" x14ac:dyDescent="0.25">
      <c r="A8607" s="2">
        <v>8602</v>
      </c>
      <c r="B8607" s="11" t="str">
        <f>"00431588"</f>
        <v>00431588</v>
      </c>
    </row>
    <row r="8608" spans="1:2" x14ac:dyDescent="0.25">
      <c r="A8608" s="2">
        <v>8603</v>
      </c>
      <c r="B8608" s="11" t="str">
        <f>"00431591"</f>
        <v>00431591</v>
      </c>
    </row>
    <row r="8609" spans="1:2" x14ac:dyDescent="0.25">
      <c r="A8609" s="2">
        <v>8604</v>
      </c>
      <c r="B8609" s="11" t="str">
        <f>"00431658"</f>
        <v>00431658</v>
      </c>
    </row>
    <row r="8610" spans="1:2" x14ac:dyDescent="0.25">
      <c r="A8610" s="2">
        <v>8605</v>
      </c>
      <c r="B8610" s="11" t="str">
        <f>"00431685"</f>
        <v>00431685</v>
      </c>
    </row>
    <row r="8611" spans="1:2" x14ac:dyDescent="0.25">
      <c r="A8611" s="2">
        <v>8606</v>
      </c>
      <c r="B8611" s="11" t="str">
        <f>"00431687"</f>
        <v>00431687</v>
      </c>
    </row>
    <row r="8612" spans="1:2" x14ac:dyDescent="0.25">
      <c r="A8612" s="2">
        <v>8607</v>
      </c>
      <c r="B8612" s="11" t="str">
        <f>"00431715"</f>
        <v>00431715</v>
      </c>
    </row>
    <row r="8613" spans="1:2" x14ac:dyDescent="0.25">
      <c r="A8613" s="2">
        <v>8608</v>
      </c>
      <c r="B8613" s="11" t="str">
        <f>"00431757"</f>
        <v>00431757</v>
      </c>
    </row>
    <row r="8614" spans="1:2" x14ac:dyDescent="0.25">
      <c r="A8614" s="2">
        <v>8609</v>
      </c>
      <c r="B8614" s="11" t="str">
        <f>"00431856"</f>
        <v>00431856</v>
      </c>
    </row>
    <row r="8615" spans="1:2" x14ac:dyDescent="0.25">
      <c r="A8615" s="2">
        <v>8610</v>
      </c>
      <c r="B8615" s="11" t="str">
        <f>"00431932"</f>
        <v>00431932</v>
      </c>
    </row>
    <row r="8616" spans="1:2" x14ac:dyDescent="0.25">
      <c r="A8616" s="2">
        <v>8611</v>
      </c>
      <c r="B8616" s="11" t="str">
        <f>"00431994"</f>
        <v>00431994</v>
      </c>
    </row>
    <row r="8617" spans="1:2" x14ac:dyDescent="0.25">
      <c r="A8617" s="2">
        <v>8612</v>
      </c>
      <c r="B8617" s="11" t="str">
        <f>"00432007"</f>
        <v>00432007</v>
      </c>
    </row>
    <row r="8618" spans="1:2" x14ac:dyDescent="0.25">
      <c r="A8618" s="2">
        <v>8613</v>
      </c>
      <c r="B8618" s="11" t="str">
        <f>"00432008"</f>
        <v>00432008</v>
      </c>
    </row>
    <row r="8619" spans="1:2" x14ac:dyDescent="0.25">
      <c r="A8619" s="2">
        <v>8614</v>
      </c>
      <c r="B8619" s="11" t="str">
        <f>"00432021"</f>
        <v>00432021</v>
      </c>
    </row>
    <row r="8620" spans="1:2" x14ac:dyDescent="0.25">
      <c r="A8620" s="2">
        <v>8615</v>
      </c>
      <c r="B8620" s="11" t="str">
        <f>"00432025"</f>
        <v>00432025</v>
      </c>
    </row>
    <row r="8621" spans="1:2" x14ac:dyDescent="0.25">
      <c r="A8621" s="2">
        <v>8616</v>
      </c>
      <c r="B8621" s="11" t="str">
        <f>"00432154"</f>
        <v>00432154</v>
      </c>
    </row>
    <row r="8622" spans="1:2" x14ac:dyDescent="0.25">
      <c r="A8622" s="2">
        <v>8617</v>
      </c>
      <c r="B8622" s="11" t="str">
        <f>"00432195"</f>
        <v>00432195</v>
      </c>
    </row>
    <row r="8623" spans="1:2" x14ac:dyDescent="0.25">
      <c r="A8623" s="2">
        <v>8618</v>
      </c>
      <c r="B8623" s="11" t="str">
        <f>"00432213"</f>
        <v>00432213</v>
      </c>
    </row>
    <row r="8624" spans="1:2" x14ac:dyDescent="0.25">
      <c r="A8624" s="2">
        <v>8619</v>
      </c>
      <c r="B8624" s="11" t="str">
        <f>"00432245"</f>
        <v>00432245</v>
      </c>
    </row>
    <row r="8625" spans="1:2" x14ac:dyDescent="0.25">
      <c r="A8625" s="2">
        <v>8620</v>
      </c>
      <c r="B8625" s="11" t="str">
        <f>"00432263"</f>
        <v>00432263</v>
      </c>
    </row>
    <row r="8626" spans="1:2" x14ac:dyDescent="0.25">
      <c r="A8626" s="2">
        <v>8621</v>
      </c>
      <c r="B8626" s="11" t="str">
        <f>"00432311"</f>
        <v>00432311</v>
      </c>
    </row>
    <row r="8627" spans="1:2" x14ac:dyDescent="0.25">
      <c r="A8627" s="2">
        <v>8622</v>
      </c>
      <c r="B8627" s="11" t="str">
        <f>"00432350"</f>
        <v>00432350</v>
      </c>
    </row>
    <row r="8628" spans="1:2" x14ac:dyDescent="0.25">
      <c r="A8628" s="2">
        <v>8623</v>
      </c>
      <c r="B8628" s="11" t="str">
        <f>"00432443"</f>
        <v>00432443</v>
      </c>
    </row>
    <row r="8629" spans="1:2" x14ac:dyDescent="0.25">
      <c r="A8629" s="2">
        <v>8624</v>
      </c>
      <c r="B8629" s="11" t="str">
        <f>"00432487"</f>
        <v>00432487</v>
      </c>
    </row>
    <row r="8630" spans="1:2" x14ac:dyDescent="0.25">
      <c r="A8630" s="2">
        <v>8625</v>
      </c>
      <c r="B8630" s="11" t="str">
        <f>"00432510"</f>
        <v>00432510</v>
      </c>
    </row>
    <row r="8631" spans="1:2" x14ac:dyDescent="0.25">
      <c r="A8631" s="2">
        <v>8626</v>
      </c>
      <c r="B8631" s="11" t="str">
        <f>"00432543"</f>
        <v>00432543</v>
      </c>
    </row>
    <row r="8632" spans="1:2" x14ac:dyDescent="0.25">
      <c r="A8632" s="2">
        <v>8627</v>
      </c>
      <c r="B8632" s="11" t="str">
        <f>"00432554"</f>
        <v>00432554</v>
      </c>
    </row>
    <row r="8633" spans="1:2" x14ac:dyDescent="0.25">
      <c r="A8633" s="2">
        <v>8628</v>
      </c>
      <c r="B8633" s="11" t="str">
        <f>"00432558"</f>
        <v>00432558</v>
      </c>
    </row>
    <row r="8634" spans="1:2" x14ac:dyDescent="0.25">
      <c r="A8634" s="2">
        <v>8629</v>
      </c>
      <c r="B8634" s="11" t="str">
        <f>"00432671"</f>
        <v>00432671</v>
      </c>
    </row>
    <row r="8635" spans="1:2" x14ac:dyDescent="0.25">
      <c r="A8635" s="2">
        <v>8630</v>
      </c>
      <c r="B8635" s="11" t="str">
        <f>"00432725"</f>
        <v>00432725</v>
      </c>
    </row>
    <row r="8636" spans="1:2" x14ac:dyDescent="0.25">
      <c r="A8636" s="2">
        <v>8631</v>
      </c>
      <c r="B8636" s="11" t="str">
        <f>"00432765"</f>
        <v>00432765</v>
      </c>
    </row>
    <row r="8637" spans="1:2" x14ac:dyDescent="0.25">
      <c r="A8637" s="2">
        <v>8632</v>
      </c>
      <c r="B8637" s="11" t="str">
        <f>"00432790"</f>
        <v>00432790</v>
      </c>
    </row>
    <row r="8638" spans="1:2" x14ac:dyDescent="0.25">
      <c r="A8638" s="2">
        <v>8633</v>
      </c>
      <c r="B8638" s="11" t="str">
        <f>"00432809"</f>
        <v>00432809</v>
      </c>
    </row>
    <row r="8639" spans="1:2" x14ac:dyDescent="0.25">
      <c r="A8639" s="2">
        <v>8634</v>
      </c>
      <c r="B8639" s="11" t="str">
        <f>"00432961"</f>
        <v>00432961</v>
      </c>
    </row>
    <row r="8640" spans="1:2" x14ac:dyDescent="0.25">
      <c r="A8640" s="2">
        <v>8635</v>
      </c>
      <c r="B8640" s="11" t="str">
        <f>"00433071"</f>
        <v>00433071</v>
      </c>
    </row>
    <row r="8641" spans="1:2" x14ac:dyDescent="0.25">
      <c r="A8641" s="2">
        <v>8636</v>
      </c>
      <c r="B8641" s="11" t="str">
        <f>"00433231"</f>
        <v>00433231</v>
      </c>
    </row>
    <row r="8642" spans="1:2" x14ac:dyDescent="0.25">
      <c r="A8642" s="2">
        <v>8637</v>
      </c>
      <c r="B8642" s="11" t="str">
        <f>"00433376"</f>
        <v>00433376</v>
      </c>
    </row>
    <row r="8643" spans="1:2" x14ac:dyDescent="0.25">
      <c r="A8643" s="2">
        <v>8638</v>
      </c>
      <c r="B8643" s="11" t="str">
        <f>"00433381"</f>
        <v>00433381</v>
      </c>
    </row>
    <row r="8644" spans="1:2" x14ac:dyDescent="0.25">
      <c r="A8644" s="2">
        <v>8639</v>
      </c>
      <c r="B8644" s="11" t="str">
        <f>"00433479"</f>
        <v>00433479</v>
      </c>
    </row>
    <row r="8645" spans="1:2" x14ac:dyDescent="0.25">
      <c r="A8645" s="2">
        <v>8640</v>
      </c>
      <c r="B8645" s="11" t="str">
        <f>"00433525"</f>
        <v>00433525</v>
      </c>
    </row>
    <row r="8646" spans="1:2" x14ac:dyDescent="0.25">
      <c r="A8646" s="2">
        <v>8641</v>
      </c>
      <c r="B8646" s="11" t="str">
        <f>"00433547"</f>
        <v>00433547</v>
      </c>
    </row>
    <row r="8647" spans="1:2" x14ac:dyDescent="0.25">
      <c r="A8647" s="2">
        <v>8642</v>
      </c>
      <c r="B8647" s="11" t="str">
        <f>"00433749"</f>
        <v>00433749</v>
      </c>
    </row>
    <row r="8648" spans="1:2" x14ac:dyDescent="0.25">
      <c r="A8648" s="2">
        <v>8643</v>
      </c>
      <c r="B8648" s="11" t="str">
        <f>"00433808"</f>
        <v>00433808</v>
      </c>
    </row>
    <row r="8649" spans="1:2" x14ac:dyDescent="0.25">
      <c r="A8649" s="2">
        <v>8644</v>
      </c>
      <c r="B8649" s="11" t="str">
        <f>"00433816"</f>
        <v>00433816</v>
      </c>
    </row>
    <row r="8650" spans="1:2" x14ac:dyDescent="0.25">
      <c r="A8650" s="2">
        <v>8645</v>
      </c>
      <c r="B8650" s="11" t="str">
        <f>"00433854"</f>
        <v>00433854</v>
      </c>
    </row>
    <row r="8651" spans="1:2" x14ac:dyDescent="0.25">
      <c r="A8651" s="2">
        <v>8646</v>
      </c>
      <c r="B8651" s="11" t="str">
        <f>"00433855"</f>
        <v>00433855</v>
      </c>
    </row>
    <row r="8652" spans="1:2" x14ac:dyDescent="0.25">
      <c r="A8652" s="2">
        <v>8647</v>
      </c>
      <c r="B8652" s="11" t="str">
        <f>"00434101"</f>
        <v>00434101</v>
      </c>
    </row>
    <row r="8653" spans="1:2" x14ac:dyDescent="0.25">
      <c r="A8653" s="2">
        <v>8648</v>
      </c>
      <c r="B8653" s="11" t="str">
        <f>"00434199"</f>
        <v>00434199</v>
      </c>
    </row>
    <row r="8654" spans="1:2" x14ac:dyDescent="0.25">
      <c r="A8654" s="2">
        <v>8649</v>
      </c>
      <c r="B8654" s="11" t="str">
        <f>"00434324"</f>
        <v>00434324</v>
      </c>
    </row>
    <row r="8655" spans="1:2" x14ac:dyDescent="0.25">
      <c r="A8655" s="2">
        <v>8650</v>
      </c>
      <c r="B8655" s="11" t="str">
        <f>"00434384"</f>
        <v>00434384</v>
      </c>
    </row>
    <row r="8656" spans="1:2" x14ac:dyDescent="0.25">
      <c r="A8656" s="2">
        <v>8651</v>
      </c>
      <c r="B8656" s="11" t="str">
        <f>"00434444"</f>
        <v>00434444</v>
      </c>
    </row>
    <row r="8657" spans="1:2" x14ac:dyDescent="0.25">
      <c r="A8657" s="2">
        <v>8652</v>
      </c>
      <c r="B8657" s="11" t="str">
        <f>"00434732"</f>
        <v>00434732</v>
      </c>
    </row>
    <row r="8658" spans="1:2" x14ac:dyDescent="0.25">
      <c r="A8658" s="2">
        <v>8653</v>
      </c>
      <c r="B8658" s="11" t="str">
        <f>"00434777"</f>
        <v>00434777</v>
      </c>
    </row>
    <row r="8659" spans="1:2" x14ac:dyDescent="0.25">
      <c r="A8659" s="2">
        <v>8654</v>
      </c>
      <c r="B8659" s="11" t="str">
        <f>"00434831"</f>
        <v>00434831</v>
      </c>
    </row>
    <row r="8660" spans="1:2" x14ac:dyDescent="0.25">
      <c r="A8660" s="2">
        <v>8655</v>
      </c>
      <c r="B8660" s="11" t="str">
        <f>"00435017"</f>
        <v>00435017</v>
      </c>
    </row>
    <row r="8661" spans="1:2" x14ac:dyDescent="0.25">
      <c r="A8661" s="2">
        <v>8656</v>
      </c>
      <c r="B8661" s="11" t="str">
        <f>"00435097"</f>
        <v>00435097</v>
      </c>
    </row>
    <row r="8662" spans="1:2" x14ac:dyDescent="0.25">
      <c r="A8662" s="2">
        <v>8657</v>
      </c>
      <c r="B8662" s="11" t="str">
        <f>"00435130"</f>
        <v>00435130</v>
      </c>
    </row>
    <row r="8663" spans="1:2" x14ac:dyDescent="0.25">
      <c r="A8663" s="2">
        <v>8658</v>
      </c>
      <c r="B8663" s="11" t="str">
        <f>"00435275"</f>
        <v>00435275</v>
      </c>
    </row>
    <row r="8664" spans="1:2" x14ac:dyDescent="0.25">
      <c r="A8664" s="2">
        <v>8659</v>
      </c>
      <c r="B8664" s="11" t="str">
        <f>"00435296"</f>
        <v>00435296</v>
      </c>
    </row>
    <row r="8665" spans="1:2" x14ac:dyDescent="0.25">
      <c r="A8665" s="2">
        <v>8660</v>
      </c>
      <c r="B8665" s="11" t="str">
        <f>"00435373"</f>
        <v>00435373</v>
      </c>
    </row>
    <row r="8666" spans="1:2" x14ac:dyDescent="0.25">
      <c r="A8666" s="2">
        <v>8661</v>
      </c>
      <c r="B8666" s="11" t="str">
        <f>"00435385"</f>
        <v>00435385</v>
      </c>
    </row>
    <row r="8667" spans="1:2" x14ac:dyDescent="0.25">
      <c r="A8667" s="2">
        <v>8662</v>
      </c>
      <c r="B8667" s="11" t="str">
        <f>"00435388"</f>
        <v>00435388</v>
      </c>
    </row>
    <row r="8668" spans="1:2" x14ac:dyDescent="0.25">
      <c r="A8668" s="2">
        <v>8663</v>
      </c>
      <c r="B8668" s="11" t="str">
        <f>"00435444"</f>
        <v>00435444</v>
      </c>
    </row>
    <row r="8669" spans="1:2" x14ac:dyDescent="0.25">
      <c r="A8669" s="2">
        <v>8664</v>
      </c>
      <c r="B8669" s="11" t="str">
        <f>"00435447"</f>
        <v>00435447</v>
      </c>
    </row>
    <row r="8670" spans="1:2" x14ac:dyDescent="0.25">
      <c r="A8670" s="2">
        <v>8665</v>
      </c>
      <c r="B8670" s="11" t="str">
        <f>"00435476"</f>
        <v>00435476</v>
      </c>
    </row>
    <row r="8671" spans="1:2" x14ac:dyDescent="0.25">
      <c r="A8671" s="2">
        <v>8666</v>
      </c>
      <c r="B8671" s="11" t="str">
        <f>"00435497"</f>
        <v>00435497</v>
      </c>
    </row>
    <row r="8672" spans="1:2" x14ac:dyDescent="0.25">
      <c r="A8672" s="2">
        <v>8667</v>
      </c>
      <c r="B8672" s="11" t="str">
        <f>"00435596"</f>
        <v>00435596</v>
      </c>
    </row>
    <row r="8673" spans="1:2" x14ac:dyDescent="0.25">
      <c r="A8673" s="2">
        <v>8668</v>
      </c>
      <c r="B8673" s="11" t="str">
        <f>"00435665"</f>
        <v>00435665</v>
      </c>
    </row>
    <row r="8674" spans="1:2" x14ac:dyDescent="0.25">
      <c r="A8674" s="2">
        <v>8669</v>
      </c>
      <c r="B8674" s="11" t="str">
        <f>"00435702"</f>
        <v>00435702</v>
      </c>
    </row>
    <row r="8675" spans="1:2" x14ac:dyDescent="0.25">
      <c r="A8675" s="2">
        <v>8670</v>
      </c>
      <c r="B8675" s="11" t="str">
        <f>"00435820"</f>
        <v>00435820</v>
      </c>
    </row>
    <row r="8676" spans="1:2" x14ac:dyDescent="0.25">
      <c r="A8676" s="2">
        <v>8671</v>
      </c>
      <c r="B8676" s="11" t="str">
        <f>"00435891"</f>
        <v>00435891</v>
      </c>
    </row>
    <row r="8677" spans="1:2" x14ac:dyDescent="0.25">
      <c r="A8677" s="2">
        <v>8672</v>
      </c>
      <c r="B8677" s="11" t="str">
        <f>"00435908"</f>
        <v>00435908</v>
      </c>
    </row>
    <row r="8678" spans="1:2" x14ac:dyDescent="0.25">
      <c r="A8678" s="2">
        <v>8673</v>
      </c>
      <c r="B8678" s="11" t="str">
        <f>"00435968"</f>
        <v>00435968</v>
      </c>
    </row>
    <row r="8679" spans="1:2" x14ac:dyDescent="0.25">
      <c r="A8679" s="2">
        <v>8674</v>
      </c>
      <c r="B8679" s="11" t="str">
        <f>"00436009"</f>
        <v>00436009</v>
      </c>
    </row>
    <row r="8680" spans="1:2" x14ac:dyDescent="0.25">
      <c r="A8680" s="2">
        <v>8675</v>
      </c>
      <c r="B8680" s="11" t="str">
        <f>"00436236"</f>
        <v>00436236</v>
      </c>
    </row>
    <row r="8681" spans="1:2" x14ac:dyDescent="0.25">
      <c r="A8681" s="2">
        <v>8676</v>
      </c>
      <c r="B8681" s="11" t="str">
        <f>"00436255"</f>
        <v>00436255</v>
      </c>
    </row>
    <row r="8682" spans="1:2" x14ac:dyDescent="0.25">
      <c r="A8682" s="2">
        <v>8677</v>
      </c>
      <c r="B8682" s="11" t="str">
        <f>"00436280"</f>
        <v>00436280</v>
      </c>
    </row>
    <row r="8683" spans="1:2" x14ac:dyDescent="0.25">
      <c r="A8683" s="2">
        <v>8678</v>
      </c>
      <c r="B8683" s="11" t="str">
        <f>"00436471"</f>
        <v>00436471</v>
      </c>
    </row>
    <row r="8684" spans="1:2" x14ac:dyDescent="0.25">
      <c r="A8684" s="2">
        <v>8679</v>
      </c>
      <c r="B8684" s="11" t="str">
        <f>"00436473"</f>
        <v>00436473</v>
      </c>
    </row>
    <row r="8685" spans="1:2" x14ac:dyDescent="0.25">
      <c r="A8685" s="2">
        <v>8680</v>
      </c>
      <c r="B8685" s="11" t="str">
        <f>"00436489"</f>
        <v>00436489</v>
      </c>
    </row>
    <row r="8686" spans="1:2" x14ac:dyDescent="0.25">
      <c r="A8686" s="2">
        <v>8681</v>
      </c>
      <c r="B8686" s="11" t="str">
        <f>"00436600"</f>
        <v>00436600</v>
      </c>
    </row>
    <row r="8687" spans="1:2" x14ac:dyDescent="0.25">
      <c r="A8687" s="2">
        <v>8682</v>
      </c>
      <c r="B8687" s="11" t="str">
        <f>"00436614"</f>
        <v>00436614</v>
      </c>
    </row>
    <row r="8688" spans="1:2" x14ac:dyDescent="0.25">
      <c r="A8688" s="2">
        <v>8683</v>
      </c>
      <c r="B8688" s="11" t="str">
        <f>"00436757"</f>
        <v>00436757</v>
      </c>
    </row>
    <row r="8689" spans="1:2" x14ac:dyDescent="0.25">
      <c r="A8689" s="2">
        <v>8684</v>
      </c>
      <c r="B8689" s="11" t="str">
        <f>"00436927"</f>
        <v>00436927</v>
      </c>
    </row>
    <row r="8690" spans="1:2" x14ac:dyDescent="0.25">
      <c r="A8690" s="2">
        <v>8685</v>
      </c>
      <c r="B8690" s="11" t="str">
        <f>"00437137"</f>
        <v>00437137</v>
      </c>
    </row>
    <row r="8691" spans="1:2" x14ac:dyDescent="0.25">
      <c r="A8691" s="2">
        <v>8686</v>
      </c>
      <c r="B8691" s="11" t="str">
        <f>"00437229"</f>
        <v>00437229</v>
      </c>
    </row>
    <row r="8692" spans="1:2" x14ac:dyDescent="0.25">
      <c r="A8692" s="2">
        <v>8687</v>
      </c>
      <c r="B8692" s="11" t="str">
        <f>"00437266"</f>
        <v>00437266</v>
      </c>
    </row>
    <row r="8693" spans="1:2" x14ac:dyDescent="0.25">
      <c r="A8693" s="2">
        <v>8688</v>
      </c>
      <c r="B8693" s="11" t="str">
        <f>"00437414"</f>
        <v>00437414</v>
      </c>
    </row>
    <row r="8694" spans="1:2" x14ac:dyDescent="0.25">
      <c r="A8694" s="2">
        <v>8689</v>
      </c>
      <c r="B8694" s="11" t="str">
        <f>"00437478"</f>
        <v>00437478</v>
      </c>
    </row>
    <row r="8695" spans="1:2" x14ac:dyDescent="0.25">
      <c r="A8695" s="2">
        <v>8690</v>
      </c>
      <c r="B8695" s="11" t="str">
        <f>"00437707"</f>
        <v>00437707</v>
      </c>
    </row>
    <row r="8696" spans="1:2" x14ac:dyDescent="0.25">
      <c r="A8696" s="2">
        <v>8691</v>
      </c>
      <c r="B8696" s="11" t="str">
        <f>"00437741"</f>
        <v>00437741</v>
      </c>
    </row>
    <row r="8697" spans="1:2" x14ac:dyDescent="0.25">
      <c r="A8697" s="2">
        <v>8692</v>
      </c>
      <c r="B8697" s="11" t="str">
        <f>"00437820"</f>
        <v>00437820</v>
      </c>
    </row>
    <row r="8698" spans="1:2" x14ac:dyDescent="0.25">
      <c r="A8698" s="2">
        <v>8693</v>
      </c>
      <c r="B8698" s="11" t="str">
        <f>"00437821"</f>
        <v>00437821</v>
      </c>
    </row>
    <row r="8699" spans="1:2" x14ac:dyDescent="0.25">
      <c r="A8699" s="2">
        <v>8694</v>
      </c>
      <c r="B8699" s="11" t="str">
        <f>"00437874"</f>
        <v>00437874</v>
      </c>
    </row>
    <row r="8700" spans="1:2" x14ac:dyDescent="0.25">
      <c r="A8700" s="2">
        <v>8695</v>
      </c>
      <c r="B8700" s="11" t="str">
        <f>"00437932"</f>
        <v>00437932</v>
      </c>
    </row>
    <row r="8701" spans="1:2" x14ac:dyDescent="0.25">
      <c r="A8701" s="2">
        <v>8696</v>
      </c>
      <c r="B8701" s="11" t="str">
        <f>"00437947"</f>
        <v>00437947</v>
      </c>
    </row>
    <row r="8702" spans="1:2" x14ac:dyDescent="0.25">
      <c r="A8702" s="2">
        <v>8697</v>
      </c>
      <c r="B8702" s="11" t="str">
        <f>"00438048"</f>
        <v>00438048</v>
      </c>
    </row>
    <row r="8703" spans="1:2" x14ac:dyDescent="0.25">
      <c r="A8703" s="2">
        <v>8698</v>
      </c>
      <c r="B8703" s="11" t="str">
        <f>"00438065"</f>
        <v>00438065</v>
      </c>
    </row>
    <row r="8704" spans="1:2" x14ac:dyDescent="0.25">
      <c r="A8704" s="2">
        <v>8699</v>
      </c>
      <c r="B8704" s="11" t="str">
        <f>"00438079"</f>
        <v>00438079</v>
      </c>
    </row>
    <row r="8705" spans="1:2" x14ac:dyDescent="0.25">
      <c r="A8705" s="2">
        <v>8700</v>
      </c>
      <c r="B8705" s="11" t="str">
        <f>"00438108"</f>
        <v>00438108</v>
      </c>
    </row>
    <row r="8706" spans="1:2" x14ac:dyDescent="0.25">
      <c r="A8706" s="2">
        <v>8701</v>
      </c>
      <c r="B8706" s="11" t="str">
        <f>"00438116"</f>
        <v>00438116</v>
      </c>
    </row>
    <row r="8707" spans="1:2" x14ac:dyDescent="0.25">
      <c r="A8707" s="2">
        <v>8702</v>
      </c>
      <c r="B8707" s="11" t="str">
        <f>"00438131"</f>
        <v>00438131</v>
      </c>
    </row>
    <row r="8708" spans="1:2" x14ac:dyDescent="0.25">
      <c r="A8708" s="2">
        <v>8703</v>
      </c>
      <c r="B8708" s="11" t="str">
        <f>"00438261"</f>
        <v>00438261</v>
      </c>
    </row>
    <row r="8709" spans="1:2" x14ac:dyDescent="0.25">
      <c r="A8709" s="2">
        <v>8704</v>
      </c>
      <c r="B8709" s="11" t="str">
        <f>"00438336"</f>
        <v>00438336</v>
      </c>
    </row>
    <row r="8710" spans="1:2" x14ac:dyDescent="0.25">
      <c r="A8710" s="2">
        <v>8705</v>
      </c>
      <c r="B8710" s="11" t="str">
        <f>"00438384"</f>
        <v>00438384</v>
      </c>
    </row>
    <row r="8711" spans="1:2" x14ac:dyDescent="0.25">
      <c r="A8711" s="2">
        <v>8706</v>
      </c>
      <c r="B8711" s="11" t="str">
        <f>"00438416"</f>
        <v>00438416</v>
      </c>
    </row>
    <row r="8712" spans="1:2" x14ac:dyDescent="0.25">
      <c r="A8712" s="2">
        <v>8707</v>
      </c>
      <c r="B8712" s="11" t="str">
        <f>"00438439"</f>
        <v>00438439</v>
      </c>
    </row>
    <row r="8713" spans="1:2" x14ac:dyDescent="0.25">
      <c r="A8713" s="2">
        <v>8708</v>
      </c>
      <c r="B8713" s="11" t="str">
        <f>"00438543"</f>
        <v>00438543</v>
      </c>
    </row>
    <row r="8714" spans="1:2" x14ac:dyDescent="0.25">
      <c r="A8714" s="2">
        <v>8709</v>
      </c>
      <c r="B8714" s="11" t="str">
        <f>"00438565"</f>
        <v>00438565</v>
      </c>
    </row>
    <row r="8715" spans="1:2" x14ac:dyDescent="0.25">
      <c r="A8715" s="2">
        <v>8710</v>
      </c>
      <c r="B8715" s="11" t="str">
        <f>"00438678"</f>
        <v>00438678</v>
      </c>
    </row>
    <row r="8716" spans="1:2" x14ac:dyDescent="0.25">
      <c r="A8716" s="2">
        <v>8711</v>
      </c>
      <c r="B8716" s="11" t="str">
        <f>"00438774"</f>
        <v>00438774</v>
      </c>
    </row>
    <row r="8717" spans="1:2" x14ac:dyDescent="0.25">
      <c r="A8717" s="2">
        <v>8712</v>
      </c>
      <c r="B8717" s="11" t="str">
        <f>"00438985"</f>
        <v>00438985</v>
      </c>
    </row>
    <row r="8718" spans="1:2" x14ac:dyDescent="0.25">
      <c r="A8718" s="2">
        <v>8713</v>
      </c>
      <c r="B8718" s="11" t="str">
        <f>"00439024"</f>
        <v>00439024</v>
      </c>
    </row>
    <row r="8719" spans="1:2" x14ac:dyDescent="0.25">
      <c r="A8719" s="2">
        <v>8714</v>
      </c>
      <c r="B8719" s="11" t="str">
        <f>"00439072"</f>
        <v>00439072</v>
      </c>
    </row>
    <row r="8720" spans="1:2" x14ac:dyDescent="0.25">
      <c r="A8720" s="2">
        <v>8715</v>
      </c>
      <c r="B8720" s="11" t="str">
        <f>"00439081"</f>
        <v>00439081</v>
      </c>
    </row>
    <row r="8721" spans="1:2" x14ac:dyDescent="0.25">
      <c r="A8721" s="2">
        <v>8716</v>
      </c>
      <c r="B8721" s="11" t="str">
        <f>"00439100"</f>
        <v>00439100</v>
      </c>
    </row>
    <row r="8722" spans="1:2" x14ac:dyDescent="0.25">
      <c r="A8722" s="2">
        <v>8717</v>
      </c>
      <c r="B8722" s="11" t="str">
        <f>"00439184"</f>
        <v>00439184</v>
      </c>
    </row>
    <row r="8723" spans="1:2" x14ac:dyDescent="0.25">
      <c r="A8723" s="2">
        <v>8718</v>
      </c>
      <c r="B8723" s="11" t="str">
        <f>"00439303"</f>
        <v>00439303</v>
      </c>
    </row>
    <row r="8724" spans="1:2" x14ac:dyDescent="0.25">
      <c r="A8724" s="2">
        <v>8719</v>
      </c>
      <c r="B8724" s="11" t="str">
        <f>"00439328"</f>
        <v>00439328</v>
      </c>
    </row>
    <row r="8725" spans="1:2" x14ac:dyDescent="0.25">
      <c r="A8725" s="2">
        <v>8720</v>
      </c>
      <c r="B8725" s="11" t="str">
        <f>"00439349"</f>
        <v>00439349</v>
      </c>
    </row>
    <row r="8726" spans="1:2" x14ac:dyDescent="0.25">
      <c r="A8726" s="2">
        <v>8721</v>
      </c>
      <c r="B8726" s="11" t="str">
        <f>"00439352"</f>
        <v>00439352</v>
      </c>
    </row>
    <row r="8727" spans="1:2" x14ac:dyDescent="0.25">
      <c r="A8727" s="2">
        <v>8722</v>
      </c>
      <c r="B8727" s="11" t="str">
        <f>"00439372"</f>
        <v>00439372</v>
      </c>
    </row>
    <row r="8728" spans="1:2" x14ac:dyDescent="0.25">
      <c r="A8728" s="2">
        <v>8723</v>
      </c>
      <c r="B8728" s="11" t="str">
        <f>"00439379"</f>
        <v>00439379</v>
      </c>
    </row>
    <row r="8729" spans="1:2" x14ac:dyDescent="0.25">
      <c r="A8729" s="2">
        <v>8724</v>
      </c>
      <c r="B8729" s="11" t="str">
        <f>"00439495"</f>
        <v>00439495</v>
      </c>
    </row>
    <row r="8730" spans="1:2" x14ac:dyDescent="0.25">
      <c r="A8730" s="2">
        <v>8725</v>
      </c>
      <c r="B8730" s="11" t="str">
        <f>"00439520"</f>
        <v>00439520</v>
      </c>
    </row>
    <row r="8731" spans="1:2" x14ac:dyDescent="0.25">
      <c r="A8731" s="2">
        <v>8726</v>
      </c>
      <c r="B8731" s="11" t="str">
        <f>"00439530"</f>
        <v>00439530</v>
      </c>
    </row>
    <row r="8732" spans="1:2" x14ac:dyDescent="0.25">
      <c r="A8732" s="2">
        <v>8727</v>
      </c>
      <c r="B8732" s="11" t="str">
        <f>"00439611"</f>
        <v>00439611</v>
      </c>
    </row>
    <row r="8733" spans="1:2" x14ac:dyDescent="0.25">
      <c r="A8733" s="2">
        <v>8728</v>
      </c>
      <c r="B8733" s="11" t="str">
        <f>"00439667"</f>
        <v>00439667</v>
      </c>
    </row>
    <row r="8734" spans="1:2" x14ac:dyDescent="0.25">
      <c r="A8734" s="2">
        <v>8729</v>
      </c>
      <c r="B8734" s="11" t="str">
        <f>"00439668"</f>
        <v>00439668</v>
      </c>
    </row>
    <row r="8735" spans="1:2" x14ac:dyDescent="0.25">
      <c r="A8735" s="2">
        <v>8730</v>
      </c>
      <c r="B8735" s="11" t="str">
        <f>"00439674"</f>
        <v>00439674</v>
      </c>
    </row>
    <row r="8736" spans="1:2" x14ac:dyDescent="0.25">
      <c r="A8736" s="2">
        <v>8731</v>
      </c>
      <c r="B8736" s="11" t="str">
        <f>"00439742"</f>
        <v>00439742</v>
      </c>
    </row>
    <row r="8737" spans="1:2" x14ac:dyDescent="0.25">
      <c r="A8737" s="2">
        <v>8732</v>
      </c>
      <c r="B8737" s="11" t="str">
        <f>"00439892"</f>
        <v>00439892</v>
      </c>
    </row>
    <row r="8738" spans="1:2" x14ac:dyDescent="0.25">
      <c r="A8738" s="2">
        <v>8733</v>
      </c>
      <c r="B8738" s="11" t="str">
        <f>"00440022"</f>
        <v>00440022</v>
      </c>
    </row>
    <row r="8739" spans="1:2" x14ac:dyDescent="0.25">
      <c r="A8739" s="2">
        <v>8734</v>
      </c>
      <c r="B8739" s="11" t="str">
        <f>"00440024"</f>
        <v>00440024</v>
      </c>
    </row>
    <row r="8740" spans="1:2" x14ac:dyDescent="0.25">
      <c r="A8740" s="2">
        <v>8735</v>
      </c>
      <c r="B8740" s="11" t="str">
        <f>"00440088"</f>
        <v>00440088</v>
      </c>
    </row>
    <row r="8741" spans="1:2" x14ac:dyDescent="0.25">
      <c r="A8741" s="2">
        <v>8736</v>
      </c>
      <c r="B8741" s="11" t="str">
        <f>"00440091"</f>
        <v>00440091</v>
      </c>
    </row>
    <row r="8742" spans="1:2" x14ac:dyDescent="0.25">
      <c r="A8742" s="2">
        <v>8737</v>
      </c>
      <c r="B8742" s="11" t="str">
        <f>"00440110"</f>
        <v>00440110</v>
      </c>
    </row>
    <row r="8743" spans="1:2" x14ac:dyDescent="0.25">
      <c r="A8743" s="2">
        <v>8738</v>
      </c>
      <c r="B8743" s="11" t="str">
        <f>"00440312"</f>
        <v>00440312</v>
      </c>
    </row>
    <row r="8744" spans="1:2" x14ac:dyDescent="0.25">
      <c r="A8744" s="2">
        <v>8739</v>
      </c>
      <c r="B8744" s="11" t="str">
        <f>"00440321"</f>
        <v>00440321</v>
      </c>
    </row>
    <row r="8745" spans="1:2" x14ac:dyDescent="0.25">
      <c r="A8745" s="2">
        <v>8740</v>
      </c>
      <c r="B8745" s="11" t="str">
        <f>"00440341"</f>
        <v>00440341</v>
      </c>
    </row>
    <row r="8746" spans="1:2" x14ac:dyDescent="0.25">
      <c r="A8746" s="2">
        <v>8741</v>
      </c>
      <c r="B8746" s="11" t="str">
        <f>"00440343"</f>
        <v>00440343</v>
      </c>
    </row>
    <row r="8747" spans="1:2" x14ac:dyDescent="0.25">
      <c r="A8747" s="2">
        <v>8742</v>
      </c>
      <c r="B8747" s="11" t="str">
        <f>"00440391"</f>
        <v>00440391</v>
      </c>
    </row>
    <row r="8748" spans="1:2" x14ac:dyDescent="0.25">
      <c r="A8748" s="2">
        <v>8743</v>
      </c>
      <c r="B8748" s="11" t="str">
        <f>"00440406"</f>
        <v>00440406</v>
      </c>
    </row>
    <row r="8749" spans="1:2" x14ac:dyDescent="0.25">
      <c r="A8749" s="2">
        <v>8744</v>
      </c>
      <c r="B8749" s="11" t="str">
        <f>"00440407"</f>
        <v>00440407</v>
      </c>
    </row>
    <row r="8750" spans="1:2" x14ac:dyDescent="0.25">
      <c r="A8750" s="2">
        <v>8745</v>
      </c>
      <c r="B8750" s="11" t="str">
        <f>"00440446"</f>
        <v>00440446</v>
      </c>
    </row>
    <row r="8751" spans="1:2" x14ac:dyDescent="0.25">
      <c r="A8751" s="2">
        <v>8746</v>
      </c>
      <c r="B8751" s="11" t="str">
        <f>"00440567"</f>
        <v>00440567</v>
      </c>
    </row>
    <row r="8752" spans="1:2" x14ac:dyDescent="0.25">
      <c r="A8752" s="2">
        <v>8747</v>
      </c>
      <c r="B8752" s="11" t="str">
        <f>"00440579"</f>
        <v>00440579</v>
      </c>
    </row>
    <row r="8753" spans="1:2" x14ac:dyDescent="0.25">
      <c r="A8753" s="2">
        <v>8748</v>
      </c>
      <c r="B8753" s="11" t="str">
        <f>"00440602"</f>
        <v>00440602</v>
      </c>
    </row>
    <row r="8754" spans="1:2" x14ac:dyDescent="0.25">
      <c r="A8754" s="2">
        <v>8749</v>
      </c>
      <c r="B8754" s="11" t="str">
        <f>"00440608"</f>
        <v>00440608</v>
      </c>
    </row>
    <row r="8755" spans="1:2" x14ac:dyDescent="0.25">
      <c r="A8755" s="2">
        <v>8750</v>
      </c>
      <c r="B8755" s="11" t="str">
        <f>"00440618"</f>
        <v>00440618</v>
      </c>
    </row>
    <row r="8756" spans="1:2" x14ac:dyDescent="0.25">
      <c r="A8756" s="2">
        <v>8751</v>
      </c>
      <c r="B8756" s="11" t="str">
        <f>"00440624"</f>
        <v>00440624</v>
      </c>
    </row>
    <row r="8757" spans="1:2" x14ac:dyDescent="0.25">
      <c r="A8757" s="2">
        <v>8752</v>
      </c>
      <c r="B8757" s="11" t="str">
        <f>"00440676"</f>
        <v>00440676</v>
      </c>
    </row>
    <row r="8758" spans="1:2" x14ac:dyDescent="0.25">
      <c r="A8758" s="2">
        <v>8753</v>
      </c>
      <c r="B8758" s="11" t="str">
        <f>"00440692"</f>
        <v>00440692</v>
      </c>
    </row>
    <row r="8759" spans="1:2" x14ac:dyDescent="0.25">
      <c r="A8759" s="2">
        <v>8754</v>
      </c>
      <c r="B8759" s="11" t="str">
        <f>"00440794"</f>
        <v>00440794</v>
      </c>
    </row>
    <row r="8760" spans="1:2" x14ac:dyDescent="0.25">
      <c r="A8760" s="2">
        <v>8755</v>
      </c>
      <c r="B8760" s="11" t="str">
        <f>"00440851"</f>
        <v>00440851</v>
      </c>
    </row>
    <row r="8761" spans="1:2" x14ac:dyDescent="0.25">
      <c r="A8761" s="2">
        <v>8756</v>
      </c>
      <c r="B8761" s="11" t="str">
        <f>"00440973"</f>
        <v>00440973</v>
      </c>
    </row>
    <row r="8762" spans="1:2" x14ac:dyDescent="0.25">
      <c r="A8762" s="2">
        <v>8757</v>
      </c>
      <c r="B8762" s="11" t="str">
        <f>"00441080"</f>
        <v>00441080</v>
      </c>
    </row>
    <row r="8763" spans="1:2" x14ac:dyDescent="0.25">
      <c r="A8763" s="2">
        <v>8758</v>
      </c>
      <c r="B8763" s="11" t="str">
        <f>"00441133"</f>
        <v>00441133</v>
      </c>
    </row>
    <row r="8764" spans="1:2" x14ac:dyDescent="0.25">
      <c r="A8764" s="2">
        <v>8759</v>
      </c>
      <c r="B8764" s="11" t="str">
        <f>"00441161"</f>
        <v>00441161</v>
      </c>
    </row>
    <row r="8765" spans="1:2" x14ac:dyDescent="0.25">
      <c r="A8765" s="2">
        <v>8760</v>
      </c>
      <c r="B8765" s="11" t="str">
        <f>"00441376"</f>
        <v>00441376</v>
      </c>
    </row>
    <row r="8766" spans="1:2" x14ac:dyDescent="0.25">
      <c r="A8766" s="2">
        <v>8761</v>
      </c>
      <c r="B8766" s="11" t="str">
        <f>"00441380"</f>
        <v>00441380</v>
      </c>
    </row>
    <row r="8767" spans="1:2" x14ac:dyDescent="0.25">
      <c r="A8767" s="2">
        <v>8762</v>
      </c>
      <c r="B8767" s="11" t="str">
        <f>"00441527"</f>
        <v>00441527</v>
      </c>
    </row>
    <row r="8768" spans="1:2" x14ac:dyDescent="0.25">
      <c r="A8768" s="2">
        <v>8763</v>
      </c>
      <c r="B8768" s="11" t="str">
        <f>"00441533"</f>
        <v>00441533</v>
      </c>
    </row>
    <row r="8769" spans="1:2" x14ac:dyDescent="0.25">
      <c r="A8769" s="2">
        <v>8764</v>
      </c>
      <c r="B8769" s="11" t="str">
        <f>"00441657"</f>
        <v>00441657</v>
      </c>
    </row>
    <row r="8770" spans="1:2" x14ac:dyDescent="0.25">
      <c r="A8770" s="2">
        <v>8765</v>
      </c>
      <c r="B8770" s="11" t="str">
        <f>"00441739"</f>
        <v>00441739</v>
      </c>
    </row>
    <row r="8771" spans="1:2" x14ac:dyDescent="0.25">
      <c r="A8771" s="2">
        <v>8766</v>
      </c>
      <c r="B8771" s="11" t="str">
        <f>"00441801"</f>
        <v>00441801</v>
      </c>
    </row>
    <row r="8772" spans="1:2" x14ac:dyDescent="0.25">
      <c r="A8772" s="2">
        <v>8767</v>
      </c>
      <c r="B8772" s="11" t="str">
        <f>"00441802"</f>
        <v>00441802</v>
      </c>
    </row>
    <row r="8773" spans="1:2" x14ac:dyDescent="0.25">
      <c r="A8773" s="2">
        <v>8768</v>
      </c>
      <c r="B8773" s="11" t="str">
        <f>"00441809"</f>
        <v>00441809</v>
      </c>
    </row>
    <row r="8774" spans="1:2" x14ac:dyDescent="0.25">
      <c r="A8774" s="2">
        <v>8769</v>
      </c>
      <c r="B8774" s="11" t="str">
        <f>"00441816"</f>
        <v>00441816</v>
      </c>
    </row>
    <row r="8775" spans="1:2" x14ac:dyDescent="0.25">
      <c r="A8775" s="2">
        <v>8770</v>
      </c>
      <c r="B8775" s="11" t="str">
        <f>"00441988"</f>
        <v>00441988</v>
      </c>
    </row>
    <row r="8776" spans="1:2" x14ac:dyDescent="0.25">
      <c r="A8776" s="2">
        <v>8771</v>
      </c>
      <c r="B8776" s="11" t="str">
        <f>"00441998"</f>
        <v>00441998</v>
      </c>
    </row>
    <row r="8777" spans="1:2" x14ac:dyDescent="0.25">
      <c r="A8777" s="2">
        <v>8772</v>
      </c>
      <c r="B8777" s="11" t="str">
        <f>"00442032"</f>
        <v>00442032</v>
      </c>
    </row>
    <row r="8778" spans="1:2" x14ac:dyDescent="0.25">
      <c r="A8778" s="2">
        <v>8773</v>
      </c>
      <c r="B8778" s="11" t="str">
        <f>"00442093"</f>
        <v>00442093</v>
      </c>
    </row>
    <row r="8779" spans="1:2" x14ac:dyDescent="0.25">
      <c r="A8779" s="2">
        <v>8774</v>
      </c>
      <c r="B8779" s="11" t="str">
        <f>"00442111"</f>
        <v>00442111</v>
      </c>
    </row>
    <row r="8780" spans="1:2" x14ac:dyDescent="0.25">
      <c r="A8780" s="2">
        <v>8775</v>
      </c>
      <c r="B8780" s="11" t="str">
        <f>"00442113"</f>
        <v>00442113</v>
      </c>
    </row>
    <row r="8781" spans="1:2" x14ac:dyDescent="0.25">
      <c r="A8781" s="2">
        <v>8776</v>
      </c>
      <c r="B8781" s="11" t="str">
        <f>"00442114"</f>
        <v>00442114</v>
      </c>
    </row>
    <row r="8782" spans="1:2" x14ac:dyDescent="0.25">
      <c r="A8782" s="2">
        <v>8777</v>
      </c>
      <c r="B8782" s="11" t="str">
        <f>"00442120"</f>
        <v>00442120</v>
      </c>
    </row>
    <row r="8783" spans="1:2" x14ac:dyDescent="0.25">
      <c r="A8783" s="2">
        <v>8778</v>
      </c>
      <c r="B8783" s="11" t="str">
        <f>"00442159"</f>
        <v>00442159</v>
      </c>
    </row>
    <row r="8784" spans="1:2" x14ac:dyDescent="0.25">
      <c r="A8784" s="2">
        <v>8779</v>
      </c>
      <c r="B8784" s="11" t="str">
        <f>"00442251"</f>
        <v>00442251</v>
      </c>
    </row>
    <row r="8785" spans="1:2" x14ac:dyDescent="0.25">
      <c r="A8785" s="2">
        <v>8780</v>
      </c>
      <c r="B8785" s="11" t="str">
        <f>"00442323"</f>
        <v>00442323</v>
      </c>
    </row>
    <row r="8786" spans="1:2" x14ac:dyDescent="0.25">
      <c r="A8786" s="2">
        <v>8781</v>
      </c>
      <c r="B8786" s="11" t="str">
        <f>"00442324"</f>
        <v>00442324</v>
      </c>
    </row>
    <row r="8787" spans="1:2" x14ac:dyDescent="0.25">
      <c r="A8787" s="2">
        <v>8782</v>
      </c>
      <c r="B8787" s="11" t="str">
        <f>"00442401"</f>
        <v>00442401</v>
      </c>
    </row>
    <row r="8788" spans="1:2" x14ac:dyDescent="0.25">
      <c r="A8788" s="2">
        <v>8783</v>
      </c>
      <c r="B8788" s="11" t="str">
        <f>"00442448"</f>
        <v>00442448</v>
      </c>
    </row>
    <row r="8789" spans="1:2" x14ac:dyDescent="0.25">
      <c r="A8789" s="2">
        <v>8784</v>
      </c>
      <c r="B8789" s="11" t="str">
        <f>"00442711"</f>
        <v>00442711</v>
      </c>
    </row>
    <row r="8790" spans="1:2" x14ac:dyDescent="0.25">
      <c r="A8790" s="2">
        <v>8785</v>
      </c>
      <c r="B8790" s="11" t="str">
        <f>"00442753"</f>
        <v>00442753</v>
      </c>
    </row>
    <row r="8791" spans="1:2" x14ac:dyDescent="0.25">
      <c r="A8791" s="2">
        <v>8786</v>
      </c>
      <c r="B8791" s="11" t="str">
        <f>"00442782"</f>
        <v>00442782</v>
      </c>
    </row>
    <row r="8792" spans="1:2" x14ac:dyDescent="0.25">
      <c r="A8792" s="2">
        <v>8787</v>
      </c>
      <c r="B8792" s="11" t="str">
        <f>"00442787"</f>
        <v>00442787</v>
      </c>
    </row>
    <row r="8793" spans="1:2" x14ac:dyDescent="0.25">
      <c r="A8793" s="2">
        <v>8788</v>
      </c>
      <c r="B8793" s="11" t="str">
        <f>"00442890"</f>
        <v>00442890</v>
      </c>
    </row>
    <row r="8794" spans="1:2" x14ac:dyDescent="0.25">
      <c r="A8794" s="2">
        <v>8789</v>
      </c>
      <c r="B8794" s="11" t="str">
        <f>"00442910"</f>
        <v>00442910</v>
      </c>
    </row>
    <row r="8795" spans="1:2" x14ac:dyDescent="0.25">
      <c r="A8795" s="2">
        <v>8790</v>
      </c>
      <c r="B8795" s="11" t="str">
        <f>"00442981"</f>
        <v>00442981</v>
      </c>
    </row>
    <row r="8796" spans="1:2" x14ac:dyDescent="0.25">
      <c r="A8796" s="2">
        <v>8791</v>
      </c>
      <c r="B8796" s="11" t="str">
        <f>"00442984"</f>
        <v>00442984</v>
      </c>
    </row>
    <row r="8797" spans="1:2" x14ac:dyDescent="0.25">
      <c r="A8797" s="2">
        <v>8792</v>
      </c>
      <c r="B8797" s="11" t="str">
        <f>"00443050"</f>
        <v>00443050</v>
      </c>
    </row>
    <row r="8798" spans="1:2" x14ac:dyDescent="0.25">
      <c r="A8798" s="2">
        <v>8793</v>
      </c>
      <c r="B8798" s="11" t="str">
        <f>"00443101"</f>
        <v>00443101</v>
      </c>
    </row>
    <row r="8799" spans="1:2" x14ac:dyDescent="0.25">
      <c r="A8799" s="2">
        <v>8794</v>
      </c>
      <c r="B8799" s="11" t="str">
        <f>"00443125"</f>
        <v>00443125</v>
      </c>
    </row>
    <row r="8800" spans="1:2" x14ac:dyDescent="0.25">
      <c r="A8800" s="2">
        <v>8795</v>
      </c>
      <c r="B8800" s="11" t="str">
        <f>"00443143"</f>
        <v>00443143</v>
      </c>
    </row>
    <row r="8801" spans="1:2" x14ac:dyDescent="0.25">
      <c r="A8801" s="2">
        <v>8796</v>
      </c>
      <c r="B8801" s="11" t="str">
        <f>"00443170"</f>
        <v>00443170</v>
      </c>
    </row>
    <row r="8802" spans="1:2" x14ac:dyDescent="0.25">
      <c r="A8802" s="2">
        <v>8797</v>
      </c>
      <c r="B8802" s="11" t="str">
        <f>"00443363"</f>
        <v>00443363</v>
      </c>
    </row>
    <row r="8803" spans="1:2" x14ac:dyDescent="0.25">
      <c r="A8803" s="2">
        <v>8798</v>
      </c>
      <c r="B8803" s="11" t="str">
        <f>"00443434"</f>
        <v>00443434</v>
      </c>
    </row>
    <row r="8804" spans="1:2" x14ac:dyDescent="0.25">
      <c r="A8804" s="2">
        <v>8799</v>
      </c>
      <c r="B8804" s="11" t="str">
        <f>"00443585"</f>
        <v>00443585</v>
      </c>
    </row>
    <row r="8805" spans="1:2" x14ac:dyDescent="0.25">
      <c r="A8805" s="2">
        <v>8800</v>
      </c>
      <c r="B8805" s="11" t="str">
        <f>"00443595"</f>
        <v>00443595</v>
      </c>
    </row>
    <row r="8806" spans="1:2" x14ac:dyDescent="0.25">
      <c r="A8806" s="2">
        <v>8801</v>
      </c>
      <c r="B8806" s="11" t="str">
        <f>"00443602"</f>
        <v>00443602</v>
      </c>
    </row>
    <row r="8807" spans="1:2" x14ac:dyDescent="0.25">
      <c r="A8807" s="2">
        <v>8802</v>
      </c>
      <c r="B8807" s="11" t="str">
        <f>"00443657"</f>
        <v>00443657</v>
      </c>
    </row>
    <row r="8808" spans="1:2" x14ac:dyDescent="0.25">
      <c r="A8808" s="2">
        <v>8803</v>
      </c>
      <c r="B8808" s="11" t="str">
        <f>"00443771"</f>
        <v>00443771</v>
      </c>
    </row>
    <row r="8809" spans="1:2" x14ac:dyDescent="0.25">
      <c r="A8809" s="2">
        <v>8804</v>
      </c>
      <c r="B8809" s="11" t="str">
        <f>"00443777"</f>
        <v>00443777</v>
      </c>
    </row>
    <row r="8810" spans="1:2" x14ac:dyDescent="0.25">
      <c r="A8810" s="2">
        <v>8805</v>
      </c>
      <c r="B8810" s="11" t="str">
        <f>"00443810"</f>
        <v>00443810</v>
      </c>
    </row>
    <row r="8811" spans="1:2" x14ac:dyDescent="0.25">
      <c r="A8811" s="2">
        <v>8806</v>
      </c>
      <c r="B8811" s="11" t="str">
        <f>"00443823"</f>
        <v>00443823</v>
      </c>
    </row>
    <row r="8812" spans="1:2" x14ac:dyDescent="0.25">
      <c r="A8812" s="2">
        <v>8807</v>
      </c>
      <c r="B8812" s="11" t="str">
        <f>"00443843"</f>
        <v>00443843</v>
      </c>
    </row>
    <row r="8813" spans="1:2" x14ac:dyDescent="0.25">
      <c r="A8813" s="2">
        <v>8808</v>
      </c>
      <c r="B8813" s="11" t="str">
        <f>"00443887"</f>
        <v>00443887</v>
      </c>
    </row>
    <row r="8814" spans="1:2" x14ac:dyDescent="0.25">
      <c r="A8814" s="2">
        <v>8809</v>
      </c>
      <c r="B8814" s="11" t="str">
        <f>"00443888"</f>
        <v>00443888</v>
      </c>
    </row>
    <row r="8815" spans="1:2" x14ac:dyDescent="0.25">
      <c r="A8815" s="2">
        <v>8810</v>
      </c>
      <c r="B8815" s="11" t="str">
        <f>"00443990"</f>
        <v>00443990</v>
      </c>
    </row>
    <row r="8816" spans="1:2" x14ac:dyDescent="0.25">
      <c r="A8816" s="2">
        <v>8811</v>
      </c>
      <c r="B8816" s="11" t="str">
        <f>"00444068"</f>
        <v>00444068</v>
      </c>
    </row>
    <row r="8817" spans="1:2" x14ac:dyDescent="0.25">
      <c r="A8817" s="2">
        <v>8812</v>
      </c>
      <c r="B8817" s="11" t="str">
        <f>"00444075"</f>
        <v>00444075</v>
      </c>
    </row>
    <row r="8818" spans="1:2" x14ac:dyDescent="0.25">
      <c r="A8818" s="2">
        <v>8813</v>
      </c>
      <c r="B8818" s="11" t="str">
        <f>"00444204"</f>
        <v>00444204</v>
      </c>
    </row>
    <row r="8819" spans="1:2" x14ac:dyDescent="0.25">
      <c r="A8819" s="2">
        <v>8814</v>
      </c>
      <c r="B8819" s="11" t="str">
        <f>"00444248"</f>
        <v>00444248</v>
      </c>
    </row>
    <row r="8820" spans="1:2" x14ac:dyDescent="0.25">
      <c r="A8820" s="2">
        <v>8815</v>
      </c>
      <c r="B8820" s="11" t="str">
        <f>"00444369"</f>
        <v>00444369</v>
      </c>
    </row>
    <row r="8821" spans="1:2" x14ac:dyDescent="0.25">
      <c r="A8821" s="2">
        <v>8816</v>
      </c>
      <c r="B8821" s="11" t="str">
        <f>"00444417"</f>
        <v>00444417</v>
      </c>
    </row>
    <row r="8822" spans="1:2" x14ac:dyDescent="0.25">
      <c r="A8822" s="2">
        <v>8817</v>
      </c>
      <c r="B8822" s="11" t="str">
        <f>"00444425"</f>
        <v>00444425</v>
      </c>
    </row>
    <row r="8823" spans="1:2" x14ac:dyDescent="0.25">
      <c r="A8823" s="2">
        <v>8818</v>
      </c>
      <c r="B8823" s="11" t="str">
        <f>"00444426"</f>
        <v>00444426</v>
      </c>
    </row>
    <row r="8824" spans="1:2" x14ac:dyDescent="0.25">
      <c r="A8824" s="2">
        <v>8819</v>
      </c>
      <c r="B8824" s="11" t="str">
        <f>"00444587"</f>
        <v>00444587</v>
      </c>
    </row>
    <row r="8825" spans="1:2" x14ac:dyDescent="0.25">
      <c r="A8825" s="2">
        <v>8820</v>
      </c>
      <c r="B8825" s="11" t="str">
        <f>"00444604"</f>
        <v>00444604</v>
      </c>
    </row>
    <row r="8826" spans="1:2" x14ac:dyDescent="0.25">
      <c r="A8826" s="2">
        <v>8821</v>
      </c>
      <c r="B8826" s="11" t="str">
        <f>"00444621"</f>
        <v>00444621</v>
      </c>
    </row>
    <row r="8827" spans="1:2" x14ac:dyDescent="0.25">
      <c r="A8827" s="2">
        <v>8822</v>
      </c>
      <c r="B8827" s="11" t="str">
        <f>"00444654"</f>
        <v>00444654</v>
      </c>
    </row>
    <row r="8828" spans="1:2" x14ac:dyDescent="0.25">
      <c r="A8828" s="2">
        <v>8823</v>
      </c>
      <c r="B8828" s="11" t="str">
        <f>"00444689"</f>
        <v>00444689</v>
      </c>
    </row>
    <row r="8829" spans="1:2" x14ac:dyDescent="0.25">
      <c r="A8829" s="2">
        <v>8824</v>
      </c>
      <c r="B8829" s="11" t="str">
        <f>"00444757"</f>
        <v>00444757</v>
      </c>
    </row>
    <row r="8830" spans="1:2" x14ac:dyDescent="0.25">
      <c r="A8830" s="2">
        <v>8825</v>
      </c>
      <c r="B8830" s="11" t="str">
        <f>"00444798"</f>
        <v>00444798</v>
      </c>
    </row>
    <row r="8831" spans="1:2" x14ac:dyDescent="0.25">
      <c r="A8831" s="2">
        <v>8826</v>
      </c>
      <c r="B8831" s="11" t="str">
        <f>"00444826"</f>
        <v>00444826</v>
      </c>
    </row>
    <row r="8832" spans="1:2" x14ac:dyDescent="0.25">
      <c r="A8832" s="2">
        <v>8827</v>
      </c>
      <c r="B8832" s="11" t="str">
        <f>"00444852"</f>
        <v>00444852</v>
      </c>
    </row>
    <row r="8833" spans="1:2" x14ac:dyDescent="0.25">
      <c r="A8833" s="2">
        <v>8828</v>
      </c>
      <c r="B8833" s="11" t="str">
        <f>"00444988"</f>
        <v>00444988</v>
      </c>
    </row>
    <row r="8834" spans="1:2" x14ac:dyDescent="0.25">
      <c r="A8834" s="2">
        <v>8829</v>
      </c>
      <c r="B8834" s="11" t="str">
        <f>"00445110"</f>
        <v>00445110</v>
      </c>
    </row>
    <row r="8835" spans="1:2" x14ac:dyDescent="0.25">
      <c r="A8835" s="2">
        <v>8830</v>
      </c>
      <c r="B8835" s="11" t="str">
        <f>"00445205"</f>
        <v>00445205</v>
      </c>
    </row>
    <row r="8836" spans="1:2" x14ac:dyDescent="0.25">
      <c r="A8836" s="2">
        <v>8831</v>
      </c>
      <c r="B8836" s="11" t="str">
        <f>"00445212"</f>
        <v>00445212</v>
      </c>
    </row>
    <row r="8837" spans="1:2" x14ac:dyDescent="0.25">
      <c r="A8837" s="2">
        <v>8832</v>
      </c>
      <c r="B8837" s="11" t="str">
        <f>"00445375"</f>
        <v>00445375</v>
      </c>
    </row>
    <row r="8838" spans="1:2" x14ac:dyDescent="0.25">
      <c r="A8838" s="2">
        <v>8833</v>
      </c>
      <c r="B8838" s="11" t="str">
        <f>"00445418"</f>
        <v>00445418</v>
      </c>
    </row>
    <row r="8839" spans="1:2" x14ac:dyDescent="0.25">
      <c r="A8839" s="2">
        <v>8834</v>
      </c>
      <c r="B8839" s="11" t="str">
        <f>"00445481"</f>
        <v>00445481</v>
      </c>
    </row>
    <row r="8840" spans="1:2" x14ac:dyDescent="0.25">
      <c r="A8840" s="2">
        <v>8835</v>
      </c>
      <c r="B8840" s="11" t="str">
        <f>"00445510"</f>
        <v>00445510</v>
      </c>
    </row>
    <row r="8841" spans="1:2" x14ac:dyDescent="0.25">
      <c r="A8841" s="2">
        <v>8836</v>
      </c>
      <c r="B8841" s="11" t="str">
        <f>"00445533"</f>
        <v>00445533</v>
      </c>
    </row>
    <row r="8842" spans="1:2" x14ac:dyDescent="0.25">
      <c r="A8842" s="2">
        <v>8837</v>
      </c>
      <c r="B8842" s="11" t="str">
        <f>"00445750"</f>
        <v>00445750</v>
      </c>
    </row>
    <row r="8843" spans="1:2" x14ac:dyDescent="0.25">
      <c r="A8843" s="2">
        <v>8838</v>
      </c>
      <c r="B8843" s="11" t="str">
        <f>"00445808"</f>
        <v>00445808</v>
      </c>
    </row>
    <row r="8844" spans="1:2" x14ac:dyDescent="0.25">
      <c r="A8844" s="2">
        <v>8839</v>
      </c>
      <c r="B8844" s="11" t="str">
        <f>"00445946"</f>
        <v>00445946</v>
      </c>
    </row>
    <row r="8845" spans="1:2" x14ac:dyDescent="0.25">
      <c r="A8845" s="2">
        <v>8840</v>
      </c>
      <c r="B8845" s="11" t="str">
        <f>"00446024"</f>
        <v>00446024</v>
      </c>
    </row>
    <row r="8846" spans="1:2" x14ac:dyDescent="0.25">
      <c r="A8846" s="2">
        <v>8841</v>
      </c>
      <c r="B8846" s="11" t="str">
        <f>"00446032"</f>
        <v>00446032</v>
      </c>
    </row>
    <row r="8847" spans="1:2" x14ac:dyDescent="0.25">
      <c r="A8847" s="2">
        <v>8842</v>
      </c>
      <c r="B8847" s="11" t="str">
        <f>"00446033"</f>
        <v>00446033</v>
      </c>
    </row>
    <row r="8848" spans="1:2" x14ac:dyDescent="0.25">
      <c r="A8848" s="2">
        <v>8843</v>
      </c>
      <c r="B8848" s="11" t="str">
        <f>"00446045"</f>
        <v>00446045</v>
      </c>
    </row>
    <row r="8849" spans="1:2" x14ac:dyDescent="0.25">
      <c r="A8849" s="2">
        <v>8844</v>
      </c>
      <c r="B8849" s="11" t="str">
        <f>"00446046"</f>
        <v>00446046</v>
      </c>
    </row>
    <row r="8850" spans="1:2" x14ac:dyDescent="0.25">
      <c r="A8850" s="2">
        <v>8845</v>
      </c>
      <c r="B8850" s="11" t="str">
        <f>"00446074"</f>
        <v>00446074</v>
      </c>
    </row>
    <row r="8851" spans="1:2" x14ac:dyDescent="0.25">
      <c r="A8851" s="2">
        <v>8846</v>
      </c>
      <c r="B8851" s="11" t="str">
        <f>"00446091"</f>
        <v>00446091</v>
      </c>
    </row>
    <row r="8852" spans="1:2" x14ac:dyDescent="0.25">
      <c r="A8852" s="2">
        <v>8847</v>
      </c>
      <c r="B8852" s="11" t="str">
        <f>"00446093"</f>
        <v>00446093</v>
      </c>
    </row>
    <row r="8853" spans="1:2" x14ac:dyDescent="0.25">
      <c r="A8853" s="2">
        <v>8848</v>
      </c>
      <c r="B8853" s="11" t="str">
        <f>"00446134"</f>
        <v>00446134</v>
      </c>
    </row>
    <row r="8854" spans="1:2" x14ac:dyDescent="0.25">
      <c r="A8854" s="2">
        <v>8849</v>
      </c>
      <c r="B8854" s="11" t="str">
        <f>"00446193"</f>
        <v>00446193</v>
      </c>
    </row>
    <row r="8855" spans="1:2" x14ac:dyDescent="0.25">
      <c r="A8855" s="2">
        <v>8850</v>
      </c>
      <c r="B8855" s="11" t="str">
        <f>"00446208"</f>
        <v>00446208</v>
      </c>
    </row>
    <row r="8856" spans="1:2" x14ac:dyDescent="0.25">
      <c r="A8856" s="2">
        <v>8851</v>
      </c>
      <c r="B8856" s="11" t="str">
        <f>"00446213"</f>
        <v>00446213</v>
      </c>
    </row>
    <row r="8857" spans="1:2" x14ac:dyDescent="0.25">
      <c r="A8857" s="2">
        <v>8852</v>
      </c>
      <c r="B8857" s="11" t="str">
        <f>"00446214"</f>
        <v>00446214</v>
      </c>
    </row>
    <row r="8858" spans="1:2" x14ac:dyDescent="0.25">
      <c r="A8858" s="2">
        <v>8853</v>
      </c>
      <c r="B8858" s="11" t="str">
        <f>"00446238"</f>
        <v>00446238</v>
      </c>
    </row>
    <row r="8859" spans="1:2" x14ac:dyDescent="0.25">
      <c r="A8859" s="2">
        <v>8854</v>
      </c>
      <c r="B8859" s="11" t="str">
        <f>"00446285"</f>
        <v>00446285</v>
      </c>
    </row>
    <row r="8860" spans="1:2" x14ac:dyDescent="0.25">
      <c r="A8860" s="2">
        <v>8855</v>
      </c>
      <c r="B8860" s="11" t="str">
        <f>"00446305"</f>
        <v>00446305</v>
      </c>
    </row>
    <row r="8861" spans="1:2" x14ac:dyDescent="0.25">
      <c r="A8861" s="2">
        <v>8856</v>
      </c>
      <c r="B8861" s="11" t="str">
        <f>"00446349"</f>
        <v>00446349</v>
      </c>
    </row>
    <row r="8862" spans="1:2" x14ac:dyDescent="0.25">
      <c r="A8862" s="2">
        <v>8857</v>
      </c>
      <c r="B8862" s="11" t="str">
        <f>"00446361"</f>
        <v>00446361</v>
      </c>
    </row>
    <row r="8863" spans="1:2" x14ac:dyDescent="0.25">
      <c r="A8863" s="2">
        <v>8858</v>
      </c>
      <c r="B8863" s="11" t="str">
        <f>"00446442"</f>
        <v>00446442</v>
      </c>
    </row>
    <row r="8864" spans="1:2" x14ac:dyDescent="0.25">
      <c r="A8864" s="2">
        <v>8859</v>
      </c>
      <c r="B8864" s="11" t="str">
        <f>"00446472"</f>
        <v>00446472</v>
      </c>
    </row>
    <row r="8865" spans="1:2" x14ac:dyDescent="0.25">
      <c r="A8865" s="2">
        <v>8860</v>
      </c>
      <c r="B8865" s="11" t="str">
        <f>"00446583"</f>
        <v>00446583</v>
      </c>
    </row>
    <row r="8866" spans="1:2" x14ac:dyDescent="0.25">
      <c r="A8866" s="2">
        <v>8861</v>
      </c>
      <c r="B8866" s="11" t="str">
        <f>"00446623"</f>
        <v>00446623</v>
      </c>
    </row>
    <row r="8867" spans="1:2" x14ac:dyDescent="0.25">
      <c r="A8867" s="2">
        <v>8862</v>
      </c>
      <c r="B8867" s="11" t="str">
        <f>"00446637"</f>
        <v>00446637</v>
      </c>
    </row>
    <row r="8868" spans="1:2" x14ac:dyDescent="0.25">
      <c r="A8868" s="2">
        <v>8863</v>
      </c>
      <c r="B8868" s="11" t="str">
        <f>"00446653"</f>
        <v>00446653</v>
      </c>
    </row>
    <row r="8869" spans="1:2" x14ac:dyDescent="0.25">
      <c r="A8869" s="2">
        <v>8864</v>
      </c>
      <c r="B8869" s="11" t="str">
        <f>"00446717"</f>
        <v>00446717</v>
      </c>
    </row>
    <row r="8870" spans="1:2" x14ac:dyDescent="0.25">
      <c r="A8870" s="2">
        <v>8865</v>
      </c>
      <c r="B8870" s="11" t="str">
        <f>"00446756"</f>
        <v>00446756</v>
      </c>
    </row>
    <row r="8871" spans="1:2" x14ac:dyDescent="0.25">
      <c r="A8871" s="2">
        <v>8866</v>
      </c>
      <c r="B8871" s="11" t="str">
        <f>"00446804"</f>
        <v>00446804</v>
      </c>
    </row>
    <row r="8872" spans="1:2" x14ac:dyDescent="0.25">
      <c r="A8872" s="2">
        <v>8867</v>
      </c>
      <c r="B8872" s="11" t="str">
        <f>"00446827"</f>
        <v>00446827</v>
      </c>
    </row>
    <row r="8873" spans="1:2" x14ac:dyDescent="0.25">
      <c r="A8873" s="2">
        <v>8868</v>
      </c>
      <c r="B8873" s="11" t="str">
        <f>"00446894"</f>
        <v>00446894</v>
      </c>
    </row>
    <row r="8874" spans="1:2" x14ac:dyDescent="0.25">
      <c r="A8874" s="2">
        <v>8869</v>
      </c>
      <c r="B8874" s="11" t="str">
        <f>"00446903"</f>
        <v>00446903</v>
      </c>
    </row>
    <row r="8875" spans="1:2" x14ac:dyDescent="0.25">
      <c r="A8875" s="2">
        <v>8870</v>
      </c>
      <c r="B8875" s="11" t="str">
        <f>"00446974"</f>
        <v>00446974</v>
      </c>
    </row>
    <row r="8876" spans="1:2" x14ac:dyDescent="0.25">
      <c r="A8876" s="2">
        <v>8871</v>
      </c>
      <c r="B8876" s="11" t="str">
        <f>"00446980"</f>
        <v>00446980</v>
      </c>
    </row>
    <row r="8877" spans="1:2" x14ac:dyDescent="0.25">
      <c r="A8877" s="2">
        <v>8872</v>
      </c>
      <c r="B8877" s="11" t="str">
        <f>"00447000"</f>
        <v>00447000</v>
      </c>
    </row>
    <row r="8878" spans="1:2" x14ac:dyDescent="0.25">
      <c r="A8878" s="2">
        <v>8873</v>
      </c>
      <c r="B8878" s="11" t="str">
        <f>"00447047"</f>
        <v>00447047</v>
      </c>
    </row>
    <row r="8879" spans="1:2" x14ac:dyDescent="0.25">
      <c r="A8879" s="2">
        <v>8874</v>
      </c>
      <c r="B8879" s="11" t="str">
        <f>"00447121"</f>
        <v>00447121</v>
      </c>
    </row>
    <row r="8880" spans="1:2" x14ac:dyDescent="0.25">
      <c r="A8880" s="2">
        <v>8875</v>
      </c>
      <c r="B8880" s="11" t="str">
        <f>"00447134"</f>
        <v>00447134</v>
      </c>
    </row>
    <row r="8881" spans="1:2" x14ac:dyDescent="0.25">
      <c r="A8881" s="2">
        <v>8876</v>
      </c>
      <c r="B8881" s="11" t="str">
        <f>"00447168"</f>
        <v>00447168</v>
      </c>
    </row>
    <row r="8882" spans="1:2" x14ac:dyDescent="0.25">
      <c r="A8882" s="2">
        <v>8877</v>
      </c>
      <c r="B8882" s="11" t="str">
        <f>"00447209"</f>
        <v>00447209</v>
      </c>
    </row>
    <row r="8883" spans="1:2" x14ac:dyDescent="0.25">
      <c r="A8883" s="2">
        <v>8878</v>
      </c>
      <c r="B8883" s="11" t="str">
        <f>"00447221"</f>
        <v>00447221</v>
      </c>
    </row>
    <row r="8884" spans="1:2" x14ac:dyDescent="0.25">
      <c r="A8884" s="2">
        <v>8879</v>
      </c>
      <c r="B8884" s="11" t="str">
        <f>"00447248"</f>
        <v>00447248</v>
      </c>
    </row>
    <row r="8885" spans="1:2" x14ac:dyDescent="0.25">
      <c r="A8885" s="2">
        <v>8880</v>
      </c>
      <c r="B8885" s="11" t="str">
        <f>"00447276"</f>
        <v>00447276</v>
      </c>
    </row>
    <row r="8886" spans="1:2" x14ac:dyDescent="0.25">
      <c r="A8886" s="2">
        <v>8881</v>
      </c>
      <c r="B8886" s="11" t="str">
        <f>"00447347"</f>
        <v>00447347</v>
      </c>
    </row>
    <row r="8887" spans="1:2" x14ac:dyDescent="0.25">
      <c r="A8887" s="2">
        <v>8882</v>
      </c>
      <c r="B8887" s="11" t="str">
        <f>"00447349"</f>
        <v>00447349</v>
      </c>
    </row>
    <row r="8888" spans="1:2" x14ac:dyDescent="0.25">
      <c r="A8888" s="2">
        <v>8883</v>
      </c>
      <c r="B8888" s="11" t="str">
        <f>"00447368"</f>
        <v>00447368</v>
      </c>
    </row>
    <row r="8889" spans="1:2" x14ac:dyDescent="0.25">
      <c r="A8889" s="2">
        <v>8884</v>
      </c>
      <c r="B8889" s="11" t="str">
        <f>"00447378"</f>
        <v>00447378</v>
      </c>
    </row>
    <row r="8890" spans="1:2" x14ac:dyDescent="0.25">
      <c r="A8890" s="2">
        <v>8885</v>
      </c>
      <c r="B8890" s="11" t="str">
        <f>"00447389"</f>
        <v>00447389</v>
      </c>
    </row>
    <row r="8891" spans="1:2" x14ac:dyDescent="0.25">
      <c r="A8891" s="2">
        <v>8886</v>
      </c>
      <c r="B8891" s="11" t="str">
        <f>"00447408"</f>
        <v>00447408</v>
      </c>
    </row>
    <row r="8892" spans="1:2" x14ac:dyDescent="0.25">
      <c r="A8892" s="2">
        <v>8887</v>
      </c>
      <c r="B8892" s="11" t="str">
        <f>"00447410"</f>
        <v>00447410</v>
      </c>
    </row>
    <row r="8893" spans="1:2" x14ac:dyDescent="0.25">
      <c r="A8893" s="2">
        <v>8888</v>
      </c>
      <c r="B8893" s="11" t="str">
        <f>"00447426"</f>
        <v>00447426</v>
      </c>
    </row>
    <row r="8894" spans="1:2" x14ac:dyDescent="0.25">
      <c r="A8894" s="2">
        <v>8889</v>
      </c>
      <c r="B8894" s="11" t="str">
        <f>"00447464"</f>
        <v>00447464</v>
      </c>
    </row>
    <row r="8895" spans="1:2" x14ac:dyDescent="0.25">
      <c r="A8895" s="2">
        <v>8890</v>
      </c>
      <c r="B8895" s="11" t="str">
        <f>"00447516"</f>
        <v>00447516</v>
      </c>
    </row>
    <row r="8896" spans="1:2" x14ac:dyDescent="0.25">
      <c r="A8896" s="2">
        <v>8891</v>
      </c>
      <c r="B8896" s="11" t="str">
        <f>"00447517"</f>
        <v>00447517</v>
      </c>
    </row>
    <row r="8897" spans="1:2" x14ac:dyDescent="0.25">
      <c r="A8897" s="2">
        <v>8892</v>
      </c>
      <c r="B8897" s="11" t="str">
        <f>"00447573"</f>
        <v>00447573</v>
      </c>
    </row>
    <row r="8898" spans="1:2" x14ac:dyDescent="0.25">
      <c r="A8898" s="2">
        <v>8893</v>
      </c>
      <c r="B8898" s="11" t="str">
        <f>"00447591"</f>
        <v>00447591</v>
      </c>
    </row>
    <row r="8899" spans="1:2" x14ac:dyDescent="0.25">
      <c r="A8899" s="2">
        <v>8894</v>
      </c>
      <c r="B8899" s="11" t="str">
        <f>"00447605"</f>
        <v>00447605</v>
      </c>
    </row>
    <row r="8900" spans="1:2" x14ac:dyDescent="0.25">
      <c r="A8900" s="2">
        <v>8895</v>
      </c>
      <c r="B8900" s="11" t="str">
        <f>"00447725"</f>
        <v>00447725</v>
      </c>
    </row>
    <row r="8901" spans="1:2" x14ac:dyDescent="0.25">
      <c r="A8901" s="2">
        <v>8896</v>
      </c>
      <c r="B8901" s="11" t="str">
        <f>"00447734"</f>
        <v>00447734</v>
      </c>
    </row>
    <row r="8902" spans="1:2" x14ac:dyDescent="0.25">
      <c r="A8902" s="2">
        <v>8897</v>
      </c>
      <c r="B8902" s="11" t="str">
        <f>"00447753"</f>
        <v>00447753</v>
      </c>
    </row>
    <row r="8903" spans="1:2" x14ac:dyDescent="0.25">
      <c r="A8903" s="2">
        <v>8898</v>
      </c>
      <c r="B8903" s="11" t="str">
        <f>"00447841"</f>
        <v>00447841</v>
      </c>
    </row>
    <row r="8904" spans="1:2" x14ac:dyDescent="0.25">
      <c r="A8904" s="2">
        <v>8899</v>
      </c>
      <c r="B8904" s="11" t="str">
        <f>"00447862"</f>
        <v>00447862</v>
      </c>
    </row>
    <row r="8905" spans="1:2" x14ac:dyDescent="0.25">
      <c r="A8905" s="2">
        <v>8900</v>
      </c>
      <c r="B8905" s="11" t="str">
        <f>"00447907"</f>
        <v>00447907</v>
      </c>
    </row>
    <row r="8906" spans="1:2" x14ac:dyDescent="0.25">
      <c r="A8906" s="2">
        <v>8901</v>
      </c>
      <c r="B8906" s="11" t="str">
        <f>"00447988"</f>
        <v>00447988</v>
      </c>
    </row>
    <row r="8907" spans="1:2" x14ac:dyDescent="0.25">
      <c r="A8907" s="2">
        <v>8902</v>
      </c>
      <c r="B8907" s="11" t="str">
        <f>"00448001"</f>
        <v>00448001</v>
      </c>
    </row>
    <row r="8908" spans="1:2" x14ac:dyDescent="0.25">
      <c r="A8908" s="2">
        <v>8903</v>
      </c>
      <c r="B8908" s="11" t="str">
        <f>"00448071"</f>
        <v>00448071</v>
      </c>
    </row>
    <row r="8909" spans="1:2" x14ac:dyDescent="0.25">
      <c r="A8909" s="2">
        <v>8904</v>
      </c>
      <c r="B8909" s="11" t="str">
        <f>"00448194"</f>
        <v>00448194</v>
      </c>
    </row>
    <row r="8910" spans="1:2" x14ac:dyDescent="0.25">
      <c r="A8910" s="2">
        <v>8905</v>
      </c>
      <c r="B8910" s="11" t="str">
        <f>"00448257"</f>
        <v>00448257</v>
      </c>
    </row>
    <row r="8911" spans="1:2" x14ac:dyDescent="0.25">
      <c r="A8911" s="2">
        <v>8906</v>
      </c>
      <c r="B8911" s="11" t="str">
        <f>"00448268"</f>
        <v>00448268</v>
      </c>
    </row>
    <row r="8912" spans="1:2" x14ac:dyDescent="0.25">
      <c r="A8912" s="2">
        <v>8907</v>
      </c>
      <c r="B8912" s="11" t="str">
        <f>"00448357"</f>
        <v>00448357</v>
      </c>
    </row>
    <row r="8913" spans="1:2" x14ac:dyDescent="0.25">
      <c r="A8913" s="2">
        <v>8908</v>
      </c>
      <c r="B8913" s="11" t="str">
        <f>"00448372"</f>
        <v>00448372</v>
      </c>
    </row>
    <row r="8914" spans="1:2" x14ac:dyDescent="0.25">
      <c r="A8914" s="2">
        <v>8909</v>
      </c>
      <c r="B8914" s="11" t="str">
        <f>"00448377"</f>
        <v>00448377</v>
      </c>
    </row>
    <row r="8915" spans="1:2" x14ac:dyDescent="0.25">
      <c r="A8915" s="2">
        <v>8910</v>
      </c>
      <c r="B8915" s="11" t="str">
        <f>"00448477"</f>
        <v>00448477</v>
      </c>
    </row>
    <row r="8916" spans="1:2" x14ac:dyDescent="0.25">
      <c r="A8916" s="2">
        <v>8911</v>
      </c>
      <c r="B8916" s="11" t="str">
        <f>"00448484"</f>
        <v>00448484</v>
      </c>
    </row>
    <row r="8917" spans="1:2" x14ac:dyDescent="0.25">
      <c r="A8917" s="2">
        <v>8912</v>
      </c>
      <c r="B8917" s="11" t="str">
        <f>"00448486"</f>
        <v>00448486</v>
      </c>
    </row>
    <row r="8918" spans="1:2" x14ac:dyDescent="0.25">
      <c r="A8918" s="2">
        <v>8913</v>
      </c>
      <c r="B8918" s="11" t="str">
        <f>"00448497"</f>
        <v>00448497</v>
      </c>
    </row>
    <row r="8919" spans="1:2" x14ac:dyDescent="0.25">
      <c r="A8919" s="2">
        <v>8914</v>
      </c>
      <c r="B8919" s="11" t="str">
        <f>"00448506"</f>
        <v>00448506</v>
      </c>
    </row>
    <row r="8920" spans="1:2" x14ac:dyDescent="0.25">
      <c r="A8920" s="2">
        <v>8915</v>
      </c>
      <c r="B8920" s="11" t="str">
        <f>"00448579"</f>
        <v>00448579</v>
      </c>
    </row>
    <row r="8921" spans="1:2" x14ac:dyDescent="0.25">
      <c r="A8921" s="2">
        <v>8916</v>
      </c>
      <c r="B8921" s="11" t="str">
        <f>"00448589"</f>
        <v>00448589</v>
      </c>
    </row>
    <row r="8922" spans="1:2" x14ac:dyDescent="0.25">
      <c r="A8922" s="2">
        <v>8917</v>
      </c>
      <c r="B8922" s="11" t="str">
        <f>"00448590"</f>
        <v>00448590</v>
      </c>
    </row>
    <row r="8923" spans="1:2" x14ac:dyDescent="0.25">
      <c r="A8923" s="2">
        <v>8918</v>
      </c>
      <c r="B8923" s="11" t="str">
        <f>"00448619"</f>
        <v>00448619</v>
      </c>
    </row>
    <row r="8924" spans="1:2" x14ac:dyDescent="0.25">
      <c r="A8924" s="2">
        <v>8919</v>
      </c>
      <c r="B8924" s="11" t="str">
        <f>"00448646"</f>
        <v>00448646</v>
      </c>
    </row>
    <row r="8925" spans="1:2" x14ac:dyDescent="0.25">
      <c r="A8925" s="2">
        <v>8920</v>
      </c>
      <c r="B8925" s="11" t="str">
        <f>"00448745"</f>
        <v>00448745</v>
      </c>
    </row>
    <row r="8926" spans="1:2" x14ac:dyDescent="0.25">
      <c r="A8926" s="2">
        <v>8921</v>
      </c>
      <c r="B8926" s="11" t="str">
        <f>"00448814"</f>
        <v>00448814</v>
      </c>
    </row>
    <row r="8927" spans="1:2" x14ac:dyDescent="0.25">
      <c r="A8927" s="2">
        <v>8922</v>
      </c>
      <c r="B8927" s="11" t="str">
        <f>"00448897"</f>
        <v>00448897</v>
      </c>
    </row>
    <row r="8928" spans="1:2" x14ac:dyDescent="0.25">
      <c r="A8928" s="2">
        <v>8923</v>
      </c>
      <c r="B8928" s="11" t="str">
        <f>"00448902"</f>
        <v>00448902</v>
      </c>
    </row>
    <row r="8929" spans="1:2" x14ac:dyDescent="0.25">
      <c r="A8929" s="2">
        <v>8924</v>
      </c>
      <c r="B8929" s="11" t="str">
        <f>"00448923"</f>
        <v>00448923</v>
      </c>
    </row>
    <row r="8930" spans="1:2" x14ac:dyDescent="0.25">
      <c r="A8930" s="2">
        <v>8925</v>
      </c>
      <c r="B8930" s="11" t="str">
        <f>"00448924"</f>
        <v>00448924</v>
      </c>
    </row>
    <row r="8931" spans="1:2" x14ac:dyDescent="0.25">
      <c r="A8931" s="2">
        <v>8926</v>
      </c>
      <c r="B8931" s="11" t="str">
        <f>"00448925"</f>
        <v>00448925</v>
      </c>
    </row>
    <row r="8932" spans="1:2" x14ac:dyDescent="0.25">
      <c r="A8932" s="2">
        <v>8927</v>
      </c>
      <c r="B8932" s="11" t="str">
        <f>"00448931"</f>
        <v>00448931</v>
      </c>
    </row>
    <row r="8933" spans="1:2" x14ac:dyDescent="0.25">
      <c r="A8933" s="2">
        <v>8928</v>
      </c>
      <c r="B8933" s="11" t="str">
        <f>"00448979"</f>
        <v>00448979</v>
      </c>
    </row>
    <row r="8934" spans="1:2" x14ac:dyDescent="0.25">
      <c r="A8934" s="2">
        <v>8929</v>
      </c>
      <c r="B8934" s="11" t="str">
        <f>"00448984"</f>
        <v>00448984</v>
      </c>
    </row>
    <row r="8935" spans="1:2" x14ac:dyDescent="0.25">
      <c r="A8935" s="2">
        <v>8930</v>
      </c>
      <c r="B8935" s="11" t="str">
        <f>"00449008"</f>
        <v>00449008</v>
      </c>
    </row>
    <row r="8936" spans="1:2" x14ac:dyDescent="0.25">
      <c r="A8936" s="2">
        <v>8931</v>
      </c>
      <c r="B8936" s="11" t="str">
        <f>"00449014"</f>
        <v>00449014</v>
      </c>
    </row>
    <row r="8937" spans="1:2" x14ac:dyDescent="0.25">
      <c r="A8937" s="2">
        <v>8932</v>
      </c>
      <c r="B8937" s="11" t="str">
        <f>"00449029"</f>
        <v>00449029</v>
      </c>
    </row>
    <row r="8938" spans="1:2" x14ac:dyDescent="0.25">
      <c r="A8938" s="2">
        <v>8933</v>
      </c>
      <c r="B8938" s="11" t="str">
        <f>"00449133"</f>
        <v>00449133</v>
      </c>
    </row>
    <row r="8939" spans="1:2" x14ac:dyDescent="0.25">
      <c r="A8939" s="2">
        <v>8934</v>
      </c>
      <c r="B8939" s="11" t="str">
        <f>"00449156"</f>
        <v>00449156</v>
      </c>
    </row>
    <row r="8940" spans="1:2" x14ac:dyDescent="0.25">
      <c r="A8940" s="2">
        <v>8935</v>
      </c>
      <c r="B8940" s="11" t="str">
        <f>"00449293"</f>
        <v>00449293</v>
      </c>
    </row>
    <row r="8941" spans="1:2" x14ac:dyDescent="0.25">
      <c r="A8941" s="2">
        <v>8936</v>
      </c>
      <c r="B8941" s="11" t="str">
        <f>"00449298"</f>
        <v>00449298</v>
      </c>
    </row>
    <row r="8942" spans="1:2" x14ac:dyDescent="0.25">
      <c r="A8942" s="2">
        <v>8937</v>
      </c>
      <c r="B8942" s="11" t="str">
        <f>"00449311"</f>
        <v>00449311</v>
      </c>
    </row>
    <row r="8943" spans="1:2" x14ac:dyDescent="0.25">
      <c r="A8943" s="2">
        <v>8938</v>
      </c>
      <c r="B8943" s="11" t="str">
        <f>"00449393"</f>
        <v>00449393</v>
      </c>
    </row>
    <row r="8944" spans="1:2" x14ac:dyDescent="0.25">
      <c r="A8944" s="2">
        <v>8939</v>
      </c>
      <c r="B8944" s="11" t="str">
        <f>"00449543"</f>
        <v>00449543</v>
      </c>
    </row>
    <row r="8945" spans="1:2" x14ac:dyDescent="0.25">
      <c r="A8945" s="2">
        <v>8940</v>
      </c>
      <c r="B8945" s="11" t="str">
        <f>"00449546"</f>
        <v>00449546</v>
      </c>
    </row>
    <row r="8946" spans="1:2" x14ac:dyDescent="0.25">
      <c r="A8946" s="2">
        <v>8941</v>
      </c>
      <c r="B8946" s="11" t="str">
        <f>"00449550"</f>
        <v>00449550</v>
      </c>
    </row>
    <row r="8947" spans="1:2" x14ac:dyDescent="0.25">
      <c r="A8947" s="2">
        <v>8942</v>
      </c>
      <c r="B8947" s="11" t="str">
        <f>"00449604"</f>
        <v>00449604</v>
      </c>
    </row>
    <row r="8948" spans="1:2" x14ac:dyDescent="0.25">
      <c r="A8948" s="2">
        <v>8943</v>
      </c>
      <c r="B8948" s="11" t="str">
        <f>"00449611"</f>
        <v>00449611</v>
      </c>
    </row>
    <row r="8949" spans="1:2" x14ac:dyDescent="0.25">
      <c r="A8949" s="2">
        <v>8944</v>
      </c>
      <c r="B8949" s="11" t="str">
        <f>"00449640"</f>
        <v>00449640</v>
      </c>
    </row>
    <row r="8950" spans="1:2" x14ac:dyDescent="0.25">
      <c r="A8950" s="2">
        <v>8945</v>
      </c>
      <c r="B8950" s="11" t="str">
        <f>"00449659"</f>
        <v>00449659</v>
      </c>
    </row>
    <row r="8951" spans="1:2" x14ac:dyDescent="0.25">
      <c r="A8951" s="2">
        <v>8946</v>
      </c>
      <c r="B8951" s="11" t="str">
        <f>"00449660"</f>
        <v>00449660</v>
      </c>
    </row>
    <row r="8952" spans="1:2" x14ac:dyDescent="0.25">
      <c r="A8952" s="2">
        <v>8947</v>
      </c>
      <c r="B8952" s="11" t="str">
        <f>"00449666"</f>
        <v>00449666</v>
      </c>
    </row>
    <row r="8953" spans="1:2" x14ac:dyDescent="0.25">
      <c r="A8953" s="2">
        <v>8948</v>
      </c>
      <c r="B8953" s="11" t="str">
        <f>"00449700"</f>
        <v>00449700</v>
      </c>
    </row>
    <row r="8954" spans="1:2" x14ac:dyDescent="0.25">
      <c r="A8954" s="2">
        <v>8949</v>
      </c>
      <c r="B8954" s="11" t="str">
        <f>"00449763"</f>
        <v>00449763</v>
      </c>
    </row>
    <row r="8955" spans="1:2" x14ac:dyDescent="0.25">
      <c r="A8955" s="2">
        <v>8950</v>
      </c>
      <c r="B8955" s="11" t="str">
        <f>"00449786"</f>
        <v>00449786</v>
      </c>
    </row>
    <row r="8956" spans="1:2" x14ac:dyDescent="0.25">
      <c r="A8956" s="2">
        <v>8951</v>
      </c>
      <c r="B8956" s="11" t="str">
        <f>"00449813"</f>
        <v>00449813</v>
      </c>
    </row>
    <row r="8957" spans="1:2" x14ac:dyDescent="0.25">
      <c r="A8957" s="2">
        <v>8952</v>
      </c>
      <c r="B8957" s="11" t="str">
        <f>"00449840"</f>
        <v>00449840</v>
      </c>
    </row>
    <row r="8958" spans="1:2" x14ac:dyDescent="0.25">
      <c r="A8958" s="2">
        <v>8953</v>
      </c>
      <c r="B8958" s="11" t="str">
        <f>"00449891"</f>
        <v>00449891</v>
      </c>
    </row>
    <row r="8959" spans="1:2" x14ac:dyDescent="0.25">
      <c r="A8959" s="2">
        <v>8954</v>
      </c>
      <c r="B8959" s="11" t="str">
        <f>"00450073"</f>
        <v>00450073</v>
      </c>
    </row>
    <row r="8960" spans="1:2" x14ac:dyDescent="0.25">
      <c r="A8960" s="2">
        <v>8955</v>
      </c>
      <c r="B8960" s="11" t="str">
        <f>"00450108"</f>
        <v>00450108</v>
      </c>
    </row>
    <row r="8961" spans="1:2" x14ac:dyDescent="0.25">
      <c r="A8961" s="2">
        <v>8956</v>
      </c>
      <c r="B8961" s="11" t="str">
        <f>"00450110"</f>
        <v>00450110</v>
      </c>
    </row>
    <row r="8962" spans="1:2" x14ac:dyDescent="0.25">
      <c r="A8962" s="2">
        <v>8957</v>
      </c>
      <c r="B8962" s="11" t="str">
        <f>"00450139"</f>
        <v>00450139</v>
      </c>
    </row>
    <row r="8963" spans="1:2" x14ac:dyDescent="0.25">
      <c r="A8963" s="2">
        <v>8958</v>
      </c>
      <c r="B8963" s="11" t="str">
        <f>"00450288"</f>
        <v>00450288</v>
      </c>
    </row>
    <row r="8964" spans="1:2" x14ac:dyDescent="0.25">
      <c r="A8964" s="2">
        <v>8959</v>
      </c>
      <c r="B8964" s="11" t="str">
        <f>"00450301"</f>
        <v>00450301</v>
      </c>
    </row>
    <row r="8965" spans="1:2" x14ac:dyDescent="0.25">
      <c r="A8965" s="2">
        <v>8960</v>
      </c>
      <c r="B8965" s="11" t="str">
        <f>"00450317"</f>
        <v>00450317</v>
      </c>
    </row>
    <row r="8966" spans="1:2" x14ac:dyDescent="0.25">
      <c r="A8966" s="2">
        <v>8961</v>
      </c>
      <c r="B8966" s="11" t="str">
        <f>"00450345"</f>
        <v>00450345</v>
      </c>
    </row>
    <row r="8967" spans="1:2" x14ac:dyDescent="0.25">
      <c r="A8967" s="2">
        <v>8962</v>
      </c>
      <c r="B8967" s="11" t="str">
        <f>"00450466"</f>
        <v>00450466</v>
      </c>
    </row>
    <row r="8968" spans="1:2" x14ac:dyDescent="0.25">
      <c r="A8968" s="2">
        <v>8963</v>
      </c>
      <c r="B8968" s="11" t="str">
        <f>"00450528"</f>
        <v>00450528</v>
      </c>
    </row>
    <row r="8969" spans="1:2" x14ac:dyDescent="0.25">
      <c r="A8969" s="2">
        <v>8964</v>
      </c>
      <c r="B8969" s="11" t="str">
        <f>"00450603"</f>
        <v>00450603</v>
      </c>
    </row>
    <row r="8970" spans="1:2" x14ac:dyDescent="0.25">
      <c r="A8970" s="2">
        <v>8965</v>
      </c>
      <c r="B8970" s="11" t="str">
        <f>"00450613"</f>
        <v>00450613</v>
      </c>
    </row>
    <row r="8971" spans="1:2" x14ac:dyDescent="0.25">
      <c r="A8971" s="2">
        <v>8966</v>
      </c>
      <c r="B8971" s="11" t="str">
        <f>"00450653"</f>
        <v>00450653</v>
      </c>
    </row>
    <row r="8972" spans="1:2" x14ac:dyDescent="0.25">
      <c r="A8972" s="2">
        <v>8967</v>
      </c>
      <c r="B8972" s="11" t="str">
        <f>"00450680"</f>
        <v>00450680</v>
      </c>
    </row>
    <row r="8973" spans="1:2" x14ac:dyDescent="0.25">
      <c r="A8973" s="2">
        <v>8968</v>
      </c>
      <c r="B8973" s="11" t="str">
        <f>"00450692"</f>
        <v>00450692</v>
      </c>
    </row>
    <row r="8974" spans="1:2" x14ac:dyDescent="0.25">
      <c r="A8974" s="2">
        <v>8969</v>
      </c>
      <c r="B8974" s="11" t="str">
        <f>"00450730"</f>
        <v>00450730</v>
      </c>
    </row>
    <row r="8975" spans="1:2" x14ac:dyDescent="0.25">
      <c r="A8975" s="2">
        <v>8970</v>
      </c>
      <c r="B8975" s="11" t="str">
        <f>"00450740"</f>
        <v>00450740</v>
      </c>
    </row>
    <row r="8976" spans="1:2" x14ac:dyDescent="0.25">
      <c r="A8976" s="2">
        <v>8971</v>
      </c>
      <c r="B8976" s="11" t="str">
        <f>"00450744"</f>
        <v>00450744</v>
      </c>
    </row>
    <row r="8977" spans="1:2" x14ac:dyDescent="0.25">
      <c r="A8977" s="2">
        <v>8972</v>
      </c>
      <c r="B8977" s="11" t="str">
        <f>"00450788"</f>
        <v>00450788</v>
      </c>
    </row>
    <row r="8978" spans="1:2" x14ac:dyDescent="0.25">
      <c r="A8978" s="2">
        <v>8973</v>
      </c>
      <c r="B8978" s="11" t="str">
        <f>"00450814"</f>
        <v>00450814</v>
      </c>
    </row>
    <row r="8979" spans="1:2" x14ac:dyDescent="0.25">
      <c r="A8979" s="2">
        <v>8974</v>
      </c>
      <c r="B8979" s="11" t="str">
        <f>"00450904"</f>
        <v>00450904</v>
      </c>
    </row>
    <row r="8980" spans="1:2" x14ac:dyDescent="0.25">
      <c r="A8980" s="2">
        <v>8975</v>
      </c>
      <c r="B8980" s="11" t="str">
        <f>"00450972"</f>
        <v>00450972</v>
      </c>
    </row>
    <row r="8981" spans="1:2" x14ac:dyDescent="0.25">
      <c r="A8981" s="2">
        <v>8976</v>
      </c>
      <c r="B8981" s="11" t="str">
        <f>"00451061"</f>
        <v>00451061</v>
      </c>
    </row>
    <row r="8982" spans="1:2" x14ac:dyDescent="0.25">
      <c r="A8982" s="2">
        <v>8977</v>
      </c>
      <c r="B8982" s="11" t="str">
        <f>"00451068"</f>
        <v>00451068</v>
      </c>
    </row>
    <row r="8983" spans="1:2" x14ac:dyDescent="0.25">
      <c r="A8983" s="2">
        <v>8978</v>
      </c>
      <c r="B8983" s="11" t="str">
        <f>"00451082"</f>
        <v>00451082</v>
      </c>
    </row>
    <row r="8984" spans="1:2" x14ac:dyDescent="0.25">
      <c r="A8984" s="2">
        <v>8979</v>
      </c>
      <c r="B8984" s="11" t="str">
        <f>"00451090"</f>
        <v>00451090</v>
      </c>
    </row>
    <row r="8985" spans="1:2" x14ac:dyDescent="0.25">
      <c r="A8985" s="2">
        <v>8980</v>
      </c>
      <c r="B8985" s="11" t="str">
        <f>"00451101"</f>
        <v>00451101</v>
      </c>
    </row>
    <row r="8986" spans="1:2" x14ac:dyDescent="0.25">
      <c r="A8986" s="2">
        <v>8981</v>
      </c>
      <c r="B8986" s="11" t="str">
        <f>"00451169"</f>
        <v>00451169</v>
      </c>
    </row>
    <row r="8987" spans="1:2" x14ac:dyDescent="0.25">
      <c r="A8987" s="2">
        <v>8982</v>
      </c>
      <c r="B8987" s="11" t="str">
        <f>"00451179"</f>
        <v>00451179</v>
      </c>
    </row>
    <row r="8988" spans="1:2" x14ac:dyDescent="0.25">
      <c r="A8988" s="2">
        <v>8983</v>
      </c>
      <c r="B8988" s="11" t="str">
        <f>"00451269"</f>
        <v>00451269</v>
      </c>
    </row>
    <row r="8989" spans="1:2" x14ac:dyDescent="0.25">
      <c r="A8989" s="2">
        <v>8984</v>
      </c>
      <c r="B8989" s="11" t="str">
        <f>"00451309"</f>
        <v>00451309</v>
      </c>
    </row>
    <row r="8990" spans="1:2" x14ac:dyDescent="0.25">
      <c r="A8990" s="2">
        <v>8985</v>
      </c>
      <c r="B8990" s="11" t="str">
        <f>"00451316"</f>
        <v>00451316</v>
      </c>
    </row>
    <row r="8991" spans="1:2" x14ac:dyDescent="0.25">
      <c r="A8991" s="2">
        <v>8986</v>
      </c>
      <c r="B8991" s="11" t="str">
        <f>"00451394"</f>
        <v>00451394</v>
      </c>
    </row>
    <row r="8992" spans="1:2" x14ac:dyDescent="0.25">
      <c r="A8992" s="2">
        <v>8987</v>
      </c>
      <c r="B8992" s="11" t="str">
        <f>"00451521"</f>
        <v>00451521</v>
      </c>
    </row>
    <row r="8993" spans="1:2" x14ac:dyDescent="0.25">
      <c r="A8993" s="2">
        <v>8988</v>
      </c>
      <c r="B8993" s="11" t="str">
        <f>"00451626"</f>
        <v>00451626</v>
      </c>
    </row>
    <row r="8994" spans="1:2" x14ac:dyDescent="0.25">
      <c r="A8994" s="2">
        <v>8989</v>
      </c>
      <c r="B8994" s="11" t="str">
        <f>"00451630"</f>
        <v>00451630</v>
      </c>
    </row>
    <row r="8995" spans="1:2" x14ac:dyDescent="0.25">
      <c r="A8995" s="2">
        <v>8990</v>
      </c>
      <c r="B8995" s="11" t="str">
        <f>"00451841"</f>
        <v>00451841</v>
      </c>
    </row>
    <row r="8996" spans="1:2" x14ac:dyDescent="0.25">
      <c r="A8996" s="2">
        <v>8991</v>
      </c>
      <c r="B8996" s="11" t="str">
        <f>"00451874"</f>
        <v>00451874</v>
      </c>
    </row>
    <row r="8997" spans="1:2" x14ac:dyDescent="0.25">
      <c r="A8997" s="2">
        <v>8992</v>
      </c>
      <c r="B8997" s="11" t="str">
        <f>"00451929"</f>
        <v>00451929</v>
      </c>
    </row>
    <row r="8998" spans="1:2" x14ac:dyDescent="0.25">
      <c r="A8998" s="2">
        <v>8993</v>
      </c>
      <c r="B8998" s="11" t="str">
        <f>"00451988"</f>
        <v>00451988</v>
      </c>
    </row>
    <row r="8999" spans="1:2" x14ac:dyDescent="0.25">
      <c r="A8999" s="2">
        <v>8994</v>
      </c>
      <c r="B8999" s="11" t="str">
        <f>"00452017"</f>
        <v>00452017</v>
      </c>
    </row>
    <row r="9000" spans="1:2" x14ac:dyDescent="0.25">
      <c r="A9000" s="2">
        <v>8995</v>
      </c>
      <c r="B9000" s="11" t="str">
        <f>"00452021"</f>
        <v>00452021</v>
      </c>
    </row>
    <row r="9001" spans="1:2" x14ac:dyDescent="0.25">
      <c r="A9001" s="2">
        <v>8996</v>
      </c>
      <c r="B9001" s="11" t="str">
        <f>"00452095"</f>
        <v>00452095</v>
      </c>
    </row>
    <row r="9002" spans="1:2" x14ac:dyDescent="0.25">
      <c r="A9002" s="2">
        <v>8997</v>
      </c>
      <c r="B9002" s="11" t="str">
        <f>"00452236"</f>
        <v>00452236</v>
      </c>
    </row>
    <row r="9003" spans="1:2" x14ac:dyDescent="0.25">
      <c r="A9003" s="2">
        <v>8998</v>
      </c>
      <c r="B9003" s="11" t="str">
        <f>"00452241"</f>
        <v>00452241</v>
      </c>
    </row>
    <row r="9004" spans="1:2" x14ac:dyDescent="0.25">
      <c r="A9004" s="2">
        <v>8999</v>
      </c>
      <c r="B9004" s="11" t="str">
        <f>"00452244"</f>
        <v>00452244</v>
      </c>
    </row>
    <row r="9005" spans="1:2" x14ac:dyDescent="0.25">
      <c r="A9005" s="2">
        <v>9000</v>
      </c>
      <c r="B9005" s="11" t="str">
        <f>"00452257"</f>
        <v>00452257</v>
      </c>
    </row>
    <row r="9006" spans="1:2" x14ac:dyDescent="0.25">
      <c r="A9006" s="2">
        <v>9001</v>
      </c>
      <c r="B9006" s="11" t="str">
        <f>"00452265"</f>
        <v>00452265</v>
      </c>
    </row>
    <row r="9007" spans="1:2" x14ac:dyDescent="0.25">
      <c r="A9007" s="2">
        <v>9002</v>
      </c>
      <c r="B9007" s="11" t="str">
        <f>"00452311"</f>
        <v>00452311</v>
      </c>
    </row>
    <row r="9008" spans="1:2" x14ac:dyDescent="0.25">
      <c r="A9008" s="2">
        <v>9003</v>
      </c>
      <c r="B9008" s="11" t="str">
        <f>"00452333"</f>
        <v>00452333</v>
      </c>
    </row>
    <row r="9009" spans="1:2" x14ac:dyDescent="0.25">
      <c r="A9009" s="2">
        <v>9004</v>
      </c>
      <c r="B9009" s="11" t="str">
        <f>"00452370"</f>
        <v>00452370</v>
      </c>
    </row>
    <row r="9010" spans="1:2" x14ac:dyDescent="0.25">
      <c r="A9010" s="2">
        <v>9005</v>
      </c>
      <c r="B9010" s="11" t="str">
        <f>"00452385"</f>
        <v>00452385</v>
      </c>
    </row>
    <row r="9011" spans="1:2" x14ac:dyDescent="0.25">
      <c r="A9011" s="2">
        <v>9006</v>
      </c>
      <c r="B9011" s="11" t="str">
        <f>"00452403"</f>
        <v>00452403</v>
      </c>
    </row>
    <row r="9012" spans="1:2" x14ac:dyDescent="0.25">
      <c r="A9012" s="2">
        <v>9007</v>
      </c>
      <c r="B9012" s="11" t="str">
        <f>"00452479"</f>
        <v>00452479</v>
      </c>
    </row>
    <row r="9013" spans="1:2" x14ac:dyDescent="0.25">
      <c r="A9013" s="2">
        <v>9008</v>
      </c>
      <c r="B9013" s="11" t="str">
        <f>"00452484"</f>
        <v>00452484</v>
      </c>
    </row>
    <row r="9014" spans="1:2" x14ac:dyDescent="0.25">
      <c r="A9014" s="2">
        <v>9009</v>
      </c>
      <c r="B9014" s="11" t="str">
        <f>"00452488"</f>
        <v>00452488</v>
      </c>
    </row>
    <row r="9015" spans="1:2" x14ac:dyDescent="0.25">
      <c r="A9015" s="2">
        <v>9010</v>
      </c>
      <c r="B9015" s="11" t="str">
        <f>"00452562"</f>
        <v>00452562</v>
      </c>
    </row>
    <row r="9016" spans="1:2" x14ac:dyDescent="0.25">
      <c r="A9016" s="2">
        <v>9011</v>
      </c>
      <c r="B9016" s="11" t="str">
        <f>"00452582"</f>
        <v>00452582</v>
      </c>
    </row>
    <row r="9017" spans="1:2" x14ac:dyDescent="0.25">
      <c r="A9017" s="2">
        <v>9012</v>
      </c>
      <c r="B9017" s="11" t="str">
        <f>"00452642"</f>
        <v>00452642</v>
      </c>
    </row>
    <row r="9018" spans="1:2" x14ac:dyDescent="0.25">
      <c r="A9018" s="2">
        <v>9013</v>
      </c>
      <c r="B9018" s="11" t="str">
        <f>"00452643"</f>
        <v>00452643</v>
      </c>
    </row>
    <row r="9019" spans="1:2" x14ac:dyDescent="0.25">
      <c r="A9019" s="2">
        <v>9014</v>
      </c>
      <c r="B9019" s="11" t="str">
        <f>"00452656"</f>
        <v>00452656</v>
      </c>
    </row>
    <row r="9020" spans="1:2" x14ac:dyDescent="0.25">
      <c r="A9020" s="2">
        <v>9015</v>
      </c>
      <c r="B9020" s="11" t="str">
        <f>"00452705"</f>
        <v>00452705</v>
      </c>
    </row>
    <row r="9021" spans="1:2" x14ac:dyDescent="0.25">
      <c r="A9021" s="2">
        <v>9016</v>
      </c>
      <c r="B9021" s="11" t="str">
        <f>"00452746"</f>
        <v>00452746</v>
      </c>
    </row>
    <row r="9022" spans="1:2" x14ac:dyDescent="0.25">
      <c r="A9022" s="2">
        <v>9017</v>
      </c>
      <c r="B9022" s="11" t="str">
        <f>"00452749"</f>
        <v>00452749</v>
      </c>
    </row>
    <row r="9023" spans="1:2" x14ac:dyDescent="0.25">
      <c r="A9023" s="2">
        <v>9018</v>
      </c>
      <c r="B9023" s="11" t="str">
        <f>"00452751"</f>
        <v>00452751</v>
      </c>
    </row>
    <row r="9024" spans="1:2" x14ac:dyDescent="0.25">
      <c r="A9024" s="2">
        <v>9019</v>
      </c>
      <c r="B9024" s="11" t="str">
        <f>"00452770"</f>
        <v>00452770</v>
      </c>
    </row>
    <row r="9025" spans="1:2" x14ac:dyDescent="0.25">
      <c r="A9025" s="2">
        <v>9020</v>
      </c>
      <c r="B9025" s="11" t="str">
        <f>"00452788"</f>
        <v>00452788</v>
      </c>
    </row>
    <row r="9026" spans="1:2" x14ac:dyDescent="0.25">
      <c r="A9026" s="2">
        <v>9021</v>
      </c>
      <c r="B9026" s="11" t="str">
        <f>"00452789"</f>
        <v>00452789</v>
      </c>
    </row>
    <row r="9027" spans="1:2" x14ac:dyDescent="0.25">
      <c r="A9027" s="2">
        <v>9022</v>
      </c>
      <c r="B9027" s="11" t="str">
        <f>"00452790"</f>
        <v>00452790</v>
      </c>
    </row>
    <row r="9028" spans="1:2" x14ac:dyDescent="0.25">
      <c r="A9028" s="2">
        <v>9023</v>
      </c>
      <c r="B9028" s="11" t="str">
        <f>"00452800"</f>
        <v>00452800</v>
      </c>
    </row>
    <row r="9029" spans="1:2" x14ac:dyDescent="0.25">
      <c r="A9029" s="2">
        <v>9024</v>
      </c>
      <c r="B9029" s="11" t="str">
        <f>"00452876"</f>
        <v>00452876</v>
      </c>
    </row>
    <row r="9030" spans="1:2" x14ac:dyDescent="0.25">
      <c r="A9030" s="2">
        <v>9025</v>
      </c>
      <c r="B9030" s="11" t="str">
        <f>"00452878"</f>
        <v>00452878</v>
      </c>
    </row>
    <row r="9031" spans="1:2" x14ac:dyDescent="0.25">
      <c r="A9031" s="2">
        <v>9026</v>
      </c>
      <c r="B9031" s="11" t="str">
        <f>"00452925"</f>
        <v>00452925</v>
      </c>
    </row>
    <row r="9032" spans="1:2" x14ac:dyDescent="0.25">
      <c r="A9032" s="2">
        <v>9027</v>
      </c>
      <c r="B9032" s="11" t="str">
        <f>"00452926"</f>
        <v>00452926</v>
      </c>
    </row>
    <row r="9033" spans="1:2" x14ac:dyDescent="0.25">
      <c r="A9033" s="2">
        <v>9028</v>
      </c>
      <c r="B9033" s="11" t="str">
        <f>"00452945"</f>
        <v>00452945</v>
      </c>
    </row>
    <row r="9034" spans="1:2" x14ac:dyDescent="0.25">
      <c r="A9034" s="2">
        <v>9029</v>
      </c>
      <c r="B9034" s="11" t="str">
        <f>"00453026"</f>
        <v>00453026</v>
      </c>
    </row>
    <row r="9035" spans="1:2" x14ac:dyDescent="0.25">
      <c r="A9035" s="2">
        <v>9030</v>
      </c>
      <c r="B9035" s="11" t="str">
        <f>"00453034"</f>
        <v>00453034</v>
      </c>
    </row>
    <row r="9036" spans="1:2" x14ac:dyDescent="0.25">
      <c r="A9036" s="2">
        <v>9031</v>
      </c>
      <c r="B9036" s="11" t="str">
        <f>"00453039"</f>
        <v>00453039</v>
      </c>
    </row>
    <row r="9037" spans="1:2" x14ac:dyDescent="0.25">
      <c r="A9037" s="2">
        <v>9032</v>
      </c>
      <c r="B9037" s="11" t="str">
        <f>"00453066"</f>
        <v>00453066</v>
      </c>
    </row>
    <row r="9038" spans="1:2" x14ac:dyDescent="0.25">
      <c r="A9038" s="2">
        <v>9033</v>
      </c>
      <c r="B9038" s="11" t="str">
        <f>"00453131"</f>
        <v>00453131</v>
      </c>
    </row>
    <row r="9039" spans="1:2" x14ac:dyDescent="0.25">
      <c r="A9039" s="2">
        <v>9034</v>
      </c>
      <c r="B9039" s="11" t="str">
        <f>"00453262"</f>
        <v>00453262</v>
      </c>
    </row>
    <row r="9040" spans="1:2" x14ac:dyDescent="0.25">
      <c r="A9040" s="2">
        <v>9035</v>
      </c>
      <c r="B9040" s="11" t="str">
        <f>"00453267"</f>
        <v>00453267</v>
      </c>
    </row>
    <row r="9041" spans="1:2" x14ac:dyDescent="0.25">
      <c r="A9041" s="2">
        <v>9036</v>
      </c>
      <c r="B9041" s="11" t="str">
        <f>"00453294"</f>
        <v>00453294</v>
      </c>
    </row>
    <row r="9042" spans="1:2" x14ac:dyDescent="0.25">
      <c r="A9042" s="2">
        <v>9037</v>
      </c>
      <c r="B9042" s="11" t="str">
        <f>"00453351"</f>
        <v>00453351</v>
      </c>
    </row>
    <row r="9043" spans="1:2" x14ac:dyDescent="0.25">
      <c r="A9043" s="2">
        <v>9038</v>
      </c>
      <c r="B9043" s="11" t="str">
        <f>"00453357"</f>
        <v>00453357</v>
      </c>
    </row>
    <row r="9044" spans="1:2" x14ac:dyDescent="0.25">
      <c r="A9044" s="2">
        <v>9039</v>
      </c>
      <c r="B9044" s="11" t="str">
        <f>"00453382"</f>
        <v>00453382</v>
      </c>
    </row>
    <row r="9045" spans="1:2" x14ac:dyDescent="0.25">
      <c r="A9045" s="2">
        <v>9040</v>
      </c>
      <c r="B9045" s="11" t="str">
        <f>"00453383"</f>
        <v>00453383</v>
      </c>
    </row>
    <row r="9046" spans="1:2" x14ac:dyDescent="0.25">
      <c r="A9046" s="2">
        <v>9041</v>
      </c>
      <c r="B9046" s="11" t="str">
        <f>"00453412"</f>
        <v>00453412</v>
      </c>
    </row>
    <row r="9047" spans="1:2" x14ac:dyDescent="0.25">
      <c r="A9047" s="2">
        <v>9042</v>
      </c>
      <c r="B9047" s="11" t="str">
        <f>"00453461"</f>
        <v>00453461</v>
      </c>
    </row>
    <row r="9048" spans="1:2" x14ac:dyDescent="0.25">
      <c r="A9048" s="2">
        <v>9043</v>
      </c>
      <c r="B9048" s="11" t="str">
        <f>"00453467"</f>
        <v>00453467</v>
      </c>
    </row>
    <row r="9049" spans="1:2" x14ac:dyDescent="0.25">
      <c r="A9049" s="2">
        <v>9044</v>
      </c>
      <c r="B9049" s="11" t="str">
        <f>"00453471"</f>
        <v>00453471</v>
      </c>
    </row>
    <row r="9050" spans="1:2" x14ac:dyDescent="0.25">
      <c r="A9050" s="2">
        <v>9045</v>
      </c>
      <c r="B9050" s="11" t="str">
        <f>"00453477"</f>
        <v>00453477</v>
      </c>
    </row>
    <row r="9051" spans="1:2" x14ac:dyDescent="0.25">
      <c r="A9051" s="2">
        <v>9046</v>
      </c>
      <c r="B9051" s="11" t="str">
        <f>"00453483"</f>
        <v>00453483</v>
      </c>
    </row>
    <row r="9052" spans="1:2" x14ac:dyDescent="0.25">
      <c r="A9052" s="2">
        <v>9047</v>
      </c>
      <c r="B9052" s="11" t="str">
        <f>"00453490"</f>
        <v>00453490</v>
      </c>
    </row>
    <row r="9053" spans="1:2" x14ac:dyDescent="0.25">
      <c r="A9053" s="2">
        <v>9048</v>
      </c>
      <c r="B9053" s="11" t="str">
        <f>"00453498"</f>
        <v>00453498</v>
      </c>
    </row>
    <row r="9054" spans="1:2" x14ac:dyDescent="0.25">
      <c r="A9054" s="2">
        <v>9049</v>
      </c>
      <c r="B9054" s="11" t="str">
        <f>"00453535"</f>
        <v>00453535</v>
      </c>
    </row>
    <row r="9055" spans="1:2" x14ac:dyDescent="0.25">
      <c r="A9055" s="2">
        <v>9050</v>
      </c>
      <c r="B9055" s="11" t="str">
        <f>"00453590"</f>
        <v>00453590</v>
      </c>
    </row>
    <row r="9056" spans="1:2" x14ac:dyDescent="0.25">
      <c r="A9056" s="2">
        <v>9051</v>
      </c>
      <c r="B9056" s="11" t="str">
        <f>"00453625"</f>
        <v>00453625</v>
      </c>
    </row>
    <row r="9057" spans="1:2" x14ac:dyDescent="0.25">
      <c r="A9057" s="2">
        <v>9052</v>
      </c>
      <c r="B9057" s="11" t="str">
        <f>"00453719"</f>
        <v>00453719</v>
      </c>
    </row>
    <row r="9058" spans="1:2" x14ac:dyDescent="0.25">
      <c r="A9058" s="2">
        <v>9053</v>
      </c>
      <c r="B9058" s="11" t="str">
        <f>"00453760"</f>
        <v>00453760</v>
      </c>
    </row>
    <row r="9059" spans="1:2" x14ac:dyDescent="0.25">
      <c r="A9059" s="2">
        <v>9054</v>
      </c>
      <c r="B9059" s="11" t="str">
        <f>"00453816"</f>
        <v>00453816</v>
      </c>
    </row>
    <row r="9060" spans="1:2" x14ac:dyDescent="0.25">
      <c r="A9060" s="2">
        <v>9055</v>
      </c>
      <c r="B9060" s="11" t="str">
        <f>"00453929"</f>
        <v>00453929</v>
      </c>
    </row>
    <row r="9061" spans="1:2" x14ac:dyDescent="0.25">
      <c r="A9061" s="2">
        <v>9056</v>
      </c>
      <c r="B9061" s="11" t="str">
        <f>"00453983"</f>
        <v>00453983</v>
      </c>
    </row>
    <row r="9062" spans="1:2" x14ac:dyDescent="0.25">
      <c r="A9062" s="2">
        <v>9057</v>
      </c>
      <c r="B9062" s="11" t="str">
        <f>"00453989"</f>
        <v>00453989</v>
      </c>
    </row>
    <row r="9063" spans="1:2" x14ac:dyDescent="0.25">
      <c r="A9063" s="2">
        <v>9058</v>
      </c>
      <c r="B9063" s="11" t="str">
        <f>"00454029"</f>
        <v>00454029</v>
      </c>
    </row>
    <row r="9064" spans="1:2" x14ac:dyDescent="0.25">
      <c r="A9064" s="2">
        <v>9059</v>
      </c>
      <c r="B9064" s="11" t="str">
        <f>"00454032"</f>
        <v>00454032</v>
      </c>
    </row>
    <row r="9065" spans="1:2" x14ac:dyDescent="0.25">
      <c r="A9065" s="2">
        <v>9060</v>
      </c>
      <c r="B9065" s="11" t="str">
        <f>"00454143"</f>
        <v>00454143</v>
      </c>
    </row>
    <row r="9066" spans="1:2" x14ac:dyDescent="0.25">
      <c r="A9066" s="2">
        <v>9061</v>
      </c>
      <c r="B9066" s="11" t="str">
        <f>"00454154"</f>
        <v>00454154</v>
      </c>
    </row>
    <row r="9067" spans="1:2" x14ac:dyDescent="0.25">
      <c r="A9067" s="2">
        <v>9062</v>
      </c>
      <c r="B9067" s="11" t="str">
        <f>"00454186"</f>
        <v>00454186</v>
      </c>
    </row>
    <row r="9068" spans="1:2" x14ac:dyDescent="0.25">
      <c r="A9068" s="2">
        <v>9063</v>
      </c>
      <c r="B9068" s="11" t="str">
        <f>"00454194"</f>
        <v>00454194</v>
      </c>
    </row>
    <row r="9069" spans="1:2" x14ac:dyDescent="0.25">
      <c r="A9069" s="2">
        <v>9064</v>
      </c>
      <c r="B9069" s="11" t="str">
        <f>"00454198"</f>
        <v>00454198</v>
      </c>
    </row>
    <row r="9070" spans="1:2" x14ac:dyDescent="0.25">
      <c r="A9070" s="2">
        <v>9065</v>
      </c>
      <c r="B9070" s="11" t="str">
        <f>"00454300"</f>
        <v>00454300</v>
      </c>
    </row>
    <row r="9071" spans="1:2" x14ac:dyDescent="0.25">
      <c r="A9071" s="2">
        <v>9066</v>
      </c>
      <c r="B9071" s="11" t="str">
        <f>"00454302"</f>
        <v>00454302</v>
      </c>
    </row>
    <row r="9072" spans="1:2" x14ac:dyDescent="0.25">
      <c r="A9072" s="2">
        <v>9067</v>
      </c>
      <c r="B9072" s="11" t="str">
        <f>"00454303"</f>
        <v>00454303</v>
      </c>
    </row>
    <row r="9073" spans="1:2" x14ac:dyDescent="0.25">
      <c r="A9073" s="2">
        <v>9068</v>
      </c>
      <c r="B9073" s="11" t="str">
        <f>"00454383"</f>
        <v>00454383</v>
      </c>
    </row>
    <row r="9074" spans="1:2" x14ac:dyDescent="0.25">
      <c r="A9074" s="2">
        <v>9069</v>
      </c>
      <c r="B9074" s="11" t="str">
        <f>"00454402"</f>
        <v>00454402</v>
      </c>
    </row>
    <row r="9075" spans="1:2" x14ac:dyDescent="0.25">
      <c r="A9075" s="2">
        <v>9070</v>
      </c>
      <c r="B9075" s="11" t="str">
        <f>"00454423"</f>
        <v>00454423</v>
      </c>
    </row>
    <row r="9076" spans="1:2" x14ac:dyDescent="0.25">
      <c r="A9076" s="2">
        <v>9071</v>
      </c>
      <c r="B9076" s="11" t="str">
        <f>"00454578"</f>
        <v>00454578</v>
      </c>
    </row>
    <row r="9077" spans="1:2" x14ac:dyDescent="0.25">
      <c r="A9077" s="2">
        <v>9072</v>
      </c>
      <c r="B9077" s="11" t="str">
        <f>"00454729"</f>
        <v>00454729</v>
      </c>
    </row>
    <row r="9078" spans="1:2" x14ac:dyDescent="0.25">
      <c r="A9078" s="2">
        <v>9073</v>
      </c>
      <c r="B9078" s="11" t="str">
        <f>"00454741"</f>
        <v>00454741</v>
      </c>
    </row>
    <row r="9079" spans="1:2" x14ac:dyDescent="0.25">
      <c r="A9079" s="2">
        <v>9074</v>
      </c>
      <c r="B9079" s="11" t="str">
        <f>"00454749"</f>
        <v>00454749</v>
      </c>
    </row>
    <row r="9080" spans="1:2" x14ac:dyDescent="0.25">
      <c r="A9080" s="2">
        <v>9075</v>
      </c>
      <c r="B9080" s="11" t="str">
        <f>"00454778"</f>
        <v>00454778</v>
      </c>
    </row>
    <row r="9081" spans="1:2" x14ac:dyDescent="0.25">
      <c r="A9081" s="2">
        <v>9076</v>
      </c>
      <c r="B9081" s="11" t="str">
        <f>"00454814"</f>
        <v>00454814</v>
      </c>
    </row>
    <row r="9082" spans="1:2" x14ac:dyDescent="0.25">
      <c r="A9082" s="2">
        <v>9077</v>
      </c>
      <c r="B9082" s="11" t="str">
        <f>"00454857"</f>
        <v>00454857</v>
      </c>
    </row>
    <row r="9083" spans="1:2" x14ac:dyDescent="0.25">
      <c r="A9083" s="2">
        <v>9078</v>
      </c>
      <c r="B9083" s="11" t="str">
        <f>"00454874"</f>
        <v>00454874</v>
      </c>
    </row>
    <row r="9084" spans="1:2" x14ac:dyDescent="0.25">
      <c r="A9084" s="2">
        <v>9079</v>
      </c>
      <c r="B9084" s="11" t="str">
        <f>"00454919"</f>
        <v>00454919</v>
      </c>
    </row>
    <row r="9085" spans="1:2" x14ac:dyDescent="0.25">
      <c r="A9085" s="2">
        <v>9080</v>
      </c>
      <c r="B9085" s="11" t="str">
        <f>"00455160"</f>
        <v>00455160</v>
      </c>
    </row>
    <row r="9086" spans="1:2" x14ac:dyDescent="0.25">
      <c r="A9086" s="2">
        <v>9081</v>
      </c>
      <c r="B9086" s="11" t="str">
        <f>"00455168"</f>
        <v>00455168</v>
      </c>
    </row>
    <row r="9087" spans="1:2" x14ac:dyDescent="0.25">
      <c r="A9087" s="2">
        <v>9082</v>
      </c>
      <c r="B9087" s="11" t="str">
        <f>"00455247"</f>
        <v>00455247</v>
      </c>
    </row>
    <row r="9088" spans="1:2" x14ac:dyDescent="0.25">
      <c r="A9088" s="2">
        <v>9083</v>
      </c>
      <c r="B9088" s="11" t="str">
        <f>"00455281"</f>
        <v>00455281</v>
      </c>
    </row>
    <row r="9089" spans="1:2" x14ac:dyDescent="0.25">
      <c r="A9089" s="2">
        <v>9084</v>
      </c>
      <c r="B9089" s="11" t="str">
        <f>"00455312"</f>
        <v>00455312</v>
      </c>
    </row>
    <row r="9090" spans="1:2" x14ac:dyDescent="0.25">
      <c r="A9090" s="2">
        <v>9085</v>
      </c>
      <c r="B9090" s="11" t="str">
        <f>"00455376"</f>
        <v>00455376</v>
      </c>
    </row>
    <row r="9091" spans="1:2" x14ac:dyDescent="0.25">
      <c r="A9091" s="2">
        <v>9086</v>
      </c>
      <c r="B9091" s="11" t="str">
        <f>"00455516"</f>
        <v>00455516</v>
      </c>
    </row>
    <row r="9092" spans="1:2" x14ac:dyDescent="0.25">
      <c r="A9092" s="2">
        <v>9087</v>
      </c>
      <c r="B9092" s="11" t="str">
        <f>"00455565"</f>
        <v>00455565</v>
      </c>
    </row>
    <row r="9093" spans="1:2" x14ac:dyDescent="0.25">
      <c r="A9093" s="2">
        <v>9088</v>
      </c>
      <c r="B9093" s="11" t="str">
        <f>"00455582"</f>
        <v>00455582</v>
      </c>
    </row>
    <row r="9094" spans="1:2" x14ac:dyDescent="0.25">
      <c r="A9094" s="2">
        <v>9089</v>
      </c>
      <c r="B9094" s="11" t="str">
        <f>"00455698"</f>
        <v>00455698</v>
      </c>
    </row>
    <row r="9095" spans="1:2" x14ac:dyDescent="0.25">
      <c r="A9095" s="2">
        <v>9090</v>
      </c>
      <c r="B9095" s="11" t="str">
        <f>"00455704"</f>
        <v>00455704</v>
      </c>
    </row>
    <row r="9096" spans="1:2" x14ac:dyDescent="0.25">
      <c r="A9096" s="2">
        <v>9091</v>
      </c>
      <c r="B9096" s="11" t="str">
        <f>"00455709"</f>
        <v>00455709</v>
      </c>
    </row>
    <row r="9097" spans="1:2" x14ac:dyDescent="0.25">
      <c r="A9097" s="2">
        <v>9092</v>
      </c>
      <c r="B9097" s="11" t="str">
        <f>"00455713"</f>
        <v>00455713</v>
      </c>
    </row>
    <row r="9098" spans="1:2" x14ac:dyDescent="0.25">
      <c r="A9098" s="2">
        <v>9093</v>
      </c>
      <c r="B9098" s="11" t="str">
        <f>"00455755"</f>
        <v>00455755</v>
      </c>
    </row>
    <row r="9099" spans="1:2" x14ac:dyDescent="0.25">
      <c r="A9099" s="2">
        <v>9094</v>
      </c>
      <c r="B9099" s="11" t="str">
        <f>"00455782"</f>
        <v>00455782</v>
      </c>
    </row>
    <row r="9100" spans="1:2" x14ac:dyDescent="0.25">
      <c r="A9100" s="2">
        <v>9095</v>
      </c>
      <c r="B9100" s="11" t="str">
        <f>"00455816"</f>
        <v>00455816</v>
      </c>
    </row>
    <row r="9101" spans="1:2" x14ac:dyDescent="0.25">
      <c r="A9101" s="2">
        <v>9096</v>
      </c>
      <c r="B9101" s="11" t="str">
        <f>"00455914"</f>
        <v>00455914</v>
      </c>
    </row>
    <row r="9102" spans="1:2" x14ac:dyDescent="0.25">
      <c r="A9102" s="2">
        <v>9097</v>
      </c>
      <c r="B9102" s="11" t="str">
        <f>"00455926"</f>
        <v>00455926</v>
      </c>
    </row>
    <row r="9103" spans="1:2" x14ac:dyDescent="0.25">
      <c r="A9103" s="2">
        <v>9098</v>
      </c>
      <c r="B9103" s="11" t="str">
        <f>"00455990"</f>
        <v>00455990</v>
      </c>
    </row>
    <row r="9104" spans="1:2" x14ac:dyDescent="0.25">
      <c r="A9104" s="2">
        <v>9099</v>
      </c>
      <c r="B9104" s="11" t="str">
        <f>"00456012"</f>
        <v>00456012</v>
      </c>
    </row>
    <row r="9105" spans="1:2" x14ac:dyDescent="0.25">
      <c r="A9105" s="2">
        <v>9100</v>
      </c>
      <c r="B9105" s="11" t="str">
        <f>"00456051"</f>
        <v>00456051</v>
      </c>
    </row>
    <row r="9106" spans="1:2" x14ac:dyDescent="0.25">
      <c r="A9106" s="2">
        <v>9101</v>
      </c>
      <c r="B9106" s="11" t="str">
        <f>"00456060"</f>
        <v>00456060</v>
      </c>
    </row>
    <row r="9107" spans="1:2" x14ac:dyDescent="0.25">
      <c r="A9107" s="2">
        <v>9102</v>
      </c>
      <c r="B9107" s="11" t="str">
        <f>"00456157"</f>
        <v>00456157</v>
      </c>
    </row>
    <row r="9108" spans="1:2" x14ac:dyDescent="0.25">
      <c r="A9108" s="2">
        <v>9103</v>
      </c>
      <c r="B9108" s="11" t="str">
        <f>"00456188"</f>
        <v>00456188</v>
      </c>
    </row>
    <row r="9109" spans="1:2" x14ac:dyDescent="0.25">
      <c r="A9109" s="2">
        <v>9104</v>
      </c>
      <c r="B9109" s="11" t="str">
        <f>"00456338"</f>
        <v>00456338</v>
      </c>
    </row>
    <row r="9110" spans="1:2" x14ac:dyDescent="0.25">
      <c r="A9110" s="2">
        <v>9105</v>
      </c>
      <c r="B9110" s="11" t="str">
        <f>"00456395"</f>
        <v>00456395</v>
      </c>
    </row>
    <row r="9111" spans="1:2" x14ac:dyDescent="0.25">
      <c r="A9111" s="2">
        <v>9106</v>
      </c>
      <c r="B9111" s="11" t="str">
        <f>"00456430"</f>
        <v>00456430</v>
      </c>
    </row>
    <row r="9112" spans="1:2" x14ac:dyDescent="0.25">
      <c r="A9112" s="2">
        <v>9107</v>
      </c>
      <c r="B9112" s="11" t="str">
        <f>"00456439"</f>
        <v>00456439</v>
      </c>
    </row>
    <row r="9113" spans="1:2" x14ac:dyDescent="0.25">
      <c r="A9113" s="2">
        <v>9108</v>
      </c>
      <c r="B9113" s="11" t="str">
        <f>"00456469"</f>
        <v>00456469</v>
      </c>
    </row>
    <row r="9114" spans="1:2" x14ac:dyDescent="0.25">
      <c r="A9114" s="2">
        <v>9109</v>
      </c>
      <c r="B9114" s="11" t="str">
        <f>"00456470"</f>
        <v>00456470</v>
      </c>
    </row>
    <row r="9115" spans="1:2" x14ac:dyDescent="0.25">
      <c r="A9115" s="2">
        <v>9110</v>
      </c>
      <c r="B9115" s="11" t="str">
        <f>"00456514"</f>
        <v>00456514</v>
      </c>
    </row>
    <row r="9116" spans="1:2" x14ac:dyDescent="0.25">
      <c r="A9116" s="2">
        <v>9111</v>
      </c>
      <c r="B9116" s="11" t="str">
        <f>"00456522"</f>
        <v>00456522</v>
      </c>
    </row>
    <row r="9117" spans="1:2" x14ac:dyDescent="0.25">
      <c r="A9117" s="2">
        <v>9112</v>
      </c>
      <c r="B9117" s="11" t="str">
        <f>"00456537"</f>
        <v>00456537</v>
      </c>
    </row>
    <row r="9118" spans="1:2" x14ac:dyDescent="0.25">
      <c r="A9118" s="2">
        <v>9113</v>
      </c>
      <c r="B9118" s="11" t="str">
        <f>"00456538"</f>
        <v>00456538</v>
      </c>
    </row>
    <row r="9119" spans="1:2" x14ac:dyDescent="0.25">
      <c r="A9119" s="2">
        <v>9114</v>
      </c>
      <c r="B9119" s="11" t="str">
        <f>"00456569"</f>
        <v>00456569</v>
      </c>
    </row>
    <row r="9120" spans="1:2" x14ac:dyDescent="0.25">
      <c r="A9120" s="2">
        <v>9115</v>
      </c>
      <c r="B9120" s="11" t="str">
        <f>"00456588"</f>
        <v>00456588</v>
      </c>
    </row>
    <row r="9121" spans="1:2" x14ac:dyDescent="0.25">
      <c r="A9121" s="2">
        <v>9116</v>
      </c>
      <c r="B9121" s="11" t="str">
        <f>"00456648"</f>
        <v>00456648</v>
      </c>
    </row>
    <row r="9122" spans="1:2" x14ac:dyDescent="0.25">
      <c r="A9122" s="2">
        <v>9117</v>
      </c>
      <c r="B9122" s="11" t="str">
        <f>"00456650"</f>
        <v>00456650</v>
      </c>
    </row>
    <row r="9123" spans="1:2" x14ac:dyDescent="0.25">
      <c r="A9123" s="2">
        <v>9118</v>
      </c>
      <c r="B9123" s="11" t="str">
        <f>"00456737"</f>
        <v>00456737</v>
      </c>
    </row>
    <row r="9124" spans="1:2" x14ac:dyDescent="0.25">
      <c r="A9124" s="2">
        <v>9119</v>
      </c>
      <c r="B9124" s="11" t="str">
        <f>"00456750"</f>
        <v>00456750</v>
      </c>
    </row>
    <row r="9125" spans="1:2" x14ac:dyDescent="0.25">
      <c r="A9125" s="2">
        <v>9120</v>
      </c>
      <c r="B9125" s="11" t="str">
        <f>"00456781"</f>
        <v>00456781</v>
      </c>
    </row>
    <row r="9126" spans="1:2" x14ac:dyDescent="0.25">
      <c r="A9126" s="2">
        <v>9121</v>
      </c>
      <c r="B9126" s="11" t="str">
        <f>"00456782"</f>
        <v>00456782</v>
      </c>
    </row>
    <row r="9127" spans="1:2" x14ac:dyDescent="0.25">
      <c r="A9127" s="2">
        <v>9122</v>
      </c>
      <c r="B9127" s="11" t="str">
        <f>"00456785"</f>
        <v>00456785</v>
      </c>
    </row>
    <row r="9128" spans="1:2" x14ac:dyDescent="0.25">
      <c r="A9128" s="2">
        <v>9123</v>
      </c>
      <c r="B9128" s="11" t="str">
        <f>"00456887"</f>
        <v>00456887</v>
      </c>
    </row>
    <row r="9129" spans="1:2" x14ac:dyDescent="0.25">
      <c r="A9129" s="2">
        <v>9124</v>
      </c>
      <c r="B9129" s="11" t="str">
        <f>"00457029"</f>
        <v>00457029</v>
      </c>
    </row>
    <row r="9130" spans="1:2" x14ac:dyDescent="0.25">
      <c r="A9130" s="2">
        <v>9125</v>
      </c>
      <c r="B9130" s="11" t="str">
        <f>"00457030"</f>
        <v>00457030</v>
      </c>
    </row>
    <row r="9131" spans="1:2" x14ac:dyDescent="0.25">
      <c r="A9131" s="2">
        <v>9126</v>
      </c>
      <c r="B9131" s="11" t="str">
        <f>"00457048"</f>
        <v>00457048</v>
      </c>
    </row>
    <row r="9132" spans="1:2" x14ac:dyDescent="0.25">
      <c r="A9132" s="2">
        <v>9127</v>
      </c>
      <c r="B9132" s="11" t="str">
        <f>"00457052"</f>
        <v>00457052</v>
      </c>
    </row>
    <row r="9133" spans="1:2" x14ac:dyDescent="0.25">
      <c r="A9133" s="2">
        <v>9128</v>
      </c>
      <c r="B9133" s="11" t="str">
        <f>"00457067"</f>
        <v>00457067</v>
      </c>
    </row>
    <row r="9134" spans="1:2" x14ac:dyDescent="0.25">
      <c r="A9134" s="2">
        <v>9129</v>
      </c>
      <c r="B9134" s="11" t="str">
        <f>"00457105"</f>
        <v>00457105</v>
      </c>
    </row>
    <row r="9135" spans="1:2" x14ac:dyDescent="0.25">
      <c r="A9135" s="2">
        <v>9130</v>
      </c>
      <c r="B9135" s="11" t="str">
        <f>"00457111"</f>
        <v>00457111</v>
      </c>
    </row>
    <row r="9136" spans="1:2" x14ac:dyDescent="0.25">
      <c r="A9136" s="2">
        <v>9131</v>
      </c>
      <c r="B9136" s="11" t="str">
        <f>"00457123"</f>
        <v>00457123</v>
      </c>
    </row>
    <row r="9137" spans="1:2" x14ac:dyDescent="0.25">
      <c r="A9137" s="2">
        <v>9132</v>
      </c>
      <c r="B9137" s="11" t="str">
        <f>"00457131"</f>
        <v>00457131</v>
      </c>
    </row>
    <row r="9138" spans="1:2" x14ac:dyDescent="0.25">
      <c r="A9138" s="2">
        <v>9133</v>
      </c>
      <c r="B9138" s="11" t="str">
        <f>"00457137"</f>
        <v>00457137</v>
      </c>
    </row>
    <row r="9139" spans="1:2" x14ac:dyDescent="0.25">
      <c r="A9139" s="2">
        <v>9134</v>
      </c>
      <c r="B9139" s="11" t="str">
        <f>"00457149"</f>
        <v>00457149</v>
      </c>
    </row>
    <row r="9140" spans="1:2" x14ac:dyDescent="0.25">
      <c r="A9140" s="2">
        <v>9135</v>
      </c>
      <c r="B9140" s="11" t="str">
        <f>"00457170"</f>
        <v>00457170</v>
      </c>
    </row>
    <row r="9141" spans="1:2" x14ac:dyDescent="0.25">
      <c r="A9141" s="2">
        <v>9136</v>
      </c>
      <c r="B9141" s="11" t="str">
        <f>"00457193"</f>
        <v>00457193</v>
      </c>
    </row>
    <row r="9142" spans="1:2" x14ac:dyDescent="0.25">
      <c r="A9142" s="2">
        <v>9137</v>
      </c>
      <c r="B9142" s="11" t="str">
        <f>"00457224"</f>
        <v>00457224</v>
      </c>
    </row>
    <row r="9143" spans="1:2" x14ac:dyDescent="0.25">
      <c r="A9143" s="2">
        <v>9138</v>
      </c>
      <c r="B9143" s="11" t="str">
        <f>"00457240"</f>
        <v>00457240</v>
      </c>
    </row>
    <row r="9144" spans="1:2" x14ac:dyDescent="0.25">
      <c r="A9144" s="2">
        <v>9139</v>
      </c>
      <c r="B9144" s="11" t="str">
        <f>"00457254"</f>
        <v>00457254</v>
      </c>
    </row>
    <row r="9145" spans="1:2" x14ac:dyDescent="0.25">
      <c r="A9145" s="2">
        <v>9140</v>
      </c>
      <c r="B9145" s="11" t="str">
        <f>"00457386"</f>
        <v>00457386</v>
      </c>
    </row>
    <row r="9146" spans="1:2" x14ac:dyDescent="0.25">
      <c r="A9146" s="2">
        <v>9141</v>
      </c>
      <c r="B9146" s="11" t="str">
        <f>"00457429"</f>
        <v>00457429</v>
      </c>
    </row>
    <row r="9147" spans="1:2" x14ac:dyDescent="0.25">
      <c r="A9147" s="2">
        <v>9142</v>
      </c>
      <c r="B9147" s="11" t="str">
        <f>"00457432"</f>
        <v>00457432</v>
      </c>
    </row>
    <row r="9148" spans="1:2" x14ac:dyDescent="0.25">
      <c r="A9148" s="2">
        <v>9143</v>
      </c>
      <c r="B9148" s="11" t="str">
        <f>"00457438"</f>
        <v>00457438</v>
      </c>
    </row>
    <row r="9149" spans="1:2" x14ac:dyDescent="0.25">
      <c r="A9149" s="2">
        <v>9144</v>
      </c>
      <c r="B9149" s="11" t="str">
        <f>"00457512"</f>
        <v>00457512</v>
      </c>
    </row>
    <row r="9150" spans="1:2" x14ac:dyDescent="0.25">
      <c r="A9150" s="2">
        <v>9145</v>
      </c>
      <c r="B9150" s="11" t="str">
        <f>"00457538"</f>
        <v>00457538</v>
      </c>
    </row>
    <row r="9151" spans="1:2" x14ac:dyDescent="0.25">
      <c r="A9151" s="2">
        <v>9146</v>
      </c>
      <c r="B9151" s="11" t="str">
        <f>"00457573"</f>
        <v>00457573</v>
      </c>
    </row>
    <row r="9152" spans="1:2" x14ac:dyDescent="0.25">
      <c r="A9152" s="2">
        <v>9147</v>
      </c>
      <c r="B9152" s="11" t="str">
        <f>"00457586"</f>
        <v>00457586</v>
      </c>
    </row>
    <row r="9153" spans="1:2" x14ac:dyDescent="0.25">
      <c r="A9153" s="2">
        <v>9148</v>
      </c>
      <c r="B9153" s="11" t="str">
        <f>"00457674"</f>
        <v>00457674</v>
      </c>
    </row>
    <row r="9154" spans="1:2" x14ac:dyDescent="0.25">
      <c r="A9154" s="2">
        <v>9149</v>
      </c>
      <c r="B9154" s="11" t="str">
        <f>"00457687"</f>
        <v>00457687</v>
      </c>
    </row>
    <row r="9155" spans="1:2" x14ac:dyDescent="0.25">
      <c r="A9155" s="2">
        <v>9150</v>
      </c>
      <c r="B9155" s="11" t="str">
        <f>"00457705"</f>
        <v>00457705</v>
      </c>
    </row>
    <row r="9156" spans="1:2" x14ac:dyDescent="0.25">
      <c r="A9156" s="2">
        <v>9151</v>
      </c>
      <c r="B9156" s="11" t="str">
        <f>"00457709"</f>
        <v>00457709</v>
      </c>
    </row>
    <row r="9157" spans="1:2" x14ac:dyDescent="0.25">
      <c r="A9157" s="2">
        <v>9152</v>
      </c>
      <c r="B9157" s="11" t="str">
        <f>"00457724"</f>
        <v>00457724</v>
      </c>
    </row>
    <row r="9158" spans="1:2" x14ac:dyDescent="0.25">
      <c r="A9158" s="2">
        <v>9153</v>
      </c>
      <c r="B9158" s="11" t="str">
        <f>"00457730"</f>
        <v>00457730</v>
      </c>
    </row>
    <row r="9159" spans="1:2" x14ac:dyDescent="0.25">
      <c r="A9159" s="2">
        <v>9154</v>
      </c>
      <c r="B9159" s="11" t="str">
        <f>"00457796"</f>
        <v>00457796</v>
      </c>
    </row>
    <row r="9160" spans="1:2" x14ac:dyDescent="0.25">
      <c r="A9160" s="2">
        <v>9155</v>
      </c>
      <c r="B9160" s="11" t="str">
        <f>"00457868"</f>
        <v>00457868</v>
      </c>
    </row>
    <row r="9161" spans="1:2" x14ac:dyDescent="0.25">
      <c r="A9161" s="2">
        <v>9156</v>
      </c>
      <c r="B9161" s="11" t="str">
        <f>"00457870"</f>
        <v>00457870</v>
      </c>
    </row>
    <row r="9162" spans="1:2" x14ac:dyDescent="0.25">
      <c r="A9162" s="2">
        <v>9157</v>
      </c>
      <c r="B9162" s="11" t="str">
        <f>"00457925"</f>
        <v>00457925</v>
      </c>
    </row>
    <row r="9163" spans="1:2" x14ac:dyDescent="0.25">
      <c r="A9163" s="2">
        <v>9158</v>
      </c>
      <c r="B9163" s="11" t="str">
        <f>"00457928"</f>
        <v>00457928</v>
      </c>
    </row>
    <row r="9164" spans="1:2" x14ac:dyDescent="0.25">
      <c r="A9164" s="2">
        <v>9159</v>
      </c>
      <c r="B9164" s="11" t="str">
        <f>"00457949"</f>
        <v>00457949</v>
      </c>
    </row>
    <row r="9165" spans="1:2" x14ac:dyDescent="0.25">
      <c r="A9165" s="2">
        <v>9160</v>
      </c>
      <c r="B9165" s="11" t="str">
        <f>"00457970"</f>
        <v>00457970</v>
      </c>
    </row>
    <row r="9166" spans="1:2" x14ac:dyDescent="0.25">
      <c r="A9166" s="2">
        <v>9161</v>
      </c>
      <c r="B9166" s="11" t="str">
        <f>"00457996"</f>
        <v>00457996</v>
      </c>
    </row>
    <row r="9167" spans="1:2" x14ac:dyDescent="0.25">
      <c r="A9167" s="2">
        <v>9162</v>
      </c>
      <c r="B9167" s="11" t="str">
        <f>"00458097"</f>
        <v>00458097</v>
      </c>
    </row>
    <row r="9168" spans="1:2" x14ac:dyDescent="0.25">
      <c r="A9168" s="2">
        <v>9163</v>
      </c>
      <c r="B9168" s="11" t="str">
        <f>"00458102"</f>
        <v>00458102</v>
      </c>
    </row>
    <row r="9169" spans="1:2" x14ac:dyDescent="0.25">
      <c r="A9169" s="2">
        <v>9164</v>
      </c>
      <c r="B9169" s="11" t="str">
        <f>"00458231"</f>
        <v>00458231</v>
      </c>
    </row>
    <row r="9170" spans="1:2" x14ac:dyDescent="0.25">
      <c r="A9170" s="2">
        <v>9165</v>
      </c>
      <c r="B9170" s="11" t="str">
        <f>"00458256"</f>
        <v>00458256</v>
      </c>
    </row>
    <row r="9171" spans="1:2" x14ac:dyDescent="0.25">
      <c r="A9171" s="2">
        <v>9166</v>
      </c>
      <c r="B9171" s="11" t="str">
        <f>"00458300"</f>
        <v>00458300</v>
      </c>
    </row>
    <row r="9172" spans="1:2" x14ac:dyDescent="0.25">
      <c r="A9172" s="2">
        <v>9167</v>
      </c>
      <c r="B9172" s="11" t="str">
        <f>"00458314"</f>
        <v>00458314</v>
      </c>
    </row>
    <row r="9173" spans="1:2" x14ac:dyDescent="0.25">
      <c r="A9173" s="2">
        <v>9168</v>
      </c>
      <c r="B9173" s="11" t="str">
        <f>"00458348"</f>
        <v>00458348</v>
      </c>
    </row>
    <row r="9174" spans="1:2" x14ac:dyDescent="0.25">
      <c r="A9174" s="2">
        <v>9169</v>
      </c>
      <c r="B9174" s="11" t="str">
        <f>"00458451"</f>
        <v>00458451</v>
      </c>
    </row>
    <row r="9175" spans="1:2" x14ac:dyDescent="0.25">
      <c r="A9175" s="2">
        <v>9170</v>
      </c>
      <c r="B9175" s="11" t="str">
        <f>"00458482"</f>
        <v>00458482</v>
      </c>
    </row>
    <row r="9176" spans="1:2" x14ac:dyDescent="0.25">
      <c r="A9176" s="2">
        <v>9171</v>
      </c>
      <c r="B9176" s="11" t="str">
        <f>"00458498"</f>
        <v>00458498</v>
      </c>
    </row>
    <row r="9177" spans="1:2" x14ac:dyDescent="0.25">
      <c r="A9177" s="2">
        <v>9172</v>
      </c>
      <c r="B9177" s="11" t="str">
        <f>"00458508"</f>
        <v>00458508</v>
      </c>
    </row>
    <row r="9178" spans="1:2" x14ac:dyDescent="0.25">
      <c r="A9178" s="2">
        <v>9173</v>
      </c>
      <c r="B9178" s="11" t="str">
        <f>"00458589"</f>
        <v>00458589</v>
      </c>
    </row>
    <row r="9179" spans="1:2" x14ac:dyDescent="0.25">
      <c r="A9179" s="2">
        <v>9174</v>
      </c>
      <c r="B9179" s="11" t="str">
        <f>"00458647"</f>
        <v>00458647</v>
      </c>
    </row>
    <row r="9180" spans="1:2" x14ac:dyDescent="0.25">
      <c r="A9180" s="2">
        <v>9175</v>
      </c>
      <c r="B9180" s="11" t="str">
        <f>"00458656"</f>
        <v>00458656</v>
      </c>
    </row>
    <row r="9181" spans="1:2" x14ac:dyDescent="0.25">
      <c r="A9181" s="2">
        <v>9176</v>
      </c>
      <c r="B9181" s="11" t="str">
        <f>"00458691"</f>
        <v>00458691</v>
      </c>
    </row>
    <row r="9182" spans="1:2" x14ac:dyDescent="0.25">
      <c r="A9182" s="2">
        <v>9177</v>
      </c>
      <c r="B9182" s="11" t="str">
        <f>"00458695"</f>
        <v>00458695</v>
      </c>
    </row>
    <row r="9183" spans="1:2" x14ac:dyDescent="0.25">
      <c r="A9183" s="2">
        <v>9178</v>
      </c>
      <c r="B9183" s="11" t="str">
        <f>"00458701"</f>
        <v>00458701</v>
      </c>
    </row>
    <row r="9184" spans="1:2" x14ac:dyDescent="0.25">
      <c r="A9184" s="2">
        <v>9179</v>
      </c>
      <c r="B9184" s="11" t="str">
        <f>"00458724"</f>
        <v>00458724</v>
      </c>
    </row>
    <row r="9185" spans="1:2" x14ac:dyDescent="0.25">
      <c r="A9185" s="2">
        <v>9180</v>
      </c>
      <c r="B9185" s="11" t="str">
        <f>"00458800"</f>
        <v>00458800</v>
      </c>
    </row>
    <row r="9186" spans="1:2" x14ac:dyDescent="0.25">
      <c r="A9186" s="2">
        <v>9181</v>
      </c>
      <c r="B9186" s="11" t="str">
        <f>"00458856"</f>
        <v>00458856</v>
      </c>
    </row>
    <row r="9187" spans="1:2" x14ac:dyDescent="0.25">
      <c r="A9187" s="2">
        <v>9182</v>
      </c>
      <c r="B9187" s="11" t="str">
        <f>"00458979"</f>
        <v>00458979</v>
      </c>
    </row>
    <row r="9188" spans="1:2" x14ac:dyDescent="0.25">
      <c r="A9188" s="2">
        <v>9183</v>
      </c>
      <c r="B9188" s="11" t="str">
        <f>"00459135"</f>
        <v>00459135</v>
      </c>
    </row>
    <row r="9189" spans="1:2" x14ac:dyDescent="0.25">
      <c r="A9189" s="2">
        <v>9184</v>
      </c>
      <c r="B9189" s="11" t="str">
        <f>"00459181"</f>
        <v>00459181</v>
      </c>
    </row>
    <row r="9190" spans="1:2" x14ac:dyDescent="0.25">
      <c r="A9190" s="2">
        <v>9185</v>
      </c>
      <c r="B9190" s="11" t="str">
        <f>"00459214"</f>
        <v>00459214</v>
      </c>
    </row>
    <row r="9191" spans="1:2" x14ac:dyDescent="0.25">
      <c r="A9191" s="2">
        <v>9186</v>
      </c>
      <c r="B9191" s="11" t="str">
        <f>"00459218"</f>
        <v>00459218</v>
      </c>
    </row>
    <row r="9192" spans="1:2" x14ac:dyDescent="0.25">
      <c r="A9192" s="2">
        <v>9187</v>
      </c>
      <c r="B9192" s="11" t="str">
        <f>"00459232"</f>
        <v>00459232</v>
      </c>
    </row>
    <row r="9193" spans="1:2" x14ac:dyDescent="0.25">
      <c r="A9193" s="2">
        <v>9188</v>
      </c>
      <c r="B9193" s="11" t="str">
        <f>"00459241"</f>
        <v>00459241</v>
      </c>
    </row>
    <row r="9194" spans="1:2" x14ac:dyDescent="0.25">
      <c r="A9194" s="2">
        <v>9189</v>
      </c>
      <c r="B9194" s="11" t="str">
        <f>"00459266"</f>
        <v>00459266</v>
      </c>
    </row>
    <row r="9195" spans="1:2" x14ac:dyDescent="0.25">
      <c r="A9195" s="2">
        <v>9190</v>
      </c>
      <c r="B9195" s="11" t="str">
        <f>"00459284"</f>
        <v>00459284</v>
      </c>
    </row>
    <row r="9196" spans="1:2" x14ac:dyDescent="0.25">
      <c r="A9196" s="2">
        <v>9191</v>
      </c>
      <c r="B9196" s="11" t="str">
        <f>"00459309"</f>
        <v>00459309</v>
      </c>
    </row>
    <row r="9197" spans="1:2" x14ac:dyDescent="0.25">
      <c r="A9197" s="2">
        <v>9192</v>
      </c>
      <c r="B9197" s="11" t="str">
        <f>"00459322"</f>
        <v>00459322</v>
      </c>
    </row>
    <row r="9198" spans="1:2" x14ac:dyDescent="0.25">
      <c r="A9198" s="2">
        <v>9193</v>
      </c>
      <c r="B9198" s="11" t="str">
        <f>"00459348"</f>
        <v>00459348</v>
      </c>
    </row>
    <row r="9199" spans="1:2" x14ac:dyDescent="0.25">
      <c r="A9199" s="2">
        <v>9194</v>
      </c>
      <c r="B9199" s="11" t="str">
        <f>"00459446"</f>
        <v>00459446</v>
      </c>
    </row>
    <row r="9200" spans="1:2" x14ac:dyDescent="0.25">
      <c r="A9200" s="2">
        <v>9195</v>
      </c>
      <c r="B9200" s="11" t="str">
        <f>"00459503"</f>
        <v>00459503</v>
      </c>
    </row>
    <row r="9201" spans="1:2" x14ac:dyDescent="0.25">
      <c r="A9201" s="2">
        <v>9196</v>
      </c>
      <c r="B9201" s="11" t="str">
        <f>"00459563"</f>
        <v>00459563</v>
      </c>
    </row>
    <row r="9202" spans="1:2" x14ac:dyDescent="0.25">
      <c r="A9202" s="2">
        <v>9197</v>
      </c>
      <c r="B9202" s="11" t="str">
        <f>"00459568"</f>
        <v>00459568</v>
      </c>
    </row>
    <row r="9203" spans="1:2" x14ac:dyDescent="0.25">
      <c r="A9203" s="2">
        <v>9198</v>
      </c>
      <c r="B9203" s="11" t="str">
        <f>"00459677"</f>
        <v>00459677</v>
      </c>
    </row>
    <row r="9204" spans="1:2" x14ac:dyDescent="0.25">
      <c r="A9204" s="2">
        <v>9199</v>
      </c>
      <c r="B9204" s="11" t="str">
        <f>"00459707"</f>
        <v>00459707</v>
      </c>
    </row>
    <row r="9205" spans="1:2" x14ac:dyDescent="0.25">
      <c r="A9205" s="2">
        <v>9200</v>
      </c>
      <c r="B9205" s="11" t="str">
        <f>"00459780"</f>
        <v>00459780</v>
      </c>
    </row>
    <row r="9206" spans="1:2" x14ac:dyDescent="0.25">
      <c r="A9206" s="2">
        <v>9201</v>
      </c>
      <c r="B9206" s="11" t="str">
        <f>"00459857"</f>
        <v>00459857</v>
      </c>
    </row>
    <row r="9207" spans="1:2" x14ac:dyDescent="0.25">
      <c r="A9207" s="2">
        <v>9202</v>
      </c>
      <c r="B9207" s="11" t="str">
        <f>"00460054"</f>
        <v>00460054</v>
      </c>
    </row>
    <row r="9208" spans="1:2" x14ac:dyDescent="0.25">
      <c r="A9208" s="2">
        <v>9203</v>
      </c>
      <c r="B9208" s="11" t="str">
        <f>"00460143"</f>
        <v>00460143</v>
      </c>
    </row>
    <row r="9209" spans="1:2" x14ac:dyDescent="0.25">
      <c r="A9209" s="2">
        <v>9204</v>
      </c>
      <c r="B9209" s="11" t="str">
        <f>"00460149"</f>
        <v>00460149</v>
      </c>
    </row>
    <row r="9210" spans="1:2" x14ac:dyDescent="0.25">
      <c r="A9210" s="2">
        <v>9205</v>
      </c>
      <c r="B9210" s="11" t="str">
        <f>"00460171"</f>
        <v>00460171</v>
      </c>
    </row>
    <row r="9211" spans="1:2" x14ac:dyDescent="0.25">
      <c r="A9211" s="2">
        <v>9206</v>
      </c>
      <c r="B9211" s="11" t="str">
        <f>"00460189"</f>
        <v>00460189</v>
      </c>
    </row>
    <row r="9212" spans="1:2" x14ac:dyDescent="0.25">
      <c r="A9212" s="2">
        <v>9207</v>
      </c>
      <c r="B9212" s="11" t="str">
        <f>"00460194"</f>
        <v>00460194</v>
      </c>
    </row>
    <row r="9213" spans="1:2" x14ac:dyDescent="0.25">
      <c r="A9213" s="2">
        <v>9208</v>
      </c>
      <c r="B9213" s="11" t="str">
        <f>"00460204"</f>
        <v>00460204</v>
      </c>
    </row>
    <row r="9214" spans="1:2" x14ac:dyDescent="0.25">
      <c r="A9214" s="2">
        <v>9209</v>
      </c>
      <c r="B9214" s="11" t="str">
        <f>"00460223"</f>
        <v>00460223</v>
      </c>
    </row>
    <row r="9215" spans="1:2" x14ac:dyDescent="0.25">
      <c r="A9215" s="2">
        <v>9210</v>
      </c>
      <c r="B9215" s="11" t="str">
        <f>"00460998"</f>
        <v>00460998</v>
      </c>
    </row>
    <row r="9216" spans="1:2" x14ac:dyDescent="0.25">
      <c r="A9216" s="2">
        <v>9211</v>
      </c>
      <c r="B9216" s="11" t="str">
        <f>"00461008"</f>
        <v>00461008</v>
      </c>
    </row>
    <row r="9217" spans="1:2" x14ac:dyDescent="0.25">
      <c r="A9217" s="2">
        <v>9212</v>
      </c>
      <c r="B9217" s="11" t="str">
        <f>"00461035"</f>
        <v>00461035</v>
      </c>
    </row>
    <row r="9218" spans="1:2" x14ac:dyDescent="0.25">
      <c r="A9218" s="2">
        <v>9213</v>
      </c>
      <c r="B9218" s="11" t="str">
        <f>"00461522"</f>
        <v>00461522</v>
      </c>
    </row>
    <row r="9219" spans="1:2" x14ac:dyDescent="0.25">
      <c r="A9219" s="2">
        <v>9214</v>
      </c>
      <c r="B9219" s="11" t="str">
        <f>"00461595"</f>
        <v>00461595</v>
      </c>
    </row>
    <row r="9220" spans="1:2" x14ac:dyDescent="0.25">
      <c r="A9220" s="2">
        <v>9215</v>
      </c>
      <c r="B9220" s="11" t="str">
        <f>"00461699"</f>
        <v>00461699</v>
      </c>
    </row>
    <row r="9221" spans="1:2" x14ac:dyDescent="0.25">
      <c r="A9221" s="2">
        <v>9216</v>
      </c>
      <c r="B9221" s="11" t="str">
        <f>"00461802"</f>
        <v>00461802</v>
      </c>
    </row>
    <row r="9222" spans="1:2" x14ac:dyDescent="0.25">
      <c r="A9222" s="2">
        <v>9217</v>
      </c>
      <c r="B9222" s="11" t="str">
        <f>"00461807"</f>
        <v>00461807</v>
      </c>
    </row>
    <row r="9223" spans="1:2" x14ac:dyDescent="0.25">
      <c r="A9223" s="2">
        <v>9218</v>
      </c>
      <c r="B9223" s="11" t="str">
        <f>"00461878"</f>
        <v>00461878</v>
      </c>
    </row>
    <row r="9224" spans="1:2" x14ac:dyDescent="0.25">
      <c r="A9224" s="2">
        <v>9219</v>
      </c>
      <c r="B9224" s="11" t="str">
        <f>"00462072"</f>
        <v>00462072</v>
      </c>
    </row>
    <row r="9225" spans="1:2" x14ac:dyDescent="0.25">
      <c r="A9225" s="2">
        <v>9220</v>
      </c>
      <c r="B9225" s="11" t="str">
        <f>"00462146"</f>
        <v>00462146</v>
      </c>
    </row>
    <row r="9226" spans="1:2" x14ac:dyDescent="0.25">
      <c r="A9226" s="2">
        <v>9221</v>
      </c>
      <c r="B9226" s="11" t="str">
        <f>"00462305"</f>
        <v>00462305</v>
      </c>
    </row>
    <row r="9227" spans="1:2" x14ac:dyDescent="0.25">
      <c r="A9227" s="2">
        <v>9222</v>
      </c>
      <c r="B9227" s="11" t="str">
        <f>"00462349"</f>
        <v>00462349</v>
      </c>
    </row>
    <row r="9228" spans="1:2" x14ac:dyDescent="0.25">
      <c r="A9228" s="2">
        <v>9223</v>
      </c>
      <c r="B9228" s="11" t="str">
        <f>"00462386"</f>
        <v>00462386</v>
      </c>
    </row>
    <row r="9229" spans="1:2" x14ac:dyDescent="0.25">
      <c r="A9229" s="2">
        <v>9224</v>
      </c>
      <c r="B9229" s="11" t="str">
        <f>"00462409"</f>
        <v>00462409</v>
      </c>
    </row>
    <row r="9230" spans="1:2" x14ac:dyDescent="0.25">
      <c r="A9230" s="2">
        <v>9225</v>
      </c>
      <c r="B9230" s="11" t="str">
        <f>"00462452"</f>
        <v>00462452</v>
      </c>
    </row>
    <row r="9231" spans="1:2" x14ac:dyDescent="0.25">
      <c r="A9231" s="2">
        <v>9226</v>
      </c>
      <c r="B9231" s="11" t="str">
        <f>"00462566"</f>
        <v>00462566</v>
      </c>
    </row>
    <row r="9232" spans="1:2" x14ac:dyDescent="0.25">
      <c r="A9232" s="2">
        <v>9227</v>
      </c>
      <c r="B9232" s="11" t="str">
        <f>"00462667"</f>
        <v>00462667</v>
      </c>
    </row>
    <row r="9233" spans="1:2" x14ac:dyDescent="0.25">
      <c r="A9233" s="2">
        <v>9228</v>
      </c>
      <c r="B9233" s="11" t="str">
        <f>"00462689"</f>
        <v>00462689</v>
      </c>
    </row>
    <row r="9234" spans="1:2" x14ac:dyDescent="0.25">
      <c r="A9234" s="2">
        <v>9229</v>
      </c>
      <c r="B9234" s="11" t="str">
        <f>"00462731"</f>
        <v>00462731</v>
      </c>
    </row>
    <row r="9235" spans="1:2" x14ac:dyDescent="0.25">
      <c r="A9235" s="2">
        <v>9230</v>
      </c>
      <c r="B9235" s="11" t="str">
        <f>"00462999"</f>
        <v>00462999</v>
      </c>
    </row>
    <row r="9236" spans="1:2" x14ac:dyDescent="0.25">
      <c r="A9236" s="2">
        <v>9231</v>
      </c>
      <c r="B9236" s="11" t="str">
        <f>"00463013"</f>
        <v>00463013</v>
      </c>
    </row>
    <row r="9237" spans="1:2" x14ac:dyDescent="0.25">
      <c r="A9237" s="2">
        <v>9232</v>
      </c>
      <c r="B9237" s="11" t="str">
        <f>"00463031"</f>
        <v>00463031</v>
      </c>
    </row>
    <row r="9238" spans="1:2" x14ac:dyDescent="0.25">
      <c r="A9238" s="2">
        <v>9233</v>
      </c>
      <c r="B9238" s="11" t="str">
        <f>"00463049"</f>
        <v>00463049</v>
      </c>
    </row>
    <row r="9239" spans="1:2" x14ac:dyDescent="0.25">
      <c r="A9239" s="2">
        <v>9234</v>
      </c>
      <c r="B9239" s="11" t="str">
        <f>"00463061"</f>
        <v>00463061</v>
      </c>
    </row>
    <row r="9240" spans="1:2" x14ac:dyDescent="0.25">
      <c r="A9240" s="2">
        <v>9235</v>
      </c>
      <c r="B9240" s="11" t="str">
        <f>"00463220"</f>
        <v>00463220</v>
      </c>
    </row>
    <row r="9241" spans="1:2" x14ac:dyDescent="0.25">
      <c r="A9241" s="2">
        <v>9236</v>
      </c>
      <c r="B9241" s="11" t="str">
        <f>"00463318"</f>
        <v>00463318</v>
      </c>
    </row>
    <row r="9242" spans="1:2" x14ac:dyDescent="0.25">
      <c r="A9242" s="2">
        <v>9237</v>
      </c>
      <c r="B9242" s="11" t="str">
        <f>"00463356"</f>
        <v>00463356</v>
      </c>
    </row>
    <row r="9243" spans="1:2" x14ac:dyDescent="0.25">
      <c r="A9243" s="2">
        <v>9238</v>
      </c>
      <c r="B9243" s="11" t="str">
        <f>"00463371"</f>
        <v>00463371</v>
      </c>
    </row>
    <row r="9244" spans="1:2" x14ac:dyDescent="0.25">
      <c r="A9244" s="2">
        <v>9239</v>
      </c>
      <c r="B9244" s="11" t="str">
        <f>"00463408"</f>
        <v>00463408</v>
      </c>
    </row>
    <row r="9245" spans="1:2" x14ac:dyDescent="0.25">
      <c r="A9245" s="2">
        <v>9240</v>
      </c>
      <c r="B9245" s="11" t="str">
        <f>"00463532"</f>
        <v>00463532</v>
      </c>
    </row>
    <row r="9246" spans="1:2" x14ac:dyDescent="0.25">
      <c r="A9246" s="2">
        <v>9241</v>
      </c>
      <c r="B9246" s="11" t="str">
        <f>"00463639"</f>
        <v>00463639</v>
      </c>
    </row>
    <row r="9247" spans="1:2" x14ac:dyDescent="0.25">
      <c r="A9247" s="2">
        <v>9242</v>
      </c>
      <c r="B9247" s="11" t="str">
        <f>"00463752"</f>
        <v>00463752</v>
      </c>
    </row>
    <row r="9248" spans="1:2" x14ac:dyDescent="0.25">
      <c r="A9248" s="2">
        <v>9243</v>
      </c>
      <c r="B9248" s="11" t="str">
        <f>"00463766"</f>
        <v>00463766</v>
      </c>
    </row>
    <row r="9249" spans="1:2" x14ac:dyDescent="0.25">
      <c r="A9249" s="2">
        <v>9244</v>
      </c>
      <c r="B9249" s="11" t="str">
        <f>"00463791"</f>
        <v>00463791</v>
      </c>
    </row>
    <row r="9250" spans="1:2" x14ac:dyDescent="0.25">
      <c r="A9250" s="2">
        <v>9245</v>
      </c>
      <c r="B9250" s="11" t="str">
        <f>"00463875"</f>
        <v>00463875</v>
      </c>
    </row>
    <row r="9251" spans="1:2" x14ac:dyDescent="0.25">
      <c r="A9251" s="2">
        <v>9246</v>
      </c>
      <c r="B9251" s="11" t="str">
        <f>"00464039"</f>
        <v>00464039</v>
      </c>
    </row>
    <row r="9252" spans="1:2" x14ac:dyDescent="0.25">
      <c r="A9252" s="2">
        <v>9247</v>
      </c>
      <c r="B9252" s="11" t="str">
        <f>"00464067"</f>
        <v>00464067</v>
      </c>
    </row>
    <row r="9253" spans="1:2" x14ac:dyDescent="0.25">
      <c r="A9253" s="2">
        <v>9248</v>
      </c>
      <c r="B9253" s="11" t="str">
        <f>"00464170"</f>
        <v>00464170</v>
      </c>
    </row>
    <row r="9254" spans="1:2" x14ac:dyDescent="0.25">
      <c r="A9254" s="2">
        <v>9249</v>
      </c>
      <c r="B9254" s="11" t="str">
        <f>"00464191"</f>
        <v>00464191</v>
      </c>
    </row>
    <row r="9255" spans="1:2" x14ac:dyDescent="0.25">
      <c r="A9255" s="2">
        <v>9250</v>
      </c>
      <c r="B9255" s="11" t="str">
        <f>"00464208"</f>
        <v>00464208</v>
      </c>
    </row>
    <row r="9256" spans="1:2" x14ac:dyDescent="0.25">
      <c r="A9256" s="2">
        <v>9251</v>
      </c>
      <c r="B9256" s="11" t="str">
        <f>"00464275"</f>
        <v>00464275</v>
      </c>
    </row>
    <row r="9257" spans="1:2" x14ac:dyDescent="0.25">
      <c r="A9257" s="2">
        <v>9252</v>
      </c>
      <c r="B9257" s="11" t="str">
        <f>"00464339"</f>
        <v>00464339</v>
      </c>
    </row>
    <row r="9258" spans="1:2" x14ac:dyDescent="0.25">
      <c r="A9258" s="2">
        <v>9253</v>
      </c>
      <c r="B9258" s="11" t="str">
        <f>"00464435"</f>
        <v>00464435</v>
      </c>
    </row>
    <row r="9259" spans="1:2" x14ac:dyDescent="0.25">
      <c r="A9259" s="2">
        <v>9254</v>
      </c>
      <c r="B9259" s="11" t="str">
        <f>"00464488"</f>
        <v>00464488</v>
      </c>
    </row>
    <row r="9260" spans="1:2" x14ac:dyDescent="0.25">
      <c r="A9260" s="2">
        <v>9255</v>
      </c>
      <c r="B9260" s="11" t="str">
        <f>"00464569"</f>
        <v>00464569</v>
      </c>
    </row>
    <row r="9261" spans="1:2" x14ac:dyDescent="0.25">
      <c r="A9261" s="2">
        <v>9256</v>
      </c>
      <c r="B9261" s="11" t="str">
        <f>"00464583"</f>
        <v>00464583</v>
      </c>
    </row>
    <row r="9262" spans="1:2" x14ac:dyDescent="0.25">
      <c r="A9262" s="2">
        <v>9257</v>
      </c>
      <c r="B9262" s="11" t="str">
        <f>"00464632"</f>
        <v>00464632</v>
      </c>
    </row>
    <row r="9263" spans="1:2" x14ac:dyDescent="0.25">
      <c r="A9263" s="2">
        <v>9258</v>
      </c>
      <c r="B9263" s="11" t="str">
        <f>"00464696"</f>
        <v>00464696</v>
      </c>
    </row>
    <row r="9264" spans="1:2" x14ac:dyDescent="0.25">
      <c r="A9264" s="2">
        <v>9259</v>
      </c>
      <c r="B9264" s="11" t="str">
        <f>"00464714"</f>
        <v>00464714</v>
      </c>
    </row>
    <row r="9265" spans="1:2" x14ac:dyDescent="0.25">
      <c r="A9265" s="2">
        <v>9260</v>
      </c>
      <c r="B9265" s="11" t="str">
        <f>"00464868"</f>
        <v>00464868</v>
      </c>
    </row>
    <row r="9266" spans="1:2" x14ac:dyDescent="0.25">
      <c r="A9266" s="2">
        <v>9261</v>
      </c>
      <c r="B9266" s="11" t="str">
        <f>"00464942"</f>
        <v>00464942</v>
      </c>
    </row>
    <row r="9267" spans="1:2" x14ac:dyDescent="0.25">
      <c r="A9267" s="2">
        <v>9262</v>
      </c>
      <c r="B9267" s="11" t="str">
        <f>"00464958"</f>
        <v>00464958</v>
      </c>
    </row>
    <row r="9268" spans="1:2" x14ac:dyDescent="0.25">
      <c r="A9268" s="2">
        <v>9263</v>
      </c>
      <c r="B9268" s="11" t="str">
        <f>"00465014"</f>
        <v>00465014</v>
      </c>
    </row>
    <row r="9269" spans="1:2" x14ac:dyDescent="0.25">
      <c r="A9269" s="2">
        <v>9264</v>
      </c>
      <c r="B9269" s="11" t="str">
        <f>"00465020"</f>
        <v>00465020</v>
      </c>
    </row>
    <row r="9270" spans="1:2" x14ac:dyDescent="0.25">
      <c r="A9270" s="2">
        <v>9265</v>
      </c>
      <c r="B9270" s="11" t="str">
        <f>"00465072"</f>
        <v>00465072</v>
      </c>
    </row>
    <row r="9271" spans="1:2" x14ac:dyDescent="0.25">
      <c r="A9271" s="2">
        <v>9266</v>
      </c>
      <c r="B9271" s="11" t="str">
        <f>"00465089"</f>
        <v>00465089</v>
      </c>
    </row>
    <row r="9272" spans="1:2" x14ac:dyDescent="0.25">
      <c r="A9272" s="2">
        <v>9267</v>
      </c>
      <c r="B9272" s="11" t="str">
        <f>"00465102"</f>
        <v>00465102</v>
      </c>
    </row>
    <row r="9273" spans="1:2" x14ac:dyDescent="0.25">
      <c r="A9273" s="2">
        <v>9268</v>
      </c>
      <c r="B9273" s="11" t="str">
        <f>"00465106"</f>
        <v>00465106</v>
      </c>
    </row>
    <row r="9274" spans="1:2" x14ac:dyDescent="0.25">
      <c r="A9274" s="2">
        <v>9269</v>
      </c>
      <c r="B9274" s="11" t="str">
        <f>"00465147"</f>
        <v>00465147</v>
      </c>
    </row>
    <row r="9275" spans="1:2" x14ac:dyDescent="0.25">
      <c r="A9275" s="2">
        <v>9270</v>
      </c>
      <c r="B9275" s="11" t="str">
        <f>"00465148"</f>
        <v>00465148</v>
      </c>
    </row>
    <row r="9276" spans="1:2" x14ac:dyDescent="0.25">
      <c r="A9276" s="2">
        <v>9271</v>
      </c>
      <c r="B9276" s="11" t="str">
        <f>"00465162"</f>
        <v>00465162</v>
      </c>
    </row>
    <row r="9277" spans="1:2" x14ac:dyDescent="0.25">
      <c r="A9277" s="2">
        <v>9272</v>
      </c>
      <c r="B9277" s="11" t="str">
        <f>"00465227"</f>
        <v>00465227</v>
      </c>
    </row>
    <row r="9278" spans="1:2" x14ac:dyDescent="0.25">
      <c r="A9278" s="2">
        <v>9273</v>
      </c>
      <c r="B9278" s="11" t="str">
        <f>"00465250"</f>
        <v>00465250</v>
      </c>
    </row>
    <row r="9279" spans="1:2" x14ac:dyDescent="0.25">
      <c r="A9279" s="2">
        <v>9274</v>
      </c>
      <c r="B9279" s="11" t="str">
        <f>"00465273"</f>
        <v>00465273</v>
      </c>
    </row>
    <row r="9280" spans="1:2" x14ac:dyDescent="0.25">
      <c r="A9280" s="2">
        <v>9275</v>
      </c>
      <c r="B9280" s="11" t="str">
        <f>"00465306"</f>
        <v>00465306</v>
      </c>
    </row>
    <row r="9281" spans="1:2" x14ac:dyDescent="0.25">
      <c r="A9281" s="2">
        <v>9276</v>
      </c>
      <c r="B9281" s="11" t="str">
        <f>"00465317"</f>
        <v>00465317</v>
      </c>
    </row>
    <row r="9282" spans="1:2" x14ac:dyDescent="0.25">
      <c r="A9282" s="2">
        <v>9277</v>
      </c>
      <c r="B9282" s="11" t="str">
        <f>"00465318"</f>
        <v>00465318</v>
      </c>
    </row>
    <row r="9283" spans="1:2" x14ac:dyDescent="0.25">
      <c r="A9283" s="2">
        <v>9278</v>
      </c>
      <c r="B9283" s="11" t="str">
        <f>"00465374"</f>
        <v>00465374</v>
      </c>
    </row>
    <row r="9284" spans="1:2" x14ac:dyDescent="0.25">
      <c r="A9284" s="2">
        <v>9279</v>
      </c>
      <c r="B9284" s="11" t="str">
        <f>"00465422"</f>
        <v>00465422</v>
      </c>
    </row>
    <row r="9285" spans="1:2" x14ac:dyDescent="0.25">
      <c r="A9285" s="2">
        <v>9280</v>
      </c>
      <c r="B9285" s="11" t="str">
        <f>"00465425"</f>
        <v>00465425</v>
      </c>
    </row>
    <row r="9286" spans="1:2" x14ac:dyDescent="0.25">
      <c r="A9286" s="2">
        <v>9281</v>
      </c>
      <c r="B9286" s="11" t="str">
        <f>"00465445"</f>
        <v>00465445</v>
      </c>
    </row>
    <row r="9287" spans="1:2" x14ac:dyDescent="0.25">
      <c r="A9287" s="2">
        <v>9282</v>
      </c>
      <c r="B9287" s="11" t="str">
        <f>"00465457"</f>
        <v>00465457</v>
      </c>
    </row>
    <row r="9288" spans="1:2" x14ac:dyDescent="0.25">
      <c r="A9288" s="2">
        <v>9283</v>
      </c>
      <c r="B9288" s="11" t="str">
        <f>"00465492"</f>
        <v>00465492</v>
      </c>
    </row>
    <row r="9289" spans="1:2" x14ac:dyDescent="0.25">
      <c r="A9289" s="2">
        <v>9284</v>
      </c>
      <c r="B9289" s="11" t="str">
        <f>"00465520"</f>
        <v>00465520</v>
      </c>
    </row>
    <row r="9290" spans="1:2" x14ac:dyDescent="0.25">
      <c r="A9290" s="2">
        <v>9285</v>
      </c>
      <c r="B9290" s="11" t="str">
        <f>"00465539"</f>
        <v>00465539</v>
      </c>
    </row>
    <row r="9291" spans="1:2" x14ac:dyDescent="0.25">
      <c r="A9291" s="2">
        <v>9286</v>
      </c>
      <c r="B9291" s="11" t="str">
        <f>"00465541"</f>
        <v>00465541</v>
      </c>
    </row>
    <row r="9292" spans="1:2" x14ac:dyDescent="0.25">
      <c r="A9292" s="2">
        <v>9287</v>
      </c>
      <c r="B9292" s="11" t="str">
        <f>"00465552"</f>
        <v>00465552</v>
      </c>
    </row>
    <row r="9293" spans="1:2" x14ac:dyDescent="0.25">
      <c r="A9293" s="2">
        <v>9288</v>
      </c>
      <c r="B9293" s="11" t="str">
        <f>"00465561"</f>
        <v>00465561</v>
      </c>
    </row>
    <row r="9294" spans="1:2" x14ac:dyDescent="0.25">
      <c r="A9294" s="2">
        <v>9289</v>
      </c>
      <c r="B9294" s="11" t="str">
        <f>"00465562"</f>
        <v>00465562</v>
      </c>
    </row>
    <row r="9295" spans="1:2" x14ac:dyDescent="0.25">
      <c r="A9295" s="2">
        <v>9290</v>
      </c>
      <c r="B9295" s="11" t="str">
        <f>"00465714"</f>
        <v>00465714</v>
      </c>
    </row>
    <row r="9296" spans="1:2" x14ac:dyDescent="0.25">
      <c r="A9296" s="2">
        <v>9291</v>
      </c>
      <c r="B9296" s="11" t="str">
        <f>"00465722"</f>
        <v>00465722</v>
      </c>
    </row>
    <row r="9297" spans="1:2" x14ac:dyDescent="0.25">
      <c r="A9297" s="2">
        <v>9292</v>
      </c>
      <c r="B9297" s="11" t="str">
        <f>"00465755"</f>
        <v>00465755</v>
      </c>
    </row>
    <row r="9298" spans="1:2" x14ac:dyDescent="0.25">
      <c r="A9298" s="2">
        <v>9293</v>
      </c>
      <c r="B9298" s="11" t="str">
        <f>"00465805"</f>
        <v>00465805</v>
      </c>
    </row>
    <row r="9299" spans="1:2" x14ac:dyDescent="0.25">
      <c r="A9299" s="2">
        <v>9294</v>
      </c>
      <c r="B9299" s="11" t="str">
        <f>"00465915"</f>
        <v>00465915</v>
      </c>
    </row>
    <row r="9300" spans="1:2" x14ac:dyDescent="0.25">
      <c r="A9300" s="2">
        <v>9295</v>
      </c>
      <c r="B9300" s="11" t="str">
        <f>"00465989"</f>
        <v>00465989</v>
      </c>
    </row>
    <row r="9301" spans="1:2" x14ac:dyDescent="0.25">
      <c r="A9301" s="2">
        <v>9296</v>
      </c>
      <c r="B9301" s="11" t="str">
        <f>"00466022"</f>
        <v>00466022</v>
      </c>
    </row>
    <row r="9302" spans="1:2" x14ac:dyDescent="0.25">
      <c r="A9302" s="2">
        <v>9297</v>
      </c>
      <c r="B9302" s="11" t="str">
        <f>"00466027"</f>
        <v>00466027</v>
      </c>
    </row>
    <row r="9303" spans="1:2" x14ac:dyDescent="0.25">
      <c r="A9303" s="2">
        <v>9298</v>
      </c>
      <c r="B9303" s="11" t="str">
        <f>"00466035"</f>
        <v>00466035</v>
      </c>
    </row>
    <row r="9304" spans="1:2" x14ac:dyDescent="0.25">
      <c r="A9304" s="2">
        <v>9299</v>
      </c>
      <c r="B9304" s="11" t="str">
        <f>"00466128"</f>
        <v>00466128</v>
      </c>
    </row>
    <row r="9305" spans="1:2" x14ac:dyDescent="0.25">
      <c r="A9305" s="2">
        <v>9300</v>
      </c>
      <c r="B9305" s="11" t="str">
        <f>"00466148"</f>
        <v>00466148</v>
      </c>
    </row>
    <row r="9306" spans="1:2" x14ac:dyDescent="0.25">
      <c r="A9306" s="2">
        <v>9301</v>
      </c>
      <c r="B9306" s="11" t="str">
        <f>"00466155"</f>
        <v>00466155</v>
      </c>
    </row>
    <row r="9307" spans="1:2" x14ac:dyDescent="0.25">
      <c r="A9307" s="2">
        <v>9302</v>
      </c>
      <c r="B9307" s="11" t="str">
        <f>"00466240"</f>
        <v>00466240</v>
      </c>
    </row>
    <row r="9308" spans="1:2" x14ac:dyDescent="0.25">
      <c r="A9308" s="2">
        <v>9303</v>
      </c>
      <c r="B9308" s="11" t="str">
        <f>"00466358"</f>
        <v>00466358</v>
      </c>
    </row>
    <row r="9309" spans="1:2" x14ac:dyDescent="0.25">
      <c r="A9309" s="2">
        <v>9304</v>
      </c>
      <c r="B9309" s="11" t="str">
        <f>"00466386"</f>
        <v>00466386</v>
      </c>
    </row>
    <row r="9310" spans="1:2" x14ac:dyDescent="0.25">
      <c r="A9310" s="2">
        <v>9305</v>
      </c>
      <c r="B9310" s="11" t="str">
        <f>"00466423"</f>
        <v>00466423</v>
      </c>
    </row>
    <row r="9311" spans="1:2" x14ac:dyDescent="0.25">
      <c r="A9311" s="2">
        <v>9306</v>
      </c>
      <c r="B9311" s="11" t="str">
        <f>"00466446"</f>
        <v>00466446</v>
      </c>
    </row>
    <row r="9312" spans="1:2" x14ac:dyDescent="0.25">
      <c r="A9312" s="2">
        <v>9307</v>
      </c>
      <c r="B9312" s="11" t="str">
        <f>"00466490"</f>
        <v>00466490</v>
      </c>
    </row>
    <row r="9313" spans="1:2" x14ac:dyDescent="0.25">
      <c r="A9313" s="2">
        <v>9308</v>
      </c>
      <c r="B9313" s="11" t="str">
        <f>"00466522"</f>
        <v>00466522</v>
      </c>
    </row>
    <row r="9314" spans="1:2" x14ac:dyDescent="0.25">
      <c r="A9314" s="2">
        <v>9309</v>
      </c>
      <c r="B9314" s="11" t="str">
        <f>"00466563"</f>
        <v>00466563</v>
      </c>
    </row>
    <row r="9315" spans="1:2" x14ac:dyDescent="0.25">
      <c r="A9315" s="2">
        <v>9310</v>
      </c>
      <c r="B9315" s="11" t="str">
        <f>"00466577"</f>
        <v>00466577</v>
      </c>
    </row>
    <row r="9316" spans="1:2" x14ac:dyDescent="0.25">
      <c r="A9316" s="2">
        <v>9311</v>
      </c>
      <c r="B9316" s="11" t="str">
        <f>"00466596"</f>
        <v>00466596</v>
      </c>
    </row>
    <row r="9317" spans="1:2" x14ac:dyDescent="0.25">
      <c r="A9317" s="2">
        <v>9312</v>
      </c>
      <c r="B9317" s="11" t="str">
        <f>"00466597"</f>
        <v>00466597</v>
      </c>
    </row>
    <row r="9318" spans="1:2" x14ac:dyDescent="0.25">
      <c r="A9318" s="2">
        <v>9313</v>
      </c>
      <c r="B9318" s="11" t="str">
        <f>"00466641"</f>
        <v>00466641</v>
      </c>
    </row>
    <row r="9319" spans="1:2" x14ac:dyDescent="0.25">
      <c r="A9319" s="2">
        <v>9314</v>
      </c>
      <c r="B9319" s="11" t="str">
        <f>"00466646"</f>
        <v>00466646</v>
      </c>
    </row>
    <row r="9320" spans="1:2" x14ac:dyDescent="0.25">
      <c r="A9320" s="2">
        <v>9315</v>
      </c>
      <c r="B9320" s="11" t="str">
        <f>"00466687"</f>
        <v>00466687</v>
      </c>
    </row>
    <row r="9321" spans="1:2" x14ac:dyDescent="0.25">
      <c r="A9321" s="2">
        <v>9316</v>
      </c>
      <c r="B9321" s="11" t="str">
        <f>"00466699"</f>
        <v>00466699</v>
      </c>
    </row>
    <row r="9322" spans="1:2" x14ac:dyDescent="0.25">
      <c r="A9322" s="2">
        <v>9317</v>
      </c>
      <c r="B9322" s="11" t="str">
        <f>"00466704"</f>
        <v>00466704</v>
      </c>
    </row>
    <row r="9323" spans="1:2" x14ac:dyDescent="0.25">
      <c r="A9323" s="2">
        <v>9318</v>
      </c>
      <c r="B9323" s="11" t="str">
        <f>"00466766"</f>
        <v>00466766</v>
      </c>
    </row>
    <row r="9324" spans="1:2" x14ac:dyDescent="0.25">
      <c r="A9324" s="2">
        <v>9319</v>
      </c>
      <c r="B9324" s="11" t="str">
        <f>"00466829"</f>
        <v>00466829</v>
      </c>
    </row>
    <row r="9325" spans="1:2" x14ac:dyDescent="0.25">
      <c r="A9325" s="2">
        <v>9320</v>
      </c>
      <c r="B9325" s="11" t="str">
        <f>"00466873"</f>
        <v>00466873</v>
      </c>
    </row>
    <row r="9326" spans="1:2" x14ac:dyDescent="0.25">
      <c r="A9326" s="2">
        <v>9321</v>
      </c>
      <c r="B9326" s="11" t="str">
        <f>"00466882"</f>
        <v>00466882</v>
      </c>
    </row>
    <row r="9327" spans="1:2" x14ac:dyDescent="0.25">
      <c r="A9327" s="2">
        <v>9322</v>
      </c>
      <c r="B9327" s="11" t="str">
        <f>"00466896"</f>
        <v>00466896</v>
      </c>
    </row>
    <row r="9328" spans="1:2" x14ac:dyDescent="0.25">
      <c r="A9328" s="2">
        <v>9323</v>
      </c>
      <c r="B9328" s="11" t="str">
        <f>"00466954"</f>
        <v>00466954</v>
      </c>
    </row>
    <row r="9329" spans="1:2" x14ac:dyDescent="0.25">
      <c r="A9329" s="2">
        <v>9324</v>
      </c>
      <c r="B9329" s="11" t="str">
        <f>"00466960"</f>
        <v>00466960</v>
      </c>
    </row>
    <row r="9330" spans="1:2" x14ac:dyDescent="0.25">
      <c r="A9330" s="2">
        <v>9325</v>
      </c>
      <c r="B9330" s="11" t="str">
        <f>"00466970"</f>
        <v>00466970</v>
      </c>
    </row>
    <row r="9331" spans="1:2" x14ac:dyDescent="0.25">
      <c r="A9331" s="2">
        <v>9326</v>
      </c>
      <c r="B9331" s="11" t="str">
        <f>"00467005"</f>
        <v>00467005</v>
      </c>
    </row>
    <row r="9332" spans="1:2" x14ac:dyDescent="0.25">
      <c r="A9332" s="2">
        <v>9327</v>
      </c>
      <c r="B9332" s="11" t="str">
        <f>"00467024"</f>
        <v>00467024</v>
      </c>
    </row>
    <row r="9333" spans="1:2" x14ac:dyDescent="0.25">
      <c r="A9333" s="2">
        <v>9328</v>
      </c>
      <c r="B9333" s="11" t="str">
        <f>"00467078"</f>
        <v>00467078</v>
      </c>
    </row>
    <row r="9334" spans="1:2" x14ac:dyDescent="0.25">
      <c r="A9334" s="2">
        <v>9329</v>
      </c>
      <c r="B9334" s="11" t="str">
        <f>"00467137"</f>
        <v>00467137</v>
      </c>
    </row>
    <row r="9335" spans="1:2" x14ac:dyDescent="0.25">
      <c r="A9335" s="2">
        <v>9330</v>
      </c>
      <c r="B9335" s="11" t="str">
        <f>"00467174"</f>
        <v>00467174</v>
      </c>
    </row>
    <row r="9336" spans="1:2" x14ac:dyDescent="0.25">
      <c r="A9336" s="2">
        <v>9331</v>
      </c>
      <c r="B9336" s="11" t="str">
        <f>"00467193"</f>
        <v>00467193</v>
      </c>
    </row>
    <row r="9337" spans="1:2" x14ac:dyDescent="0.25">
      <c r="A9337" s="2">
        <v>9332</v>
      </c>
      <c r="B9337" s="11" t="str">
        <f>"00467207"</f>
        <v>00467207</v>
      </c>
    </row>
    <row r="9338" spans="1:2" x14ac:dyDescent="0.25">
      <c r="A9338" s="2">
        <v>9333</v>
      </c>
      <c r="B9338" s="11" t="str">
        <f>"00467226"</f>
        <v>00467226</v>
      </c>
    </row>
    <row r="9339" spans="1:2" x14ac:dyDescent="0.25">
      <c r="A9339" s="2">
        <v>9334</v>
      </c>
      <c r="B9339" s="11" t="str">
        <f>"00467231"</f>
        <v>00467231</v>
      </c>
    </row>
    <row r="9340" spans="1:2" x14ac:dyDescent="0.25">
      <c r="A9340" s="2">
        <v>9335</v>
      </c>
      <c r="B9340" s="11" t="str">
        <f>"00467239"</f>
        <v>00467239</v>
      </c>
    </row>
    <row r="9341" spans="1:2" x14ac:dyDescent="0.25">
      <c r="A9341" s="2">
        <v>9336</v>
      </c>
      <c r="B9341" s="11" t="str">
        <f>"00467267"</f>
        <v>00467267</v>
      </c>
    </row>
    <row r="9342" spans="1:2" x14ac:dyDescent="0.25">
      <c r="A9342" s="2">
        <v>9337</v>
      </c>
      <c r="B9342" s="11" t="str">
        <f>"00467295"</f>
        <v>00467295</v>
      </c>
    </row>
    <row r="9343" spans="1:2" x14ac:dyDescent="0.25">
      <c r="A9343" s="2">
        <v>9338</v>
      </c>
      <c r="B9343" s="11" t="str">
        <f>"00467297"</f>
        <v>00467297</v>
      </c>
    </row>
    <row r="9344" spans="1:2" x14ac:dyDescent="0.25">
      <c r="A9344" s="2">
        <v>9339</v>
      </c>
      <c r="B9344" s="11" t="str">
        <f>"00467415"</f>
        <v>00467415</v>
      </c>
    </row>
    <row r="9345" spans="1:2" x14ac:dyDescent="0.25">
      <c r="A9345" s="2">
        <v>9340</v>
      </c>
      <c r="B9345" s="11" t="str">
        <f>"00467419"</f>
        <v>00467419</v>
      </c>
    </row>
    <row r="9346" spans="1:2" x14ac:dyDescent="0.25">
      <c r="A9346" s="2">
        <v>9341</v>
      </c>
      <c r="B9346" s="11" t="str">
        <f>"00467451"</f>
        <v>00467451</v>
      </c>
    </row>
    <row r="9347" spans="1:2" x14ac:dyDescent="0.25">
      <c r="A9347" s="2">
        <v>9342</v>
      </c>
      <c r="B9347" s="11" t="str">
        <f>"00467460"</f>
        <v>00467460</v>
      </c>
    </row>
    <row r="9348" spans="1:2" x14ac:dyDescent="0.25">
      <c r="A9348" s="2">
        <v>9343</v>
      </c>
      <c r="B9348" s="11" t="str">
        <f>"00467496"</f>
        <v>00467496</v>
      </c>
    </row>
    <row r="9349" spans="1:2" x14ac:dyDescent="0.25">
      <c r="A9349" s="2">
        <v>9344</v>
      </c>
      <c r="B9349" s="11" t="str">
        <f>"00467536"</f>
        <v>00467536</v>
      </c>
    </row>
    <row r="9350" spans="1:2" x14ac:dyDescent="0.25">
      <c r="A9350" s="2">
        <v>9345</v>
      </c>
      <c r="B9350" s="11" t="str">
        <f>"00467561"</f>
        <v>00467561</v>
      </c>
    </row>
    <row r="9351" spans="1:2" x14ac:dyDescent="0.25">
      <c r="A9351" s="2">
        <v>9346</v>
      </c>
      <c r="B9351" s="11" t="str">
        <f>"00467584"</f>
        <v>00467584</v>
      </c>
    </row>
    <row r="9352" spans="1:2" x14ac:dyDescent="0.25">
      <c r="A9352" s="2">
        <v>9347</v>
      </c>
      <c r="B9352" s="11" t="str">
        <f>"00467620"</f>
        <v>00467620</v>
      </c>
    </row>
    <row r="9353" spans="1:2" x14ac:dyDescent="0.25">
      <c r="A9353" s="2">
        <v>9348</v>
      </c>
      <c r="B9353" s="11" t="str">
        <f>"00467660"</f>
        <v>00467660</v>
      </c>
    </row>
    <row r="9354" spans="1:2" x14ac:dyDescent="0.25">
      <c r="A9354" s="2">
        <v>9349</v>
      </c>
      <c r="B9354" s="11" t="str">
        <f>"00467673"</f>
        <v>00467673</v>
      </c>
    </row>
    <row r="9355" spans="1:2" x14ac:dyDescent="0.25">
      <c r="A9355" s="2">
        <v>9350</v>
      </c>
      <c r="B9355" s="11" t="str">
        <f>"00467708"</f>
        <v>00467708</v>
      </c>
    </row>
    <row r="9356" spans="1:2" x14ac:dyDescent="0.25">
      <c r="A9356" s="2">
        <v>9351</v>
      </c>
      <c r="B9356" s="11" t="str">
        <f>"00467734"</f>
        <v>00467734</v>
      </c>
    </row>
    <row r="9357" spans="1:2" x14ac:dyDescent="0.25">
      <c r="A9357" s="2">
        <v>9352</v>
      </c>
      <c r="B9357" s="11" t="str">
        <f>"00467768"</f>
        <v>00467768</v>
      </c>
    </row>
    <row r="9358" spans="1:2" x14ac:dyDescent="0.25">
      <c r="A9358" s="2">
        <v>9353</v>
      </c>
      <c r="B9358" s="11" t="str">
        <f>"00467792"</f>
        <v>00467792</v>
      </c>
    </row>
    <row r="9359" spans="1:2" x14ac:dyDescent="0.25">
      <c r="A9359" s="2">
        <v>9354</v>
      </c>
      <c r="B9359" s="11" t="str">
        <f>"00467819"</f>
        <v>00467819</v>
      </c>
    </row>
    <row r="9360" spans="1:2" x14ac:dyDescent="0.25">
      <c r="A9360" s="2">
        <v>9355</v>
      </c>
      <c r="B9360" s="11" t="str">
        <f>"00467827"</f>
        <v>00467827</v>
      </c>
    </row>
    <row r="9361" spans="1:2" x14ac:dyDescent="0.25">
      <c r="A9361" s="2">
        <v>9356</v>
      </c>
      <c r="B9361" s="11" t="str">
        <f>"00467831"</f>
        <v>00467831</v>
      </c>
    </row>
    <row r="9362" spans="1:2" x14ac:dyDescent="0.25">
      <c r="A9362" s="2">
        <v>9357</v>
      </c>
      <c r="B9362" s="11" t="str">
        <f>"00467838"</f>
        <v>00467838</v>
      </c>
    </row>
    <row r="9363" spans="1:2" x14ac:dyDescent="0.25">
      <c r="A9363" s="2">
        <v>9358</v>
      </c>
      <c r="B9363" s="11" t="str">
        <f>"00467979"</f>
        <v>00467979</v>
      </c>
    </row>
    <row r="9364" spans="1:2" x14ac:dyDescent="0.25">
      <c r="A9364" s="2">
        <v>9359</v>
      </c>
      <c r="B9364" s="11" t="str">
        <f>"00467983"</f>
        <v>00467983</v>
      </c>
    </row>
    <row r="9365" spans="1:2" x14ac:dyDescent="0.25">
      <c r="A9365" s="2">
        <v>9360</v>
      </c>
      <c r="B9365" s="11" t="str">
        <f>"00468000"</f>
        <v>00468000</v>
      </c>
    </row>
    <row r="9366" spans="1:2" x14ac:dyDescent="0.25">
      <c r="A9366" s="2">
        <v>9361</v>
      </c>
      <c r="B9366" s="11" t="str">
        <f>"00468010"</f>
        <v>00468010</v>
      </c>
    </row>
    <row r="9367" spans="1:2" x14ac:dyDescent="0.25">
      <c r="A9367" s="2">
        <v>9362</v>
      </c>
      <c r="B9367" s="11" t="str">
        <f>"00468037"</f>
        <v>00468037</v>
      </c>
    </row>
    <row r="9368" spans="1:2" x14ac:dyDescent="0.25">
      <c r="A9368" s="2">
        <v>9363</v>
      </c>
      <c r="B9368" s="11" t="str">
        <f>"00468039"</f>
        <v>00468039</v>
      </c>
    </row>
    <row r="9369" spans="1:2" x14ac:dyDescent="0.25">
      <c r="A9369" s="2">
        <v>9364</v>
      </c>
      <c r="B9369" s="11" t="str">
        <f>"00468049"</f>
        <v>00468049</v>
      </c>
    </row>
    <row r="9370" spans="1:2" x14ac:dyDescent="0.25">
      <c r="A9370" s="2">
        <v>9365</v>
      </c>
      <c r="B9370" s="11" t="str">
        <f>"00468113"</f>
        <v>00468113</v>
      </c>
    </row>
    <row r="9371" spans="1:2" x14ac:dyDescent="0.25">
      <c r="A9371" s="2">
        <v>9366</v>
      </c>
      <c r="B9371" s="11" t="str">
        <f>"00468414"</f>
        <v>00468414</v>
      </c>
    </row>
    <row r="9372" spans="1:2" x14ac:dyDescent="0.25">
      <c r="A9372" s="2">
        <v>9367</v>
      </c>
      <c r="B9372" s="11" t="str">
        <f>"00468415"</f>
        <v>00468415</v>
      </c>
    </row>
    <row r="9373" spans="1:2" x14ac:dyDescent="0.25">
      <c r="A9373" s="2">
        <v>9368</v>
      </c>
      <c r="B9373" s="11" t="str">
        <f>"00468418"</f>
        <v>00468418</v>
      </c>
    </row>
    <row r="9374" spans="1:2" x14ac:dyDescent="0.25">
      <c r="A9374" s="2">
        <v>9369</v>
      </c>
      <c r="B9374" s="11" t="str">
        <f>"00468422"</f>
        <v>00468422</v>
      </c>
    </row>
    <row r="9375" spans="1:2" x14ac:dyDescent="0.25">
      <c r="A9375" s="2">
        <v>9370</v>
      </c>
      <c r="B9375" s="11" t="str">
        <f>"00468455"</f>
        <v>00468455</v>
      </c>
    </row>
    <row r="9376" spans="1:2" x14ac:dyDescent="0.25">
      <c r="A9376" s="2">
        <v>9371</v>
      </c>
      <c r="B9376" s="11" t="str">
        <f>"00468478"</f>
        <v>00468478</v>
      </c>
    </row>
    <row r="9377" spans="1:2" x14ac:dyDescent="0.25">
      <c r="A9377" s="2">
        <v>9372</v>
      </c>
      <c r="B9377" s="11" t="str">
        <f>"00468513"</f>
        <v>00468513</v>
      </c>
    </row>
    <row r="9378" spans="1:2" x14ac:dyDescent="0.25">
      <c r="A9378" s="2">
        <v>9373</v>
      </c>
      <c r="B9378" s="11" t="str">
        <f>"00468595"</f>
        <v>00468595</v>
      </c>
    </row>
    <row r="9379" spans="1:2" x14ac:dyDescent="0.25">
      <c r="A9379" s="2">
        <v>9374</v>
      </c>
      <c r="B9379" s="11" t="str">
        <f>"00468641"</f>
        <v>00468641</v>
      </c>
    </row>
    <row r="9380" spans="1:2" x14ac:dyDescent="0.25">
      <c r="A9380" s="2">
        <v>9375</v>
      </c>
      <c r="B9380" s="11" t="str">
        <f>"00468649"</f>
        <v>00468649</v>
      </c>
    </row>
    <row r="9381" spans="1:2" x14ac:dyDescent="0.25">
      <c r="A9381" s="2">
        <v>9376</v>
      </c>
      <c r="B9381" s="11" t="str">
        <f>"00468708"</f>
        <v>00468708</v>
      </c>
    </row>
    <row r="9382" spans="1:2" x14ac:dyDescent="0.25">
      <c r="A9382" s="2">
        <v>9377</v>
      </c>
      <c r="B9382" s="11" t="str">
        <f>"00468724"</f>
        <v>00468724</v>
      </c>
    </row>
    <row r="9383" spans="1:2" x14ac:dyDescent="0.25">
      <c r="A9383" s="2">
        <v>9378</v>
      </c>
      <c r="B9383" s="11" t="str">
        <f>"00468778"</f>
        <v>00468778</v>
      </c>
    </row>
    <row r="9384" spans="1:2" x14ac:dyDescent="0.25">
      <c r="A9384" s="2">
        <v>9379</v>
      </c>
      <c r="B9384" s="11" t="str">
        <f>"00468808"</f>
        <v>00468808</v>
      </c>
    </row>
    <row r="9385" spans="1:2" x14ac:dyDescent="0.25">
      <c r="A9385" s="2">
        <v>9380</v>
      </c>
      <c r="B9385" s="11" t="str">
        <f>"00468860"</f>
        <v>00468860</v>
      </c>
    </row>
    <row r="9386" spans="1:2" x14ac:dyDescent="0.25">
      <c r="A9386" s="2">
        <v>9381</v>
      </c>
      <c r="B9386" s="11" t="str">
        <f>"00468870"</f>
        <v>00468870</v>
      </c>
    </row>
    <row r="9387" spans="1:2" x14ac:dyDescent="0.25">
      <c r="A9387" s="2">
        <v>9382</v>
      </c>
      <c r="B9387" s="11" t="str">
        <f>"00468872"</f>
        <v>00468872</v>
      </c>
    </row>
    <row r="9388" spans="1:2" x14ac:dyDescent="0.25">
      <c r="A9388" s="2">
        <v>9383</v>
      </c>
      <c r="B9388" s="11" t="str">
        <f>"00468988"</f>
        <v>00468988</v>
      </c>
    </row>
    <row r="9389" spans="1:2" x14ac:dyDescent="0.25">
      <c r="A9389" s="2">
        <v>9384</v>
      </c>
      <c r="B9389" s="11" t="str">
        <f>"00469010"</f>
        <v>00469010</v>
      </c>
    </row>
    <row r="9390" spans="1:2" x14ac:dyDescent="0.25">
      <c r="A9390" s="2">
        <v>9385</v>
      </c>
      <c r="B9390" s="11" t="str">
        <f>"00469165"</f>
        <v>00469165</v>
      </c>
    </row>
    <row r="9391" spans="1:2" x14ac:dyDescent="0.25">
      <c r="A9391" s="2">
        <v>9386</v>
      </c>
      <c r="B9391" s="11" t="str">
        <f>"00469175"</f>
        <v>00469175</v>
      </c>
    </row>
    <row r="9392" spans="1:2" x14ac:dyDescent="0.25">
      <c r="A9392" s="2">
        <v>9387</v>
      </c>
      <c r="B9392" s="11" t="str">
        <f>"00469230"</f>
        <v>00469230</v>
      </c>
    </row>
    <row r="9393" spans="1:2" x14ac:dyDescent="0.25">
      <c r="A9393" s="2">
        <v>9388</v>
      </c>
      <c r="B9393" s="11" t="str">
        <f>"00469259"</f>
        <v>00469259</v>
      </c>
    </row>
    <row r="9394" spans="1:2" x14ac:dyDescent="0.25">
      <c r="A9394" s="2">
        <v>9389</v>
      </c>
      <c r="B9394" s="11" t="str">
        <f>"00469272"</f>
        <v>00469272</v>
      </c>
    </row>
    <row r="9395" spans="1:2" x14ac:dyDescent="0.25">
      <c r="A9395" s="2">
        <v>9390</v>
      </c>
      <c r="B9395" s="11" t="str">
        <f>"00469312"</f>
        <v>00469312</v>
      </c>
    </row>
    <row r="9396" spans="1:2" x14ac:dyDescent="0.25">
      <c r="A9396" s="2">
        <v>9391</v>
      </c>
      <c r="B9396" s="11" t="str">
        <f>"00469380"</f>
        <v>00469380</v>
      </c>
    </row>
    <row r="9397" spans="1:2" x14ac:dyDescent="0.25">
      <c r="A9397" s="2">
        <v>9392</v>
      </c>
      <c r="B9397" s="11" t="str">
        <f>"00469382"</f>
        <v>00469382</v>
      </c>
    </row>
    <row r="9398" spans="1:2" x14ac:dyDescent="0.25">
      <c r="A9398" s="2">
        <v>9393</v>
      </c>
      <c r="B9398" s="11" t="str">
        <f>"00469458"</f>
        <v>00469458</v>
      </c>
    </row>
    <row r="9399" spans="1:2" x14ac:dyDescent="0.25">
      <c r="A9399" s="2">
        <v>9394</v>
      </c>
      <c r="B9399" s="11" t="str">
        <f>"00469460"</f>
        <v>00469460</v>
      </c>
    </row>
    <row r="9400" spans="1:2" x14ac:dyDescent="0.25">
      <c r="A9400" s="2">
        <v>9395</v>
      </c>
      <c r="B9400" s="11" t="str">
        <f>"00469494"</f>
        <v>00469494</v>
      </c>
    </row>
    <row r="9401" spans="1:2" x14ac:dyDescent="0.25">
      <c r="A9401" s="2">
        <v>9396</v>
      </c>
      <c r="B9401" s="11" t="str">
        <f>"00469567"</f>
        <v>00469567</v>
      </c>
    </row>
    <row r="9402" spans="1:2" x14ac:dyDescent="0.25">
      <c r="A9402" s="2">
        <v>9397</v>
      </c>
      <c r="B9402" s="11" t="str">
        <f>"00469577"</f>
        <v>00469577</v>
      </c>
    </row>
    <row r="9403" spans="1:2" x14ac:dyDescent="0.25">
      <c r="A9403" s="2">
        <v>9398</v>
      </c>
      <c r="B9403" s="11" t="str">
        <f>"00469585"</f>
        <v>00469585</v>
      </c>
    </row>
    <row r="9404" spans="1:2" x14ac:dyDescent="0.25">
      <c r="A9404" s="2">
        <v>9399</v>
      </c>
      <c r="B9404" s="11" t="str">
        <f>"00469627"</f>
        <v>00469627</v>
      </c>
    </row>
    <row r="9405" spans="1:2" x14ac:dyDescent="0.25">
      <c r="A9405" s="2">
        <v>9400</v>
      </c>
      <c r="B9405" s="11" t="str">
        <f>"00469644"</f>
        <v>00469644</v>
      </c>
    </row>
    <row r="9406" spans="1:2" x14ac:dyDescent="0.25">
      <c r="A9406" s="2">
        <v>9401</v>
      </c>
      <c r="B9406" s="11" t="str">
        <f>"00469682"</f>
        <v>00469682</v>
      </c>
    </row>
    <row r="9407" spans="1:2" x14ac:dyDescent="0.25">
      <c r="A9407" s="2">
        <v>9402</v>
      </c>
      <c r="B9407" s="11" t="str">
        <f>"00469702"</f>
        <v>00469702</v>
      </c>
    </row>
    <row r="9408" spans="1:2" x14ac:dyDescent="0.25">
      <c r="A9408" s="2">
        <v>9403</v>
      </c>
      <c r="B9408" s="11" t="str">
        <f>"00469721"</f>
        <v>00469721</v>
      </c>
    </row>
    <row r="9409" spans="1:2" x14ac:dyDescent="0.25">
      <c r="A9409" s="2">
        <v>9404</v>
      </c>
      <c r="B9409" s="11" t="str">
        <f>"00469731"</f>
        <v>00469731</v>
      </c>
    </row>
    <row r="9410" spans="1:2" x14ac:dyDescent="0.25">
      <c r="A9410" s="2">
        <v>9405</v>
      </c>
      <c r="B9410" s="11" t="str">
        <f>"00469911"</f>
        <v>00469911</v>
      </c>
    </row>
    <row r="9411" spans="1:2" x14ac:dyDescent="0.25">
      <c r="A9411" s="2">
        <v>9406</v>
      </c>
      <c r="B9411" s="11" t="str">
        <f>"00469913"</f>
        <v>00469913</v>
      </c>
    </row>
    <row r="9412" spans="1:2" x14ac:dyDescent="0.25">
      <c r="A9412" s="2">
        <v>9407</v>
      </c>
      <c r="B9412" s="11" t="str">
        <f>"00469960"</f>
        <v>00469960</v>
      </c>
    </row>
    <row r="9413" spans="1:2" x14ac:dyDescent="0.25">
      <c r="A9413" s="2">
        <v>9408</v>
      </c>
      <c r="B9413" s="11" t="str">
        <f>"00469984"</f>
        <v>00469984</v>
      </c>
    </row>
    <row r="9414" spans="1:2" x14ac:dyDescent="0.25">
      <c r="A9414" s="2">
        <v>9409</v>
      </c>
      <c r="B9414" s="11" t="str">
        <f>"00470229"</f>
        <v>00470229</v>
      </c>
    </row>
    <row r="9415" spans="1:2" x14ac:dyDescent="0.25">
      <c r="A9415" s="2">
        <v>9410</v>
      </c>
      <c r="B9415" s="11" t="str">
        <f>"00470389"</f>
        <v>00470389</v>
      </c>
    </row>
    <row r="9416" spans="1:2" x14ac:dyDescent="0.25">
      <c r="A9416" s="2">
        <v>9411</v>
      </c>
      <c r="B9416" s="11" t="str">
        <f>"00470406"</f>
        <v>00470406</v>
      </c>
    </row>
    <row r="9417" spans="1:2" x14ac:dyDescent="0.25">
      <c r="A9417" s="2">
        <v>9412</v>
      </c>
      <c r="B9417" s="11" t="str">
        <f>"00470510"</f>
        <v>00470510</v>
      </c>
    </row>
    <row r="9418" spans="1:2" x14ac:dyDescent="0.25">
      <c r="A9418" s="2">
        <v>9413</v>
      </c>
      <c r="B9418" s="11" t="str">
        <f>"00470558"</f>
        <v>00470558</v>
      </c>
    </row>
    <row r="9419" spans="1:2" x14ac:dyDescent="0.25">
      <c r="A9419" s="2">
        <v>9414</v>
      </c>
      <c r="B9419" s="11" t="str">
        <f>"00470652"</f>
        <v>00470652</v>
      </c>
    </row>
    <row r="9420" spans="1:2" x14ac:dyDescent="0.25">
      <c r="A9420" s="2">
        <v>9415</v>
      </c>
      <c r="B9420" s="11" t="str">
        <f>"00470672"</f>
        <v>00470672</v>
      </c>
    </row>
    <row r="9421" spans="1:2" x14ac:dyDescent="0.25">
      <c r="A9421" s="2">
        <v>9416</v>
      </c>
      <c r="B9421" s="11" t="str">
        <f>"00470691"</f>
        <v>00470691</v>
      </c>
    </row>
    <row r="9422" spans="1:2" x14ac:dyDescent="0.25">
      <c r="A9422" s="2">
        <v>9417</v>
      </c>
      <c r="B9422" s="11" t="str">
        <f>"00470734"</f>
        <v>00470734</v>
      </c>
    </row>
    <row r="9423" spans="1:2" x14ac:dyDescent="0.25">
      <c r="A9423" s="2">
        <v>9418</v>
      </c>
      <c r="B9423" s="11" t="str">
        <f>"00470806"</f>
        <v>00470806</v>
      </c>
    </row>
    <row r="9424" spans="1:2" x14ac:dyDescent="0.25">
      <c r="A9424" s="2">
        <v>9419</v>
      </c>
      <c r="B9424" s="11" t="str">
        <f>"00470825"</f>
        <v>00470825</v>
      </c>
    </row>
    <row r="9425" spans="1:2" x14ac:dyDescent="0.25">
      <c r="A9425" s="2">
        <v>9420</v>
      </c>
      <c r="B9425" s="11" t="str">
        <f>"00470889"</f>
        <v>00470889</v>
      </c>
    </row>
    <row r="9426" spans="1:2" x14ac:dyDescent="0.25">
      <c r="A9426" s="2">
        <v>9421</v>
      </c>
      <c r="B9426" s="11" t="str">
        <f>"00470934"</f>
        <v>00470934</v>
      </c>
    </row>
    <row r="9427" spans="1:2" x14ac:dyDescent="0.25">
      <c r="A9427" s="2">
        <v>9422</v>
      </c>
      <c r="B9427" s="11" t="str">
        <f>"00470935"</f>
        <v>00470935</v>
      </c>
    </row>
    <row r="9428" spans="1:2" x14ac:dyDescent="0.25">
      <c r="A9428" s="2">
        <v>9423</v>
      </c>
      <c r="B9428" s="11" t="str">
        <f>"00470984"</f>
        <v>00470984</v>
      </c>
    </row>
    <row r="9429" spans="1:2" x14ac:dyDescent="0.25">
      <c r="A9429" s="2">
        <v>9424</v>
      </c>
      <c r="B9429" s="11" t="str">
        <f>"00471003"</f>
        <v>00471003</v>
      </c>
    </row>
    <row r="9430" spans="1:2" x14ac:dyDescent="0.25">
      <c r="A9430" s="2">
        <v>9425</v>
      </c>
      <c r="B9430" s="11" t="str">
        <f>"00471018"</f>
        <v>00471018</v>
      </c>
    </row>
    <row r="9431" spans="1:2" x14ac:dyDescent="0.25">
      <c r="A9431" s="2">
        <v>9426</v>
      </c>
      <c r="B9431" s="11" t="str">
        <f>"00471115"</f>
        <v>00471115</v>
      </c>
    </row>
    <row r="9432" spans="1:2" x14ac:dyDescent="0.25">
      <c r="A9432" s="2">
        <v>9427</v>
      </c>
      <c r="B9432" s="11" t="str">
        <f>"00471167"</f>
        <v>00471167</v>
      </c>
    </row>
    <row r="9433" spans="1:2" x14ac:dyDescent="0.25">
      <c r="A9433" s="2">
        <v>9428</v>
      </c>
      <c r="B9433" s="11" t="str">
        <f>"00471182"</f>
        <v>00471182</v>
      </c>
    </row>
    <row r="9434" spans="1:2" x14ac:dyDescent="0.25">
      <c r="A9434" s="2">
        <v>9429</v>
      </c>
      <c r="B9434" s="11" t="str">
        <f>"00471183"</f>
        <v>00471183</v>
      </c>
    </row>
    <row r="9435" spans="1:2" x14ac:dyDescent="0.25">
      <c r="A9435" s="2">
        <v>9430</v>
      </c>
      <c r="B9435" s="11" t="str">
        <f>"00471203"</f>
        <v>00471203</v>
      </c>
    </row>
    <row r="9436" spans="1:2" x14ac:dyDescent="0.25">
      <c r="A9436" s="2">
        <v>9431</v>
      </c>
      <c r="B9436" s="11" t="str">
        <f>"00471221"</f>
        <v>00471221</v>
      </c>
    </row>
    <row r="9437" spans="1:2" x14ac:dyDescent="0.25">
      <c r="A9437" s="2">
        <v>9432</v>
      </c>
      <c r="B9437" s="11" t="str">
        <f>"00471287"</f>
        <v>00471287</v>
      </c>
    </row>
    <row r="9438" spans="1:2" x14ac:dyDescent="0.25">
      <c r="A9438" s="2">
        <v>9433</v>
      </c>
      <c r="B9438" s="11" t="str">
        <f>"00471303"</f>
        <v>00471303</v>
      </c>
    </row>
    <row r="9439" spans="1:2" x14ac:dyDescent="0.25">
      <c r="A9439" s="2">
        <v>9434</v>
      </c>
      <c r="B9439" s="11" t="str">
        <f>"00471333"</f>
        <v>00471333</v>
      </c>
    </row>
    <row r="9440" spans="1:2" x14ac:dyDescent="0.25">
      <c r="A9440" s="2">
        <v>9435</v>
      </c>
      <c r="B9440" s="11" t="str">
        <f>"00471357"</f>
        <v>00471357</v>
      </c>
    </row>
    <row r="9441" spans="1:2" x14ac:dyDescent="0.25">
      <c r="A9441" s="2">
        <v>9436</v>
      </c>
      <c r="B9441" s="11" t="str">
        <f>"00471373"</f>
        <v>00471373</v>
      </c>
    </row>
    <row r="9442" spans="1:2" x14ac:dyDescent="0.25">
      <c r="A9442" s="2">
        <v>9437</v>
      </c>
      <c r="B9442" s="11" t="str">
        <f>"00471400"</f>
        <v>00471400</v>
      </c>
    </row>
    <row r="9443" spans="1:2" x14ac:dyDescent="0.25">
      <c r="A9443" s="2">
        <v>9438</v>
      </c>
      <c r="B9443" s="11" t="str">
        <f>"00471430"</f>
        <v>00471430</v>
      </c>
    </row>
    <row r="9444" spans="1:2" x14ac:dyDescent="0.25">
      <c r="A9444" s="2">
        <v>9439</v>
      </c>
      <c r="B9444" s="11" t="str">
        <f>"00471445"</f>
        <v>00471445</v>
      </c>
    </row>
    <row r="9445" spans="1:2" x14ac:dyDescent="0.25">
      <c r="A9445" s="2">
        <v>9440</v>
      </c>
      <c r="B9445" s="11" t="str">
        <f>"00471485"</f>
        <v>00471485</v>
      </c>
    </row>
    <row r="9446" spans="1:2" x14ac:dyDescent="0.25">
      <c r="A9446" s="2">
        <v>9441</v>
      </c>
      <c r="B9446" s="11" t="str">
        <f>"00471512"</f>
        <v>00471512</v>
      </c>
    </row>
    <row r="9447" spans="1:2" x14ac:dyDescent="0.25">
      <c r="A9447" s="2">
        <v>9442</v>
      </c>
      <c r="B9447" s="11" t="str">
        <f>"00471548"</f>
        <v>00471548</v>
      </c>
    </row>
    <row r="9448" spans="1:2" x14ac:dyDescent="0.25">
      <c r="A9448" s="2">
        <v>9443</v>
      </c>
      <c r="B9448" s="11" t="str">
        <f>"00471664"</f>
        <v>00471664</v>
      </c>
    </row>
    <row r="9449" spans="1:2" x14ac:dyDescent="0.25">
      <c r="A9449" s="2">
        <v>9444</v>
      </c>
      <c r="B9449" s="11" t="str">
        <f>"00471675"</f>
        <v>00471675</v>
      </c>
    </row>
    <row r="9450" spans="1:2" x14ac:dyDescent="0.25">
      <c r="A9450" s="2">
        <v>9445</v>
      </c>
      <c r="B9450" s="11" t="str">
        <f>"00471676"</f>
        <v>00471676</v>
      </c>
    </row>
    <row r="9451" spans="1:2" x14ac:dyDescent="0.25">
      <c r="A9451" s="2">
        <v>9446</v>
      </c>
      <c r="B9451" s="11" t="str">
        <f>"00471740"</f>
        <v>00471740</v>
      </c>
    </row>
    <row r="9452" spans="1:2" x14ac:dyDescent="0.25">
      <c r="A9452" s="2">
        <v>9447</v>
      </c>
      <c r="B9452" s="11" t="str">
        <f>"00471791"</f>
        <v>00471791</v>
      </c>
    </row>
    <row r="9453" spans="1:2" x14ac:dyDescent="0.25">
      <c r="A9453" s="2">
        <v>9448</v>
      </c>
      <c r="B9453" s="11" t="str">
        <f>"00471804"</f>
        <v>00471804</v>
      </c>
    </row>
    <row r="9454" spans="1:2" x14ac:dyDescent="0.25">
      <c r="A9454" s="2">
        <v>9449</v>
      </c>
      <c r="B9454" s="11" t="str">
        <f>"00471810"</f>
        <v>00471810</v>
      </c>
    </row>
    <row r="9455" spans="1:2" x14ac:dyDescent="0.25">
      <c r="A9455" s="2">
        <v>9450</v>
      </c>
      <c r="B9455" s="11" t="str">
        <f>"00471836"</f>
        <v>00471836</v>
      </c>
    </row>
    <row r="9456" spans="1:2" x14ac:dyDescent="0.25">
      <c r="A9456" s="2">
        <v>9451</v>
      </c>
      <c r="B9456" s="11" t="str">
        <f>"00471865"</f>
        <v>00471865</v>
      </c>
    </row>
    <row r="9457" spans="1:2" x14ac:dyDescent="0.25">
      <c r="A9457" s="2">
        <v>9452</v>
      </c>
      <c r="B9457" s="11" t="str">
        <f>"00471870"</f>
        <v>00471870</v>
      </c>
    </row>
    <row r="9458" spans="1:2" x14ac:dyDescent="0.25">
      <c r="A9458" s="2">
        <v>9453</v>
      </c>
      <c r="B9458" s="11" t="str">
        <f>"00471924"</f>
        <v>00471924</v>
      </c>
    </row>
    <row r="9459" spans="1:2" x14ac:dyDescent="0.25">
      <c r="A9459" s="2">
        <v>9454</v>
      </c>
      <c r="B9459" s="11" t="str">
        <f>"00471934"</f>
        <v>00471934</v>
      </c>
    </row>
    <row r="9460" spans="1:2" x14ac:dyDescent="0.25">
      <c r="A9460" s="2">
        <v>9455</v>
      </c>
      <c r="B9460" s="11" t="str">
        <f>"00471975"</f>
        <v>00471975</v>
      </c>
    </row>
    <row r="9461" spans="1:2" x14ac:dyDescent="0.25">
      <c r="A9461" s="2">
        <v>9456</v>
      </c>
      <c r="B9461" s="11" t="str">
        <f>"00471989"</f>
        <v>00471989</v>
      </c>
    </row>
    <row r="9462" spans="1:2" x14ac:dyDescent="0.25">
      <c r="A9462" s="2">
        <v>9457</v>
      </c>
      <c r="B9462" s="11" t="str">
        <f>"00472018"</f>
        <v>00472018</v>
      </c>
    </row>
    <row r="9463" spans="1:2" x14ac:dyDescent="0.25">
      <c r="A9463" s="2">
        <v>9458</v>
      </c>
      <c r="B9463" s="11" t="str">
        <f>"00472083"</f>
        <v>00472083</v>
      </c>
    </row>
    <row r="9464" spans="1:2" x14ac:dyDescent="0.25">
      <c r="A9464" s="2">
        <v>9459</v>
      </c>
      <c r="B9464" s="11" t="str">
        <f>"00472096"</f>
        <v>00472096</v>
      </c>
    </row>
    <row r="9465" spans="1:2" x14ac:dyDescent="0.25">
      <c r="A9465" s="2">
        <v>9460</v>
      </c>
      <c r="B9465" s="11" t="str">
        <f>"00472148"</f>
        <v>00472148</v>
      </c>
    </row>
    <row r="9466" spans="1:2" x14ac:dyDescent="0.25">
      <c r="A9466" s="2">
        <v>9461</v>
      </c>
      <c r="B9466" s="11" t="str">
        <f>"00472154"</f>
        <v>00472154</v>
      </c>
    </row>
    <row r="9467" spans="1:2" x14ac:dyDescent="0.25">
      <c r="A9467" s="2">
        <v>9462</v>
      </c>
      <c r="B9467" s="11" t="str">
        <f>"00472284"</f>
        <v>00472284</v>
      </c>
    </row>
    <row r="9468" spans="1:2" x14ac:dyDescent="0.25">
      <c r="A9468" s="2">
        <v>9463</v>
      </c>
      <c r="B9468" s="11" t="str">
        <f>"00472287"</f>
        <v>00472287</v>
      </c>
    </row>
    <row r="9469" spans="1:2" x14ac:dyDescent="0.25">
      <c r="A9469" s="2">
        <v>9464</v>
      </c>
      <c r="B9469" s="11" t="str">
        <f>"00472343"</f>
        <v>00472343</v>
      </c>
    </row>
    <row r="9470" spans="1:2" x14ac:dyDescent="0.25">
      <c r="A9470" s="2">
        <v>9465</v>
      </c>
      <c r="B9470" s="11" t="str">
        <f>"00472366"</f>
        <v>00472366</v>
      </c>
    </row>
    <row r="9471" spans="1:2" x14ac:dyDescent="0.25">
      <c r="A9471" s="2">
        <v>9466</v>
      </c>
      <c r="B9471" s="11" t="str">
        <f>"00472386"</f>
        <v>00472386</v>
      </c>
    </row>
    <row r="9472" spans="1:2" x14ac:dyDescent="0.25">
      <c r="A9472" s="2">
        <v>9467</v>
      </c>
      <c r="B9472" s="11" t="str">
        <f>"00472408"</f>
        <v>00472408</v>
      </c>
    </row>
    <row r="9473" spans="1:2" x14ac:dyDescent="0.25">
      <c r="A9473" s="2">
        <v>9468</v>
      </c>
      <c r="B9473" s="11" t="str">
        <f>"00472457"</f>
        <v>00472457</v>
      </c>
    </row>
    <row r="9474" spans="1:2" x14ac:dyDescent="0.25">
      <c r="A9474" s="2">
        <v>9469</v>
      </c>
      <c r="B9474" s="11" t="str">
        <f>"00472476"</f>
        <v>00472476</v>
      </c>
    </row>
    <row r="9475" spans="1:2" x14ac:dyDescent="0.25">
      <c r="A9475" s="2">
        <v>9470</v>
      </c>
      <c r="B9475" s="11" t="str">
        <f>"00472497"</f>
        <v>00472497</v>
      </c>
    </row>
    <row r="9476" spans="1:2" x14ac:dyDescent="0.25">
      <c r="A9476" s="2">
        <v>9471</v>
      </c>
      <c r="B9476" s="11" t="str">
        <f>"00472526"</f>
        <v>00472526</v>
      </c>
    </row>
    <row r="9477" spans="1:2" x14ac:dyDescent="0.25">
      <c r="A9477" s="2">
        <v>9472</v>
      </c>
      <c r="B9477" s="11" t="str">
        <f>"00472530"</f>
        <v>00472530</v>
      </c>
    </row>
    <row r="9478" spans="1:2" x14ac:dyDescent="0.25">
      <c r="A9478" s="2">
        <v>9473</v>
      </c>
      <c r="B9478" s="11" t="str">
        <f>"00472541"</f>
        <v>00472541</v>
      </c>
    </row>
    <row r="9479" spans="1:2" x14ac:dyDescent="0.25">
      <c r="A9479" s="2">
        <v>9474</v>
      </c>
      <c r="B9479" s="11" t="str">
        <f>"00472552"</f>
        <v>00472552</v>
      </c>
    </row>
    <row r="9480" spans="1:2" x14ac:dyDescent="0.25">
      <c r="A9480" s="2">
        <v>9475</v>
      </c>
      <c r="B9480" s="11" t="str">
        <f>"00472568"</f>
        <v>00472568</v>
      </c>
    </row>
    <row r="9481" spans="1:2" x14ac:dyDescent="0.25">
      <c r="A9481" s="2">
        <v>9476</v>
      </c>
      <c r="B9481" s="11" t="str">
        <f>"00472604"</f>
        <v>00472604</v>
      </c>
    </row>
    <row r="9482" spans="1:2" x14ac:dyDescent="0.25">
      <c r="A9482" s="2">
        <v>9477</v>
      </c>
      <c r="B9482" s="11" t="str">
        <f>"00472606"</f>
        <v>00472606</v>
      </c>
    </row>
    <row r="9483" spans="1:2" x14ac:dyDescent="0.25">
      <c r="A9483" s="2">
        <v>9478</v>
      </c>
      <c r="B9483" s="11" t="str">
        <f>"00472615"</f>
        <v>00472615</v>
      </c>
    </row>
    <row r="9484" spans="1:2" x14ac:dyDescent="0.25">
      <c r="A9484" s="2">
        <v>9479</v>
      </c>
      <c r="B9484" s="11" t="str">
        <f>"00472628"</f>
        <v>00472628</v>
      </c>
    </row>
    <row r="9485" spans="1:2" x14ac:dyDescent="0.25">
      <c r="A9485" s="2">
        <v>9480</v>
      </c>
      <c r="B9485" s="11" t="str">
        <f>"00472631"</f>
        <v>00472631</v>
      </c>
    </row>
    <row r="9486" spans="1:2" x14ac:dyDescent="0.25">
      <c r="A9486" s="2">
        <v>9481</v>
      </c>
      <c r="B9486" s="11" t="str">
        <f>"00472665"</f>
        <v>00472665</v>
      </c>
    </row>
    <row r="9487" spans="1:2" x14ac:dyDescent="0.25">
      <c r="A9487" s="2">
        <v>9482</v>
      </c>
      <c r="B9487" s="11" t="str">
        <f>"00472667"</f>
        <v>00472667</v>
      </c>
    </row>
    <row r="9488" spans="1:2" x14ac:dyDescent="0.25">
      <c r="A9488" s="2">
        <v>9483</v>
      </c>
      <c r="B9488" s="11" t="str">
        <f>"00472679"</f>
        <v>00472679</v>
      </c>
    </row>
    <row r="9489" spans="1:2" x14ac:dyDescent="0.25">
      <c r="A9489" s="2">
        <v>9484</v>
      </c>
      <c r="B9489" s="11" t="str">
        <f>"00472707"</f>
        <v>00472707</v>
      </c>
    </row>
    <row r="9490" spans="1:2" x14ac:dyDescent="0.25">
      <c r="A9490" s="2">
        <v>9485</v>
      </c>
      <c r="B9490" s="11" t="str">
        <f>"00472732"</f>
        <v>00472732</v>
      </c>
    </row>
    <row r="9491" spans="1:2" x14ac:dyDescent="0.25">
      <c r="A9491" s="2">
        <v>9486</v>
      </c>
      <c r="B9491" s="11" t="str">
        <f>"00472862"</f>
        <v>00472862</v>
      </c>
    </row>
    <row r="9492" spans="1:2" x14ac:dyDescent="0.25">
      <c r="A9492" s="2">
        <v>9487</v>
      </c>
      <c r="B9492" s="11" t="str">
        <f>"00472870"</f>
        <v>00472870</v>
      </c>
    </row>
    <row r="9493" spans="1:2" x14ac:dyDescent="0.25">
      <c r="A9493" s="2">
        <v>9488</v>
      </c>
      <c r="B9493" s="11" t="str">
        <f>"00472880"</f>
        <v>00472880</v>
      </c>
    </row>
    <row r="9494" spans="1:2" x14ac:dyDescent="0.25">
      <c r="A9494" s="2">
        <v>9489</v>
      </c>
      <c r="B9494" s="11" t="str">
        <f>"00472908"</f>
        <v>00472908</v>
      </c>
    </row>
    <row r="9495" spans="1:2" x14ac:dyDescent="0.25">
      <c r="A9495" s="2">
        <v>9490</v>
      </c>
      <c r="B9495" s="11" t="str">
        <f>"00472909"</f>
        <v>00472909</v>
      </c>
    </row>
    <row r="9496" spans="1:2" x14ac:dyDescent="0.25">
      <c r="A9496" s="2">
        <v>9491</v>
      </c>
      <c r="B9496" s="11" t="str">
        <f>"00472913"</f>
        <v>00472913</v>
      </c>
    </row>
    <row r="9497" spans="1:2" x14ac:dyDescent="0.25">
      <c r="A9497" s="2">
        <v>9492</v>
      </c>
      <c r="B9497" s="11" t="str">
        <f>"00473035"</f>
        <v>00473035</v>
      </c>
    </row>
    <row r="9498" spans="1:2" x14ac:dyDescent="0.25">
      <c r="A9498" s="2">
        <v>9493</v>
      </c>
      <c r="B9498" s="11" t="str">
        <f>"00473042"</f>
        <v>00473042</v>
      </c>
    </row>
    <row r="9499" spans="1:2" x14ac:dyDescent="0.25">
      <c r="A9499" s="2">
        <v>9494</v>
      </c>
      <c r="B9499" s="11" t="str">
        <f>"00473084"</f>
        <v>00473084</v>
      </c>
    </row>
    <row r="9500" spans="1:2" x14ac:dyDescent="0.25">
      <c r="A9500" s="2">
        <v>9495</v>
      </c>
      <c r="B9500" s="11" t="str">
        <f>"00473120"</f>
        <v>00473120</v>
      </c>
    </row>
    <row r="9501" spans="1:2" x14ac:dyDescent="0.25">
      <c r="A9501" s="2">
        <v>9496</v>
      </c>
      <c r="B9501" s="11" t="str">
        <f>"00473148"</f>
        <v>00473148</v>
      </c>
    </row>
    <row r="9502" spans="1:2" x14ac:dyDescent="0.25">
      <c r="A9502" s="2">
        <v>9497</v>
      </c>
      <c r="B9502" s="11" t="str">
        <f>"00473198"</f>
        <v>00473198</v>
      </c>
    </row>
    <row r="9503" spans="1:2" x14ac:dyDescent="0.25">
      <c r="A9503" s="2">
        <v>9498</v>
      </c>
      <c r="B9503" s="11" t="str">
        <f>"00473237"</f>
        <v>00473237</v>
      </c>
    </row>
    <row r="9504" spans="1:2" x14ac:dyDescent="0.25">
      <c r="A9504" s="2">
        <v>9499</v>
      </c>
      <c r="B9504" s="11" t="str">
        <f>"00473280"</f>
        <v>00473280</v>
      </c>
    </row>
    <row r="9505" spans="1:2" x14ac:dyDescent="0.25">
      <c r="A9505" s="2">
        <v>9500</v>
      </c>
      <c r="B9505" s="11" t="str">
        <f>"00473305"</f>
        <v>00473305</v>
      </c>
    </row>
    <row r="9506" spans="1:2" x14ac:dyDescent="0.25">
      <c r="A9506" s="2">
        <v>9501</v>
      </c>
      <c r="B9506" s="11" t="str">
        <f>"00473356"</f>
        <v>00473356</v>
      </c>
    </row>
    <row r="9507" spans="1:2" x14ac:dyDescent="0.25">
      <c r="A9507" s="2">
        <v>9502</v>
      </c>
      <c r="B9507" s="11" t="str">
        <f>"00473375"</f>
        <v>00473375</v>
      </c>
    </row>
    <row r="9508" spans="1:2" x14ac:dyDescent="0.25">
      <c r="A9508" s="2">
        <v>9503</v>
      </c>
      <c r="B9508" s="11" t="str">
        <f>"00473377"</f>
        <v>00473377</v>
      </c>
    </row>
    <row r="9509" spans="1:2" x14ac:dyDescent="0.25">
      <c r="A9509" s="2">
        <v>9504</v>
      </c>
      <c r="B9509" s="11" t="str">
        <f>"00473560"</f>
        <v>00473560</v>
      </c>
    </row>
    <row r="9510" spans="1:2" x14ac:dyDescent="0.25">
      <c r="A9510" s="2">
        <v>9505</v>
      </c>
      <c r="B9510" s="11" t="str">
        <f>"00473608"</f>
        <v>00473608</v>
      </c>
    </row>
    <row r="9511" spans="1:2" x14ac:dyDescent="0.25">
      <c r="A9511" s="2">
        <v>9506</v>
      </c>
      <c r="B9511" s="11" t="str">
        <f>"00473615"</f>
        <v>00473615</v>
      </c>
    </row>
    <row r="9512" spans="1:2" x14ac:dyDescent="0.25">
      <c r="A9512" s="2">
        <v>9507</v>
      </c>
      <c r="B9512" s="11" t="str">
        <f>"00473636"</f>
        <v>00473636</v>
      </c>
    </row>
    <row r="9513" spans="1:2" x14ac:dyDescent="0.25">
      <c r="A9513" s="2">
        <v>9508</v>
      </c>
      <c r="B9513" s="11" t="str">
        <f>"00473677"</f>
        <v>00473677</v>
      </c>
    </row>
    <row r="9514" spans="1:2" x14ac:dyDescent="0.25">
      <c r="A9514" s="2">
        <v>9509</v>
      </c>
      <c r="B9514" s="11" t="str">
        <f>"00473743"</f>
        <v>00473743</v>
      </c>
    </row>
    <row r="9515" spans="1:2" x14ac:dyDescent="0.25">
      <c r="A9515" s="2">
        <v>9510</v>
      </c>
      <c r="B9515" s="11" t="str">
        <f>"00473814"</f>
        <v>00473814</v>
      </c>
    </row>
    <row r="9516" spans="1:2" x14ac:dyDescent="0.25">
      <c r="A9516" s="2">
        <v>9511</v>
      </c>
      <c r="B9516" s="11" t="str">
        <f>"00473834"</f>
        <v>00473834</v>
      </c>
    </row>
    <row r="9517" spans="1:2" x14ac:dyDescent="0.25">
      <c r="A9517" s="2">
        <v>9512</v>
      </c>
      <c r="B9517" s="11" t="str">
        <f>"00473886"</f>
        <v>00473886</v>
      </c>
    </row>
    <row r="9518" spans="1:2" x14ac:dyDescent="0.25">
      <c r="A9518" s="2">
        <v>9513</v>
      </c>
      <c r="B9518" s="11" t="str">
        <f>"00473913"</f>
        <v>00473913</v>
      </c>
    </row>
    <row r="9519" spans="1:2" x14ac:dyDescent="0.25">
      <c r="A9519" s="2">
        <v>9514</v>
      </c>
      <c r="B9519" s="11" t="str">
        <f>"00474032"</f>
        <v>00474032</v>
      </c>
    </row>
    <row r="9520" spans="1:2" x14ac:dyDescent="0.25">
      <c r="A9520" s="2">
        <v>9515</v>
      </c>
      <c r="B9520" s="11" t="str">
        <f>"00474036"</f>
        <v>00474036</v>
      </c>
    </row>
    <row r="9521" spans="1:2" x14ac:dyDescent="0.25">
      <c r="A9521" s="2">
        <v>9516</v>
      </c>
      <c r="B9521" s="11" t="str">
        <f>"00474055"</f>
        <v>00474055</v>
      </c>
    </row>
    <row r="9522" spans="1:2" x14ac:dyDescent="0.25">
      <c r="A9522" s="2">
        <v>9517</v>
      </c>
      <c r="B9522" s="11" t="str">
        <f>"00474350"</f>
        <v>00474350</v>
      </c>
    </row>
    <row r="9523" spans="1:2" x14ac:dyDescent="0.25">
      <c r="A9523" s="2">
        <v>9518</v>
      </c>
      <c r="B9523" s="11" t="str">
        <f>"00474389"</f>
        <v>00474389</v>
      </c>
    </row>
    <row r="9524" spans="1:2" x14ac:dyDescent="0.25">
      <c r="A9524" s="2">
        <v>9519</v>
      </c>
      <c r="B9524" s="11" t="str">
        <f>"00474399"</f>
        <v>00474399</v>
      </c>
    </row>
    <row r="9525" spans="1:2" x14ac:dyDescent="0.25">
      <c r="A9525" s="2">
        <v>9520</v>
      </c>
      <c r="B9525" s="11" t="str">
        <f>"00474429"</f>
        <v>00474429</v>
      </c>
    </row>
    <row r="9526" spans="1:2" x14ac:dyDescent="0.25">
      <c r="A9526" s="2">
        <v>9521</v>
      </c>
      <c r="B9526" s="11" t="str">
        <f>"00474437"</f>
        <v>00474437</v>
      </c>
    </row>
    <row r="9527" spans="1:2" x14ac:dyDescent="0.25">
      <c r="A9527" s="2">
        <v>9522</v>
      </c>
      <c r="B9527" s="11" t="str">
        <f>"00474445"</f>
        <v>00474445</v>
      </c>
    </row>
    <row r="9528" spans="1:2" x14ac:dyDescent="0.25">
      <c r="A9528" s="2">
        <v>9523</v>
      </c>
      <c r="B9528" s="11" t="str">
        <f>"00474453"</f>
        <v>00474453</v>
      </c>
    </row>
    <row r="9529" spans="1:2" x14ac:dyDescent="0.25">
      <c r="A9529" s="2">
        <v>9524</v>
      </c>
      <c r="B9529" s="11" t="str">
        <f>"00474483"</f>
        <v>00474483</v>
      </c>
    </row>
    <row r="9530" spans="1:2" x14ac:dyDescent="0.25">
      <c r="A9530" s="2">
        <v>9525</v>
      </c>
      <c r="B9530" s="11" t="str">
        <f>"00474525"</f>
        <v>00474525</v>
      </c>
    </row>
    <row r="9531" spans="1:2" x14ac:dyDescent="0.25">
      <c r="A9531" s="2">
        <v>9526</v>
      </c>
      <c r="B9531" s="11" t="str">
        <f>"00474540"</f>
        <v>00474540</v>
      </c>
    </row>
    <row r="9532" spans="1:2" x14ac:dyDescent="0.25">
      <c r="A9532" s="2">
        <v>9527</v>
      </c>
      <c r="B9532" s="11" t="str">
        <f>"00474544"</f>
        <v>00474544</v>
      </c>
    </row>
    <row r="9533" spans="1:2" x14ac:dyDescent="0.25">
      <c r="A9533" s="2">
        <v>9528</v>
      </c>
      <c r="B9533" s="11" t="str">
        <f>"00474567"</f>
        <v>00474567</v>
      </c>
    </row>
    <row r="9534" spans="1:2" x14ac:dyDescent="0.25">
      <c r="A9534" s="2">
        <v>9529</v>
      </c>
      <c r="B9534" s="11" t="str">
        <f>"00474582"</f>
        <v>00474582</v>
      </c>
    </row>
    <row r="9535" spans="1:2" x14ac:dyDescent="0.25">
      <c r="A9535" s="2">
        <v>9530</v>
      </c>
      <c r="B9535" s="11" t="str">
        <f>"00474685"</f>
        <v>00474685</v>
      </c>
    </row>
    <row r="9536" spans="1:2" x14ac:dyDescent="0.25">
      <c r="A9536" s="2">
        <v>9531</v>
      </c>
      <c r="B9536" s="11" t="str">
        <f>"00474696"</f>
        <v>00474696</v>
      </c>
    </row>
    <row r="9537" spans="1:2" x14ac:dyDescent="0.25">
      <c r="A9537" s="2">
        <v>9532</v>
      </c>
      <c r="B9537" s="11" t="str">
        <f>"00474735"</f>
        <v>00474735</v>
      </c>
    </row>
    <row r="9538" spans="1:2" x14ac:dyDescent="0.25">
      <c r="A9538" s="2">
        <v>9533</v>
      </c>
      <c r="B9538" s="11" t="str">
        <f>"00474786"</f>
        <v>00474786</v>
      </c>
    </row>
    <row r="9539" spans="1:2" x14ac:dyDescent="0.25">
      <c r="A9539" s="2">
        <v>9534</v>
      </c>
      <c r="B9539" s="11" t="str">
        <f>"00474814"</f>
        <v>00474814</v>
      </c>
    </row>
    <row r="9540" spans="1:2" x14ac:dyDescent="0.25">
      <c r="A9540" s="2">
        <v>9535</v>
      </c>
      <c r="B9540" s="11" t="str">
        <f>"00474867"</f>
        <v>00474867</v>
      </c>
    </row>
    <row r="9541" spans="1:2" x14ac:dyDescent="0.25">
      <c r="A9541" s="2">
        <v>9536</v>
      </c>
      <c r="B9541" s="11" t="str">
        <f>"00474897"</f>
        <v>00474897</v>
      </c>
    </row>
    <row r="9542" spans="1:2" x14ac:dyDescent="0.25">
      <c r="A9542" s="2">
        <v>9537</v>
      </c>
      <c r="B9542" s="11" t="str">
        <f>"00474933"</f>
        <v>00474933</v>
      </c>
    </row>
    <row r="9543" spans="1:2" x14ac:dyDescent="0.25">
      <c r="A9543" s="2">
        <v>9538</v>
      </c>
      <c r="B9543" s="11" t="str">
        <f>"00474946"</f>
        <v>00474946</v>
      </c>
    </row>
    <row r="9544" spans="1:2" x14ac:dyDescent="0.25">
      <c r="A9544" s="2">
        <v>9539</v>
      </c>
      <c r="B9544" s="11" t="str">
        <f>"00474997"</f>
        <v>00474997</v>
      </c>
    </row>
    <row r="9545" spans="1:2" x14ac:dyDescent="0.25">
      <c r="A9545" s="2">
        <v>9540</v>
      </c>
      <c r="B9545" s="11" t="str">
        <f>"00475008"</f>
        <v>00475008</v>
      </c>
    </row>
    <row r="9546" spans="1:2" x14ac:dyDescent="0.25">
      <c r="A9546" s="2">
        <v>9541</v>
      </c>
      <c r="B9546" s="11" t="str">
        <f>"00475044"</f>
        <v>00475044</v>
      </c>
    </row>
    <row r="9547" spans="1:2" x14ac:dyDescent="0.25">
      <c r="A9547" s="2">
        <v>9542</v>
      </c>
      <c r="B9547" s="11" t="str">
        <f>"00475056"</f>
        <v>00475056</v>
      </c>
    </row>
    <row r="9548" spans="1:2" x14ac:dyDescent="0.25">
      <c r="A9548" s="2">
        <v>9543</v>
      </c>
      <c r="B9548" s="11" t="str">
        <f>"00475073"</f>
        <v>00475073</v>
      </c>
    </row>
    <row r="9549" spans="1:2" x14ac:dyDescent="0.25">
      <c r="A9549" s="2">
        <v>9544</v>
      </c>
      <c r="B9549" s="11" t="str">
        <f>"00475147"</f>
        <v>00475147</v>
      </c>
    </row>
    <row r="9550" spans="1:2" x14ac:dyDescent="0.25">
      <c r="A9550" s="2">
        <v>9545</v>
      </c>
      <c r="B9550" s="11" t="str">
        <f>"00475158"</f>
        <v>00475158</v>
      </c>
    </row>
    <row r="9551" spans="1:2" x14ac:dyDescent="0.25">
      <c r="A9551" s="2">
        <v>9546</v>
      </c>
      <c r="B9551" s="11" t="str">
        <f>"00475165"</f>
        <v>00475165</v>
      </c>
    </row>
    <row r="9552" spans="1:2" x14ac:dyDescent="0.25">
      <c r="A9552" s="2">
        <v>9547</v>
      </c>
      <c r="B9552" s="11" t="str">
        <f>"00475186"</f>
        <v>00475186</v>
      </c>
    </row>
    <row r="9553" spans="1:2" x14ac:dyDescent="0.25">
      <c r="A9553" s="2">
        <v>9548</v>
      </c>
      <c r="B9553" s="11" t="str">
        <f>"00475195"</f>
        <v>00475195</v>
      </c>
    </row>
    <row r="9554" spans="1:2" x14ac:dyDescent="0.25">
      <c r="A9554" s="2">
        <v>9549</v>
      </c>
      <c r="B9554" s="11" t="str">
        <f>"00475221"</f>
        <v>00475221</v>
      </c>
    </row>
    <row r="9555" spans="1:2" x14ac:dyDescent="0.25">
      <c r="A9555" s="2">
        <v>9550</v>
      </c>
      <c r="B9555" s="11" t="str">
        <f>"00475262"</f>
        <v>00475262</v>
      </c>
    </row>
    <row r="9556" spans="1:2" x14ac:dyDescent="0.25">
      <c r="A9556" s="2">
        <v>9551</v>
      </c>
      <c r="B9556" s="11" t="str">
        <f>"00475264"</f>
        <v>00475264</v>
      </c>
    </row>
    <row r="9557" spans="1:2" x14ac:dyDescent="0.25">
      <c r="A9557" s="2">
        <v>9552</v>
      </c>
      <c r="B9557" s="11" t="str">
        <f>"00475333"</f>
        <v>00475333</v>
      </c>
    </row>
    <row r="9558" spans="1:2" x14ac:dyDescent="0.25">
      <c r="A9558" s="2">
        <v>9553</v>
      </c>
      <c r="B9558" s="11" t="str">
        <f>"00475334"</f>
        <v>00475334</v>
      </c>
    </row>
    <row r="9559" spans="1:2" x14ac:dyDescent="0.25">
      <c r="A9559" s="2">
        <v>9554</v>
      </c>
      <c r="B9559" s="11" t="str">
        <f>"00475391"</f>
        <v>00475391</v>
      </c>
    </row>
    <row r="9560" spans="1:2" x14ac:dyDescent="0.25">
      <c r="A9560" s="2">
        <v>9555</v>
      </c>
      <c r="B9560" s="11" t="str">
        <f>"00475411"</f>
        <v>00475411</v>
      </c>
    </row>
    <row r="9561" spans="1:2" x14ac:dyDescent="0.25">
      <c r="A9561" s="2">
        <v>9556</v>
      </c>
      <c r="B9561" s="11" t="str">
        <f>"00475415"</f>
        <v>00475415</v>
      </c>
    </row>
    <row r="9562" spans="1:2" x14ac:dyDescent="0.25">
      <c r="A9562" s="2">
        <v>9557</v>
      </c>
      <c r="B9562" s="11" t="str">
        <f>"00475446"</f>
        <v>00475446</v>
      </c>
    </row>
    <row r="9563" spans="1:2" x14ac:dyDescent="0.25">
      <c r="A9563" s="2">
        <v>9558</v>
      </c>
      <c r="B9563" s="11" t="str">
        <f>"00475449"</f>
        <v>00475449</v>
      </c>
    </row>
    <row r="9564" spans="1:2" x14ac:dyDescent="0.25">
      <c r="A9564" s="2">
        <v>9559</v>
      </c>
      <c r="B9564" s="11" t="str">
        <f>"00475472"</f>
        <v>00475472</v>
      </c>
    </row>
    <row r="9565" spans="1:2" x14ac:dyDescent="0.25">
      <c r="A9565" s="2">
        <v>9560</v>
      </c>
      <c r="B9565" s="11" t="str">
        <f>"00475475"</f>
        <v>00475475</v>
      </c>
    </row>
    <row r="9566" spans="1:2" x14ac:dyDescent="0.25">
      <c r="A9566" s="2">
        <v>9561</v>
      </c>
      <c r="B9566" s="11" t="str">
        <f>"00475476"</f>
        <v>00475476</v>
      </c>
    </row>
    <row r="9567" spans="1:2" x14ac:dyDescent="0.25">
      <c r="A9567" s="2">
        <v>9562</v>
      </c>
      <c r="B9567" s="11" t="str">
        <f>"00475545"</f>
        <v>00475545</v>
      </c>
    </row>
    <row r="9568" spans="1:2" x14ac:dyDescent="0.25">
      <c r="A9568" s="2">
        <v>9563</v>
      </c>
      <c r="B9568" s="11" t="str">
        <f>"00475598"</f>
        <v>00475598</v>
      </c>
    </row>
    <row r="9569" spans="1:2" x14ac:dyDescent="0.25">
      <c r="A9569" s="2">
        <v>9564</v>
      </c>
      <c r="B9569" s="11" t="str">
        <f>"00475625"</f>
        <v>00475625</v>
      </c>
    </row>
    <row r="9570" spans="1:2" x14ac:dyDescent="0.25">
      <c r="A9570" s="2">
        <v>9565</v>
      </c>
      <c r="B9570" s="11" t="str">
        <f>"00475643"</f>
        <v>00475643</v>
      </c>
    </row>
    <row r="9571" spans="1:2" x14ac:dyDescent="0.25">
      <c r="A9571" s="2">
        <v>9566</v>
      </c>
      <c r="B9571" s="11" t="str">
        <f>"00475685"</f>
        <v>00475685</v>
      </c>
    </row>
    <row r="9572" spans="1:2" x14ac:dyDescent="0.25">
      <c r="A9572" s="2">
        <v>9567</v>
      </c>
      <c r="B9572" s="11" t="str">
        <f>"00475708"</f>
        <v>00475708</v>
      </c>
    </row>
    <row r="9573" spans="1:2" x14ac:dyDescent="0.25">
      <c r="A9573" s="2">
        <v>9568</v>
      </c>
      <c r="B9573" s="11" t="str">
        <f>"00475761"</f>
        <v>00475761</v>
      </c>
    </row>
    <row r="9574" spans="1:2" x14ac:dyDescent="0.25">
      <c r="A9574" s="2">
        <v>9569</v>
      </c>
      <c r="B9574" s="11" t="str">
        <f>"00475767"</f>
        <v>00475767</v>
      </c>
    </row>
    <row r="9575" spans="1:2" x14ac:dyDescent="0.25">
      <c r="A9575" s="2">
        <v>9570</v>
      </c>
      <c r="B9575" s="11" t="str">
        <f>"00475806"</f>
        <v>00475806</v>
      </c>
    </row>
    <row r="9576" spans="1:2" x14ac:dyDescent="0.25">
      <c r="A9576" s="2">
        <v>9571</v>
      </c>
      <c r="B9576" s="11" t="str">
        <f>"00475847"</f>
        <v>00475847</v>
      </c>
    </row>
    <row r="9577" spans="1:2" x14ac:dyDescent="0.25">
      <c r="A9577" s="2">
        <v>9572</v>
      </c>
      <c r="B9577" s="11" t="str">
        <f>"00475863"</f>
        <v>00475863</v>
      </c>
    </row>
    <row r="9578" spans="1:2" x14ac:dyDescent="0.25">
      <c r="A9578" s="2">
        <v>9573</v>
      </c>
      <c r="B9578" s="11" t="str">
        <f>"00475865"</f>
        <v>00475865</v>
      </c>
    </row>
    <row r="9579" spans="1:2" x14ac:dyDescent="0.25">
      <c r="A9579" s="2">
        <v>9574</v>
      </c>
      <c r="B9579" s="11" t="str">
        <f>"00475935"</f>
        <v>00475935</v>
      </c>
    </row>
    <row r="9580" spans="1:2" x14ac:dyDescent="0.25">
      <c r="A9580" s="2">
        <v>9575</v>
      </c>
      <c r="B9580" s="11" t="str">
        <f>"00475967"</f>
        <v>00475967</v>
      </c>
    </row>
    <row r="9581" spans="1:2" x14ac:dyDescent="0.25">
      <c r="A9581" s="2">
        <v>9576</v>
      </c>
      <c r="B9581" s="11" t="str">
        <f>"00475987"</f>
        <v>00475987</v>
      </c>
    </row>
    <row r="9582" spans="1:2" x14ac:dyDescent="0.25">
      <c r="A9582" s="2">
        <v>9577</v>
      </c>
      <c r="B9582" s="11" t="str">
        <f>"00476063"</f>
        <v>00476063</v>
      </c>
    </row>
    <row r="9583" spans="1:2" x14ac:dyDescent="0.25">
      <c r="A9583" s="2">
        <v>9578</v>
      </c>
      <c r="B9583" s="11" t="str">
        <f>"00476074"</f>
        <v>00476074</v>
      </c>
    </row>
    <row r="9584" spans="1:2" x14ac:dyDescent="0.25">
      <c r="A9584" s="2">
        <v>9579</v>
      </c>
      <c r="B9584" s="11" t="str">
        <f>"00476082"</f>
        <v>00476082</v>
      </c>
    </row>
    <row r="9585" spans="1:2" x14ac:dyDescent="0.25">
      <c r="A9585" s="2">
        <v>9580</v>
      </c>
      <c r="B9585" s="11" t="str">
        <f>"00476167"</f>
        <v>00476167</v>
      </c>
    </row>
    <row r="9586" spans="1:2" x14ac:dyDescent="0.25">
      <c r="A9586" s="2">
        <v>9581</v>
      </c>
      <c r="B9586" s="11" t="str">
        <f>"00476281"</f>
        <v>00476281</v>
      </c>
    </row>
    <row r="9587" spans="1:2" x14ac:dyDescent="0.25">
      <c r="A9587" s="2">
        <v>9582</v>
      </c>
      <c r="B9587" s="11" t="str">
        <f>"00476283"</f>
        <v>00476283</v>
      </c>
    </row>
    <row r="9588" spans="1:2" x14ac:dyDescent="0.25">
      <c r="A9588" s="2">
        <v>9583</v>
      </c>
      <c r="B9588" s="11" t="str">
        <f>"00476287"</f>
        <v>00476287</v>
      </c>
    </row>
    <row r="9589" spans="1:2" x14ac:dyDescent="0.25">
      <c r="A9589" s="2">
        <v>9584</v>
      </c>
      <c r="B9589" s="11" t="str">
        <f>"00476317"</f>
        <v>00476317</v>
      </c>
    </row>
    <row r="9590" spans="1:2" x14ac:dyDescent="0.25">
      <c r="A9590" s="2">
        <v>9585</v>
      </c>
      <c r="B9590" s="11" t="str">
        <f>"00476360"</f>
        <v>00476360</v>
      </c>
    </row>
    <row r="9591" spans="1:2" x14ac:dyDescent="0.25">
      <c r="A9591" s="2">
        <v>9586</v>
      </c>
      <c r="B9591" s="11" t="str">
        <f>"00476559"</f>
        <v>00476559</v>
      </c>
    </row>
    <row r="9592" spans="1:2" x14ac:dyDescent="0.25">
      <c r="A9592" s="2">
        <v>9587</v>
      </c>
      <c r="B9592" s="11" t="str">
        <f>"00476569"</f>
        <v>00476569</v>
      </c>
    </row>
    <row r="9593" spans="1:2" x14ac:dyDescent="0.25">
      <c r="A9593" s="2">
        <v>9588</v>
      </c>
      <c r="B9593" s="11" t="str">
        <f>"00476607"</f>
        <v>00476607</v>
      </c>
    </row>
    <row r="9594" spans="1:2" x14ac:dyDescent="0.25">
      <c r="A9594" s="2">
        <v>9589</v>
      </c>
      <c r="B9594" s="11" t="str">
        <f>"00476646"</f>
        <v>00476646</v>
      </c>
    </row>
    <row r="9595" spans="1:2" x14ac:dyDescent="0.25">
      <c r="A9595" s="2">
        <v>9590</v>
      </c>
      <c r="B9595" s="11" t="str">
        <f>"00476656"</f>
        <v>00476656</v>
      </c>
    </row>
    <row r="9596" spans="1:2" x14ac:dyDescent="0.25">
      <c r="A9596" s="2">
        <v>9591</v>
      </c>
      <c r="B9596" s="11" t="str">
        <f>"00476740"</f>
        <v>00476740</v>
      </c>
    </row>
    <row r="9597" spans="1:2" x14ac:dyDescent="0.25">
      <c r="A9597" s="2">
        <v>9592</v>
      </c>
      <c r="B9597" s="11" t="str">
        <f>"00476741"</f>
        <v>00476741</v>
      </c>
    </row>
    <row r="9598" spans="1:2" x14ac:dyDescent="0.25">
      <c r="A9598" s="2">
        <v>9593</v>
      </c>
      <c r="B9598" s="11" t="str">
        <f>"00476793"</f>
        <v>00476793</v>
      </c>
    </row>
    <row r="9599" spans="1:2" x14ac:dyDescent="0.25">
      <c r="A9599" s="2">
        <v>9594</v>
      </c>
      <c r="B9599" s="11" t="str">
        <f>"00476825"</f>
        <v>00476825</v>
      </c>
    </row>
    <row r="9600" spans="1:2" x14ac:dyDescent="0.25">
      <c r="A9600" s="2">
        <v>9595</v>
      </c>
      <c r="B9600" s="11" t="str">
        <f>"00476904"</f>
        <v>00476904</v>
      </c>
    </row>
    <row r="9601" spans="1:2" x14ac:dyDescent="0.25">
      <c r="A9601" s="2">
        <v>9596</v>
      </c>
      <c r="B9601" s="11" t="str">
        <f>"00476905"</f>
        <v>00476905</v>
      </c>
    </row>
    <row r="9602" spans="1:2" x14ac:dyDescent="0.25">
      <c r="A9602" s="2">
        <v>9597</v>
      </c>
      <c r="B9602" s="11" t="str">
        <f>"00476974"</f>
        <v>00476974</v>
      </c>
    </row>
    <row r="9603" spans="1:2" x14ac:dyDescent="0.25">
      <c r="A9603" s="2">
        <v>9598</v>
      </c>
      <c r="B9603" s="11" t="str">
        <f>"00476991"</f>
        <v>00476991</v>
      </c>
    </row>
    <row r="9604" spans="1:2" x14ac:dyDescent="0.25">
      <c r="A9604" s="2">
        <v>9599</v>
      </c>
      <c r="B9604" s="11" t="str">
        <f>"00477115"</f>
        <v>00477115</v>
      </c>
    </row>
    <row r="9605" spans="1:2" x14ac:dyDescent="0.25">
      <c r="A9605" s="2">
        <v>9600</v>
      </c>
      <c r="B9605" s="11" t="str">
        <f>"00477139"</f>
        <v>00477139</v>
      </c>
    </row>
    <row r="9606" spans="1:2" x14ac:dyDescent="0.25">
      <c r="A9606" s="2">
        <v>9601</v>
      </c>
      <c r="B9606" s="11" t="str">
        <f>"00477237"</f>
        <v>00477237</v>
      </c>
    </row>
    <row r="9607" spans="1:2" x14ac:dyDescent="0.25">
      <c r="A9607" s="2">
        <v>9602</v>
      </c>
      <c r="B9607" s="11" t="str">
        <f>"00477262"</f>
        <v>00477262</v>
      </c>
    </row>
    <row r="9608" spans="1:2" x14ac:dyDescent="0.25">
      <c r="A9608" s="2">
        <v>9603</v>
      </c>
      <c r="B9608" s="11" t="str">
        <f>"00477351"</f>
        <v>00477351</v>
      </c>
    </row>
    <row r="9609" spans="1:2" x14ac:dyDescent="0.25">
      <c r="A9609" s="2">
        <v>9604</v>
      </c>
      <c r="B9609" s="11" t="str">
        <f>"00477399"</f>
        <v>00477399</v>
      </c>
    </row>
    <row r="9610" spans="1:2" x14ac:dyDescent="0.25">
      <c r="A9610" s="2">
        <v>9605</v>
      </c>
      <c r="B9610" s="11" t="str">
        <f>"00477407"</f>
        <v>00477407</v>
      </c>
    </row>
    <row r="9611" spans="1:2" x14ac:dyDescent="0.25">
      <c r="A9611" s="2">
        <v>9606</v>
      </c>
      <c r="B9611" s="11" t="str">
        <f>"00477425"</f>
        <v>00477425</v>
      </c>
    </row>
    <row r="9612" spans="1:2" x14ac:dyDescent="0.25">
      <c r="A9612" s="2">
        <v>9607</v>
      </c>
      <c r="B9612" s="11" t="str">
        <f>"00477457"</f>
        <v>00477457</v>
      </c>
    </row>
    <row r="9613" spans="1:2" x14ac:dyDescent="0.25">
      <c r="A9613" s="2">
        <v>9608</v>
      </c>
      <c r="B9613" s="11" t="str">
        <f>"00477505"</f>
        <v>00477505</v>
      </c>
    </row>
    <row r="9614" spans="1:2" x14ac:dyDescent="0.25">
      <c r="A9614" s="2">
        <v>9609</v>
      </c>
      <c r="B9614" s="11" t="str">
        <f>"00477550"</f>
        <v>00477550</v>
      </c>
    </row>
    <row r="9615" spans="1:2" x14ac:dyDescent="0.25">
      <c r="A9615" s="2">
        <v>9610</v>
      </c>
      <c r="B9615" s="11" t="str">
        <f>"00477589"</f>
        <v>00477589</v>
      </c>
    </row>
    <row r="9616" spans="1:2" x14ac:dyDescent="0.25">
      <c r="A9616" s="2">
        <v>9611</v>
      </c>
      <c r="B9616" s="11" t="str">
        <f>"00477600"</f>
        <v>00477600</v>
      </c>
    </row>
    <row r="9617" spans="1:2" x14ac:dyDescent="0.25">
      <c r="A9617" s="2">
        <v>9612</v>
      </c>
      <c r="B9617" s="11" t="str">
        <f>"00477643"</f>
        <v>00477643</v>
      </c>
    </row>
    <row r="9618" spans="1:2" x14ac:dyDescent="0.25">
      <c r="A9618" s="2">
        <v>9613</v>
      </c>
      <c r="B9618" s="11" t="str">
        <f>"00477660"</f>
        <v>00477660</v>
      </c>
    </row>
    <row r="9619" spans="1:2" x14ac:dyDescent="0.25">
      <c r="A9619" s="2">
        <v>9614</v>
      </c>
      <c r="B9619" s="11" t="str">
        <f>"00477679"</f>
        <v>00477679</v>
      </c>
    </row>
    <row r="9620" spans="1:2" x14ac:dyDescent="0.25">
      <c r="A9620" s="2">
        <v>9615</v>
      </c>
      <c r="B9620" s="11" t="str">
        <f>"00477681"</f>
        <v>00477681</v>
      </c>
    </row>
    <row r="9621" spans="1:2" x14ac:dyDescent="0.25">
      <c r="A9621" s="2">
        <v>9616</v>
      </c>
      <c r="B9621" s="11" t="str">
        <f>"00477728"</f>
        <v>00477728</v>
      </c>
    </row>
    <row r="9622" spans="1:2" x14ac:dyDescent="0.25">
      <c r="A9622" s="2">
        <v>9617</v>
      </c>
      <c r="B9622" s="11" t="str">
        <f>"00477826"</f>
        <v>00477826</v>
      </c>
    </row>
    <row r="9623" spans="1:2" x14ac:dyDescent="0.25">
      <c r="A9623" s="2">
        <v>9618</v>
      </c>
      <c r="B9623" s="11" t="str">
        <f>"00477874"</f>
        <v>00477874</v>
      </c>
    </row>
    <row r="9624" spans="1:2" x14ac:dyDescent="0.25">
      <c r="A9624" s="2">
        <v>9619</v>
      </c>
      <c r="B9624" s="11" t="str">
        <f>"00477889"</f>
        <v>00477889</v>
      </c>
    </row>
    <row r="9625" spans="1:2" x14ac:dyDescent="0.25">
      <c r="A9625" s="2">
        <v>9620</v>
      </c>
      <c r="B9625" s="11" t="str">
        <f>"00477890"</f>
        <v>00477890</v>
      </c>
    </row>
    <row r="9626" spans="1:2" x14ac:dyDescent="0.25">
      <c r="A9626" s="2">
        <v>9621</v>
      </c>
      <c r="B9626" s="11" t="str">
        <f>"00477895"</f>
        <v>00477895</v>
      </c>
    </row>
    <row r="9627" spans="1:2" x14ac:dyDescent="0.25">
      <c r="A9627" s="2">
        <v>9622</v>
      </c>
      <c r="B9627" s="11" t="str">
        <f>"00477905"</f>
        <v>00477905</v>
      </c>
    </row>
    <row r="9628" spans="1:2" x14ac:dyDescent="0.25">
      <c r="A9628" s="2">
        <v>9623</v>
      </c>
      <c r="B9628" s="11" t="str">
        <f>"00477949"</f>
        <v>00477949</v>
      </c>
    </row>
    <row r="9629" spans="1:2" x14ac:dyDescent="0.25">
      <c r="A9629" s="2">
        <v>9624</v>
      </c>
      <c r="B9629" s="11" t="str">
        <f>"00477950"</f>
        <v>00477950</v>
      </c>
    </row>
    <row r="9630" spans="1:2" x14ac:dyDescent="0.25">
      <c r="A9630" s="2">
        <v>9625</v>
      </c>
      <c r="B9630" s="11" t="str">
        <f>"00478016"</f>
        <v>00478016</v>
      </c>
    </row>
    <row r="9631" spans="1:2" x14ac:dyDescent="0.25">
      <c r="A9631" s="2">
        <v>9626</v>
      </c>
      <c r="B9631" s="11" t="str">
        <f>"00478036"</f>
        <v>00478036</v>
      </c>
    </row>
    <row r="9632" spans="1:2" x14ac:dyDescent="0.25">
      <c r="A9632" s="2">
        <v>9627</v>
      </c>
      <c r="B9632" s="11" t="str">
        <f>"00478129"</f>
        <v>00478129</v>
      </c>
    </row>
    <row r="9633" spans="1:2" x14ac:dyDescent="0.25">
      <c r="A9633" s="2">
        <v>9628</v>
      </c>
      <c r="B9633" s="11" t="str">
        <f>"00478192"</f>
        <v>00478192</v>
      </c>
    </row>
    <row r="9634" spans="1:2" x14ac:dyDescent="0.25">
      <c r="A9634" s="2">
        <v>9629</v>
      </c>
      <c r="B9634" s="11" t="str">
        <f>"00478201"</f>
        <v>00478201</v>
      </c>
    </row>
    <row r="9635" spans="1:2" x14ac:dyDescent="0.25">
      <c r="A9635" s="2">
        <v>9630</v>
      </c>
      <c r="B9635" s="11" t="str">
        <f>"00478203"</f>
        <v>00478203</v>
      </c>
    </row>
    <row r="9636" spans="1:2" x14ac:dyDescent="0.25">
      <c r="A9636" s="2">
        <v>9631</v>
      </c>
      <c r="B9636" s="11" t="str">
        <f>"00478212"</f>
        <v>00478212</v>
      </c>
    </row>
    <row r="9637" spans="1:2" x14ac:dyDescent="0.25">
      <c r="A9637" s="2">
        <v>9632</v>
      </c>
      <c r="B9637" s="11" t="str">
        <f>"00478216"</f>
        <v>00478216</v>
      </c>
    </row>
    <row r="9638" spans="1:2" x14ac:dyDescent="0.25">
      <c r="A9638" s="2">
        <v>9633</v>
      </c>
      <c r="B9638" s="11" t="str">
        <f>"00478261"</f>
        <v>00478261</v>
      </c>
    </row>
    <row r="9639" spans="1:2" x14ac:dyDescent="0.25">
      <c r="A9639" s="2">
        <v>9634</v>
      </c>
      <c r="B9639" s="11" t="str">
        <f>"00478275"</f>
        <v>00478275</v>
      </c>
    </row>
    <row r="9640" spans="1:2" x14ac:dyDescent="0.25">
      <c r="A9640" s="2">
        <v>9635</v>
      </c>
      <c r="B9640" s="11" t="str">
        <f>"00478377"</f>
        <v>00478377</v>
      </c>
    </row>
    <row r="9641" spans="1:2" x14ac:dyDescent="0.25">
      <c r="A9641" s="2">
        <v>9636</v>
      </c>
      <c r="B9641" s="11" t="str">
        <f>"00478431"</f>
        <v>00478431</v>
      </c>
    </row>
    <row r="9642" spans="1:2" x14ac:dyDescent="0.25">
      <c r="A9642" s="2">
        <v>9637</v>
      </c>
      <c r="B9642" s="11" t="str">
        <f>"00478456"</f>
        <v>00478456</v>
      </c>
    </row>
    <row r="9643" spans="1:2" x14ac:dyDescent="0.25">
      <c r="A9643" s="2">
        <v>9638</v>
      </c>
      <c r="B9643" s="11" t="str">
        <f>"00478495"</f>
        <v>00478495</v>
      </c>
    </row>
    <row r="9644" spans="1:2" x14ac:dyDescent="0.25">
      <c r="A9644" s="2">
        <v>9639</v>
      </c>
      <c r="B9644" s="11" t="str">
        <f>"00478553"</f>
        <v>00478553</v>
      </c>
    </row>
    <row r="9645" spans="1:2" x14ac:dyDescent="0.25">
      <c r="A9645" s="2">
        <v>9640</v>
      </c>
      <c r="B9645" s="11" t="str">
        <f>"00478685"</f>
        <v>00478685</v>
      </c>
    </row>
    <row r="9646" spans="1:2" x14ac:dyDescent="0.25">
      <c r="A9646" s="2">
        <v>9641</v>
      </c>
      <c r="B9646" s="11" t="str">
        <f>"00478699"</f>
        <v>00478699</v>
      </c>
    </row>
    <row r="9647" spans="1:2" x14ac:dyDescent="0.25">
      <c r="A9647" s="2">
        <v>9642</v>
      </c>
      <c r="B9647" s="11" t="str">
        <f>"00478703"</f>
        <v>00478703</v>
      </c>
    </row>
    <row r="9648" spans="1:2" x14ac:dyDescent="0.25">
      <c r="A9648" s="2">
        <v>9643</v>
      </c>
      <c r="B9648" s="11" t="str">
        <f>"00478706"</f>
        <v>00478706</v>
      </c>
    </row>
    <row r="9649" spans="1:2" x14ac:dyDescent="0.25">
      <c r="A9649" s="2">
        <v>9644</v>
      </c>
      <c r="B9649" s="11" t="str">
        <f>"00478711"</f>
        <v>00478711</v>
      </c>
    </row>
    <row r="9650" spans="1:2" x14ac:dyDescent="0.25">
      <c r="A9650" s="2">
        <v>9645</v>
      </c>
      <c r="B9650" s="11" t="str">
        <f>"00478752"</f>
        <v>00478752</v>
      </c>
    </row>
    <row r="9651" spans="1:2" x14ac:dyDescent="0.25">
      <c r="A9651" s="2">
        <v>9646</v>
      </c>
      <c r="B9651" s="11" t="str">
        <f>"00478795"</f>
        <v>00478795</v>
      </c>
    </row>
    <row r="9652" spans="1:2" x14ac:dyDescent="0.25">
      <c r="A9652" s="2">
        <v>9647</v>
      </c>
      <c r="B9652" s="11" t="str">
        <f>"00478796"</f>
        <v>00478796</v>
      </c>
    </row>
    <row r="9653" spans="1:2" x14ac:dyDescent="0.25">
      <c r="A9653" s="2">
        <v>9648</v>
      </c>
      <c r="B9653" s="11" t="str">
        <f>"00478810"</f>
        <v>00478810</v>
      </c>
    </row>
    <row r="9654" spans="1:2" x14ac:dyDescent="0.25">
      <c r="A9654" s="2">
        <v>9649</v>
      </c>
      <c r="B9654" s="11" t="str">
        <f>"00478853"</f>
        <v>00478853</v>
      </c>
    </row>
    <row r="9655" spans="1:2" x14ac:dyDescent="0.25">
      <c r="A9655" s="2">
        <v>9650</v>
      </c>
      <c r="B9655" s="11" t="str">
        <f>"00478882"</f>
        <v>00478882</v>
      </c>
    </row>
    <row r="9656" spans="1:2" x14ac:dyDescent="0.25">
      <c r="A9656" s="2">
        <v>9651</v>
      </c>
      <c r="B9656" s="11" t="str">
        <f>"00478931"</f>
        <v>00478931</v>
      </c>
    </row>
    <row r="9657" spans="1:2" x14ac:dyDescent="0.25">
      <c r="A9657" s="2">
        <v>9652</v>
      </c>
      <c r="B9657" s="11" t="str">
        <f>"00478995"</f>
        <v>00478995</v>
      </c>
    </row>
    <row r="9658" spans="1:2" x14ac:dyDescent="0.25">
      <c r="A9658" s="2">
        <v>9653</v>
      </c>
      <c r="B9658" s="11" t="str">
        <f>"00479005"</f>
        <v>00479005</v>
      </c>
    </row>
    <row r="9659" spans="1:2" x14ac:dyDescent="0.25">
      <c r="A9659" s="2">
        <v>9654</v>
      </c>
      <c r="B9659" s="11" t="str">
        <f>"00479040"</f>
        <v>00479040</v>
      </c>
    </row>
    <row r="9660" spans="1:2" x14ac:dyDescent="0.25">
      <c r="A9660" s="2">
        <v>9655</v>
      </c>
      <c r="B9660" s="11" t="str">
        <f>"00479049"</f>
        <v>00479049</v>
      </c>
    </row>
    <row r="9661" spans="1:2" x14ac:dyDescent="0.25">
      <c r="A9661" s="2">
        <v>9656</v>
      </c>
      <c r="B9661" s="11" t="str">
        <f>"00479153"</f>
        <v>00479153</v>
      </c>
    </row>
    <row r="9662" spans="1:2" x14ac:dyDescent="0.25">
      <c r="A9662" s="2">
        <v>9657</v>
      </c>
      <c r="B9662" s="11" t="str">
        <f>"00479234"</f>
        <v>00479234</v>
      </c>
    </row>
    <row r="9663" spans="1:2" x14ac:dyDescent="0.25">
      <c r="A9663" s="2">
        <v>9658</v>
      </c>
      <c r="B9663" s="11" t="str">
        <f>"00479362"</f>
        <v>00479362</v>
      </c>
    </row>
    <row r="9664" spans="1:2" x14ac:dyDescent="0.25">
      <c r="A9664" s="2">
        <v>9659</v>
      </c>
      <c r="B9664" s="11" t="str">
        <f>"00479434"</f>
        <v>00479434</v>
      </c>
    </row>
    <row r="9665" spans="1:2" x14ac:dyDescent="0.25">
      <c r="A9665" s="2">
        <v>9660</v>
      </c>
      <c r="B9665" s="11" t="str">
        <f>"00479444"</f>
        <v>00479444</v>
      </c>
    </row>
    <row r="9666" spans="1:2" x14ac:dyDescent="0.25">
      <c r="A9666" s="2">
        <v>9661</v>
      </c>
      <c r="B9666" s="11" t="str">
        <f>"00479465"</f>
        <v>00479465</v>
      </c>
    </row>
    <row r="9667" spans="1:2" x14ac:dyDescent="0.25">
      <c r="A9667" s="2">
        <v>9662</v>
      </c>
      <c r="B9667" s="11" t="str">
        <f>"00479547"</f>
        <v>00479547</v>
      </c>
    </row>
    <row r="9668" spans="1:2" x14ac:dyDescent="0.25">
      <c r="A9668" s="2">
        <v>9663</v>
      </c>
      <c r="B9668" s="11" t="str">
        <f>"00479576"</f>
        <v>00479576</v>
      </c>
    </row>
    <row r="9669" spans="1:2" x14ac:dyDescent="0.25">
      <c r="A9669" s="2">
        <v>9664</v>
      </c>
      <c r="B9669" s="11" t="str">
        <f>"00479592"</f>
        <v>00479592</v>
      </c>
    </row>
    <row r="9670" spans="1:2" x14ac:dyDescent="0.25">
      <c r="A9670" s="2">
        <v>9665</v>
      </c>
      <c r="B9670" s="11" t="str">
        <f>"00479666"</f>
        <v>00479666</v>
      </c>
    </row>
    <row r="9671" spans="1:2" x14ac:dyDescent="0.25">
      <c r="A9671" s="2">
        <v>9666</v>
      </c>
      <c r="B9671" s="11" t="str">
        <f>"00479672"</f>
        <v>00479672</v>
      </c>
    </row>
    <row r="9672" spans="1:2" x14ac:dyDescent="0.25">
      <c r="A9672" s="2">
        <v>9667</v>
      </c>
      <c r="B9672" s="11" t="str">
        <f>"00479688"</f>
        <v>00479688</v>
      </c>
    </row>
    <row r="9673" spans="1:2" x14ac:dyDescent="0.25">
      <c r="A9673" s="2">
        <v>9668</v>
      </c>
      <c r="B9673" s="11" t="str">
        <f>"00479690"</f>
        <v>00479690</v>
      </c>
    </row>
    <row r="9674" spans="1:2" x14ac:dyDescent="0.25">
      <c r="A9674" s="2">
        <v>9669</v>
      </c>
      <c r="B9674" s="11" t="str">
        <f>"00479702"</f>
        <v>00479702</v>
      </c>
    </row>
    <row r="9675" spans="1:2" x14ac:dyDescent="0.25">
      <c r="A9675" s="2">
        <v>9670</v>
      </c>
      <c r="B9675" s="11" t="str">
        <f>"00479804"</f>
        <v>00479804</v>
      </c>
    </row>
    <row r="9676" spans="1:2" x14ac:dyDescent="0.25">
      <c r="A9676" s="2">
        <v>9671</v>
      </c>
      <c r="B9676" s="11" t="str">
        <f>"00479813"</f>
        <v>00479813</v>
      </c>
    </row>
    <row r="9677" spans="1:2" x14ac:dyDescent="0.25">
      <c r="A9677" s="2">
        <v>9672</v>
      </c>
      <c r="B9677" s="11" t="str">
        <f>"00479885"</f>
        <v>00479885</v>
      </c>
    </row>
    <row r="9678" spans="1:2" x14ac:dyDescent="0.25">
      <c r="A9678" s="2">
        <v>9673</v>
      </c>
      <c r="B9678" s="11" t="str">
        <f>"00479940"</f>
        <v>00479940</v>
      </c>
    </row>
    <row r="9679" spans="1:2" x14ac:dyDescent="0.25">
      <c r="A9679" s="2">
        <v>9674</v>
      </c>
      <c r="B9679" s="11" t="str">
        <f>"00479969"</f>
        <v>00479969</v>
      </c>
    </row>
    <row r="9680" spans="1:2" x14ac:dyDescent="0.25">
      <c r="A9680" s="2">
        <v>9675</v>
      </c>
      <c r="B9680" s="11" t="str">
        <f>"00480014"</f>
        <v>00480014</v>
      </c>
    </row>
    <row r="9681" spans="1:2" x14ac:dyDescent="0.25">
      <c r="A9681" s="2">
        <v>9676</v>
      </c>
      <c r="B9681" s="11" t="str">
        <f>"00480259"</f>
        <v>00480259</v>
      </c>
    </row>
    <row r="9682" spans="1:2" x14ac:dyDescent="0.25">
      <c r="A9682" s="2">
        <v>9677</v>
      </c>
      <c r="B9682" s="11" t="str">
        <f>"00480312"</f>
        <v>00480312</v>
      </c>
    </row>
    <row r="9683" spans="1:2" x14ac:dyDescent="0.25">
      <c r="A9683" s="2">
        <v>9678</v>
      </c>
      <c r="B9683" s="11" t="str">
        <f>"00480317"</f>
        <v>00480317</v>
      </c>
    </row>
    <row r="9684" spans="1:2" x14ac:dyDescent="0.25">
      <c r="A9684" s="2">
        <v>9679</v>
      </c>
      <c r="B9684" s="11" t="str">
        <f>"00480431"</f>
        <v>00480431</v>
      </c>
    </row>
    <row r="9685" spans="1:2" x14ac:dyDescent="0.25">
      <c r="A9685" s="2">
        <v>9680</v>
      </c>
      <c r="B9685" s="11" t="str">
        <f>"00480436"</f>
        <v>00480436</v>
      </c>
    </row>
    <row r="9686" spans="1:2" x14ac:dyDescent="0.25">
      <c r="A9686" s="2">
        <v>9681</v>
      </c>
      <c r="B9686" s="11" t="str">
        <f>"00480470"</f>
        <v>00480470</v>
      </c>
    </row>
    <row r="9687" spans="1:2" x14ac:dyDescent="0.25">
      <c r="A9687" s="2">
        <v>9682</v>
      </c>
      <c r="B9687" s="11" t="str">
        <f>"00480577"</f>
        <v>00480577</v>
      </c>
    </row>
    <row r="9688" spans="1:2" x14ac:dyDescent="0.25">
      <c r="A9688" s="2">
        <v>9683</v>
      </c>
      <c r="B9688" s="11" t="str">
        <f>"00480720"</f>
        <v>00480720</v>
      </c>
    </row>
    <row r="9689" spans="1:2" x14ac:dyDescent="0.25">
      <c r="A9689" s="2">
        <v>9684</v>
      </c>
      <c r="B9689" s="11" t="str">
        <f>"00480769"</f>
        <v>00480769</v>
      </c>
    </row>
    <row r="9690" spans="1:2" x14ac:dyDescent="0.25">
      <c r="A9690" s="2">
        <v>9685</v>
      </c>
      <c r="B9690" s="11" t="str">
        <f>"00480808"</f>
        <v>00480808</v>
      </c>
    </row>
    <row r="9691" spans="1:2" x14ac:dyDescent="0.25">
      <c r="A9691" s="2">
        <v>9686</v>
      </c>
      <c r="B9691" s="11" t="str">
        <f>"00480841"</f>
        <v>00480841</v>
      </c>
    </row>
    <row r="9692" spans="1:2" x14ac:dyDescent="0.25">
      <c r="A9692" s="2">
        <v>9687</v>
      </c>
      <c r="B9692" s="11" t="str">
        <f>"00480914"</f>
        <v>00480914</v>
      </c>
    </row>
    <row r="9693" spans="1:2" x14ac:dyDescent="0.25">
      <c r="A9693" s="2">
        <v>9688</v>
      </c>
      <c r="B9693" s="11" t="str">
        <f>"00480961"</f>
        <v>00480961</v>
      </c>
    </row>
    <row r="9694" spans="1:2" x14ac:dyDescent="0.25">
      <c r="A9694" s="2">
        <v>9689</v>
      </c>
      <c r="B9694" s="11" t="str">
        <f>"00481050"</f>
        <v>00481050</v>
      </c>
    </row>
    <row r="9695" spans="1:2" x14ac:dyDescent="0.25">
      <c r="A9695" s="2">
        <v>9690</v>
      </c>
      <c r="B9695" s="11" t="str">
        <f>"00481066"</f>
        <v>00481066</v>
      </c>
    </row>
    <row r="9696" spans="1:2" x14ac:dyDescent="0.25">
      <c r="A9696" s="2">
        <v>9691</v>
      </c>
      <c r="B9696" s="11" t="str">
        <f>"00481118"</f>
        <v>00481118</v>
      </c>
    </row>
    <row r="9697" spans="1:2" x14ac:dyDescent="0.25">
      <c r="A9697" s="2">
        <v>9692</v>
      </c>
      <c r="B9697" s="11" t="str">
        <f>"00481147"</f>
        <v>00481147</v>
      </c>
    </row>
    <row r="9698" spans="1:2" x14ac:dyDescent="0.25">
      <c r="A9698" s="2">
        <v>9693</v>
      </c>
      <c r="B9698" s="11" t="str">
        <f>"00481207"</f>
        <v>00481207</v>
      </c>
    </row>
    <row r="9699" spans="1:2" x14ac:dyDescent="0.25">
      <c r="A9699" s="2">
        <v>9694</v>
      </c>
      <c r="B9699" s="11" t="str">
        <f>"00481280"</f>
        <v>00481280</v>
      </c>
    </row>
    <row r="9700" spans="1:2" x14ac:dyDescent="0.25">
      <c r="A9700" s="2">
        <v>9695</v>
      </c>
      <c r="B9700" s="11" t="str">
        <f>"00481421"</f>
        <v>00481421</v>
      </c>
    </row>
    <row r="9701" spans="1:2" x14ac:dyDescent="0.25">
      <c r="A9701" s="2">
        <v>9696</v>
      </c>
      <c r="B9701" s="11" t="str">
        <f>"00481468"</f>
        <v>00481468</v>
      </c>
    </row>
    <row r="9702" spans="1:2" x14ac:dyDescent="0.25">
      <c r="A9702" s="2">
        <v>9697</v>
      </c>
      <c r="B9702" s="11" t="str">
        <f>"00481481"</f>
        <v>00481481</v>
      </c>
    </row>
    <row r="9703" spans="1:2" x14ac:dyDescent="0.25">
      <c r="A9703" s="2">
        <v>9698</v>
      </c>
      <c r="B9703" s="11" t="str">
        <f>"00481541"</f>
        <v>00481541</v>
      </c>
    </row>
    <row r="9704" spans="1:2" x14ac:dyDescent="0.25">
      <c r="A9704" s="2">
        <v>9699</v>
      </c>
      <c r="B9704" s="11" t="str">
        <f>"00481585"</f>
        <v>00481585</v>
      </c>
    </row>
    <row r="9705" spans="1:2" x14ac:dyDescent="0.25">
      <c r="A9705" s="2">
        <v>9700</v>
      </c>
      <c r="B9705" s="11" t="str">
        <f>"00481591"</f>
        <v>00481591</v>
      </c>
    </row>
    <row r="9706" spans="1:2" x14ac:dyDescent="0.25">
      <c r="A9706" s="2">
        <v>9701</v>
      </c>
      <c r="B9706" s="11" t="str">
        <f>"00481593"</f>
        <v>00481593</v>
      </c>
    </row>
    <row r="9707" spans="1:2" x14ac:dyDescent="0.25">
      <c r="A9707" s="2">
        <v>9702</v>
      </c>
      <c r="B9707" s="11" t="str">
        <f>"00481677"</f>
        <v>00481677</v>
      </c>
    </row>
    <row r="9708" spans="1:2" x14ac:dyDescent="0.25">
      <c r="A9708" s="2">
        <v>9703</v>
      </c>
      <c r="B9708" s="11" t="str">
        <f>"00481723"</f>
        <v>00481723</v>
      </c>
    </row>
    <row r="9709" spans="1:2" x14ac:dyDescent="0.25">
      <c r="A9709" s="2">
        <v>9704</v>
      </c>
      <c r="B9709" s="11" t="str">
        <f>"00481747"</f>
        <v>00481747</v>
      </c>
    </row>
    <row r="9710" spans="1:2" x14ac:dyDescent="0.25">
      <c r="A9710" s="2">
        <v>9705</v>
      </c>
      <c r="B9710" s="11" t="str">
        <f>"00481770"</f>
        <v>00481770</v>
      </c>
    </row>
    <row r="9711" spans="1:2" x14ac:dyDescent="0.25">
      <c r="A9711" s="2">
        <v>9706</v>
      </c>
      <c r="B9711" s="11" t="str">
        <f>"00481813"</f>
        <v>00481813</v>
      </c>
    </row>
    <row r="9712" spans="1:2" x14ac:dyDescent="0.25">
      <c r="A9712" s="2">
        <v>9707</v>
      </c>
      <c r="B9712" s="11" t="str">
        <f>"00481901"</f>
        <v>00481901</v>
      </c>
    </row>
    <row r="9713" spans="1:2" x14ac:dyDescent="0.25">
      <c r="A9713" s="2">
        <v>9708</v>
      </c>
      <c r="B9713" s="11" t="str">
        <f>"00481964"</f>
        <v>00481964</v>
      </c>
    </row>
    <row r="9714" spans="1:2" x14ac:dyDescent="0.25">
      <c r="A9714" s="2">
        <v>9709</v>
      </c>
      <c r="B9714" s="11" t="str">
        <f>"00482046"</f>
        <v>00482046</v>
      </c>
    </row>
    <row r="9715" spans="1:2" x14ac:dyDescent="0.25">
      <c r="A9715" s="2">
        <v>9710</v>
      </c>
      <c r="B9715" s="11" t="str">
        <f>"00482074"</f>
        <v>00482074</v>
      </c>
    </row>
    <row r="9716" spans="1:2" x14ac:dyDescent="0.25">
      <c r="A9716" s="2">
        <v>9711</v>
      </c>
      <c r="B9716" s="11" t="str">
        <f>"00482160"</f>
        <v>00482160</v>
      </c>
    </row>
    <row r="9717" spans="1:2" x14ac:dyDescent="0.25">
      <c r="A9717" s="2">
        <v>9712</v>
      </c>
      <c r="B9717" s="11" t="str">
        <f>"00482202"</f>
        <v>00482202</v>
      </c>
    </row>
    <row r="9718" spans="1:2" x14ac:dyDescent="0.25">
      <c r="A9718" s="2">
        <v>9713</v>
      </c>
      <c r="B9718" s="11" t="str">
        <f>"00482229"</f>
        <v>00482229</v>
      </c>
    </row>
    <row r="9719" spans="1:2" x14ac:dyDescent="0.25">
      <c r="A9719" s="2">
        <v>9714</v>
      </c>
      <c r="B9719" s="11" t="str">
        <f>"00482261"</f>
        <v>00482261</v>
      </c>
    </row>
    <row r="9720" spans="1:2" x14ac:dyDescent="0.25">
      <c r="A9720" s="2">
        <v>9715</v>
      </c>
      <c r="B9720" s="11" t="str">
        <f>"00482282"</f>
        <v>00482282</v>
      </c>
    </row>
    <row r="9721" spans="1:2" x14ac:dyDescent="0.25">
      <c r="A9721" s="2">
        <v>9716</v>
      </c>
      <c r="B9721" s="11" t="str">
        <f>"00482326"</f>
        <v>00482326</v>
      </c>
    </row>
    <row r="9722" spans="1:2" x14ac:dyDescent="0.25">
      <c r="A9722" s="2">
        <v>9717</v>
      </c>
      <c r="B9722" s="11" t="str">
        <f>"00482364"</f>
        <v>00482364</v>
      </c>
    </row>
    <row r="9723" spans="1:2" x14ac:dyDescent="0.25">
      <c r="A9723" s="2">
        <v>9718</v>
      </c>
      <c r="B9723" s="11" t="str">
        <f>"00482563"</f>
        <v>00482563</v>
      </c>
    </row>
    <row r="9724" spans="1:2" x14ac:dyDescent="0.25">
      <c r="A9724" s="2">
        <v>9719</v>
      </c>
      <c r="B9724" s="11" t="str">
        <f>"00482565"</f>
        <v>00482565</v>
      </c>
    </row>
    <row r="9725" spans="1:2" x14ac:dyDescent="0.25">
      <c r="A9725" s="2">
        <v>9720</v>
      </c>
      <c r="B9725" s="11" t="str">
        <f>"00482593"</f>
        <v>00482593</v>
      </c>
    </row>
    <row r="9726" spans="1:2" x14ac:dyDescent="0.25">
      <c r="A9726" s="2">
        <v>9721</v>
      </c>
      <c r="B9726" s="11" t="str">
        <f>"00482600"</f>
        <v>00482600</v>
      </c>
    </row>
    <row r="9727" spans="1:2" x14ac:dyDescent="0.25">
      <c r="A9727" s="2">
        <v>9722</v>
      </c>
      <c r="B9727" s="11" t="str">
        <f>"00482602"</f>
        <v>00482602</v>
      </c>
    </row>
    <row r="9728" spans="1:2" x14ac:dyDescent="0.25">
      <c r="A9728" s="2">
        <v>9723</v>
      </c>
      <c r="B9728" s="11" t="str">
        <f>"00482617"</f>
        <v>00482617</v>
      </c>
    </row>
    <row r="9729" spans="1:2" x14ac:dyDescent="0.25">
      <c r="A9729" s="2">
        <v>9724</v>
      </c>
      <c r="B9729" s="11" t="str">
        <f>"00482657"</f>
        <v>00482657</v>
      </c>
    </row>
    <row r="9730" spans="1:2" x14ac:dyDescent="0.25">
      <c r="A9730" s="2">
        <v>9725</v>
      </c>
      <c r="B9730" s="11" t="str">
        <f>"00482704"</f>
        <v>00482704</v>
      </c>
    </row>
    <row r="9731" spans="1:2" x14ac:dyDescent="0.25">
      <c r="A9731" s="2">
        <v>9726</v>
      </c>
      <c r="B9731" s="11" t="str">
        <f>"00482810"</f>
        <v>00482810</v>
      </c>
    </row>
    <row r="9732" spans="1:2" x14ac:dyDescent="0.25">
      <c r="A9732" s="2">
        <v>9727</v>
      </c>
      <c r="B9732" s="11" t="str">
        <f>"00482885"</f>
        <v>00482885</v>
      </c>
    </row>
    <row r="9733" spans="1:2" x14ac:dyDescent="0.25">
      <c r="A9733" s="2">
        <v>9728</v>
      </c>
      <c r="B9733" s="11" t="str">
        <f>"00482908"</f>
        <v>00482908</v>
      </c>
    </row>
    <row r="9734" spans="1:2" x14ac:dyDescent="0.25">
      <c r="A9734" s="2">
        <v>9729</v>
      </c>
      <c r="B9734" s="11" t="str">
        <f>"00482969"</f>
        <v>00482969</v>
      </c>
    </row>
    <row r="9735" spans="1:2" x14ac:dyDescent="0.25">
      <c r="A9735" s="2">
        <v>9730</v>
      </c>
      <c r="B9735" s="11" t="str">
        <f>"00482979"</f>
        <v>00482979</v>
      </c>
    </row>
    <row r="9736" spans="1:2" x14ac:dyDescent="0.25">
      <c r="A9736" s="2">
        <v>9731</v>
      </c>
      <c r="B9736" s="11" t="str">
        <f>"00482995"</f>
        <v>00482995</v>
      </c>
    </row>
    <row r="9737" spans="1:2" x14ac:dyDescent="0.25">
      <c r="A9737" s="2">
        <v>9732</v>
      </c>
      <c r="B9737" s="11" t="str">
        <f>"00483002"</f>
        <v>00483002</v>
      </c>
    </row>
    <row r="9738" spans="1:2" x14ac:dyDescent="0.25">
      <c r="A9738" s="2">
        <v>9733</v>
      </c>
      <c r="B9738" s="11" t="str">
        <f>"00483036"</f>
        <v>00483036</v>
      </c>
    </row>
    <row r="9739" spans="1:2" x14ac:dyDescent="0.25">
      <c r="A9739" s="2">
        <v>9734</v>
      </c>
      <c r="B9739" s="11" t="str">
        <f>"00483092"</f>
        <v>00483092</v>
      </c>
    </row>
    <row r="9740" spans="1:2" x14ac:dyDescent="0.25">
      <c r="A9740" s="2">
        <v>9735</v>
      </c>
      <c r="B9740" s="11" t="str">
        <f>"00483126"</f>
        <v>00483126</v>
      </c>
    </row>
    <row r="9741" spans="1:2" x14ac:dyDescent="0.25">
      <c r="A9741" s="2">
        <v>9736</v>
      </c>
      <c r="B9741" s="11" t="str">
        <f>"00483179"</f>
        <v>00483179</v>
      </c>
    </row>
    <row r="9742" spans="1:2" x14ac:dyDescent="0.25">
      <c r="A9742" s="2">
        <v>9737</v>
      </c>
      <c r="B9742" s="11" t="str">
        <f>"00483181"</f>
        <v>00483181</v>
      </c>
    </row>
    <row r="9743" spans="1:2" x14ac:dyDescent="0.25">
      <c r="A9743" s="2">
        <v>9738</v>
      </c>
      <c r="B9743" s="11" t="str">
        <f>"00483208"</f>
        <v>00483208</v>
      </c>
    </row>
    <row r="9744" spans="1:2" x14ac:dyDescent="0.25">
      <c r="A9744" s="2">
        <v>9739</v>
      </c>
      <c r="B9744" s="11" t="str">
        <f>"00483212"</f>
        <v>00483212</v>
      </c>
    </row>
    <row r="9745" spans="1:2" x14ac:dyDescent="0.25">
      <c r="A9745" s="2">
        <v>9740</v>
      </c>
      <c r="B9745" s="11" t="str">
        <f>"00483389"</f>
        <v>00483389</v>
      </c>
    </row>
    <row r="9746" spans="1:2" x14ac:dyDescent="0.25">
      <c r="A9746" s="2">
        <v>9741</v>
      </c>
      <c r="B9746" s="11" t="str">
        <f>"00483613"</f>
        <v>00483613</v>
      </c>
    </row>
    <row r="9747" spans="1:2" x14ac:dyDescent="0.25">
      <c r="A9747" s="2">
        <v>9742</v>
      </c>
      <c r="B9747" s="11" t="str">
        <f>"00483627"</f>
        <v>00483627</v>
      </c>
    </row>
    <row r="9748" spans="1:2" x14ac:dyDescent="0.25">
      <c r="A9748" s="2">
        <v>9743</v>
      </c>
      <c r="B9748" s="11" t="str">
        <f>"00483633"</f>
        <v>00483633</v>
      </c>
    </row>
    <row r="9749" spans="1:2" x14ac:dyDescent="0.25">
      <c r="A9749" s="2">
        <v>9744</v>
      </c>
      <c r="B9749" s="11" t="str">
        <f>"00483802"</f>
        <v>00483802</v>
      </c>
    </row>
    <row r="9750" spans="1:2" x14ac:dyDescent="0.25">
      <c r="A9750" s="2">
        <v>9745</v>
      </c>
      <c r="B9750" s="11" t="str">
        <f>"00483881"</f>
        <v>00483881</v>
      </c>
    </row>
    <row r="9751" spans="1:2" x14ac:dyDescent="0.25">
      <c r="A9751" s="2">
        <v>9746</v>
      </c>
      <c r="B9751" s="11" t="str">
        <f>"00483913"</f>
        <v>00483913</v>
      </c>
    </row>
    <row r="9752" spans="1:2" x14ac:dyDescent="0.25">
      <c r="A9752" s="2">
        <v>9747</v>
      </c>
      <c r="B9752" s="11" t="str">
        <f>"00483938"</f>
        <v>00483938</v>
      </c>
    </row>
    <row r="9753" spans="1:2" x14ac:dyDescent="0.25">
      <c r="A9753" s="2">
        <v>9748</v>
      </c>
      <c r="B9753" s="11" t="str">
        <f>"00483955"</f>
        <v>00483955</v>
      </c>
    </row>
    <row r="9754" spans="1:2" x14ac:dyDescent="0.25">
      <c r="A9754" s="2">
        <v>9749</v>
      </c>
      <c r="B9754" s="11" t="str">
        <f>"00483964"</f>
        <v>00483964</v>
      </c>
    </row>
    <row r="9755" spans="1:2" x14ac:dyDescent="0.25">
      <c r="A9755" s="2">
        <v>9750</v>
      </c>
      <c r="B9755" s="11" t="str">
        <f>"00483982"</f>
        <v>00483982</v>
      </c>
    </row>
    <row r="9756" spans="1:2" x14ac:dyDescent="0.25">
      <c r="A9756" s="2">
        <v>9751</v>
      </c>
      <c r="B9756" s="11" t="str">
        <f>"00484011"</f>
        <v>00484011</v>
      </c>
    </row>
    <row r="9757" spans="1:2" x14ac:dyDescent="0.25">
      <c r="A9757" s="2">
        <v>9752</v>
      </c>
      <c r="B9757" s="11" t="str">
        <f>"00484056"</f>
        <v>00484056</v>
      </c>
    </row>
    <row r="9758" spans="1:2" x14ac:dyDescent="0.25">
      <c r="A9758" s="2">
        <v>9753</v>
      </c>
      <c r="B9758" s="11" t="str">
        <f>"00484076"</f>
        <v>00484076</v>
      </c>
    </row>
    <row r="9759" spans="1:2" x14ac:dyDescent="0.25">
      <c r="A9759" s="2">
        <v>9754</v>
      </c>
      <c r="B9759" s="11" t="str">
        <f>"00484092"</f>
        <v>00484092</v>
      </c>
    </row>
    <row r="9760" spans="1:2" x14ac:dyDescent="0.25">
      <c r="A9760" s="2">
        <v>9755</v>
      </c>
      <c r="B9760" s="11" t="str">
        <f>"00484116"</f>
        <v>00484116</v>
      </c>
    </row>
    <row r="9761" spans="1:2" x14ac:dyDescent="0.25">
      <c r="A9761" s="2">
        <v>9756</v>
      </c>
      <c r="B9761" s="11" t="str">
        <f>"00484184"</f>
        <v>00484184</v>
      </c>
    </row>
    <row r="9762" spans="1:2" x14ac:dyDescent="0.25">
      <c r="A9762" s="2">
        <v>9757</v>
      </c>
      <c r="B9762" s="11" t="str">
        <f>"00484192"</f>
        <v>00484192</v>
      </c>
    </row>
    <row r="9763" spans="1:2" x14ac:dyDescent="0.25">
      <c r="A9763" s="2">
        <v>9758</v>
      </c>
      <c r="B9763" s="11" t="str">
        <f>"00484253"</f>
        <v>00484253</v>
      </c>
    </row>
    <row r="9764" spans="1:2" x14ac:dyDescent="0.25">
      <c r="A9764" s="2">
        <v>9759</v>
      </c>
      <c r="B9764" s="11" t="str">
        <f>"00484291"</f>
        <v>00484291</v>
      </c>
    </row>
    <row r="9765" spans="1:2" x14ac:dyDescent="0.25">
      <c r="A9765" s="2">
        <v>9760</v>
      </c>
      <c r="B9765" s="11" t="str">
        <f>"00484360"</f>
        <v>00484360</v>
      </c>
    </row>
    <row r="9766" spans="1:2" x14ac:dyDescent="0.25">
      <c r="A9766" s="2">
        <v>9761</v>
      </c>
      <c r="B9766" s="11" t="str">
        <f>"00484439"</f>
        <v>00484439</v>
      </c>
    </row>
    <row r="9767" spans="1:2" x14ac:dyDescent="0.25">
      <c r="A9767" s="2">
        <v>9762</v>
      </c>
      <c r="B9767" s="11" t="str">
        <f>"00484471"</f>
        <v>00484471</v>
      </c>
    </row>
    <row r="9768" spans="1:2" x14ac:dyDescent="0.25">
      <c r="A9768" s="2">
        <v>9763</v>
      </c>
      <c r="B9768" s="11" t="str">
        <f>"00484496"</f>
        <v>00484496</v>
      </c>
    </row>
    <row r="9769" spans="1:2" x14ac:dyDescent="0.25">
      <c r="A9769" s="2">
        <v>9764</v>
      </c>
      <c r="B9769" s="11" t="str">
        <f>"00484512"</f>
        <v>00484512</v>
      </c>
    </row>
    <row r="9770" spans="1:2" x14ac:dyDescent="0.25">
      <c r="A9770" s="2">
        <v>9765</v>
      </c>
      <c r="B9770" s="11" t="str">
        <f>"00484516"</f>
        <v>00484516</v>
      </c>
    </row>
    <row r="9771" spans="1:2" x14ac:dyDescent="0.25">
      <c r="A9771" s="2">
        <v>9766</v>
      </c>
      <c r="B9771" s="11" t="str">
        <f>"00484538"</f>
        <v>00484538</v>
      </c>
    </row>
    <row r="9772" spans="1:2" x14ac:dyDescent="0.25">
      <c r="A9772" s="2">
        <v>9767</v>
      </c>
      <c r="B9772" s="11" t="str">
        <f>"00484599"</f>
        <v>00484599</v>
      </c>
    </row>
    <row r="9773" spans="1:2" x14ac:dyDescent="0.25">
      <c r="A9773" s="2">
        <v>9768</v>
      </c>
      <c r="B9773" s="11" t="str">
        <f>"00484623"</f>
        <v>00484623</v>
      </c>
    </row>
    <row r="9774" spans="1:2" x14ac:dyDescent="0.25">
      <c r="A9774" s="2">
        <v>9769</v>
      </c>
      <c r="B9774" s="11" t="str">
        <f>"00484670"</f>
        <v>00484670</v>
      </c>
    </row>
    <row r="9775" spans="1:2" x14ac:dyDescent="0.25">
      <c r="A9775" s="2">
        <v>9770</v>
      </c>
      <c r="B9775" s="11" t="str">
        <f>"00484680"</f>
        <v>00484680</v>
      </c>
    </row>
    <row r="9776" spans="1:2" x14ac:dyDescent="0.25">
      <c r="A9776" s="2">
        <v>9771</v>
      </c>
      <c r="B9776" s="11" t="str">
        <f>"00484721"</f>
        <v>00484721</v>
      </c>
    </row>
    <row r="9777" spans="1:2" x14ac:dyDescent="0.25">
      <c r="A9777" s="2">
        <v>9772</v>
      </c>
      <c r="B9777" s="11" t="str">
        <f>"00484726"</f>
        <v>00484726</v>
      </c>
    </row>
    <row r="9778" spans="1:2" x14ac:dyDescent="0.25">
      <c r="A9778" s="2">
        <v>9773</v>
      </c>
      <c r="B9778" s="11" t="str">
        <f>"00484744"</f>
        <v>00484744</v>
      </c>
    </row>
    <row r="9779" spans="1:2" x14ac:dyDescent="0.25">
      <c r="A9779" s="2">
        <v>9774</v>
      </c>
      <c r="B9779" s="11" t="str">
        <f>"00484768"</f>
        <v>00484768</v>
      </c>
    </row>
    <row r="9780" spans="1:2" x14ac:dyDescent="0.25">
      <c r="A9780" s="2">
        <v>9775</v>
      </c>
      <c r="B9780" s="11" t="str">
        <f>"00484770"</f>
        <v>00484770</v>
      </c>
    </row>
    <row r="9781" spans="1:2" x14ac:dyDescent="0.25">
      <c r="A9781" s="2">
        <v>9776</v>
      </c>
      <c r="B9781" s="11" t="str">
        <f>"00484818"</f>
        <v>00484818</v>
      </c>
    </row>
    <row r="9782" spans="1:2" x14ac:dyDescent="0.25">
      <c r="A9782" s="2">
        <v>9777</v>
      </c>
      <c r="B9782" s="11" t="str">
        <f>"00484876"</f>
        <v>00484876</v>
      </c>
    </row>
    <row r="9783" spans="1:2" x14ac:dyDescent="0.25">
      <c r="A9783" s="2">
        <v>9778</v>
      </c>
      <c r="B9783" s="11" t="str">
        <f>"00484945"</f>
        <v>00484945</v>
      </c>
    </row>
    <row r="9784" spans="1:2" x14ac:dyDescent="0.25">
      <c r="A9784" s="2">
        <v>9779</v>
      </c>
      <c r="B9784" s="11" t="str">
        <f>"00484969"</f>
        <v>00484969</v>
      </c>
    </row>
    <row r="9785" spans="1:2" x14ac:dyDescent="0.25">
      <c r="A9785" s="2">
        <v>9780</v>
      </c>
      <c r="B9785" s="11" t="str">
        <f>"00484974"</f>
        <v>00484974</v>
      </c>
    </row>
    <row r="9786" spans="1:2" x14ac:dyDescent="0.25">
      <c r="A9786" s="2">
        <v>9781</v>
      </c>
      <c r="B9786" s="11" t="str">
        <f>"00484985"</f>
        <v>00484985</v>
      </c>
    </row>
    <row r="9787" spans="1:2" x14ac:dyDescent="0.25">
      <c r="A9787" s="2">
        <v>9782</v>
      </c>
      <c r="B9787" s="11" t="str">
        <f>"00484997"</f>
        <v>00484997</v>
      </c>
    </row>
    <row r="9788" spans="1:2" x14ac:dyDescent="0.25">
      <c r="A9788" s="2">
        <v>9783</v>
      </c>
      <c r="B9788" s="11" t="str">
        <f>"00485008"</f>
        <v>00485008</v>
      </c>
    </row>
    <row r="9789" spans="1:2" x14ac:dyDescent="0.25">
      <c r="A9789" s="2">
        <v>9784</v>
      </c>
      <c r="B9789" s="11" t="str">
        <f>"00485039"</f>
        <v>00485039</v>
      </c>
    </row>
    <row r="9790" spans="1:2" x14ac:dyDescent="0.25">
      <c r="A9790" s="2">
        <v>9785</v>
      </c>
      <c r="B9790" s="11" t="str">
        <f>"00485054"</f>
        <v>00485054</v>
      </c>
    </row>
    <row r="9791" spans="1:2" x14ac:dyDescent="0.25">
      <c r="A9791" s="2">
        <v>9786</v>
      </c>
      <c r="B9791" s="11" t="str">
        <f>"00485089"</f>
        <v>00485089</v>
      </c>
    </row>
    <row r="9792" spans="1:2" x14ac:dyDescent="0.25">
      <c r="A9792" s="2">
        <v>9787</v>
      </c>
      <c r="B9792" s="11" t="str">
        <f>"00485090"</f>
        <v>00485090</v>
      </c>
    </row>
    <row r="9793" spans="1:2" x14ac:dyDescent="0.25">
      <c r="A9793" s="2">
        <v>9788</v>
      </c>
      <c r="B9793" s="11" t="str">
        <f>"00485128"</f>
        <v>00485128</v>
      </c>
    </row>
    <row r="9794" spans="1:2" x14ac:dyDescent="0.25">
      <c r="A9794" s="2">
        <v>9789</v>
      </c>
      <c r="B9794" s="11" t="str">
        <f>"00485139"</f>
        <v>00485139</v>
      </c>
    </row>
    <row r="9795" spans="1:2" x14ac:dyDescent="0.25">
      <c r="A9795" s="2">
        <v>9790</v>
      </c>
      <c r="B9795" s="11" t="str">
        <f>"00485140"</f>
        <v>00485140</v>
      </c>
    </row>
    <row r="9796" spans="1:2" x14ac:dyDescent="0.25">
      <c r="A9796" s="2">
        <v>9791</v>
      </c>
      <c r="B9796" s="11" t="str">
        <f>"00485173"</f>
        <v>00485173</v>
      </c>
    </row>
    <row r="9797" spans="1:2" x14ac:dyDescent="0.25">
      <c r="A9797" s="2">
        <v>9792</v>
      </c>
      <c r="B9797" s="11" t="str">
        <f>"00485222"</f>
        <v>00485222</v>
      </c>
    </row>
    <row r="9798" spans="1:2" x14ac:dyDescent="0.25">
      <c r="A9798" s="2">
        <v>9793</v>
      </c>
      <c r="B9798" s="11" t="str">
        <f>"00485229"</f>
        <v>00485229</v>
      </c>
    </row>
    <row r="9799" spans="1:2" x14ac:dyDescent="0.25">
      <c r="A9799" s="2">
        <v>9794</v>
      </c>
      <c r="B9799" s="11" t="str">
        <f>"00485238"</f>
        <v>00485238</v>
      </c>
    </row>
    <row r="9800" spans="1:2" x14ac:dyDescent="0.25">
      <c r="A9800" s="2">
        <v>9795</v>
      </c>
      <c r="B9800" s="11" t="str">
        <f>"00485245"</f>
        <v>00485245</v>
      </c>
    </row>
    <row r="9801" spans="1:2" x14ac:dyDescent="0.25">
      <c r="A9801" s="2">
        <v>9796</v>
      </c>
      <c r="B9801" s="11" t="str">
        <f>"00485259"</f>
        <v>00485259</v>
      </c>
    </row>
    <row r="9802" spans="1:2" x14ac:dyDescent="0.25">
      <c r="A9802" s="2">
        <v>9797</v>
      </c>
      <c r="B9802" s="11" t="str">
        <f>"00485282"</f>
        <v>00485282</v>
      </c>
    </row>
    <row r="9803" spans="1:2" x14ac:dyDescent="0.25">
      <c r="A9803" s="2">
        <v>9798</v>
      </c>
      <c r="B9803" s="11" t="str">
        <f>"00485314"</f>
        <v>00485314</v>
      </c>
    </row>
    <row r="9804" spans="1:2" x14ac:dyDescent="0.25">
      <c r="A9804" s="2">
        <v>9799</v>
      </c>
      <c r="B9804" s="11" t="str">
        <f>"00485326"</f>
        <v>00485326</v>
      </c>
    </row>
    <row r="9805" spans="1:2" x14ac:dyDescent="0.25">
      <c r="A9805" s="2">
        <v>9800</v>
      </c>
      <c r="B9805" s="11" t="str">
        <f>"00485374"</f>
        <v>00485374</v>
      </c>
    </row>
    <row r="9806" spans="1:2" x14ac:dyDescent="0.25">
      <c r="A9806" s="2">
        <v>9801</v>
      </c>
      <c r="B9806" s="11" t="str">
        <f>"00485386"</f>
        <v>00485386</v>
      </c>
    </row>
    <row r="9807" spans="1:2" x14ac:dyDescent="0.25">
      <c r="A9807" s="2">
        <v>9802</v>
      </c>
      <c r="B9807" s="11" t="str">
        <f>"00485470"</f>
        <v>00485470</v>
      </c>
    </row>
    <row r="9808" spans="1:2" x14ac:dyDescent="0.25">
      <c r="A9808" s="2">
        <v>9803</v>
      </c>
      <c r="B9808" s="11" t="str">
        <f>"00485563"</f>
        <v>00485563</v>
      </c>
    </row>
    <row r="9809" spans="1:2" x14ac:dyDescent="0.25">
      <c r="A9809" s="2">
        <v>9804</v>
      </c>
      <c r="B9809" s="11" t="str">
        <f>"00485588"</f>
        <v>00485588</v>
      </c>
    </row>
    <row r="9810" spans="1:2" x14ac:dyDescent="0.25">
      <c r="A9810" s="2">
        <v>9805</v>
      </c>
      <c r="B9810" s="11" t="str">
        <f>"00485689"</f>
        <v>00485689</v>
      </c>
    </row>
    <row r="9811" spans="1:2" x14ac:dyDescent="0.25">
      <c r="A9811" s="2">
        <v>9806</v>
      </c>
      <c r="B9811" s="11" t="str">
        <f>"00485722"</f>
        <v>00485722</v>
      </c>
    </row>
    <row r="9812" spans="1:2" x14ac:dyDescent="0.25">
      <c r="A9812" s="2">
        <v>9807</v>
      </c>
      <c r="B9812" s="11" t="str">
        <f>"00485743"</f>
        <v>00485743</v>
      </c>
    </row>
    <row r="9813" spans="1:2" x14ac:dyDescent="0.25">
      <c r="A9813" s="2">
        <v>9808</v>
      </c>
      <c r="B9813" s="11" t="str">
        <f>"00485744"</f>
        <v>00485744</v>
      </c>
    </row>
    <row r="9814" spans="1:2" x14ac:dyDescent="0.25">
      <c r="A9814" s="2">
        <v>9809</v>
      </c>
      <c r="B9814" s="11" t="str">
        <f>"00485759"</f>
        <v>00485759</v>
      </c>
    </row>
    <row r="9815" spans="1:2" x14ac:dyDescent="0.25">
      <c r="A9815" s="2">
        <v>9810</v>
      </c>
      <c r="B9815" s="11" t="str">
        <f>"00485805"</f>
        <v>00485805</v>
      </c>
    </row>
    <row r="9816" spans="1:2" x14ac:dyDescent="0.25">
      <c r="A9816" s="2">
        <v>9811</v>
      </c>
      <c r="B9816" s="11" t="str">
        <f>"00485872"</f>
        <v>00485872</v>
      </c>
    </row>
    <row r="9817" spans="1:2" x14ac:dyDescent="0.25">
      <c r="A9817" s="2">
        <v>9812</v>
      </c>
      <c r="B9817" s="11" t="str">
        <f>"00485877"</f>
        <v>00485877</v>
      </c>
    </row>
    <row r="9818" spans="1:2" x14ac:dyDescent="0.25">
      <c r="A9818" s="2">
        <v>9813</v>
      </c>
      <c r="B9818" s="11" t="str">
        <f>"00485915"</f>
        <v>00485915</v>
      </c>
    </row>
    <row r="9819" spans="1:2" x14ac:dyDescent="0.25">
      <c r="A9819" s="2">
        <v>9814</v>
      </c>
      <c r="B9819" s="11" t="str">
        <f>"00485916"</f>
        <v>00485916</v>
      </c>
    </row>
    <row r="9820" spans="1:2" x14ac:dyDescent="0.25">
      <c r="A9820" s="2">
        <v>9815</v>
      </c>
      <c r="B9820" s="11" t="str">
        <f>"00485973"</f>
        <v>00485973</v>
      </c>
    </row>
    <row r="9821" spans="1:2" x14ac:dyDescent="0.25">
      <c r="A9821" s="2">
        <v>9816</v>
      </c>
      <c r="B9821" s="11" t="str">
        <f>"00486003"</f>
        <v>00486003</v>
      </c>
    </row>
    <row r="9822" spans="1:2" x14ac:dyDescent="0.25">
      <c r="A9822" s="2">
        <v>9817</v>
      </c>
      <c r="B9822" s="11" t="str">
        <f>"00486017"</f>
        <v>00486017</v>
      </c>
    </row>
    <row r="9823" spans="1:2" x14ac:dyDescent="0.25">
      <c r="A9823" s="2">
        <v>9818</v>
      </c>
      <c r="B9823" s="11" t="str">
        <f>"00486039"</f>
        <v>00486039</v>
      </c>
    </row>
    <row r="9824" spans="1:2" x14ac:dyDescent="0.25">
      <c r="A9824" s="2">
        <v>9819</v>
      </c>
      <c r="B9824" s="11" t="str">
        <f>"00486040"</f>
        <v>00486040</v>
      </c>
    </row>
    <row r="9825" spans="1:2" x14ac:dyDescent="0.25">
      <c r="A9825" s="2">
        <v>9820</v>
      </c>
      <c r="B9825" s="11" t="str">
        <f>"00486087"</f>
        <v>00486087</v>
      </c>
    </row>
    <row r="9826" spans="1:2" x14ac:dyDescent="0.25">
      <c r="A9826" s="2">
        <v>9821</v>
      </c>
      <c r="B9826" s="11" t="str">
        <f>"00486088"</f>
        <v>00486088</v>
      </c>
    </row>
    <row r="9827" spans="1:2" x14ac:dyDescent="0.25">
      <c r="A9827" s="2">
        <v>9822</v>
      </c>
      <c r="B9827" s="11" t="str">
        <f>"00486104"</f>
        <v>00486104</v>
      </c>
    </row>
    <row r="9828" spans="1:2" x14ac:dyDescent="0.25">
      <c r="A9828" s="2">
        <v>9823</v>
      </c>
      <c r="B9828" s="11" t="str">
        <f>"00486149"</f>
        <v>00486149</v>
      </c>
    </row>
    <row r="9829" spans="1:2" x14ac:dyDescent="0.25">
      <c r="A9829" s="2">
        <v>9824</v>
      </c>
      <c r="B9829" s="11" t="str">
        <f>"00486157"</f>
        <v>00486157</v>
      </c>
    </row>
    <row r="9830" spans="1:2" x14ac:dyDescent="0.25">
      <c r="A9830" s="2">
        <v>9825</v>
      </c>
      <c r="B9830" s="11" t="str">
        <f>"00486172"</f>
        <v>00486172</v>
      </c>
    </row>
    <row r="9831" spans="1:2" x14ac:dyDescent="0.25">
      <c r="A9831" s="2">
        <v>9826</v>
      </c>
      <c r="B9831" s="11" t="str">
        <f>"00486235"</f>
        <v>00486235</v>
      </c>
    </row>
    <row r="9832" spans="1:2" x14ac:dyDescent="0.25">
      <c r="A9832" s="2">
        <v>9827</v>
      </c>
      <c r="B9832" s="11" t="str">
        <f>"00486239"</f>
        <v>00486239</v>
      </c>
    </row>
    <row r="9833" spans="1:2" x14ac:dyDescent="0.25">
      <c r="A9833" s="2">
        <v>9828</v>
      </c>
      <c r="B9833" s="11" t="str">
        <f>"00486262"</f>
        <v>00486262</v>
      </c>
    </row>
    <row r="9834" spans="1:2" x14ac:dyDescent="0.25">
      <c r="A9834" s="2">
        <v>9829</v>
      </c>
      <c r="B9834" s="11" t="str">
        <f>"00486265"</f>
        <v>00486265</v>
      </c>
    </row>
    <row r="9835" spans="1:2" x14ac:dyDescent="0.25">
      <c r="A9835" s="2">
        <v>9830</v>
      </c>
      <c r="B9835" s="11" t="str">
        <f>"00486329"</f>
        <v>00486329</v>
      </c>
    </row>
    <row r="9836" spans="1:2" x14ac:dyDescent="0.25">
      <c r="A9836" s="2">
        <v>9831</v>
      </c>
      <c r="B9836" s="11" t="str">
        <f>"00486334"</f>
        <v>00486334</v>
      </c>
    </row>
    <row r="9837" spans="1:2" x14ac:dyDescent="0.25">
      <c r="A9837" s="2">
        <v>9832</v>
      </c>
      <c r="B9837" s="11" t="str">
        <f>"00486347"</f>
        <v>00486347</v>
      </c>
    </row>
    <row r="9838" spans="1:2" x14ac:dyDescent="0.25">
      <c r="A9838" s="2">
        <v>9833</v>
      </c>
      <c r="B9838" s="11" t="str">
        <f>"00486355"</f>
        <v>00486355</v>
      </c>
    </row>
    <row r="9839" spans="1:2" x14ac:dyDescent="0.25">
      <c r="A9839" s="2">
        <v>9834</v>
      </c>
      <c r="B9839" s="11" t="str">
        <f>"00486359"</f>
        <v>00486359</v>
      </c>
    </row>
    <row r="9840" spans="1:2" x14ac:dyDescent="0.25">
      <c r="A9840" s="2">
        <v>9835</v>
      </c>
      <c r="B9840" s="11" t="str">
        <f>"00486380"</f>
        <v>00486380</v>
      </c>
    </row>
    <row r="9841" spans="1:2" x14ac:dyDescent="0.25">
      <c r="A9841" s="2">
        <v>9836</v>
      </c>
      <c r="B9841" s="11" t="str">
        <f>"00486381"</f>
        <v>00486381</v>
      </c>
    </row>
    <row r="9842" spans="1:2" x14ac:dyDescent="0.25">
      <c r="A9842" s="2">
        <v>9837</v>
      </c>
      <c r="B9842" s="11" t="str">
        <f>"00486392"</f>
        <v>00486392</v>
      </c>
    </row>
    <row r="9843" spans="1:2" x14ac:dyDescent="0.25">
      <c r="A9843" s="2">
        <v>9838</v>
      </c>
      <c r="B9843" s="11" t="str">
        <f>"00486401"</f>
        <v>00486401</v>
      </c>
    </row>
    <row r="9844" spans="1:2" x14ac:dyDescent="0.25">
      <c r="A9844" s="2">
        <v>9839</v>
      </c>
      <c r="B9844" s="11" t="str">
        <f>"00486415"</f>
        <v>00486415</v>
      </c>
    </row>
    <row r="9845" spans="1:2" x14ac:dyDescent="0.25">
      <c r="A9845" s="2">
        <v>9840</v>
      </c>
      <c r="B9845" s="11" t="str">
        <f>"00486430"</f>
        <v>00486430</v>
      </c>
    </row>
    <row r="9846" spans="1:2" x14ac:dyDescent="0.25">
      <c r="A9846" s="2">
        <v>9841</v>
      </c>
      <c r="B9846" s="11" t="str">
        <f>"00486440"</f>
        <v>00486440</v>
      </c>
    </row>
    <row r="9847" spans="1:2" x14ac:dyDescent="0.25">
      <c r="A9847" s="2">
        <v>9842</v>
      </c>
      <c r="B9847" s="11" t="str">
        <f>"00486463"</f>
        <v>00486463</v>
      </c>
    </row>
    <row r="9848" spans="1:2" x14ac:dyDescent="0.25">
      <c r="A9848" s="2">
        <v>9843</v>
      </c>
      <c r="B9848" s="11" t="str">
        <f>"00486483"</f>
        <v>00486483</v>
      </c>
    </row>
    <row r="9849" spans="1:2" x14ac:dyDescent="0.25">
      <c r="A9849" s="2">
        <v>9844</v>
      </c>
      <c r="B9849" s="11" t="str">
        <f>"00486494"</f>
        <v>00486494</v>
      </c>
    </row>
    <row r="9850" spans="1:2" x14ac:dyDescent="0.25">
      <c r="A9850" s="2">
        <v>9845</v>
      </c>
      <c r="B9850" s="11" t="str">
        <f>"00486510"</f>
        <v>00486510</v>
      </c>
    </row>
    <row r="9851" spans="1:2" x14ac:dyDescent="0.25">
      <c r="A9851" s="2">
        <v>9846</v>
      </c>
      <c r="B9851" s="11" t="str">
        <f>"00486530"</f>
        <v>00486530</v>
      </c>
    </row>
    <row r="9852" spans="1:2" x14ac:dyDescent="0.25">
      <c r="A9852" s="2">
        <v>9847</v>
      </c>
      <c r="B9852" s="11" t="str">
        <f>"00486542"</f>
        <v>00486542</v>
      </c>
    </row>
    <row r="9853" spans="1:2" x14ac:dyDescent="0.25">
      <c r="A9853" s="2">
        <v>9848</v>
      </c>
      <c r="B9853" s="11" t="str">
        <f>"00486565"</f>
        <v>00486565</v>
      </c>
    </row>
    <row r="9854" spans="1:2" x14ac:dyDescent="0.25">
      <c r="A9854" s="2">
        <v>9849</v>
      </c>
      <c r="B9854" s="11" t="str">
        <f>"00486591"</f>
        <v>00486591</v>
      </c>
    </row>
    <row r="9855" spans="1:2" x14ac:dyDescent="0.25">
      <c r="A9855" s="2">
        <v>9850</v>
      </c>
      <c r="B9855" s="11" t="str">
        <f>"00486616"</f>
        <v>00486616</v>
      </c>
    </row>
    <row r="9856" spans="1:2" x14ac:dyDescent="0.25">
      <c r="A9856" s="2">
        <v>9851</v>
      </c>
      <c r="B9856" s="11" t="str">
        <f>"00486623"</f>
        <v>00486623</v>
      </c>
    </row>
    <row r="9857" spans="1:2" x14ac:dyDescent="0.25">
      <c r="A9857" s="2">
        <v>9852</v>
      </c>
      <c r="B9857" s="11" t="str">
        <f>"00486671"</f>
        <v>00486671</v>
      </c>
    </row>
    <row r="9858" spans="1:2" x14ac:dyDescent="0.25">
      <c r="A9858" s="2">
        <v>9853</v>
      </c>
      <c r="B9858" s="11" t="str">
        <f>"00486703"</f>
        <v>00486703</v>
      </c>
    </row>
    <row r="9859" spans="1:2" x14ac:dyDescent="0.25">
      <c r="A9859" s="2">
        <v>9854</v>
      </c>
      <c r="B9859" s="11" t="str">
        <f>"00486715"</f>
        <v>00486715</v>
      </c>
    </row>
    <row r="9860" spans="1:2" x14ac:dyDescent="0.25">
      <c r="A9860" s="2">
        <v>9855</v>
      </c>
      <c r="B9860" s="11" t="str">
        <f>"00486786"</f>
        <v>00486786</v>
      </c>
    </row>
    <row r="9861" spans="1:2" x14ac:dyDescent="0.25">
      <c r="A9861" s="2">
        <v>9856</v>
      </c>
      <c r="B9861" s="11" t="str">
        <f>"00486809"</f>
        <v>00486809</v>
      </c>
    </row>
    <row r="9862" spans="1:2" x14ac:dyDescent="0.25">
      <c r="A9862" s="2">
        <v>9857</v>
      </c>
      <c r="B9862" s="11" t="str">
        <f>"00486827"</f>
        <v>00486827</v>
      </c>
    </row>
    <row r="9863" spans="1:2" x14ac:dyDescent="0.25">
      <c r="A9863" s="2">
        <v>9858</v>
      </c>
      <c r="B9863" s="11" t="str">
        <f>"00486911"</f>
        <v>00486911</v>
      </c>
    </row>
    <row r="9864" spans="1:2" x14ac:dyDescent="0.25">
      <c r="A9864" s="2">
        <v>9859</v>
      </c>
      <c r="B9864" s="11" t="str">
        <f>"00486954"</f>
        <v>00486954</v>
      </c>
    </row>
    <row r="9865" spans="1:2" x14ac:dyDescent="0.25">
      <c r="A9865" s="2">
        <v>9860</v>
      </c>
      <c r="B9865" s="11" t="str">
        <f>"00486962"</f>
        <v>00486962</v>
      </c>
    </row>
    <row r="9866" spans="1:2" x14ac:dyDescent="0.25">
      <c r="A9866" s="2">
        <v>9861</v>
      </c>
      <c r="B9866" s="11" t="str">
        <f>"00486993"</f>
        <v>00486993</v>
      </c>
    </row>
    <row r="9867" spans="1:2" x14ac:dyDescent="0.25">
      <c r="A9867" s="2">
        <v>9862</v>
      </c>
      <c r="B9867" s="11" t="str">
        <f>"00486996"</f>
        <v>00486996</v>
      </c>
    </row>
    <row r="9868" spans="1:2" x14ac:dyDescent="0.25">
      <c r="A9868" s="2">
        <v>9863</v>
      </c>
      <c r="B9868" s="11" t="str">
        <f>"00487005"</f>
        <v>00487005</v>
      </c>
    </row>
    <row r="9869" spans="1:2" x14ac:dyDescent="0.25">
      <c r="A9869" s="2">
        <v>9864</v>
      </c>
      <c r="B9869" s="11" t="str">
        <f>"00487045"</f>
        <v>00487045</v>
      </c>
    </row>
    <row r="9870" spans="1:2" x14ac:dyDescent="0.25">
      <c r="A9870" s="2">
        <v>9865</v>
      </c>
      <c r="B9870" s="11" t="str">
        <f>"00487059"</f>
        <v>00487059</v>
      </c>
    </row>
    <row r="9871" spans="1:2" x14ac:dyDescent="0.25">
      <c r="A9871" s="2">
        <v>9866</v>
      </c>
      <c r="B9871" s="11" t="str">
        <f>"00487068"</f>
        <v>00487068</v>
      </c>
    </row>
    <row r="9872" spans="1:2" x14ac:dyDescent="0.25">
      <c r="A9872" s="2">
        <v>9867</v>
      </c>
      <c r="B9872" s="11" t="str">
        <f>"00487073"</f>
        <v>00487073</v>
      </c>
    </row>
    <row r="9873" spans="1:2" x14ac:dyDescent="0.25">
      <c r="A9873" s="2">
        <v>9868</v>
      </c>
      <c r="B9873" s="11" t="str">
        <f>"00487076"</f>
        <v>00487076</v>
      </c>
    </row>
    <row r="9874" spans="1:2" x14ac:dyDescent="0.25">
      <c r="A9874" s="2">
        <v>9869</v>
      </c>
      <c r="B9874" s="11" t="str">
        <f>"00487099"</f>
        <v>00487099</v>
      </c>
    </row>
    <row r="9875" spans="1:2" x14ac:dyDescent="0.25">
      <c r="A9875" s="2">
        <v>9870</v>
      </c>
      <c r="B9875" s="11" t="str">
        <f>"00487161"</f>
        <v>00487161</v>
      </c>
    </row>
    <row r="9876" spans="1:2" x14ac:dyDescent="0.25">
      <c r="A9876" s="2">
        <v>9871</v>
      </c>
      <c r="B9876" s="11" t="str">
        <f>"00487175"</f>
        <v>00487175</v>
      </c>
    </row>
    <row r="9877" spans="1:2" x14ac:dyDescent="0.25">
      <c r="A9877" s="2">
        <v>9872</v>
      </c>
      <c r="B9877" s="11" t="str">
        <f>"00487184"</f>
        <v>00487184</v>
      </c>
    </row>
    <row r="9878" spans="1:2" x14ac:dyDescent="0.25">
      <c r="A9878" s="2">
        <v>9873</v>
      </c>
      <c r="B9878" s="11" t="str">
        <f>"00487194"</f>
        <v>00487194</v>
      </c>
    </row>
    <row r="9879" spans="1:2" x14ac:dyDescent="0.25">
      <c r="A9879" s="2">
        <v>9874</v>
      </c>
      <c r="B9879" s="11" t="str">
        <f>"00487289"</f>
        <v>00487289</v>
      </c>
    </row>
    <row r="9880" spans="1:2" x14ac:dyDescent="0.25">
      <c r="A9880" s="2">
        <v>9875</v>
      </c>
      <c r="B9880" s="11" t="str">
        <f>"00487296"</f>
        <v>00487296</v>
      </c>
    </row>
    <row r="9881" spans="1:2" x14ac:dyDescent="0.25">
      <c r="A9881" s="2">
        <v>9876</v>
      </c>
      <c r="B9881" s="11" t="str">
        <f>"00487302"</f>
        <v>00487302</v>
      </c>
    </row>
    <row r="9882" spans="1:2" x14ac:dyDescent="0.25">
      <c r="A9882" s="2">
        <v>9877</v>
      </c>
      <c r="B9882" s="11" t="str">
        <f>"00487343"</f>
        <v>00487343</v>
      </c>
    </row>
    <row r="9883" spans="1:2" x14ac:dyDescent="0.25">
      <c r="A9883" s="2">
        <v>9878</v>
      </c>
      <c r="B9883" s="11" t="str">
        <f>"00487347"</f>
        <v>00487347</v>
      </c>
    </row>
    <row r="9884" spans="1:2" x14ac:dyDescent="0.25">
      <c r="A9884" s="2">
        <v>9879</v>
      </c>
      <c r="B9884" s="11" t="str">
        <f>"00487404"</f>
        <v>00487404</v>
      </c>
    </row>
    <row r="9885" spans="1:2" x14ac:dyDescent="0.25">
      <c r="A9885" s="2">
        <v>9880</v>
      </c>
      <c r="B9885" s="11" t="str">
        <f>"00487422"</f>
        <v>00487422</v>
      </c>
    </row>
    <row r="9886" spans="1:2" x14ac:dyDescent="0.25">
      <c r="A9886" s="2">
        <v>9881</v>
      </c>
      <c r="B9886" s="11" t="str">
        <f>"00487426"</f>
        <v>00487426</v>
      </c>
    </row>
    <row r="9887" spans="1:2" x14ac:dyDescent="0.25">
      <c r="A9887" s="2">
        <v>9882</v>
      </c>
      <c r="B9887" s="11" t="str">
        <f>"00487446"</f>
        <v>00487446</v>
      </c>
    </row>
    <row r="9888" spans="1:2" x14ac:dyDescent="0.25">
      <c r="A9888" s="2">
        <v>9883</v>
      </c>
      <c r="B9888" s="11" t="str">
        <f>"00487476"</f>
        <v>00487476</v>
      </c>
    </row>
    <row r="9889" spans="1:2" x14ac:dyDescent="0.25">
      <c r="A9889" s="2">
        <v>9884</v>
      </c>
      <c r="B9889" s="11" t="str">
        <f>"00487489"</f>
        <v>00487489</v>
      </c>
    </row>
    <row r="9890" spans="1:2" x14ac:dyDescent="0.25">
      <c r="A9890" s="2">
        <v>9885</v>
      </c>
      <c r="B9890" s="11" t="str">
        <f>"00487555"</f>
        <v>00487555</v>
      </c>
    </row>
    <row r="9891" spans="1:2" x14ac:dyDescent="0.25">
      <c r="A9891" s="2">
        <v>9886</v>
      </c>
      <c r="B9891" s="11" t="str">
        <f>"00487592"</f>
        <v>00487592</v>
      </c>
    </row>
    <row r="9892" spans="1:2" x14ac:dyDescent="0.25">
      <c r="A9892" s="2">
        <v>9887</v>
      </c>
      <c r="B9892" s="11" t="str">
        <f>"00487611"</f>
        <v>00487611</v>
      </c>
    </row>
    <row r="9893" spans="1:2" x14ac:dyDescent="0.25">
      <c r="A9893" s="2">
        <v>9888</v>
      </c>
      <c r="B9893" s="11" t="str">
        <f>"00487662"</f>
        <v>00487662</v>
      </c>
    </row>
    <row r="9894" spans="1:2" x14ac:dyDescent="0.25">
      <c r="A9894" s="2">
        <v>9889</v>
      </c>
      <c r="B9894" s="11" t="str">
        <f>"00487689"</f>
        <v>00487689</v>
      </c>
    </row>
    <row r="9895" spans="1:2" x14ac:dyDescent="0.25">
      <c r="A9895" s="2">
        <v>9890</v>
      </c>
      <c r="B9895" s="11" t="str">
        <f>"00487696"</f>
        <v>00487696</v>
      </c>
    </row>
    <row r="9896" spans="1:2" x14ac:dyDescent="0.25">
      <c r="A9896" s="2">
        <v>9891</v>
      </c>
      <c r="B9896" s="11" t="str">
        <f>"00487848"</f>
        <v>00487848</v>
      </c>
    </row>
    <row r="9897" spans="1:2" x14ac:dyDescent="0.25">
      <c r="A9897" s="2">
        <v>9892</v>
      </c>
      <c r="B9897" s="11" t="str">
        <f>"00487851"</f>
        <v>00487851</v>
      </c>
    </row>
    <row r="9898" spans="1:2" x14ac:dyDescent="0.25">
      <c r="A9898" s="2">
        <v>9893</v>
      </c>
      <c r="B9898" s="11" t="str">
        <f>"00487862"</f>
        <v>00487862</v>
      </c>
    </row>
    <row r="9899" spans="1:2" x14ac:dyDescent="0.25">
      <c r="A9899" s="2">
        <v>9894</v>
      </c>
      <c r="B9899" s="11" t="str">
        <f>"00487882"</f>
        <v>00487882</v>
      </c>
    </row>
    <row r="9900" spans="1:2" x14ac:dyDescent="0.25">
      <c r="A9900" s="2">
        <v>9895</v>
      </c>
      <c r="B9900" s="11" t="str">
        <f>"00487893"</f>
        <v>00487893</v>
      </c>
    </row>
    <row r="9901" spans="1:2" x14ac:dyDescent="0.25">
      <c r="A9901" s="2">
        <v>9896</v>
      </c>
      <c r="B9901" s="11" t="str">
        <f>"00487902"</f>
        <v>00487902</v>
      </c>
    </row>
    <row r="9902" spans="1:2" x14ac:dyDescent="0.25">
      <c r="A9902" s="2">
        <v>9897</v>
      </c>
      <c r="B9902" s="11" t="str">
        <f>"00487948"</f>
        <v>00487948</v>
      </c>
    </row>
    <row r="9903" spans="1:2" x14ac:dyDescent="0.25">
      <c r="A9903" s="2">
        <v>9898</v>
      </c>
      <c r="B9903" s="11" t="str">
        <f>"00487951"</f>
        <v>00487951</v>
      </c>
    </row>
    <row r="9904" spans="1:2" x14ac:dyDescent="0.25">
      <c r="A9904" s="2">
        <v>9899</v>
      </c>
      <c r="B9904" s="11" t="str">
        <f>"00488009"</f>
        <v>00488009</v>
      </c>
    </row>
    <row r="9905" spans="1:2" x14ac:dyDescent="0.25">
      <c r="A9905" s="2">
        <v>9900</v>
      </c>
      <c r="B9905" s="11" t="str">
        <f>"00488032"</f>
        <v>00488032</v>
      </c>
    </row>
    <row r="9906" spans="1:2" x14ac:dyDescent="0.25">
      <c r="A9906" s="2">
        <v>9901</v>
      </c>
      <c r="B9906" s="11" t="str">
        <f>"00488037"</f>
        <v>00488037</v>
      </c>
    </row>
    <row r="9907" spans="1:2" x14ac:dyDescent="0.25">
      <c r="A9907" s="2">
        <v>9902</v>
      </c>
      <c r="B9907" s="11" t="str">
        <f>"00488059"</f>
        <v>00488059</v>
      </c>
    </row>
    <row r="9908" spans="1:2" x14ac:dyDescent="0.25">
      <c r="A9908" s="2">
        <v>9903</v>
      </c>
      <c r="B9908" s="11" t="str">
        <f>"00488071"</f>
        <v>00488071</v>
      </c>
    </row>
    <row r="9909" spans="1:2" x14ac:dyDescent="0.25">
      <c r="A9909" s="2">
        <v>9904</v>
      </c>
      <c r="B9909" s="11" t="str">
        <f>"00488080"</f>
        <v>00488080</v>
      </c>
    </row>
    <row r="9910" spans="1:2" x14ac:dyDescent="0.25">
      <c r="A9910" s="2">
        <v>9905</v>
      </c>
      <c r="B9910" s="11" t="str">
        <f>"00488115"</f>
        <v>00488115</v>
      </c>
    </row>
    <row r="9911" spans="1:2" x14ac:dyDescent="0.25">
      <c r="A9911" s="2">
        <v>9906</v>
      </c>
      <c r="B9911" s="11" t="str">
        <f>"00488129"</f>
        <v>00488129</v>
      </c>
    </row>
    <row r="9912" spans="1:2" x14ac:dyDescent="0.25">
      <c r="A9912" s="2">
        <v>9907</v>
      </c>
      <c r="B9912" s="11" t="str">
        <f>"00488145"</f>
        <v>00488145</v>
      </c>
    </row>
    <row r="9913" spans="1:2" x14ac:dyDescent="0.25">
      <c r="A9913" s="2">
        <v>9908</v>
      </c>
      <c r="B9913" s="11" t="str">
        <f>"00488238"</f>
        <v>00488238</v>
      </c>
    </row>
    <row r="9914" spans="1:2" x14ac:dyDescent="0.25">
      <c r="A9914" s="2">
        <v>9909</v>
      </c>
      <c r="B9914" s="11" t="str">
        <f>"00488255"</f>
        <v>00488255</v>
      </c>
    </row>
    <row r="9915" spans="1:2" x14ac:dyDescent="0.25">
      <c r="A9915" s="2">
        <v>9910</v>
      </c>
      <c r="B9915" s="11" t="str">
        <f>"00488260"</f>
        <v>00488260</v>
      </c>
    </row>
    <row r="9916" spans="1:2" x14ac:dyDescent="0.25">
      <c r="A9916" s="2">
        <v>9911</v>
      </c>
      <c r="B9916" s="11" t="str">
        <f>"00488287"</f>
        <v>00488287</v>
      </c>
    </row>
    <row r="9917" spans="1:2" x14ac:dyDescent="0.25">
      <c r="A9917" s="2">
        <v>9912</v>
      </c>
      <c r="B9917" s="11" t="str">
        <f>"00488301"</f>
        <v>00488301</v>
      </c>
    </row>
    <row r="9918" spans="1:2" x14ac:dyDescent="0.25">
      <c r="A9918" s="2">
        <v>9913</v>
      </c>
      <c r="B9918" s="11" t="str">
        <f>"00488332"</f>
        <v>00488332</v>
      </c>
    </row>
    <row r="9919" spans="1:2" x14ac:dyDescent="0.25">
      <c r="A9919" s="2">
        <v>9914</v>
      </c>
      <c r="B9919" s="11" t="str">
        <f>"00488364"</f>
        <v>00488364</v>
      </c>
    </row>
    <row r="9920" spans="1:2" x14ac:dyDescent="0.25">
      <c r="A9920" s="2">
        <v>9915</v>
      </c>
      <c r="B9920" s="11" t="str">
        <f>"00488388"</f>
        <v>00488388</v>
      </c>
    </row>
    <row r="9921" spans="1:2" x14ac:dyDescent="0.25">
      <c r="A9921" s="2">
        <v>9916</v>
      </c>
      <c r="B9921" s="11" t="str">
        <f>"00488390"</f>
        <v>00488390</v>
      </c>
    </row>
    <row r="9922" spans="1:2" x14ac:dyDescent="0.25">
      <c r="A9922" s="2">
        <v>9917</v>
      </c>
      <c r="B9922" s="11" t="str">
        <f>"00488411"</f>
        <v>00488411</v>
      </c>
    </row>
    <row r="9923" spans="1:2" x14ac:dyDescent="0.25">
      <c r="A9923" s="2">
        <v>9918</v>
      </c>
      <c r="B9923" s="11" t="str">
        <f>"00488509"</f>
        <v>00488509</v>
      </c>
    </row>
    <row r="9924" spans="1:2" x14ac:dyDescent="0.25">
      <c r="A9924" s="2">
        <v>9919</v>
      </c>
      <c r="B9924" s="11" t="str">
        <f>"00488527"</f>
        <v>00488527</v>
      </c>
    </row>
    <row r="9925" spans="1:2" x14ac:dyDescent="0.25">
      <c r="A9925" s="2">
        <v>9920</v>
      </c>
      <c r="B9925" s="11" t="str">
        <f>"00488562"</f>
        <v>00488562</v>
      </c>
    </row>
    <row r="9926" spans="1:2" x14ac:dyDescent="0.25">
      <c r="A9926" s="2">
        <v>9921</v>
      </c>
      <c r="B9926" s="11" t="str">
        <f>"00488643"</f>
        <v>00488643</v>
      </c>
    </row>
    <row r="9927" spans="1:2" x14ac:dyDescent="0.25">
      <c r="A9927" s="2">
        <v>9922</v>
      </c>
      <c r="B9927" s="11" t="str">
        <f>"00488667"</f>
        <v>00488667</v>
      </c>
    </row>
    <row r="9928" spans="1:2" x14ac:dyDescent="0.25">
      <c r="A9928" s="2">
        <v>9923</v>
      </c>
      <c r="B9928" s="11" t="str">
        <f>"00488669"</f>
        <v>00488669</v>
      </c>
    </row>
    <row r="9929" spans="1:2" x14ac:dyDescent="0.25">
      <c r="A9929" s="2">
        <v>9924</v>
      </c>
      <c r="B9929" s="11" t="str">
        <f>"00488709"</f>
        <v>00488709</v>
      </c>
    </row>
    <row r="9930" spans="1:2" x14ac:dyDescent="0.25">
      <c r="A9930" s="2">
        <v>9925</v>
      </c>
      <c r="B9930" s="11" t="str">
        <f>"00488747"</f>
        <v>00488747</v>
      </c>
    </row>
    <row r="9931" spans="1:2" x14ac:dyDescent="0.25">
      <c r="A9931" s="2">
        <v>9926</v>
      </c>
      <c r="B9931" s="11" t="str">
        <f>"00488798"</f>
        <v>00488798</v>
      </c>
    </row>
    <row r="9932" spans="1:2" x14ac:dyDescent="0.25">
      <c r="A9932" s="2">
        <v>9927</v>
      </c>
      <c r="B9932" s="11" t="str">
        <f>"00488825"</f>
        <v>00488825</v>
      </c>
    </row>
    <row r="9933" spans="1:2" x14ac:dyDescent="0.25">
      <c r="A9933" s="2">
        <v>9928</v>
      </c>
      <c r="B9933" s="11" t="str">
        <f>"00488833"</f>
        <v>00488833</v>
      </c>
    </row>
    <row r="9934" spans="1:2" x14ac:dyDescent="0.25">
      <c r="A9934" s="2">
        <v>9929</v>
      </c>
      <c r="B9934" s="11" t="str">
        <f>"00488858"</f>
        <v>00488858</v>
      </c>
    </row>
    <row r="9935" spans="1:2" x14ac:dyDescent="0.25">
      <c r="A9935" s="2">
        <v>9930</v>
      </c>
      <c r="B9935" s="11" t="str">
        <f>"00488876"</f>
        <v>00488876</v>
      </c>
    </row>
    <row r="9936" spans="1:2" x14ac:dyDescent="0.25">
      <c r="A9936" s="2">
        <v>9931</v>
      </c>
      <c r="B9936" s="11" t="str">
        <f>"00488884"</f>
        <v>00488884</v>
      </c>
    </row>
    <row r="9937" spans="1:2" x14ac:dyDescent="0.25">
      <c r="A9937" s="2">
        <v>9932</v>
      </c>
      <c r="B9937" s="11" t="str">
        <f>"00488963"</f>
        <v>00488963</v>
      </c>
    </row>
    <row r="9938" spans="1:2" x14ac:dyDescent="0.25">
      <c r="A9938" s="2">
        <v>9933</v>
      </c>
      <c r="B9938" s="11" t="str">
        <f>"00488978"</f>
        <v>00488978</v>
      </c>
    </row>
    <row r="9939" spans="1:2" x14ac:dyDescent="0.25">
      <c r="A9939" s="2">
        <v>9934</v>
      </c>
      <c r="B9939" s="11" t="str">
        <f>"00489016"</f>
        <v>00489016</v>
      </c>
    </row>
    <row r="9940" spans="1:2" x14ac:dyDescent="0.25">
      <c r="A9940" s="2">
        <v>9935</v>
      </c>
      <c r="B9940" s="11" t="str">
        <f>"00489023"</f>
        <v>00489023</v>
      </c>
    </row>
    <row r="9941" spans="1:2" x14ac:dyDescent="0.25">
      <c r="A9941" s="2">
        <v>9936</v>
      </c>
      <c r="B9941" s="11" t="str">
        <f>"00489027"</f>
        <v>00489027</v>
      </c>
    </row>
    <row r="9942" spans="1:2" x14ac:dyDescent="0.25">
      <c r="A9942" s="2">
        <v>9937</v>
      </c>
      <c r="B9942" s="11" t="str">
        <f>"00489071"</f>
        <v>00489071</v>
      </c>
    </row>
    <row r="9943" spans="1:2" x14ac:dyDescent="0.25">
      <c r="A9943" s="2">
        <v>9938</v>
      </c>
      <c r="B9943" s="11" t="str">
        <f>"00489103"</f>
        <v>00489103</v>
      </c>
    </row>
    <row r="9944" spans="1:2" x14ac:dyDescent="0.25">
      <c r="A9944" s="2">
        <v>9939</v>
      </c>
      <c r="B9944" s="11" t="str">
        <f>"00489110"</f>
        <v>00489110</v>
      </c>
    </row>
    <row r="9945" spans="1:2" x14ac:dyDescent="0.25">
      <c r="A9945" s="2">
        <v>9940</v>
      </c>
      <c r="B9945" s="11" t="str">
        <f>"00489185"</f>
        <v>00489185</v>
      </c>
    </row>
    <row r="9946" spans="1:2" x14ac:dyDescent="0.25">
      <c r="A9946" s="2">
        <v>9941</v>
      </c>
      <c r="B9946" s="11" t="str">
        <f>"00489189"</f>
        <v>00489189</v>
      </c>
    </row>
    <row r="9947" spans="1:2" x14ac:dyDescent="0.25">
      <c r="A9947" s="2">
        <v>9942</v>
      </c>
      <c r="B9947" s="11" t="str">
        <f>"00489207"</f>
        <v>00489207</v>
      </c>
    </row>
    <row r="9948" spans="1:2" x14ac:dyDescent="0.25">
      <c r="A9948" s="2">
        <v>9943</v>
      </c>
      <c r="B9948" s="11" t="str">
        <f>"00489224"</f>
        <v>00489224</v>
      </c>
    </row>
    <row r="9949" spans="1:2" x14ac:dyDescent="0.25">
      <c r="A9949" s="2">
        <v>9944</v>
      </c>
      <c r="B9949" s="11" t="str">
        <f>"00489246"</f>
        <v>00489246</v>
      </c>
    </row>
    <row r="9950" spans="1:2" x14ac:dyDescent="0.25">
      <c r="A9950" s="2">
        <v>9945</v>
      </c>
      <c r="B9950" s="11" t="str">
        <f>"00489258"</f>
        <v>00489258</v>
      </c>
    </row>
    <row r="9951" spans="1:2" x14ac:dyDescent="0.25">
      <c r="A9951" s="2">
        <v>9946</v>
      </c>
      <c r="B9951" s="11" t="str">
        <f>"00489277"</f>
        <v>00489277</v>
      </c>
    </row>
    <row r="9952" spans="1:2" x14ac:dyDescent="0.25">
      <c r="A9952" s="2">
        <v>9947</v>
      </c>
      <c r="B9952" s="11" t="str">
        <f>"00489315"</f>
        <v>00489315</v>
      </c>
    </row>
    <row r="9953" spans="1:2" x14ac:dyDescent="0.25">
      <c r="A9953" s="2">
        <v>9948</v>
      </c>
      <c r="B9953" s="11" t="str">
        <f>"00489320"</f>
        <v>00489320</v>
      </c>
    </row>
    <row r="9954" spans="1:2" x14ac:dyDescent="0.25">
      <c r="A9954" s="2">
        <v>9949</v>
      </c>
      <c r="B9954" s="11" t="str">
        <f>"00489321"</f>
        <v>00489321</v>
      </c>
    </row>
    <row r="9955" spans="1:2" x14ac:dyDescent="0.25">
      <c r="A9955" s="2">
        <v>9950</v>
      </c>
      <c r="B9955" s="11" t="str">
        <f>"00489389"</f>
        <v>00489389</v>
      </c>
    </row>
    <row r="9956" spans="1:2" x14ac:dyDescent="0.25">
      <c r="A9956" s="2">
        <v>9951</v>
      </c>
      <c r="B9956" s="11" t="str">
        <f>"00489391"</f>
        <v>00489391</v>
      </c>
    </row>
    <row r="9957" spans="1:2" x14ac:dyDescent="0.25">
      <c r="A9957" s="2">
        <v>9952</v>
      </c>
      <c r="B9957" s="11" t="str">
        <f>"00489404"</f>
        <v>00489404</v>
      </c>
    </row>
    <row r="9958" spans="1:2" x14ac:dyDescent="0.25">
      <c r="A9958" s="2">
        <v>9953</v>
      </c>
      <c r="B9958" s="11" t="str">
        <f>"00489479"</f>
        <v>00489479</v>
      </c>
    </row>
    <row r="9959" spans="1:2" x14ac:dyDescent="0.25">
      <c r="A9959" s="2">
        <v>9954</v>
      </c>
      <c r="B9959" s="11" t="str">
        <f>"00489522"</f>
        <v>00489522</v>
      </c>
    </row>
    <row r="9960" spans="1:2" x14ac:dyDescent="0.25">
      <c r="A9960" s="2">
        <v>9955</v>
      </c>
      <c r="B9960" s="11" t="str">
        <f>"00489529"</f>
        <v>00489529</v>
      </c>
    </row>
    <row r="9961" spans="1:2" x14ac:dyDescent="0.25">
      <c r="A9961" s="2">
        <v>9956</v>
      </c>
      <c r="B9961" s="11" t="str">
        <f>"00489540"</f>
        <v>00489540</v>
      </c>
    </row>
    <row r="9962" spans="1:2" x14ac:dyDescent="0.25">
      <c r="A9962" s="2">
        <v>9957</v>
      </c>
      <c r="B9962" s="11" t="str">
        <f>"00489575"</f>
        <v>00489575</v>
      </c>
    </row>
    <row r="9963" spans="1:2" x14ac:dyDescent="0.25">
      <c r="A9963" s="2">
        <v>9958</v>
      </c>
      <c r="B9963" s="11" t="str">
        <f>"00489602"</f>
        <v>00489602</v>
      </c>
    </row>
    <row r="9964" spans="1:2" x14ac:dyDescent="0.25">
      <c r="A9964" s="2">
        <v>9959</v>
      </c>
      <c r="B9964" s="11" t="str">
        <f>"00489618"</f>
        <v>00489618</v>
      </c>
    </row>
    <row r="9965" spans="1:2" x14ac:dyDescent="0.25">
      <c r="A9965" s="2">
        <v>9960</v>
      </c>
      <c r="B9965" s="11" t="str">
        <f>"00489669"</f>
        <v>00489669</v>
      </c>
    </row>
    <row r="9966" spans="1:2" x14ac:dyDescent="0.25">
      <c r="A9966" s="2">
        <v>9961</v>
      </c>
      <c r="B9966" s="11" t="str">
        <f>"00489673"</f>
        <v>00489673</v>
      </c>
    </row>
    <row r="9967" spans="1:2" x14ac:dyDescent="0.25">
      <c r="A9967" s="2">
        <v>9962</v>
      </c>
      <c r="B9967" s="11" t="str">
        <f>"00489699"</f>
        <v>00489699</v>
      </c>
    </row>
    <row r="9968" spans="1:2" x14ac:dyDescent="0.25">
      <c r="A9968" s="2">
        <v>9963</v>
      </c>
      <c r="B9968" s="11" t="str">
        <f>"00489707"</f>
        <v>00489707</v>
      </c>
    </row>
    <row r="9969" spans="1:2" x14ac:dyDescent="0.25">
      <c r="A9969" s="2">
        <v>9964</v>
      </c>
      <c r="B9969" s="11" t="str">
        <f>"00489735"</f>
        <v>00489735</v>
      </c>
    </row>
    <row r="9970" spans="1:2" x14ac:dyDescent="0.25">
      <c r="A9970" s="2">
        <v>9965</v>
      </c>
      <c r="B9970" s="11" t="str">
        <f>"00489764"</f>
        <v>00489764</v>
      </c>
    </row>
    <row r="9971" spans="1:2" x14ac:dyDescent="0.25">
      <c r="A9971" s="2">
        <v>9966</v>
      </c>
      <c r="B9971" s="11" t="str">
        <f>"00489825"</f>
        <v>00489825</v>
      </c>
    </row>
    <row r="9972" spans="1:2" x14ac:dyDescent="0.25">
      <c r="A9972" s="2">
        <v>9967</v>
      </c>
      <c r="B9972" s="11" t="str">
        <f>"00489826"</f>
        <v>00489826</v>
      </c>
    </row>
    <row r="9973" spans="1:2" x14ac:dyDescent="0.25">
      <c r="A9973" s="2">
        <v>9968</v>
      </c>
      <c r="B9973" s="11" t="str">
        <f>"00489871"</f>
        <v>00489871</v>
      </c>
    </row>
    <row r="9974" spans="1:2" x14ac:dyDescent="0.25">
      <c r="A9974" s="2">
        <v>9969</v>
      </c>
      <c r="B9974" s="11" t="str">
        <f>"00489910"</f>
        <v>00489910</v>
      </c>
    </row>
    <row r="9975" spans="1:2" x14ac:dyDescent="0.25">
      <c r="A9975" s="2">
        <v>9970</v>
      </c>
      <c r="B9975" s="11" t="str">
        <f>"00489943"</f>
        <v>00489943</v>
      </c>
    </row>
    <row r="9976" spans="1:2" x14ac:dyDescent="0.25">
      <c r="A9976" s="2">
        <v>9971</v>
      </c>
      <c r="B9976" s="11" t="str">
        <f>"00489955"</f>
        <v>00489955</v>
      </c>
    </row>
    <row r="9977" spans="1:2" x14ac:dyDescent="0.25">
      <c r="A9977" s="2">
        <v>9972</v>
      </c>
      <c r="B9977" s="11" t="str">
        <f>"00489968"</f>
        <v>00489968</v>
      </c>
    </row>
    <row r="9978" spans="1:2" x14ac:dyDescent="0.25">
      <c r="A9978" s="2">
        <v>9973</v>
      </c>
      <c r="B9978" s="11" t="str">
        <f>"00489975"</f>
        <v>00489975</v>
      </c>
    </row>
    <row r="9979" spans="1:2" x14ac:dyDescent="0.25">
      <c r="A9979" s="2">
        <v>9974</v>
      </c>
      <c r="B9979" s="11" t="str">
        <f>"00490005"</f>
        <v>00490005</v>
      </c>
    </row>
    <row r="9980" spans="1:2" x14ac:dyDescent="0.25">
      <c r="A9980" s="2">
        <v>9975</v>
      </c>
      <c r="B9980" s="11" t="str">
        <f>"00490028"</f>
        <v>00490028</v>
      </c>
    </row>
    <row r="9981" spans="1:2" x14ac:dyDescent="0.25">
      <c r="A9981" s="2">
        <v>9976</v>
      </c>
      <c r="B9981" s="11" t="str">
        <f>"00490076"</f>
        <v>00490076</v>
      </c>
    </row>
    <row r="9982" spans="1:2" x14ac:dyDescent="0.25">
      <c r="A9982" s="2">
        <v>9977</v>
      </c>
      <c r="B9982" s="11" t="str">
        <f>"00490123"</f>
        <v>00490123</v>
      </c>
    </row>
    <row r="9983" spans="1:2" x14ac:dyDescent="0.25">
      <c r="A9983" s="2">
        <v>9978</v>
      </c>
      <c r="B9983" s="11" t="str">
        <f>"00490130"</f>
        <v>00490130</v>
      </c>
    </row>
    <row r="9984" spans="1:2" x14ac:dyDescent="0.25">
      <c r="A9984" s="2">
        <v>9979</v>
      </c>
      <c r="B9984" s="11" t="str">
        <f>"00490150"</f>
        <v>00490150</v>
      </c>
    </row>
    <row r="9985" spans="1:2" x14ac:dyDescent="0.25">
      <c r="A9985" s="2">
        <v>9980</v>
      </c>
      <c r="B9985" s="11" t="str">
        <f>"00490191"</f>
        <v>00490191</v>
      </c>
    </row>
    <row r="9986" spans="1:2" x14ac:dyDescent="0.25">
      <c r="A9986" s="2">
        <v>9981</v>
      </c>
      <c r="B9986" s="11" t="str">
        <f>"00490194"</f>
        <v>00490194</v>
      </c>
    </row>
    <row r="9987" spans="1:2" x14ac:dyDescent="0.25">
      <c r="A9987" s="2">
        <v>9982</v>
      </c>
      <c r="B9987" s="11" t="str">
        <f>"00490223"</f>
        <v>00490223</v>
      </c>
    </row>
    <row r="9988" spans="1:2" x14ac:dyDescent="0.25">
      <c r="A9988" s="2">
        <v>9983</v>
      </c>
      <c r="B9988" s="11" t="str">
        <f>"00490226"</f>
        <v>00490226</v>
      </c>
    </row>
    <row r="9989" spans="1:2" x14ac:dyDescent="0.25">
      <c r="A9989" s="2">
        <v>9984</v>
      </c>
      <c r="B9989" s="11" t="str">
        <f>"00490227"</f>
        <v>00490227</v>
      </c>
    </row>
    <row r="9990" spans="1:2" x14ac:dyDescent="0.25">
      <c r="A9990" s="2">
        <v>9985</v>
      </c>
      <c r="B9990" s="11" t="str">
        <f>"00490279"</f>
        <v>00490279</v>
      </c>
    </row>
    <row r="9991" spans="1:2" x14ac:dyDescent="0.25">
      <c r="A9991" s="2">
        <v>9986</v>
      </c>
      <c r="B9991" s="11" t="str">
        <f>"00490295"</f>
        <v>00490295</v>
      </c>
    </row>
    <row r="9992" spans="1:2" x14ac:dyDescent="0.25">
      <c r="A9992" s="2">
        <v>9987</v>
      </c>
      <c r="B9992" s="11" t="str">
        <f>"00490368"</f>
        <v>00490368</v>
      </c>
    </row>
    <row r="9993" spans="1:2" x14ac:dyDescent="0.25">
      <c r="A9993" s="2">
        <v>9988</v>
      </c>
      <c r="B9993" s="11" t="str">
        <f>"00490371"</f>
        <v>00490371</v>
      </c>
    </row>
    <row r="9994" spans="1:2" x14ac:dyDescent="0.25">
      <c r="A9994" s="2">
        <v>9989</v>
      </c>
      <c r="B9994" s="11" t="str">
        <f>"00490410"</f>
        <v>00490410</v>
      </c>
    </row>
    <row r="9995" spans="1:2" x14ac:dyDescent="0.25">
      <c r="A9995" s="2">
        <v>9990</v>
      </c>
      <c r="B9995" s="11" t="str">
        <f>"00490465"</f>
        <v>00490465</v>
      </c>
    </row>
    <row r="9996" spans="1:2" x14ac:dyDescent="0.25">
      <c r="A9996" s="2">
        <v>9991</v>
      </c>
      <c r="B9996" s="11" t="str">
        <f>"00490469"</f>
        <v>00490469</v>
      </c>
    </row>
    <row r="9997" spans="1:2" x14ac:dyDescent="0.25">
      <c r="A9997" s="2">
        <v>9992</v>
      </c>
      <c r="B9997" s="11" t="str">
        <f>"00490483"</f>
        <v>00490483</v>
      </c>
    </row>
    <row r="9998" spans="1:2" x14ac:dyDescent="0.25">
      <c r="A9998" s="2">
        <v>9993</v>
      </c>
      <c r="B9998" s="11" t="str">
        <f>"00490504"</f>
        <v>00490504</v>
      </c>
    </row>
    <row r="9999" spans="1:2" x14ac:dyDescent="0.25">
      <c r="A9999" s="2">
        <v>9994</v>
      </c>
      <c r="B9999" s="11" t="str">
        <f>"00490530"</f>
        <v>00490530</v>
      </c>
    </row>
    <row r="10000" spans="1:2" x14ac:dyDescent="0.25">
      <c r="A10000" s="2">
        <v>9995</v>
      </c>
      <c r="B10000" s="11" t="str">
        <f>"00490537"</f>
        <v>00490537</v>
      </c>
    </row>
    <row r="10001" spans="1:2" x14ac:dyDescent="0.25">
      <c r="A10001" s="2">
        <v>9996</v>
      </c>
      <c r="B10001" s="11" t="str">
        <f>"00490566"</f>
        <v>00490566</v>
      </c>
    </row>
    <row r="10002" spans="1:2" x14ac:dyDescent="0.25">
      <c r="A10002" s="2">
        <v>9997</v>
      </c>
      <c r="B10002" s="11" t="str">
        <f>"00490601"</f>
        <v>00490601</v>
      </c>
    </row>
    <row r="10003" spans="1:2" x14ac:dyDescent="0.25">
      <c r="A10003" s="2">
        <v>9998</v>
      </c>
      <c r="B10003" s="11" t="str">
        <f>"00490634"</f>
        <v>00490634</v>
      </c>
    </row>
    <row r="10004" spans="1:2" x14ac:dyDescent="0.25">
      <c r="A10004" s="2">
        <v>9999</v>
      </c>
      <c r="B10004" s="11" t="str">
        <f>"00490636"</f>
        <v>00490636</v>
      </c>
    </row>
    <row r="10005" spans="1:2" x14ac:dyDescent="0.25">
      <c r="A10005" s="2">
        <v>10000</v>
      </c>
      <c r="B10005" s="11" t="str">
        <f>"00490669"</f>
        <v>00490669</v>
      </c>
    </row>
    <row r="10006" spans="1:2" x14ac:dyDescent="0.25">
      <c r="A10006" s="2">
        <v>10001</v>
      </c>
      <c r="B10006" s="11" t="str">
        <f>"00490675"</f>
        <v>00490675</v>
      </c>
    </row>
    <row r="10007" spans="1:2" x14ac:dyDescent="0.25">
      <c r="A10007" s="2">
        <v>10002</v>
      </c>
      <c r="B10007" s="11" t="str">
        <f>"00490691"</f>
        <v>00490691</v>
      </c>
    </row>
    <row r="10008" spans="1:2" x14ac:dyDescent="0.25">
      <c r="A10008" s="2">
        <v>10003</v>
      </c>
      <c r="B10008" s="11" t="str">
        <f>"00490728"</f>
        <v>00490728</v>
      </c>
    </row>
    <row r="10009" spans="1:2" x14ac:dyDescent="0.25">
      <c r="A10009" s="2">
        <v>10004</v>
      </c>
      <c r="B10009" s="11" t="str">
        <f>"00490796"</f>
        <v>00490796</v>
      </c>
    </row>
    <row r="10010" spans="1:2" x14ac:dyDescent="0.25">
      <c r="A10010" s="2">
        <v>10005</v>
      </c>
      <c r="B10010" s="11" t="str">
        <f>"00490849"</f>
        <v>00490849</v>
      </c>
    </row>
    <row r="10011" spans="1:2" x14ac:dyDescent="0.25">
      <c r="A10011" s="2">
        <v>10006</v>
      </c>
      <c r="B10011" s="11" t="str">
        <f>"00490866"</f>
        <v>00490866</v>
      </c>
    </row>
    <row r="10012" spans="1:2" x14ac:dyDescent="0.25">
      <c r="A10012" s="2">
        <v>10007</v>
      </c>
      <c r="B10012" s="11" t="str">
        <f>"00490886"</f>
        <v>00490886</v>
      </c>
    </row>
    <row r="10013" spans="1:2" x14ac:dyDescent="0.25">
      <c r="A10013" s="2">
        <v>10008</v>
      </c>
      <c r="B10013" s="11" t="str">
        <f>"00490953"</f>
        <v>00490953</v>
      </c>
    </row>
    <row r="10014" spans="1:2" x14ac:dyDescent="0.25">
      <c r="A10014" s="2">
        <v>10009</v>
      </c>
      <c r="B10014" s="11" t="str">
        <f>"00490957"</f>
        <v>00490957</v>
      </c>
    </row>
    <row r="10015" spans="1:2" x14ac:dyDescent="0.25">
      <c r="A10015" s="2">
        <v>10010</v>
      </c>
      <c r="B10015" s="11" t="str">
        <f>"00490978"</f>
        <v>00490978</v>
      </c>
    </row>
    <row r="10016" spans="1:2" x14ac:dyDescent="0.25">
      <c r="A10016" s="2">
        <v>10011</v>
      </c>
      <c r="B10016" s="11" t="str">
        <f>"00490987"</f>
        <v>00490987</v>
      </c>
    </row>
    <row r="10017" spans="1:2" x14ac:dyDescent="0.25">
      <c r="A10017" s="2">
        <v>10012</v>
      </c>
      <c r="B10017" s="11" t="str">
        <f>"00491015"</f>
        <v>00491015</v>
      </c>
    </row>
    <row r="10018" spans="1:2" x14ac:dyDescent="0.25">
      <c r="A10018" s="2">
        <v>10013</v>
      </c>
      <c r="B10018" s="11" t="str">
        <f>"00491058"</f>
        <v>00491058</v>
      </c>
    </row>
    <row r="10019" spans="1:2" x14ac:dyDescent="0.25">
      <c r="A10019" s="2">
        <v>10014</v>
      </c>
      <c r="B10019" s="11" t="str">
        <f>"00491118"</f>
        <v>00491118</v>
      </c>
    </row>
    <row r="10020" spans="1:2" x14ac:dyDescent="0.25">
      <c r="A10020" s="2">
        <v>10015</v>
      </c>
      <c r="B10020" s="11" t="str">
        <f>"00491137"</f>
        <v>00491137</v>
      </c>
    </row>
    <row r="10021" spans="1:2" x14ac:dyDescent="0.25">
      <c r="A10021" s="2">
        <v>10016</v>
      </c>
      <c r="B10021" s="11" t="str">
        <f>"00491144"</f>
        <v>00491144</v>
      </c>
    </row>
    <row r="10022" spans="1:2" x14ac:dyDescent="0.25">
      <c r="A10022" s="2">
        <v>10017</v>
      </c>
      <c r="B10022" s="11" t="str">
        <f>"00491178"</f>
        <v>00491178</v>
      </c>
    </row>
    <row r="10023" spans="1:2" x14ac:dyDescent="0.25">
      <c r="A10023" s="2">
        <v>10018</v>
      </c>
      <c r="B10023" s="11" t="str">
        <f>"00491182"</f>
        <v>00491182</v>
      </c>
    </row>
    <row r="10024" spans="1:2" x14ac:dyDescent="0.25">
      <c r="A10024" s="2">
        <v>10019</v>
      </c>
      <c r="B10024" s="11" t="str">
        <f>"00491186"</f>
        <v>00491186</v>
      </c>
    </row>
    <row r="10025" spans="1:2" x14ac:dyDescent="0.25">
      <c r="A10025" s="2">
        <v>10020</v>
      </c>
      <c r="B10025" s="11" t="str">
        <f>"00491193"</f>
        <v>00491193</v>
      </c>
    </row>
    <row r="10026" spans="1:2" x14ac:dyDescent="0.25">
      <c r="A10026" s="2">
        <v>10021</v>
      </c>
      <c r="B10026" s="11" t="str">
        <f>"00491214"</f>
        <v>00491214</v>
      </c>
    </row>
    <row r="10027" spans="1:2" x14ac:dyDescent="0.25">
      <c r="A10027" s="2">
        <v>10022</v>
      </c>
      <c r="B10027" s="11" t="str">
        <f>"00491224"</f>
        <v>00491224</v>
      </c>
    </row>
    <row r="10028" spans="1:2" x14ac:dyDescent="0.25">
      <c r="A10028" s="2">
        <v>10023</v>
      </c>
      <c r="B10028" s="11" t="str">
        <f>"00491227"</f>
        <v>00491227</v>
      </c>
    </row>
    <row r="10029" spans="1:2" x14ac:dyDescent="0.25">
      <c r="A10029" s="2">
        <v>10024</v>
      </c>
      <c r="B10029" s="11" t="str">
        <f>"00491335"</f>
        <v>00491335</v>
      </c>
    </row>
    <row r="10030" spans="1:2" x14ac:dyDescent="0.25">
      <c r="A10030" s="2">
        <v>10025</v>
      </c>
      <c r="B10030" s="11" t="str">
        <f>"00491352"</f>
        <v>00491352</v>
      </c>
    </row>
    <row r="10031" spans="1:2" x14ac:dyDescent="0.25">
      <c r="A10031" s="2">
        <v>10026</v>
      </c>
      <c r="B10031" s="11" t="str">
        <f>"00491360"</f>
        <v>00491360</v>
      </c>
    </row>
    <row r="10032" spans="1:2" x14ac:dyDescent="0.25">
      <c r="A10032" s="2">
        <v>10027</v>
      </c>
      <c r="B10032" s="11" t="str">
        <f>"00491362"</f>
        <v>00491362</v>
      </c>
    </row>
    <row r="10033" spans="1:2" x14ac:dyDescent="0.25">
      <c r="A10033" s="2">
        <v>10028</v>
      </c>
      <c r="B10033" s="11" t="str">
        <f>"00491373"</f>
        <v>00491373</v>
      </c>
    </row>
    <row r="10034" spans="1:2" x14ac:dyDescent="0.25">
      <c r="A10034" s="2">
        <v>10029</v>
      </c>
      <c r="B10034" s="11" t="str">
        <f>"00491403"</f>
        <v>00491403</v>
      </c>
    </row>
    <row r="10035" spans="1:2" x14ac:dyDescent="0.25">
      <c r="A10035" s="2">
        <v>10030</v>
      </c>
      <c r="B10035" s="11" t="str">
        <f>"00491417"</f>
        <v>00491417</v>
      </c>
    </row>
    <row r="10036" spans="1:2" x14ac:dyDescent="0.25">
      <c r="A10036" s="2">
        <v>10031</v>
      </c>
      <c r="B10036" s="11" t="str">
        <f>"00491447"</f>
        <v>00491447</v>
      </c>
    </row>
    <row r="10037" spans="1:2" x14ac:dyDescent="0.25">
      <c r="A10037" s="2">
        <v>10032</v>
      </c>
      <c r="B10037" s="11" t="str">
        <f>"00491473"</f>
        <v>00491473</v>
      </c>
    </row>
    <row r="10038" spans="1:2" x14ac:dyDescent="0.25">
      <c r="A10038" s="2">
        <v>10033</v>
      </c>
      <c r="B10038" s="11" t="str">
        <f>"00491479"</f>
        <v>00491479</v>
      </c>
    </row>
    <row r="10039" spans="1:2" x14ac:dyDescent="0.25">
      <c r="A10039" s="2">
        <v>10034</v>
      </c>
      <c r="B10039" s="11" t="str">
        <f>"00491507"</f>
        <v>00491507</v>
      </c>
    </row>
    <row r="10040" spans="1:2" x14ac:dyDescent="0.25">
      <c r="A10040" s="2">
        <v>10035</v>
      </c>
      <c r="B10040" s="11" t="str">
        <f>"00491528"</f>
        <v>00491528</v>
      </c>
    </row>
    <row r="10041" spans="1:2" x14ac:dyDescent="0.25">
      <c r="A10041" s="2">
        <v>10036</v>
      </c>
      <c r="B10041" s="11" t="str">
        <f>"00491530"</f>
        <v>00491530</v>
      </c>
    </row>
    <row r="10042" spans="1:2" x14ac:dyDescent="0.25">
      <c r="A10042" s="2">
        <v>10037</v>
      </c>
      <c r="B10042" s="11" t="str">
        <f>"00491531"</f>
        <v>00491531</v>
      </c>
    </row>
    <row r="10043" spans="1:2" x14ac:dyDescent="0.25">
      <c r="A10043" s="2">
        <v>10038</v>
      </c>
      <c r="B10043" s="11" t="str">
        <f>"00491554"</f>
        <v>00491554</v>
      </c>
    </row>
    <row r="10044" spans="1:2" x14ac:dyDescent="0.25">
      <c r="A10044" s="2">
        <v>10039</v>
      </c>
      <c r="B10044" s="11" t="str">
        <f>"00491574"</f>
        <v>00491574</v>
      </c>
    </row>
    <row r="10045" spans="1:2" x14ac:dyDescent="0.25">
      <c r="A10045" s="2">
        <v>10040</v>
      </c>
      <c r="B10045" s="11" t="str">
        <f>"00491618"</f>
        <v>00491618</v>
      </c>
    </row>
    <row r="10046" spans="1:2" x14ac:dyDescent="0.25">
      <c r="A10046" s="2">
        <v>10041</v>
      </c>
      <c r="B10046" s="11" t="str">
        <f>"00491664"</f>
        <v>00491664</v>
      </c>
    </row>
    <row r="10047" spans="1:2" x14ac:dyDescent="0.25">
      <c r="A10047" s="2">
        <v>10042</v>
      </c>
      <c r="B10047" s="11" t="str">
        <f>"00491665"</f>
        <v>00491665</v>
      </c>
    </row>
    <row r="10048" spans="1:2" x14ac:dyDescent="0.25">
      <c r="A10048" s="2">
        <v>10043</v>
      </c>
      <c r="B10048" s="11" t="str">
        <f>"00491675"</f>
        <v>00491675</v>
      </c>
    </row>
    <row r="10049" spans="1:2" x14ac:dyDescent="0.25">
      <c r="A10049" s="2">
        <v>10044</v>
      </c>
      <c r="B10049" s="11" t="str">
        <f>"00491698"</f>
        <v>00491698</v>
      </c>
    </row>
    <row r="10050" spans="1:2" x14ac:dyDescent="0.25">
      <c r="A10050" s="2">
        <v>10045</v>
      </c>
      <c r="B10050" s="11" t="str">
        <f>"00491739"</f>
        <v>00491739</v>
      </c>
    </row>
    <row r="10051" spans="1:2" x14ac:dyDescent="0.25">
      <c r="A10051" s="2">
        <v>10046</v>
      </c>
      <c r="B10051" s="11" t="str">
        <f>"00491742"</f>
        <v>00491742</v>
      </c>
    </row>
    <row r="10052" spans="1:2" x14ac:dyDescent="0.25">
      <c r="A10052" s="2">
        <v>10047</v>
      </c>
      <c r="B10052" s="11" t="str">
        <f>"00491760"</f>
        <v>00491760</v>
      </c>
    </row>
    <row r="10053" spans="1:2" x14ac:dyDescent="0.25">
      <c r="A10053" s="2">
        <v>10048</v>
      </c>
      <c r="B10053" s="11" t="str">
        <f>"00491773"</f>
        <v>00491773</v>
      </c>
    </row>
    <row r="10054" spans="1:2" x14ac:dyDescent="0.25">
      <c r="A10054" s="2">
        <v>10049</v>
      </c>
      <c r="B10054" s="11" t="str">
        <f>"00491902"</f>
        <v>00491902</v>
      </c>
    </row>
    <row r="10055" spans="1:2" x14ac:dyDescent="0.25">
      <c r="A10055" s="2">
        <v>10050</v>
      </c>
      <c r="B10055" s="11" t="str">
        <f>"00491942"</f>
        <v>00491942</v>
      </c>
    </row>
    <row r="10056" spans="1:2" x14ac:dyDescent="0.25">
      <c r="A10056" s="2">
        <v>10051</v>
      </c>
      <c r="B10056" s="11" t="str">
        <f>"00491948"</f>
        <v>00491948</v>
      </c>
    </row>
    <row r="10057" spans="1:2" x14ac:dyDescent="0.25">
      <c r="A10057" s="2">
        <v>10052</v>
      </c>
      <c r="B10057" s="11" t="str">
        <f>"00491954"</f>
        <v>00491954</v>
      </c>
    </row>
    <row r="10058" spans="1:2" x14ac:dyDescent="0.25">
      <c r="A10058" s="2">
        <v>10053</v>
      </c>
      <c r="B10058" s="11" t="str">
        <f>"00492001"</f>
        <v>00492001</v>
      </c>
    </row>
    <row r="10059" spans="1:2" x14ac:dyDescent="0.25">
      <c r="A10059" s="2">
        <v>10054</v>
      </c>
      <c r="B10059" s="11" t="str">
        <f>"00492002"</f>
        <v>00492002</v>
      </c>
    </row>
    <row r="10060" spans="1:2" x14ac:dyDescent="0.25">
      <c r="A10060" s="2">
        <v>10055</v>
      </c>
      <c r="B10060" s="11" t="str">
        <f>"00492076"</f>
        <v>00492076</v>
      </c>
    </row>
    <row r="10061" spans="1:2" x14ac:dyDescent="0.25">
      <c r="A10061" s="2">
        <v>10056</v>
      </c>
      <c r="B10061" s="11" t="str">
        <f>"00492090"</f>
        <v>00492090</v>
      </c>
    </row>
    <row r="10062" spans="1:2" x14ac:dyDescent="0.25">
      <c r="A10062" s="2">
        <v>10057</v>
      </c>
      <c r="B10062" s="11" t="str">
        <f>"00492115"</f>
        <v>00492115</v>
      </c>
    </row>
    <row r="10063" spans="1:2" x14ac:dyDescent="0.25">
      <c r="A10063" s="2">
        <v>10058</v>
      </c>
      <c r="B10063" s="11" t="str">
        <f>"00492132"</f>
        <v>00492132</v>
      </c>
    </row>
    <row r="10064" spans="1:2" x14ac:dyDescent="0.25">
      <c r="A10064" s="2">
        <v>10059</v>
      </c>
      <c r="B10064" s="11" t="str">
        <f>"00492195"</f>
        <v>00492195</v>
      </c>
    </row>
    <row r="10065" spans="1:2" x14ac:dyDescent="0.25">
      <c r="A10065" s="2">
        <v>10060</v>
      </c>
      <c r="B10065" s="11" t="str">
        <f>"00492210"</f>
        <v>00492210</v>
      </c>
    </row>
    <row r="10066" spans="1:2" x14ac:dyDescent="0.25">
      <c r="A10066" s="2">
        <v>10061</v>
      </c>
      <c r="B10066" s="11" t="str">
        <f>"00492223"</f>
        <v>00492223</v>
      </c>
    </row>
    <row r="10067" spans="1:2" x14ac:dyDescent="0.25">
      <c r="A10067" s="2">
        <v>10062</v>
      </c>
      <c r="B10067" s="11" t="str">
        <f>"00492276"</f>
        <v>00492276</v>
      </c>
    </row>
    <row r="10068" spans="1:2" x14ac:dyDescent="0.25">
      <c r="A10068" s="2">
        <v>10063</v>
      </c>
      <c r="B10068" s="11" t="str">
        <f>"00492344"</f>
        <v>00492344</v>
      </c>
    </row>
    <row r="10069" spans="1:2" x14ac:dyDescent="0.25">
      <c r="A10069" s="2">
        <v>10064</v>
      </c>
      <c r="B10069" s="11" t="str">
        <f>"00492364"</f>
        <v>00492364</v>
      </c>
    </row>
    <row r="10070" spans="1:2" x14ac:dyDescent="0.25">
      <c r="A10070" s="2">
        <v>10065</v>
      </c>
      <c r="B10070" s="11" t="str">
        <f>"00492373"</f>
        <v>00492373</v>
      </c>
    </row>
    <row r="10071" spans="1:2" x14ac:dyDescent="0.25">
      <c r="A10071" s="2">
        <v>10066</v>
      </c>
      <c r="B10071" s="11" t="str">
        <f>"00492383"</f>
        <v>00492383</v>
      </c>
    </row>
    <row r="10072" spans="1:2" x14ac:dyDescent="0.25">
      <c r="A10072" s="2">
        <v>10067</v>
      </c>
      <c r="B10072" s="11" t="str">
        <f>"00492394"</f>
        <v>00492394</v>
      </c>
    </row>
    <row r="10073" spans="1:2" x14ac:dyDescent="0.25">
      <c r="A10073" s="2">
        <v>10068</v>
      </c>
      <c r="B10073" s="11" t="str">
        <f>"00492497"</f>
        <v>00492497</v>
      </c>
    </row>
    <row r="10074" spans="1:2" x14ac:dyDescent="0.25">
      <c r="A10074" s="2">
        <v>10069</v>
      </c>
      <c r="B10074" s="11" t="str">
        <f>"00492499"</f>
        <v>00492499</v>
      </c>
    </row>
    <row r="10075" spans="1:2" x14ac:dyDescent="0.25">
      <c r="A10075" s="2">
        <v>10070</v>
      </c>
      <c r="B10075" s="11" t="str">
        <f>"00492555"</f>
        <v>00492555</v>
      </c>
    </row>
    <row r="10076" spans="1:2" x14ac:dyDescent="0.25">
      <c r="A10076" s="2">
        <v>10071</v>
      </c>
      <c r="B10076" s="11" t="str">
        <f>"00492596"</f>
        <v>00492596</v>
      </c>
    </row>
    <row r="10077" spans="1:2" x14ac:dyDescent="0.25">
      <c r="A10077" s="2">
        <v>10072</v>
      </c>
      <c r="B10077" s="11" t="str">
        <f>"00492714"</f>
        <v>00492714</v>
      </c>
    </row>
    <row r="10078" spans="1:2" x14ac:dyDescent="0.25">
      <c r="A10078" s="2">
        <v>10073</v>
      </c>
      <c r="B10078" s="11" t="str">
        <f>"00492717"</f>
        <v>00492717</v>
      </c>
    </row>
    <row r="10079" spans="1:2" x14ac:dyDescent="0.25">
      <c r="A10079" s="2">
        <v>10074</v>
      </c>
      <c r="B10079" s="11" t="str">
        <f>"00492730"</f>
        <v>00492730</v>
      </c>
    </row>
    <row r="10080" spans="1:2" x14ac:dyDescent="0.25">
      <c r="A10080" s="2">
        <v>10075</v>
      </c>
      <c r="B10080" s="11" t="str">
        <f>"00492742"</f>
        <v>00492742</v>
      </c>
    </row>
    <row r="10081" spans="1:2" x14ac:dyDescent="0.25">
      <c r="A10081" s="2">
        <v>10076</v>
      </c>
      <c r="B10081" s="11" t="str">
        <f>"00492874"</f>
        <v>00492874</v>
      </c>
    </row>
    <row r="10082" spans="1:2" x14ac:dyDescent="0.25">
      <c r="A10082" s="2">
        <v>10077</v>
      </c>
      <c r="B10082" s="11" t="str">
        <f>"00492876"</f>
        <v>00492876</v>
      </c>
    </row>
    <row r="10083" spans="1:2" x14ac:dyDescent="0.25">
      <c r="A10083" s="2">
        <v>10078</v>
      </c>
      <c r="B10083" s="11" t="str">
        <f>"00492879"</f>
        <v>00492879</v>
      </c>
    </row>
    <row r="10084" spans="1:2" x14ac:dyDescent="0.25">
      <c r="A10084" s="2">
        <v>10079</v>
      </c>
      <c r="B10084" s="11" t="str">
        <f>"00492960"</f>
        <v>00492960</v>
      </c>
    </row>
    <row r="10085" spans="1:2" x14ac:dyDescent="0.25">
      <c r="A10085" s="2">
        <v>10080</v>
      </c>
      <c r="B10085" s="11" t="str">
        <f>"00492971"</f>
        <v>00492971</v>
      </c>
    </row>
    <row r="10086" spans="1:2" x14ac:dyDescent="0.25">
      <c r="A10086" s="2">
        <v>10081</v>
      </c>
      <c r="B10086" s="11" t="str">
        <f>"00492996"</f>
        <v>00492996</v>
      </c>
    </row>
    <row r="10087" spans="1:2" x14ac:dyDescent="0.25">
      <c r="A10087" s="2">
        <v>10082</v>
      </c>
      <c r="B10087" s="11" t="str">
        <f>"00493036"</f>
        <v>00493036</v>
      </c>
    </row>
    <row r="10088" spans="1:2" x14ac:dyDescent="0.25">
      <c r="A10088" s="2">
        <v>10083</v>
      </c>
      <c r="B10088" s="11" t="str">
        <f>"00493101"</f>
        <v>00493101</v>
      </c>
    </row>
    <row r="10089" spans="1:2" x14ac:dyDescent="0.25">
      <c r="A10089" s="2">
        <v>10084</v>
      </c>
      <c r="B10089" s="11" t="str">
        <f>"00493115"</f>
        <v>00493115</v>
      </c>
    </row>
    <row r="10090" spans="1:2" x14ac:dyDescent="0.25">
      <c r="A10090" s="2">
        <v>10085</v>
      </c>
      <c r="B10090" s="11" t="str">
        <f>"00493127"</f>
        <v>00493127</v>
      </c>
    </row>
    <row r="10091" spans="1:2" x14ac:dyDescent="0.25">
      <c r="A10091" s="2">
        <v>10086</v>
      </c>
      <c r="B10091" s="11" t="str">
        <f>"00493179"</f>
        <v>00493179</v>
      </c>
    </row>
    <row r="10092" spans="1:2" x14ac:dyDescent="0.25">
      <c r="A10092" s="2">
        <v>10087</v>
      </c>
      <c r="B10092" s="11" t="str">
        <f>"00493225"</f>
        <v>00493225</v>
      </c>
    </row>
    <row r="10093" spans="1:2" x14ac:dyDescent="0.25">
      <c r="A10093" s="2">
        <v>10088</v>
      </c>
      <c r="B10093" s="11" t="str">
        <f>"00493242"</f>
        <v>00493242</v>
      </c>
    </row>
    <row r="10094" spans="1:2" x14ac:dyDescent="0.25">
      <c r="A10094" s="2">
        <v>10089</v>
      </c>
      <c r="B10094" s="11" t="str">
        <f>"00493257"</f>
        <v>00493257</v>
      </c>
    </row>
    <row r="10095" spans="1:2" x14ac:dyDescent="0.25">
      <c r="A10095" s="2">
        <v>10090</v>
      </c>
      <c r="B10095" s="11" t="str">
        <f>"00493260"</f>
        <v>00493260</v>
      </c>
    </row>
    <row r="10096" spans="1:2" x14ac:dyDescent="0.25">
      <c r="A10096" s="2">
        <v>10091</v>
      </c>
      <c r="B10096" s="11" t="str">
        <f>"00493270"</f>
        <v>00493270</v>
      </c>
    </row>
    <row r="10097" spans="1:2" x14ac:dyDescent="0.25">
      <c r="A10097" s="2">
        <v>10092</v>
      </c>
      <c r="B10097" s="11" t="str">
        <f>"00493288"</f>
        <v>00493288</v>
      </c>
    </row>
    <row r="10098" spans="1:2" x14ac:dyDescent="0.25">
      <c r="A10098" s="2">
        <v>10093</v>
      </c>
      <c r="B10098" s="11" t="str">
        <f>"00493321"</f>
        <v>00493321</v>
      </c>
    </row>
    <row r="10099" spans="1:2" x14ac:dyDescent="0.25">
      <c r="A10099" s="2">
        <v>10094</v>
      </c>
      <c r="B10099" s="11" t="str">
        <f>"00493326"</f>
        <v>00493326</v>
      </c>
    </row>
    <row r="10100" spans="1:2" x14ac:dyDescent="0.25">
      <c r="A10100" s="2">
        <v>10095</v>
      </c>
      <c r="B10100" s="11" t="str">
        <f>"00493332"</f>
        <v>00493332</v>
      </c>
    </row>
    <row r="10101" spans="1:2" x14ac:dyDescent="0.25">
      <c r="A10101" s="2">
        <v>10096</v>
      </c>
      <c r="B10101" s="11" t="str">
        <f>"00493363"</f>
        <v>00493363</v>
      </c>
    </row>
    <row r="10102" spans="1:2" x14ac:dyDescent="0.25">
      <c r="A10102" s="2">
        <v>10097</v>
      </c>
      <c r="B10102" s="11" t="str">
        <f>"00493402"</f>
        <v>00493402</v>
      </c>
    </row>
    <row r="10103" spans="1:2" x14ac:dyDescent="0.25">
      <c r="A10103" s="2">
        <v>10098</v>
      </c>
      <c r="B10103" s="11" t="str">
        <f>"00493453"</f>
        <v>00493453</v>
      </c>
    </row>
    <row r="10104" spans="1:2" x14ac:dyDescent="0.25">
      <c r="A10104" s="2">
        <v>10099</v>
      </c>
      <c r="B10104" s="11" t="str">
        <f>"00493468"</f>
        <v>00493468</v>
      </c>
    </row>
    <row r="10105" spans="1:2" x14ac:dyDescent="0.25">
      <c r="A10105" s="2">
        <v>10100</v>
      </c>
      <c r="B10105" s="11" t="str">
        <f>"00493487"</f>
        <v>00493487</v>
      </c>
    </row>
    <row r="10106" spans="1:2" x14ac:dyDescent="0.25">
      <c r="A10106" s="2">
        <v>10101</v>
      </c>
      <c r="B10106" s="11" t="str">
        <f>"00493515"</f>
        <v>00493515</v>
      </c>
    </row>
    <row r="10107" spans="1:2" x14ac:dyDescent="0.25">
      <c r="A10107" s="2">
        <v>10102</v>
      </c>
      <c r="B10107" s="11" t="str">
        <f>"00493535"</f>
        <v>00493535</v>
      </c>
    </row>
    <row r="10108" spans="1:2" x14ac:dyDescent="0.25">
      <c r="A10108" s="2">
        <v>10103</v>
      </c>
      <c r="B10108" s="11" t="str">
        <f>"00493537"</f>
        <v>00493537</v>
      </c>
    </row>
    <row r="10109" spans="1:2" x14ac:dyDescent="0.25">
      <c r="A10109" s="2">
        <v>10104</v>
      </c>
      <c r="B10109" s="11" t="str">
        <f>"00493570"</f>
        <v>00493570</v>
      </c>
    </row>
    <row r="10110" spans="1:2" x14ac:dyDescent="0.25">
      <c r="A10110" s="2">
        <v>10105</v>
      </c>
      <c r="B10110" s="11" t="str">
        <f>"00493583"</f>
        <v>00493583</v>
      </c>
    </row>
    <row r="10111" spans="1:2" x14ac:dyDescent="0.25">
      <c r="A10111" s="2">
        <v>10106</v>
      </c>
      <c r="B10111" s="11" t="str">
        <f>"00493598"</f>
        <v>00493598</v>
      </c>
    </row>
    <row r="10112" spans="1:2" x14ac:dyDescent="0.25">
      <c r="A10112" s="2">
        <v>10107</v>
      </c>
      <c r="B10112" s="11" t="str">
        <f>"00493628"</f>
        <v>00493628</v>
      </c>
    </row>
    <row r="10113" spans="1:2" x14ac:dyDescent="0.25">
      <c r="A10113" s="2">
        <v>10108</v>
      </c>
      <c r="B10113" s="11" t="str">
        <f>"00493632"</f>
        <v>00493632</v>
      </c>
    </row>
    <row r="10114" spans="1:2" x14ac:dyDescent="0.25">
      <c r="A10114" s="2">
        <v>10109</v>
      </c>
      <c r="B10114" s="11" t="str">
        <f>"00493680"</f>
        <v>00493680</v>
      </c>
    </row>
    <row r="10115" spans="1:2" x14ac:dyDescent="0.25">
      <c r="A10115" s="2">
        <v>10110</v>
      </c>
      <c r="B10115" s="11" t="str">
        <f>"00493708"</f>
        <v>00493708</v>
      </c>
    </row>
    <row r="10116" spans="1:2" x14ac:dyDescent="0.25">
      <c r="A10116" s="2">
        <v>10111</v>
      </c>
      <c r="B10116" s="11" t="str">
        <f>"00493775"</f>
        <v>00493775</v>
      </c>
    </row>
    <row r="10117" spans="1:2" x14ac:dyDescent="0.25">
      <c r="A10117" s="2">
        <v>10112</v>
      </c>
      <c r="B10117" s="11" t="str">
        <f>"00493824"</f>
        <v>00493824</v>
      </c>
    </row>
    <row r="10118" spans="1:2" x14ac:dyDescent="0.25">
      <c r="A10118" s="2">
        <v>10113</v>
      </c>
      <c r="B10118" s="11" t="str">
        <f>"00493840"</f>
        <v>00493840</v>
      </c>
    </row>
    <row r="10119" spans="1:2" x14ac:dyDescent="0.25">
      <c r="A10119" s="2">
        <v>10114</v>
      </c>
      <c r="B10119" s="11" t="str">
        <f>"00493855"</f>
        <v>00493855</v>
      </c>
    </row>
    <row r="10120" spans="1:2" x14ac:dyDescent="0.25">
      <c r="A10120" s="2">
        <v>10115</v>
      </c>
      <c r="B10120" s="11" t="str">
        <f>"00493874"</f>
        <v>00493874</v>
      </c>
    </row>
    <row r="10121" spans="1:2" x14ac:dyDescent="0.25">
      <c r="A10121" s="2">
        <v>10116</v>
      </c>
      <c r="B10121" s="11" t="str">
        <f>"00493879"</f>
        <v>00493879</v>
      </c>
    </row>
    <row r="10122" spans="1:2" x14ac:dyDescent="0.25">
      <c r="A10122" s="2">
        <v>10117</v>
      </c>
      <c r="B10122" s="11" t="str">
        <f>"00493888"</f>
        <v>00493888</v>
      </c>
    </row>
    <row r="10123" spans="1:2" x14ac:dyDescent="0.25">
      <c r="A10123" s="2">
        <v>10118</v>
      </c>
      <c r="B10123" s="11" t="str">
        <f>"00493907"</f>
        <v>00493907</v>
      </c>
    </row>
    <row r="10124" spans="1:2" x14ac:dyDescent="0.25">
      <c r="A10124" s="2">
        <v>10119</v>
      </c>
      <c r="B10124" s="11" t="str">
        <f>"00493956"</f>
        <v>00493956</v>
      </c>
    </row>
    <row r="10125" spans="1:2" x14ac:dyDescent="0.25">
      <c r="A10125" s="2">
        <v>10120</v>
      </c>
      <c r="B10125" s="11" t="str">
        <f>"00493963"</f>
        <v>00493963</v>
      </c>
    </row>
    <row r="10126" spans="1:2" x14ac:dyDescent="0.25">
      <c r="A10126" s="2">
        <v>10121</v>
      </c>
      <c r="B10126" s="11" t="str">
        <f>"00493980"</f>
        <v>00493980</v>
      </c>
    </row>
    <row r="10127" spans="1:2" x14ac:dyDescent="0.25">
      <c r="A10127" s="2">
        <v>10122</v>
      </c>
      <c r="B10127" s="11" t="str">
        <f>"00493982"</f>
        <v>00493982</v>
      </c>
    </row>
    <row r="10128" spans="1:2" x14ac:dyDescent="0.25">
      <c r="A10128" s="2">
        <v>10123</v>
      </c>
      <c r="B10128" s="11" t="str">
        <f>"00494015"</f>
        <v>00494015</v>
      </c>
    </row>
    <row r="10129" spans="1:2" x14ac:dyDescent="0.25">
      <c r="A10129" s="2">
        <v>10124</v>
      </c>
      <c r="B10129" s="11" t="str">
        <f>"00494036"</f>
        <v>00494036</v>
      </c>
    </row>
    <row r="10130" spans="1:2" x14ac:dyDescent="0.25">
      <c r="A10130" s="2">
        <v>10125</v>
      </c>
      <c r="B10130" s="11" t="str">
        <f>"00494099"</f>
        <v>00494099</v>
      </c>
    </row>
    <row r="10131" spans="1:2" x14ac:dyDescent="0.25">
      <c r="A10131" s="2">
        <v>10126</v>
      </c>
      <c r="B10131" s="11" t="str">
        <f>"00494138"</f>
        <v>00494138</v>
      </c>
    </row>
    <row r="10132" spans="1:2" x14ac:dyDescent="0.25">
      <c r="A10132" s="2">
        <v>10127</v>
      </c>
      <c r="B10132" s="11" t="str">
        <f>"00494147"</f>
        <v>00494147</v>
      </c>
    </row>
    <row r="10133" spans="1:2" x14ac:dyDescent="0.25">
      <c r="A10133" s="2">
        <v>10128</v>
      </c>
      <c r="B10133" s="11" t="str">
        <f>"00494149"</f>
        <v>00494149</v>
      </c>
    </row>
    <row r="10134" spans="1:2" x14ac:dyDescent="0.25">
      <c r="A10134" s="2">
        <v>10129</v>
      </c>
      <c r="B10134" s="11" t="str">
        <f>"00494167"</f>
        <v>00494167</v>
      </c>
    </row>
    <row r="10135" spans="1:2" x14ac:dyDescent="0.25">
      <c r="A10135" s="2">
        <v>10130</v>
      </c>
      <c r="B10135" s="11" t="str">
        <f>"00494259"</f>
        <v>00494259</v>
      </c>
    </row>
    <row r="10136" spans="1:2" x14ac:dyDescent="0.25">
      <c r="A10136" s="2">
        <v>10131</v>
      </c>
      <c r="B10136" s="11" t="str">
        <f>"00494302"</f>
        <v>00494302</v>
      </c>
    </row>
    <row r="10137" spans="1:2" x14ac:dyDescent="0.25">
      <c r="A10137" s="2">
        <v>10132</v>
      </c>
      <c r="B10137" s="11" t="str">
        <f>"00494334"</f>
        <v>00494334</v>
      </c>
    </row>
    <row r="10138" spans="1:2" x14ac:dyDescent="0.25">
      <c r="A10138" s="2">
        <v>10133</v>
      </c>
      <c r="B10138" s="11" t="str">
        <f>"00494339"</f>
        <v>00494339</v>
      </c>
    </row>
    <row r="10139" spans="1:2" x14ac:dyDescent="0.25">
      <c r="A10139" s="2">
        <v>10134</v>
      </c>
      <c r="B10139" s="11" t="str">
        <f>"00494341"</f>
        <v>00494341</v>
      </c>
    </row>
    <row r="10140" spans="1:2" x14ac:dyDescent="0.25">
      <c r="A10140" s="2">
        <v>10135</v>
      </c>
      <c r="B10140" s="11" t="str">
        <f>"00494403"</f>
        <v>00494403</v>
      </c>
    </row>
    <row r="10141" spans="1:2" x14ac:dyDescent="0.25">
      <c r="A10141" s="2">
        <v>10136</v>
      </c>
      <c r="B10141" s="11" t="str">
        <f>"00494425"</f>
        <v>00494425</v>
      </c>
    </row>
    <row r="10142" spans="1:2" x14ac:dyDescent="0.25">
      <c r="A10142" s="2">
        <v>10137</v>
      </c>
      <c r="B10142" s="11" t="str">
        <f>"00494456"</f>
        <v>00494456</v>
      </c>
    </row>
    <row r="10143" spans="1:2" x14ac:dyDescent="0.25">
      <c r="A10143" s="2">
        <v>10138</v>
      </c>
      <c r="B10143" s="11" t="str">
        <f>"00494459"</f>
        <v>00494459</v>
      </c>
    </row>
    <row r="10144" spans="1:2" x14ac:dyDescent="0.25">
      <c r="A10144" s="2">
        <v>10139</v>
      </c>
      <c r="B10144" s="11" t="str">
        <f>"00494461"</f>
        <v>00494461</v>
      </c>
    </row>
    <row r="10145" spans="1:2" x14ac:dyDescent="0.25">
      <c r="A10145" s="2">
        <v>10140</v>
      </c>
      <c r="B10145" s="11" t="str">
        <f>"00494467"</f>
        <v>00494467</v>
      </c>
    </row>
    <row r="10146" spans="1:2" x14ac:dyDescent="0.25">
      <c r="A10146" s="2">
        <v>10141</v>
      </c>
      <c r="B10146" s="11" t="str">
        <f>"00494474"</f>
        <v>00494474</v>
      </c>
    </row>
    <row r="10147" spans="1:2" x14ac:dyDescent="0.25">
      <c r="A10147" s="2">
        <v>10142</v>
      </c>
      <c r="B10147" s="11" t="str">
        <f>"00494499"</f>
        <v>00494499</v>
      </c>
    </row>
    <row r="10148" spans="1:2" x14ac:dyDescent="0.25">
      <c r="A10148" s="2">
        <v>10143</v>
      </c>
      <c r="B10148" s="11" t="str">
        <f>"00494527"</f>
        <v>00494527</v>
      </c>
    </row>
    <row r="10149" spans="1:2" x14ac:dyDescent="0.25">
      <c r="A10149" s="2">
        <v>10144</v>
      </c>
      <c r="B10149" s="11" t="str">
        <f>"00494540"</f>
        <v>00494540</v>
      </c>
    </row>
    <row r="10150" spans="1:2" x14ac:dyDescent="0.25">
      <c r="A10150" s="2">
        <v>10145</v>
      </c>
      <c r="B10150" s="11" t="str">
        <f>"00494588"</f>
        <v>00494588</v>
      </c>
    </row>
    <row r="10151" spans="1:2" x14ac:dyDescent="0.25">
      <c r="A10151" s="2">
        <v>10146</v>
      </c>
      <c r="B10151" s="11" t="str">
        <f>"00494591"</f>
        <v>00494591</v>
      </c>
    </row>
    <row r="10152" spans="1:2" x14ac:dyDescent="0.25">
      <c r="A10152" s="2">
        <v>10147</v>
      </c>
      <c r="B10152" s="11" t="str">
        <f>"00494654"</f>
        <v>00494654</v>
      </c>
    </row>
    <row r="10153" spans="1:2" x14ac:dyDescent="0.25">
      <c r="A10153" s="2">
        <v>10148</v>
      </c>
      <c r="B10153" s="11" t="str">
        <f>"00494701"</f>
        <v>00494701</v>
      </c>
    </row>
    <row r="10154" spans="1:2" x14ac:dyDescent="0.25">
      <c r="A10154" s="2">
        <v>10149</v>
      </c>
      <c r="B10154" s="11" t="str">
        <f>"00494731"</f>
        <v>00494731</v>
      </c>
    </row>
    <row r="10155" spans="1:2" x14ac:dyDescent="0.25">
      <c r="A10155" s="2">
        <v>10150</v>
      </c>
      <c r="B10155" s="11" t="str">
        <f>"00494752"</f>
        <v>00494752</v>
      </c>
    </row>
    <row r="10156" spans="1:2" x14ac:dyDescent="0.25">
      <c r="A10156" s="2">
        <v>10151</v>
      </c>
      <c r="B10156" s="11" t="str">
        <f>"00494800"</f>
        <v>00494800</v>
      </c>
    </row>
    <row r="10157" spans="1:2" x14ac:dyDescent="0.25">
      <c r="A10157" s="2">
        <v>10152</v>
      </c>
      <c r="B10157" s="11" t="str">
        <f>"00494826"</f>
        <v>00494826</v>
      </c>
    </row>
    <row r="10158" spans="1:2" x14ac:dyDescent="0.25">
      <c r="A10158" s="2">
        <v>10153</v>
      </c>
      <c r="B10158" s="11" t="str">
        <f>"00494841"</f>
        <v>00494841</v>
      </c>
    </row>
    <row r="10159" spans="1:2" x14ac:dyDescent="0.25">
      <c r="A10159" s="2">
        <v>10154</v>
      </c>
      <c r="B10159" s="11" t="str">
        <f>"00494858"</f>
        <v>00494858</v>
      </c>
    </row>
    <row r="10160" spans="1:2" x14ac:dyDescent="0.25">
      <c r="A10160" s="2">
        <v>10155</v>
      </c>
      <c r="B10160" s="11" t="str">
        <f>"00494869"</f>
        <v>00494869</v>
      </c>
    </row>
    <row r="10161" spans="1:2" x14ac:dyDescent="0.25">
      <c r="A10161" s="2">
        <v>10156</v>
      </c>
      <c r="B10161" s="11" t="str">
        <f>"00494893"</f>
        <v>00494893</v>
      </c>
    </row>
    <row r="10162" spans="1:2" x14ac:dyDescent="0.25">
      <c r="A10162" s="2">
        <v>10157</v>
      </c>
      <c r="B10162" s="11" t="str">
        <f>"00494934"</f>
        <v>00494934</v>
      </c>
    </row>
    <row r="10163" spans="1:2" x14ac:dyDescent="0.25">
      <c r="A10163" s="2">
        <v>10158</v>
      </c>
      <c r="B10163" s="11" t="str">
        <f>"00494945"</f>
        <v>00494945</v>
      </c>
    </row>
    <row r="10164" spans="1:2" x14ac:dyDescent="0.25">
      <c r="A10164" s="2">
        <v>10159</v>
      </c>
      <c r="B10164" s="11" t="str">
        <f>"00494949"</f>
        <v>00494949</v>
      </c>
    </row>
    <row r="10165" spans="1:2" x14ac:dyDescent="0.25">
      <c r="A10165" s="2">
        <v>10160</v>
      </c>
      <c r="B10165" s="11" t="str">
        <f>"00494952"</f>
        <v>00494952</v>
      </c>
    </row>
    <row r="10166" spans="1:2" x14ac:dyDescent="0.25">
      <c r="A10166" s="2">
        <v>10161</v>
      </c>
      <c r="B10166" s="11" t="str">
        <f>"00494979"</f>
        <v>00494979</v>
      </c>
    </row>
    <row r="10167" spans="1:2" x14ac:dyDescent="0.25">
      <c r="A10167" s="2">
        <v>10162</v>
      </c>
      <c r="B10167" s="11" t="str">
        <f>"00495002"</f>
        <v>00495002</v>
      </c>
    </row>
    <row r="10168" spans="1:2" x14ac:dyDescent="0.25">
      <c r="A10168" s="2">
        <v>10163</v>
      </c>
      <c r="B10168" s="11" t="str">
        <f>"00495039"</f>
        <v>00495039</v>
      </c>
    </row>
    <row r="10169" spans="1:2" x14ac:dyDescent="0.25">
      <c r="A10169" s="2">
        <v>10164</v>
      </c>
      <c r="B10169" s="11" t="str">
        <f>"00495043"</f>
        <v>00495043</v>
      </c>
    </row>
    <row r="10170" spans="1:2" x14ac:dyDescent="0.25">
      <c r="A10170" s="2">
        <v>10165</v>
      </c>
      <c r="B10170" s="11" t="str">
        <f>"00495072"</f>
        <v>00495072</v>
      </c>
    </row>
    <row r="10171" spans="1:2" x14ac:dyDescent="0.25">
      <c r="A10171" s="2">
        <v>10166</v>
      </c>
      <c r="B10171" s="11" t="str">
        <f>"00495111"</f>
        <v>00495111</v>
      </c>
    </row>
    <row r="10172" spans="1:2" x14ac:dyDescent="0.25">
      <c r="A10172" s="2">
        <v>10167</v>
      </c>
      <c r="B10172" s="11" t="str">
        <f>"00495114"</f>
        <v>00495114</v>
      </c>
    </row>
    <row r="10173" spans="1:2" x14ac:dyDescent="0.25">
      <c r="A10173" s="2">
        <v>10168</v>
      </c>
      <c r="B10173" s="11" t="str">
        <f>"00495136"</f>
        <v>00495136</v>
      </c>
    </row>
    <row r="10174" spans="1:2" x14ac:dyDescent="0.25">
      <c r="A10174" s="2">
        <v>10169</v>
      </c>
      <c r="B10174" s="11" t="str">
        <f>"00495140"</f>
        <v>00495140</v>
      </c>
    </row>
    <row r="10175" spans="1:2" x14ac:dyDescent="0.25">
      <c r="A10175" s="2">
        <v>10170</v>
      </c>
      <c r="B10175" s="11" t="str">
        <f>"00495189"</f>
        <v>00495189</v>
      </c>
    </row>
    <row r="10176" spans="1:2" x14ac:dyDescent="0.25">
      <c r="A10176" s="2">
        <v>10171</v>
      </c>
      <c r="B10176" s="11" t="str">
        <f>"00495198"</f>
        <v>00495198</v>
      </c>
    </row>
    <row r="10177" spans="1:2" x14ac:dyDescent="0.25">
      <c r="A10177" s="2">
        <v>10172</v>
      </c>
      <c r="B10177" s="11" t="str">
        <f>"00495202"</f>
        <v>00495202</v>
      </c>
    </row>
    <row r="10178" spans="1:2" x14ac:dyDescent="0.25">
      <c r="A10178" s="2">
        <v>10173</v>
      </c>
      <c r="B10178" s="11" t="str">
        <f>"00495286"</f>
        <v>00495286</v>
      </c>
    </row>
    <row r="10179" spans="1:2" x14ac:dyDescent="0.25">
      <c r="A10179" s="2">
        <v>10174</v>
      </c>
      <c r="B10179" s="11" t="str">
        <f>"00495335"</f>
        <v>00495335</v>
      </c>
    </row>
    <row r="10180" spans="1:2" x14ac:dyDescent="0.25">
      <c r="A10180" s="2">
        <v>10175</v>
      </c>
      <c r="B10180" s="11" t="str">
        <f>"00495375"</f>
        <v>00495375</v>
      </c>
    </row>
    <row r="10181" spans="1:2" x14ac:dyDescent="0.25">
      <c r="A10181" s="2">
        <v>10176</v>
      </c>
      <c r="B10181" s="11" t="str">
        <f>"00495442"</f>
        <v>00495442</v>
      </c>
    </row>
    <row r="10182" spans="1:2" x14ac:dyDescent="0.25">
      <c r="A10182" s="2">
        <v>10177</v>
      </c>
      <c r="B10182" s="11" t="str">
        <f>"00495524"</f>
        <v>00495524</v>
      </c>
    </row>
    <row r="10183" spans="1:2" x14ac:dyDescent="0.25">
      <c r="A10183" s="2">
        <v>10178</v>
      </c>
      <c r="B10183" s="11" t="str">
        <f>"00495535"</f>
        <v>00495535</v>
      </c>
    </row>
    <row r="10184" spans="1:2" x14ac:dyDescent="0.25">
      <c r="A10184" s="2">
        <v>10179</v>
      </c>
      <c r="B10184" s="11" t="str">
        <f>"00495548"</f>
        <v>00495548</v>
      </c>
    </row>
    <row r="10185" spans="1:2" x14ac:dyDescent="0.25">
      <c r="A10185" s="2">
        <v>10180</v>
      </c>
      <c r="B10185" s="11" t="str">
        <f>"00495565"</f>
        <v>00495565</v>
      </c>
    </row>
    <row r="10186" spans="1:2" x14ac:dyDescent="0.25">
      <c r="A10186" s="2">
        <v>10181</v>
      </c>
      <c r="B10186" s="11" t="str">
        <f>"00495579"</f>
        <v>00495579</v>
      </c>
    </row>
    <row r="10187" spans="1:2" x14ac:dyDescent="0.25">
      <c r="A10187" s="2">
        <v>10182</v>
      </c>
      <c r="B10187" s="11" t="str">
        <f>"00495581"</f>
        <v>00495581</v>
      </c>
    </row>
    <row r="10188" spans="1:2" x14ac:dyDescent="0.25">
      <c r="A10188" s="2">
        <v>10183</v>
      </c>
      <c r="B10188" s="11" t="str">
        <f>"00495609"</f>
        <v>00495609</v>
      </c>
    </row>
    <row r="10189" spans="1:2" x14ac:dyDescent="0.25">
      <c r="A10189" s="2">
        <v>10184</v>
      </c>
      <c r="B10189" s="11" t="str">
        <f>"00495630"</f>
        <v>00495630</v>
      </c>
    </row>
    <row r="10190" spans="1:2" x14ac:dyDescent="0.25">
      <c r="A10190" s="2">
        <v>10185</v>
      </c>
      <c r="B10190" s="11" t="str">
        <f>"00495678"</f>
        <v>00495678</v>
      </c>
    </row>
    <row r="10191" spans="1:2" x14ac:dyDescent="0.25">
      <c r="A10191" s="2">
        <v>10186</v>
      </c>
      <c r="B10191" s="11" t="str">
        <f>"00495731"</f>
        <v>00495731</v>
      </c>
    </row>
    <row r="10192" spans="1:2" x14ac:dyDescent="0.25">
      <c r="A10192" s="2">
        <v>10187</v>
      </c>
      <c r="B10192" s="11" t="str">
        <f>"00495766"</f>
        <v>00495766</v>
      </c>
    </row>
    <row r="10193" spans="1:2" x14ac:dyDescent="0.25">
      <c r="A10193" s="2">
        <v>10188</v>
      </c>
      <c r="B10193" s="11" t="str">
        <f>"00495773"</f>
        <v>00495773</v>
      </c>
    </row>
    <row r="10194" spans="1:2" x14ac:dyDescent="0.25">
      <c r="A10194" s="2">
        <v>10189</v>
      </c>
      <c r="B10194" s="11" t="str">
        <f>"00495782"</f>
        <v>00495782</v>
      </c>
    </row>
    <row r="10195" spans="1:2" x14ac:dyDescent="0.25">
      <c r="A10195" s="2">
        <v>10190</v>
      </c>
      <c r="B10195" s="11" t="str">
        <f>"00495790"</f>
        <v>00495790</v>
      </c>
    </row>
    <row r="10196" spans="1:2" x14ac:dyDescent="0.25">
      <c r="A10196" s="2">
        <v>10191</v>
      </c>
      <c r="B10196" s="11" t="str">
        <f>"00495819"</f>
        <v>00495819</v>
      </c>
    </row>
    <row r="10197" spans="1:2" x14ac:dyDescent="0.25">
      <c r="A10197" s="2">
        <v>10192</v>
      </c>
      <c r="B10197" s="11" t="str">
        <f>"00495822"</f>
        <v>00495822</v>
      </c>
    </row>
    <row r="10198" spans="1:2" x14ac:dyDescent="0.25">
      <c r="A10198" s="2">
        <v>10193</v>
      </c>
      <c r="B10198" s="11" t="str">
        <f>"00495850"</f>
        <v>00495850</v>
      </c>
    </row>
    <row r="10199" spans="1:2" x14ac:dyDescent="0.25">
      <c r="A10199" s="2">
        <v>10194</v>
      </c>
      <c r="B10199" s="11" t="str">
        <f>"00495852"</f>
        <v>00495852</v>
      </c>
    </row>
    <row r="10200" spans="1:2" x14ac:dyDescent="0.25">
      <c r="A10200" s="2">
        <v>10195</v>
      </c>
      <c r="B10200" s="11" t="str">
        <f>"00495853"</f>
        <v>00495853</v>
      </c>
    </row>
    <row r="10201" spans="1:2" x14ac:dyDescent="0.25">
      <c r="A10201" s="2">
        <v>10196</v>
      </c>
      <c r="B10201" s="11" t="str">
        <f>"00495953"</f>
        <v>00495953</v>
      </c>
    </row>
    <row r="10202" spans="1:2" x14ac:dyDescent="0.25">
      <c r="A10202" s="2">
        <v>10197</v>
      </c>
      <c r="B10202" s="11" t="str">
        <f>"00496014"</f>
        <v>00496014</v>
      </c>
    </row>
    <row r="10203" spans="1:2" x14ac:dyDescent="0.25">
      <c r="A10203" s="2">
        <v>10198</v>
      </c>
      <c r="B10203" s="11" t="str">
        <f>"00496101"</f>
        <v>00496101</v>
      </c>
    </row>
    <row r="10204" spans="1:2" x14ac:dyDescent="0.25">
      <c r="A10204" s="2">
        <v>10199</v>
      </c>
      <c r="B10204" s="11" t="str">
        <f>"00496102"</f>
        <v>00496102</v>
      </c>
    </row>
    <row r="10205" spans="1:2" x14ac:dyDescent="0.25">
      <c r="A10205" s="2">
        <v>10200</v>
      </c>
      <c r="B10205" s="11" t="str">
        <f>"00496103"</f>
        <v>00496103</v>
      </c>
    </row>
    <row r="10206" spans="1:2" x14ac:dyDescent="0.25">
      <c r="A10206" s="2">
        <v>10201</v>
      </c>
      <c r="B10206" s="11" t="str">
        <f>"00496110"</f>
        <v>00496110</v>
      </c>
    </row>
    <row r="10207" spans="1:2" x14ac:dyDescent="0.25">
      <c r="A10207" s="2">
        <v>10202</v>
      </c>
      <c r="B10207" s="11" t="str">
        <f>"00496130"</f>
        <v>00496130</v>
      </c>
    </row>
    <row r="10208" spans="1:2" x14ac:dyDescent="0.25">
      <c r="A10208" s="2">
        <v>10203</v>
      </c>
      <c r="B10208" s="11" t="str">
        <f>"00496207"</f>
        <v>00496207</v>
      </c>
    </row>
    <row r="10209" spans="1:2" x14ac:dyDescent="0.25">
      <c r="A10209" s="2">
        <v>10204</v>
      </c>
      <c r="B10209" s="11" t="str">
        <f>"00496208"</f>
        <v>00496208</v>
      </c>
    </row>
    <row r="10210" spans="1:2" x14ac:dyDescent="0.25">
      <c r="A10210" s="2">
        <v>10205</v>
      </c>
      <c r="B10210" s="11" t="str">
        <f>"00496214"</f>
        <v>00496214</v>
      </c>
    </row>
    <row r="10211" spans="1:2" x14ac:dyDescent="0.25">
      <c r="A10211" s="2">
        <v>10206</v>
      </c>
      <c r="B10211" s="11" t="str">
        <f>"00496223"</f>
        <v>00496223</v>
      </c>
    </row>
    <row r="10212" spans="1:2" x14ac:dyDescent="0.25">
      <c r="A10212" s="2">
        <v>10207</v>
      </c>
      <c r="B10212" s="11" t="str">
        <f>"00496228"</f>
        <v>00496228</v>
      </c>
    </row>
    <row r="10213" spans="1:2" x14ac:dyDescent="0.25">
      <c r="A10213" s="2">
        <v>10208</v>
      </c>
      <c r="B10213" s="11" t="str">
        <f>"00496303"</f>
        <v>00496303</v>
      </c>
    </row>
    <row r="10214" spans="1:2" x14ac:dyDescent="0.25">
      <c r="A10214" s="2">
        <v>10209</v>
      </c>
      <c r="B10214" s="11" t="str">
        <f>"00496436"</f>
        <v>00496436</v>
      </c>
    </row>
    <row r="10215" spans="1:2" x14ac:dyDescent="0.25">
      <c r="A10215" s="2">
        <v>10210</v>
      </c>
      <c r="B10215" s="11" t="str">
        <f>"00496438"</f>
        <v>00496438</v>
      </c>
    </row>
    <row r="10216" spans="1:2" x14ac:dyDescent="0.25">
      <c r="A10216" s="2">
        <v>10211</v>
      </c>
      <c r="B10216" s="11" t="str">
        <f>"00496450"</f>
        <v>00496450</v>
      </c>
    </row>
    <row r="10217" spans="1:2" x14ac:dyDescent="0.25">
      <c r="A10217" s="2">
        <v>10212</v>
      </c>
      <c r="B10217" s="11" t="str">
        <f>"00496488"</f>
        <v>00496488</v>
      </c>
    </row>
    <row r="10218" spans="1:2" x14ac:dyDescent="0.25">
      <c r="A10218" s="2">
        <v>10213</v>
      </c>
      <c r="B10218" s="11" t="str">
        <f>"00496492"</f>
        <v>00496492</v>
      </c>
    </row>
    <row r="10219" spans="1:2" x14ac:dyDescent="0.25">
      <c r="A10219" s="2">
        <v>10214</v>
      </c>
      <c r="B10219" s="11" t="str">
        <f>"00496539"</f>
        <v>00496539</v>
      </c>
    </row>
    <row r="10220" spans="1:2" x14ac:dyDescent="0.25">
      <c r="A10220" s="2">
        <v>10215</v>
      </c>
      <c r="B10220" s="11" t="str">
        <f>"00496592"</f>
        <v>00496592</v>
      </c>
    </row>
    <row r="10221" spans="1:2" x14ac:dyDescent="0.25">
      <c r="A10221" s="2">
        <v>10216</v>
      </c>
      <c r="B10221" s="11" t="str">
        <f>"00496596"</f>
        <v>00496596</v>
      </c>
    </row>
    <row r="10222" spans="1:2" x14ac:dyDescent="0.25">
      <c r="A10222" s="2">
        <v>10217</v>
      </c>
      <c r="B10222" s="11" t="str">
        <f>"00496668"</f>
        <v>00496668</v>
      </c>
    </row>
    <row r="10223" spans="1:2" x14ac:dyDescent="0.25">
      <c r="A10223" s="2">
        <v>10218</v>
      </c>
      <c r="B10223" s="11" t="str">
        <f>"00496704"</f>
        <v>00496704</v>
      </c>
    </row>
    <row r="10224" spans="1:2" x14ac:dyDescent="0.25">
      <c r="A10224" s="2">
        <v>10219</v>
      </c>
      <c r="B10224" s="11" t="str">
        <f>"00496719"</f>
        <v>00496719</v>
      </c>
    </row>
    <row r="10225" spans="1:2" x14ac:dyDescent="0.25">
      <c r="A10225" s="2">
        <v>10220</v>
      </c>
      <c r="B10225" s="11" t="str">
        <f>"00496727"</f>
        <v>00496727</v>
      </c>
    </row>
    <row r="10226" spans="1:2" x14ac:dyDescent="0.25">
      <c r="A10226" s="2">
        <v>10221</v>
      </c>
      <c r="B10226" s="11" t="str">
        <f>"00496763"</f>
        <v>00496763</v>
      </c>
    </row>
    <row r="10227" spans="1:2" x14ac:dyDescent="0.25">
      <c r="A10227" s="2">
        <v>10222</v>
      </c>
      <c r="B10227" s="11" t="str">
        <f>"00496767"</f>
        <v>00496767</v>
      </c>
    </row>
    <row r="10228" spans="1:2" x14ac:dyDescent="0.25">
      <c r="A10228" s="2">
        <v>10223</v>
      </c>
      <c r="B10228" s="11" t="str">
        <f>"00496768"</f>
        <v>00496768</v>
      </c>
    </row>
    <row r="10229" spans="1:2" x14ac:dyDescent="0.25">
      <c r="A10229" s="2">
        <v>10224</v>
      </c>
      <c r="B10229" s="11" t="str">
        <f>"00496769"</f>
        <v>00496769</v>
      </c>
    </row>
    <row r="10230" spans="1:2" x14ac:dyDescent="0.25">
      <c r="A10230" s="2">
        <v>10225</v>
      </c>
      <c r="B10230" s="11" t="str">
        <f>"00496778"</f>
        <v>00496778</v>
      </c>
    </row>
    <row r="10231" spans="1:2" x14ac:dyDescent="0.25">
      <c r="A10231" s="2">
        <v>10226</v>
      </c>
      <c r="B10231" s="11" t="str">
        <f>"00496797"</f>
        <v>00496797</v>
      </c>
    </row>
    <row r="10232" spans="1:2" x14ac:dyDescent="0.25">
      <c r="A10232" s="2">
        <v>10227</v>
      </c>
      <c r="B10232" s="11" t="str">
        <f>"00496813"</f>
        <v>00496813</v>
      </c>
    </row>
    <row r="10233" spans="1:2" x14ac:dyDescent="0.25">
      <c r="A10233" s="2">
        <v>10228</v>
      </c>
      <c r="B10233" s="11" t="str">
        <f>"00496816"</f>
        <v>00496816</v>
      </c>
    </row>
    <row r="10234" spans="1:2" x14ac:dyDescent="0.25">
      <c r="A10234" s="2">
        <v>10229</v>
      </c>
      <c r="B10234" s="11" t="str">
        <f>"00496832"</f>
        <v>00496832</v>
      </c>
    </row>
    <row r="10235" spans="1:2" x14ac:dyDescent="0.25">
      <c r="A10235" s="2">
        <v>10230</v>
      </c>
      <c r="B10235" s="11" t="str">
        <f>"00496838"</f>
        <v>00496838</v>
      </c>
    </row>
    <row r="10236" spans="1:2" x14ac:dyDescent="0.25">
      <c r="A10236" s="2">
        <v>10231</v>
      </c>
      <c r="B10236" s="11" t="str">
        <f>"00496860"</f>
        <v>00496860</v>
      </c>
    </row>
    <row r="10237" spans="1:2" x14ac:dyDescent="0.25">
      <c r="A10237" s="2">
        <v>10232</v>
      </c>
      <c r="B10237" s="11" t="str">
        <f>"00496880"</f>
        <v>00496880</v>
      </c>
    </row>
    <row r="10238" spans="1:2" x14ac:dyDescent="0.25">
      <c r="A10238" s="2">
        <v>10233</v>
      </c>
      <c r="B10238" s="11" t="str">
        <f>"00496895"</f>
        <v>00496895</v>
      </c>
    </row>
    <row r="10239" spans="1:2" x14ac:dyDescent="0.25">
      <c r="A10239" s="2">
        <v>10234</v>
      </c>
      <c r="B10239" s="11" t="str">
        <f>"00496906"</f>
        <v>00496906</v>
      </c>
    </row>
    <row r="10240" spans="1:2" x14ac:dyDescent="0.25">
      <c r="A10240" s="2">
        <v>10235</v>
      </c>
      <c r="B10240" s="11" t="str">
        <f>"00496958"</f>
        <v>00496958</v>
      </c>
    </row>
    <row r="10241" spans="1:2" x14ac:dyDescent="0.25">
      <c r="A10241" s="2">
        <v>10236</v>
      </c>
      <c r="B10241" s="11" t="str">
        <f>"00497007"</f>
        <v>00497007</v>
      </c>
    </row>
    <row r="10242" spans="1:2" x14ac:dyDescent="0.25">
      <c r="A10242" s="2">
        <v>10237</v>
      </c>
      <c r="B10242" s="11" t="str">
        <f>"00497060"</f>
        <v>00497060</v>
      </c>
    </row>
    <row r="10243" spans="1:2" x14ac:dyDescent="0.25">
      <c r="A10243" s="2">
        <v>10238</v>
      </c>
      <c r="B10243" s="11" t="str">
        <f>"00497086"</f>
        <v>00497086</v>
      </c>
    </row>
    <row r="10244" spans="1:2" x14ac:dyDescent="0.25">
      <c r="A10244" s="2">
        <v>10239</v>
      </c>
      <c r="B10244" s="11" t="str">
        <f>"00497089"</f>
        <v>00497089</v>
      </c>
    </row>
    <row r="10245" spans="1:2" x14ac:dyDescent="0.25">
      <c r="A10245" s="2">
        <v>10240</v>
      </c>
      <c r="B10245" s="11" t="str">
        <f>"00497095"</f>
        <v>00497095</v>
      </c>
    </row>
    <row r="10246" spans="1:2" x14ac:dyDescent="0.25">
      <c r="A10246" s="2">
        <v>10241</v>
      </c>
      <c r="B10246" s="11" t="str">
        <f>"00497097"</f>
        <v>00497097</v>
      </c>
    </row>
    <row r="10247" spans="1:2" x14ac:dyDescent="0.25">
      <c r="A10247" s="2">
        <v>10242</v>
      </c>
      <c r="B10247" s="11" t="str">
        <f>"00497155"</f>
        <v>00497155</v>
      </c>
    </row>
    <row r="10248" spans="1:2" x14ac:dyDescent="0.25">
      <c r="A10248" s="2">
        <v>10243</v>
      </c>
      <c r="B10248" s="11" t="str">
        <f>"00497203"</f>
        <v>00497203</v>
      </c>
    </row>
    <row r="10249" spans="1:2" x14ac:dyDescent="0.25">
      <c r="A10249" s="2">
        <v>10244</v>
      </c>
      <c r="B10249" s="11" t="str">
        <f>"00497235"</f>
        <v>00497235</v>
      </c>
    </row>
    <row r="10250" spans="1:2" x14ac:dyDescent="0.25">
      <c r="A10250" s="2">
        <v>10245</v>
      </c>
      <c r="B10250" s="11" t="str">
        <f>"00497256"</f>
        <v>00497256</v>
      </c>
    </row>
    <row r="10251" spans="1:2" x14ac:dyDescent="0.25">
      <c r="A10251" s="2">
        <v>10246</v>
      </c>
      <c r="B10251" s="11" t="str">
        <f>"00497300"</f>
        <v>00497300</v>
      </c>
    </row>
    <row r="10252" spans="1:2" x14ac:dyDescent="0.25">
      <c r="A10252" s="2">
        <v>10247</v>
      </c>
      <c r="B10252" s="11" t="str">
        <f>"00497309"</f>
        <v>00497309</v>
      </c>
    </row>
    <row r="10253" spans="1:2" x14ac:dyDescent="0.25">
      <c r="A10253" s="2">
        <v>10248</v>
      </c>
      <c r="B10253" s="11" t="str">
        <f>"00497350"</f>
        <v>00497350</v>
      </c>
    </row>
    <row r="10254" spans="1:2" x14ac:dyDescent="0.25">
      <c r="A10254" s="2">
        <v>10249</v>
      </c>
      <c r="B10254" s="11" t="str">
        <f>"00497398"</f>
        <v>00497398</v>
      </c>
    </row>
    <row r="10255" spans="1:2" x14ac:dyDescent="0.25">
      <c r="A10255" s="2">
        <v>10250</v>
      </c>
      <c r="B10255" s="11" t="str">
        <f>"00497403"</f>
        <v>00497403</v>
      </c>
    </row>
    <row r="10256" spans="1:2" x14ac:dyDescent="0.25">
      <c r="A10256" s="2">
        <v>10251</v>
      </c>
      <c r="B10256" s="11" t="str">
        <f>"00497408"</f>
        <v>00497408</v>
      </c>
    </row>
    <row r="10257" spans="1:2" x14ac:dyDescent="0.25">
      <c r="A10257" s="2">
        <v>10252</v>
      </c>
      <c r="B10257" s="11" t="str">
        <f>"00497429"</f>
        <v>00497429</v>
      </c>
    </row>
    <row r="10258" spans="1:2" x14ac:dyDescent="0.25">
      <c r="A10258" s="2">
        <v>10253</v>
      </c>
      <c r="B10258" s="11" t="str">
        <f>"00497444"</f>
        <v>00497444</v>
      </c>
    </row>
    <row r="10259" spans="1:2" x14ac:dyDescent="0.25">
      <c r="A10259" s="2">
        <v>10254</v>
      </c>
      <c r="B10259" s="11" t="str">
        <f>"00497448"</f>
        <v>00497448</v>
      </c>
    </row>
    <row r="10260" spans="1:2" x14ac:dyDescent="0.25">
      <c r="A10260" s="2">
        <v>10255</v>
      </c>
      <c r="B10260" s="11" t="str">
        <f>"00497453"</f>
        <v>00497453</v>
      </c>
    </row>
    <row r="10261" spans="1:2" x14ac:dyDescent="0.25">
      <c r="A10261" s="2">
        <v>10256</v>
      </c>
      <c r="B10261" s="11" t="str">
        <f>"00497468"</f>
        <v>00497468</v>
      </c>
    </row>
    <row r="10262" spans="1:2" x14ac:dyDescent="0.25">
      <c r="A10262" s="2">
        <v>10257</v>
      </c>
      <c r="B10262" s="11" t="str">
        <f>"00497507"</f>
        <v>00497507</v>
      </c>
    </row>
    <row r="10263" spans="1:2" x14ac:dyDescent="0.25">
      <c r="A10263" s="2">
        <v>10258</v>
      </c>
      <c r="B10263" s="11" t="str">
        <f>"00497512"</f>
        <v>00497512</v>
      </c>
    </row>
    <row r="10264" spans="1:2" x14ac:dyDescent="0.25">
      <c r="A10264" s="2">
        <v>10259</v>
      </c>
      <c r="B10264" s="11" t="str">
        <f>"00497529"</f>
        <v>00497529</v>
      </c>
    </row>
    <row r="10265" spans="1:2" x14ac:dyDescent="0.25">
      <c r="A10265" s="2">
        <v>10260</v>
      </c>
      <c r="B10265" s="11" t="str">
        <f>"00497549"</f>
        <v>00497549</v>
      </c>
    </row>
    <row r="10266" spans="1:2" x14ac:dyDescent="0.25">
      <c r="A10266" s="2">
        <v>10261</v>
      </c>
      <c r="B10266" s="11" t="str">
        <f>"00497588"</f>
        <v>00497588</v>
      </c>
    </row>
    <row r="10267" spans="1:2" x14ac:dyDescent="0.25">
      <c r="A10267" s="2">
        <v>10262</v>
      </c>
      <c r="B10267" s="11" t="str">
        <f>"00497609"</f>
        <v>00497609</v>
      </c>
    </row>
    <row r="10268" spans="1:2" x14ac:dyDescent="0.25">
      <c r="A10268" s="2">
        <v>10263</v>
      </c>
      <c r="B10268" s="11" t="str">
        <f>"00497616"</f>
        <v>00497616</v>
      </c>
    </row>
    <row r="10269" spans="1:2" x14ac:dyDescent="0.25">
      <c r="A10269" s="2">
        <v>10264</v>
      </c>
      <c r="B10269" s="11" t="str">
        <f>"00497619"</f>
        <v>00497619</v>
      </c>
    </row>
    <row r="10270" spans="1:2" x14ac:dyDescent="0.25">
      <c r="A10270" s="2">
        <v>10265</v>
      </c>
      <c r="B10270" s="11" t="str">
        <f>"00497622"</f>
        <v>00497622</v>
      </c>
    </row>
    <row r="10271" spans="1:2" x14ac:dyDescent="0.25">
      <c r="A10271" s="2">
        <v>10266</v>
      </c>
      <c r="B10271" s="11" t="str">
        <f>"00497660"</f>
        <v>00497660</v>
      </c>
    </row>
    <row r="10272" spans="1:2" x14ac:dyDescent="0.25">
      <c r="A10272" s="2">
        <v>10267</v>
      </c>
      <c r="B10272" s="11" t="str">
        <f>"00497667"</f>
        <v>00497667</v>
      </c>
    </row>
    <row r="10273" spans="1:2" x14ac:dyDescent="0.25">
      <c r="A10273" s="2">
        <v>10268</v>
      </c>
      <c r="B10273" s="11" t="str">
        <f>"00497670"</f>
        <v>00497670</v>
      </c>
    </row>
    <row r="10274" spans="1:2" x14ac:dyDescent="0.25">
      <c r="A10274" s="2">
        <v>10269</v>
      </c>
      <c r="B10274" s="11" t="str">
        <f>"00497674"</f>
        <v>00497674</v>
      </c>
    </row>
    <row r="10275" spans="1:2" x14ac:dyDescent="0.25">
      <c r="A10275" s="2">
        <v>10270</v>
      </c>
      <c r="B10275" s="11" t="str">
        <f>"00497677"</f>
        <v>00497677</v>
      </c>
    </row>
    <row r="10276" spans="1:2" x14ac:dyDescent="0.25">
      <c r="A10276" s="2">
        <v>10271</v>
      </c>
      <c r="B10276" s="11" t="str">
        <f>"00497684"</f>
        <v>00497684</v>
      </c>
    </row>
    <row r="10277" spans="1:2" x14ac:dyDescent="0.25">
      <c r="A10277" s="2">
        <v>10272</v>
      </c>
      <c r="B10277" s="11" t="str">
        <f>"00497731"</f>
        <v>00497731</v>
      </c>
    </row>
    <row r="10278" spans="1:2" x14ac:dyDescent="0.25">
      <c r="A10278" s="2">
        <v>10273</v>
      </c>
      <c r="B10278" s="11" t="str">
        <f>"00497749"</f>
        <v>00497749</v>
      </c>
    </row>
    <row r="10279" spans="1:2" x14ac:dyDescent="0.25">
      <c r="A10279" s="2">
        <v>10274</v>
      </c>
      <c r="B10279" s="11" t="str">
        <f>"00497750"</f>
        <v>00497750</v>
      </c>
    </row>
    <row r="10280" spans="1:2" x14ac:dyDescent="0.25">
      <c r="A10280" s="2">
        <v>10275</v>
      </c>
      <c r="B10280" s="11" t="str">
        <f>"00497755"</f>
        <v>00497755</v>
      </c>
    </row>
    <row r="10281" spans="1:2" x14ac:dyDescent="0.25">
      <c r="A10281" s="2">
        <v>10276</v>
      </c>
      <c r="B10281" s="11" t="str">
        <f>"00497798"</f>
        <v>00497798</v>
      </c>
    </row>
    <row r="10282" spans="1:2" x14ac:dyDescent="0.25">
      <c r="A10282" s="2">
        <v>10277</v>
      </c>
      <c r="B10282" s="11" t="str">
        <f>"00497817"</f>
        <v>00497817</v>
      </c>
    </row>
    <row r="10283" spans="1:2" x14ac:dyDescent="0.25">
      <c r="A10283" s="2">
        <v>10278</v>
      </c>
      <c r="B10283" s="11" t="str">
        <f>"00497854"</f>
        <v>00497854</v>
      </c>
    </row>
    <row r="10284" spans="1:2" x14ac:dyDescent="0.25">
      <c r="A10284" s="2">
        <v>10279</v>
      </c>
      <c r="B10284" s="11" t="str">
        <f>"00497898"</f>
        <v>00497898</v>
      </c>
    </row>
    <row r="10285" spans="1:2" x14ac:dyDescent="0.25">
      <c r="A10285" s="2">
        <v>10280</v>
      </c>
      <c r="B10285" s="11" t="str">
        <f>"00497927"</f>
        <v>00497927</v>
      </c>
    </row>
    <row r="10286" spans="1:2" x14ac:dyDescent="0.25">
      <c r="A10286" s="2">
        <v>10281</v>
      </c>
      <c r="B10286" s="11" t="str">
        <f>"00497943"</f>
        <v>00497943</v>
      </c>
    </row>
    <row r="10287" spans="1:2" x14ac:dyDescent="0.25">
      <c r="A10287" s="2">
        <v>10282</v>
      </c>
      <c r="B10287" s="11" t="str">
        <f>"00497963"</f>
        <v>00497963</v>
      </c>
    </row>
    <row r="10288" spans="1:2" x14ac:dyDescent="0.25">
      <c r="A10288" s="2">
        <v>10283</v>
      </c>
      <c r="B10288" s="11" t="str">
        <f>"00497987"</f>
        <v>00497987</v>
      </c>
    </row>
    <row r="10289" spans="1:2" x14ac:dyDescent="0.25">
      <c r="A10289" s="2">
        <v>10284</v>
      </c>
      <c r="B10289" s="11" t="str">
        <f>"00497993"</f>
        <v>00497993</v>
      </c>
    </row>
    <row r="10290" spans="1:2" x14ac:dyDescent="0.25">
      <c r="A10290" s="2">
        <v>10285</v>
      </c>
      <c r="B10290" s="11" t="str">
        <f>"00498023"</f>
        <v>00498023</v>
      </c>
    </row>
    <row r="10291" spans="1:2" x14ac:dyDescent="0.25">
      <c r="A10291" s="2">
        <v>10286</v>
      </c>
      <c r="B10291" s="11" t="str">
        <f>"00498056"</f>
        <v>00498056</v>
      </c>
    </row>
    <row r="10292" spans="1:2" x14ac:dyDescent="0.25">
      <c r="A10292" s="2">
        <v>10287</v>
      </c>
      <c r="B10292" s="11" t="str">
        <f>"00498150"</f>
        <v>00498150</v>
      </c>
    </row>
    <row r="10293" spans="1:2" x14ac:dyDescent="0.25">
      <c r="A10293" s="2">
        <v>10288</v>
      </c>
      <c r="B10293" s="11" t="str">
        <f>"00498165"</f>
        <v>00498165</v>
      </c>
    </row>
    <row r="10294" spans="1:2" x14ac:dyDescent="0.25">
      <c r="A10294" s="2">
        <v>10289</v>
      </c>
      <c r="B10294" s="11" t="str">
        <f>"00498216"</f>
        <v>00498216</v>
      </c>
    </row>
    <row r="10295" spans="1:2" x14ac:dyDescent="0.25">
      <c r="A10295" s="2">
        <v>10290</v>
      </c>
      <c r="B10295" s="11" t="str">
        <f>"00498233"</f>
        <v>00498233</v>
      </c>
    </row>
    <row r="10296" spans="1:2" x14ac:dyDescent="0.25">
      <c r="A10296" s="2">
        <v>10291</v>
      </c>
      <c r="B10296" s="11" t="str">
        <f>"00498280"</f>
        <v>00498280</v>
      </c>
    </row>
    <row r="10297" spans="1:2" x14ac:dyDescent="0.25">
      <c r="A10297" s="2">
        <v>10292</v>
      </c>
      <c r="B10297" s="11" t="str">
        <f>"00498294"</f>
        <v>00498294</v>
      </c>
    </row>
    <row r="10298" spans="1:2" x14ac:dyDescent="0.25">
      <c r="A10298" s="2">
        <v>10293</v>
      </c>
      <c r="B10298" s="11" t="str">
        <f>"00498319"</f>
        <v>00498319</v>
      </c>
    </row>
    <row r="10299" spans="1:2" x14ac:dyDescent="0.25">
      <c r="A10299" s="2">
        <v>10294</v>
      </c>
      <c r="B10299" s="11" t="str">
        <f>"00498359"</f>
        <v>00498359</v>
      </c>
    </row>
    <row r="10300" spans="1:2" x14ac:dyDescent="0.25">
      <c r="A10300" s="2">
        <v>10295</v>
      </c>
      <c r="B10300" s="11" t="str">
        <f>"00498389"</f>
        <v>00498389</v>
      </c>
    </row>
    <row r="10301" spans="1:2" x14ac:dyDescent="0.25">
      <c r="A10301" s="2">
        <v>10296</v>
      </c>
      <c r="B10301" s="11" t="str">
        <f>"00498409"</f>
        <v>00498409</v>
      </c>
    </row>
    <row r="10302" spans="1:2" x14ac:dyDescent="0.25">
      <c r="A10302" s="2">
        <v>10297</v>
      </c>
      <c r="B10302" s="11" t="str">
        <f>"00498416"</f>
        <v>00498416</v>
      </c>
    </row>
    <row r="10303" spans="1:2" x14ac:dyDescent="0.25">
      <c r="A10303" s="2">
        <v>10298</v>
      </c>
      <c r="B10303" s="11" t="str">
        <f>"00498432"</f>
        <v>00498432</v>
      </c>
    </row>
    <row r="10304" spans="1:2" x14ac:dyDescent="0.25">
      <c r="A10304" s="2">
        <v>10299</v>
      </c>
      <c r="B10304" s="11" t="str">
        <f>"00498493"</f>
        <v>00498493</v>
      </c>
    </row>
    <row r="10305" spans="1:2" x14ac:dyDescent="0.25">
      <c r="A10305" s="2">
        <v>10300</v>
      </c>
      <c r="B10305" s="11" t="str">
        <f>"00498578"</f>
        <v>00498578</v>
      </c>
    </row>
    <row r="10306" spans="1:2" x14ac:dyDescent="0.25">
      <c r="A10306" s="2">
        <v>10301</v>
      </c>
      <c r="B10306" s="11" t="str">
        <f>"00498594"</f>
        <v>00498594</v>
      </c>
    </row>
    <row r="10307" spans="1:2" x14ac:dyDescent="0.25">
      <c r="A10307" s="2">
        <v>10302</v>
      </c>
      <c r="B10307" s="11" t="str">
        <f>"00498652"</f>
        <v>00498652</v>
      </c>
    </row>
    <row r="10308" spans="1:2" x14ac:dyDescent="0.25">
      <c r="A10308" s="2">
        <v>10303</v>
      </c>
      <c r="B10308" s="11" t="str">
        <f>"00498658"</f>
        <v>00498658</v>
      </c>
    </row>
    <row r="10309" spans="1:2" x14ac:dyDescent="0.25">
      <c r="A10309" s="2">
        <v>10304</v>
      </c>
      <c r="B10309" s="11" t="str">
        <f>"00498677"</f>
        <v>00498677</v>
      </c>
    </row>
    <row r="10310" spans="1:2" x14ac:dyDescent="0.25">
      <c r="A10310" s="2">
        <v>10305</v>
      </c>
      <c r="B10310" s="11" t="str">
        <f>"00498680"</f>
        <v>00498680</v>
      </c>
    </row>
    <row r="10311" spans="1:2" x14ac:dyDescent="0.25">
      <c r="A10311" s="2">
        <v>10306</v>
      </c>
      <c r="B10311" s="11" t="str">
        <f>"00498694"</f>
        <v>00498694</v>
      </c>
    </row>
    <row r="10312" spans="1:2" x14ac:dyDescent="0.25">
      <c r="A10312" s="2">
        <v>10307</v>
      </c>
      <c r="B10312" s="11" t="str">
        <f>"00498731"</f>
        <v>00498731</v>
      </c>
    </row>
    <row r="10313" spans="1:2" x14ac:dyDescent="0.25">
      <c r="A10313" s="2">
        <v>10308</v>
      </c>
      <c r="B10313" s="11" t="str">
        <f>"00498821"</f>
        <v>00498821</v>
      </c>
    </row>
    <row r="10314" spans="1:2" x14ac:dyDescent="0.25">
      <c r="A10314" s="2">
        <v>10309</v>
      </c>
      <c r="B10314" s="11" t="str">
        <f>"00498849"</f>
        <v>00498849</v>
      </c>
    </row>
    <row r="10315" spans="1:2" x14ac:dyDescent="0.25">
      <c r="A10315" s="2">
        <v>10310</v>
      </c>
      <c r="B10315" s="11" t="str">
        <f>"00498892"</f>
        <v>00498892</v>
      </c>
    </row>
    <row r="10316" spans="1:2" x14ac:dyDescent="0.25">
      <c r="A10316" s="2">
        <v>10311</v>
      </c>
      <c r="B10316" s="11" t="str">
        <f>"00498913"</f>
        <v>00498913</v>
      </c>
    </row>
    <row r="10317" spans="1:2" x14ac:dyDescent="0.25">
      <c r="A10317" s="2">
        <v>10312</v>
      </c>
      <c r="B10317" s="11" t="str">
        <f>"00498917"</f>
        <v>00498917</v>
      </c>
    </row>
    <row r="10318" spans="1:2" x14ac:dyDescent="0.25">
      <c r="A10318" s="2">
        <v>10313</v>
      </c>
      <c r="B10318" s="11" t="str">
        <f>"00499005"</f>
        <v>00499005</v>
      </c>
    </row>
    <row r="10319" spans="1:2" x14ac:dyDescent="0.25">
      <c r="A10319" s="2">
        <v>10314</v>
      </c>
      <c r="B10319" s="11" t="str">
        <f>"00499012"</f>
        <v>00499012</v>
      </c>
    </row>
    <row r="10320" spans="1:2" x14ac:dyDescent="0.25">
      <c r="A10320" s="2">
        <v>10315</v>
      </c>
      <c r="B10320" s="11" t="str">
        <f>"00499037"</f>
        <v>00499037</v>
      </c>
    </row>
    <row r="10321" spans="1:2" x14ac:dyDescent="0.25">
      <c r="A10321" s="2">
        <v>10316</v>
      </c>
      <c r="B10321" s="11" t="str">
        <f>"00499038"</f>
        <v>00499038</v>
      </c>
    </row>
    <row r="10322" spans="1:2" x14ac:dyDescent="0.25">
      <c r="A10322" s="2">
        <v>10317</v>
      </c>
      <c r="B10322" s="11" t="str">
        <f>"00499060"</f>
        <v>00499060</v>
      </c>
    </row>
    <row r="10323" spans="1:2" x14ac:dyDescent="0.25">
      <c r="A10323" s="2">
        <v>10318</v>
      </c>
      <c r="B10323" s="11" t="str">
        <f>"00499172"</f>
        <v>00499172</v>
      </c>
    </row>
    <row r="10324" spans="1:2" x14ac:dyDescent="0.25">
      <c r="A10324" s="2">
        <v>10319</v>
      </c>
      <c r="B10324" s="11" t="str">
        <f>"00499199"</f>
        <v>00499199</v>
      </c>
    </row>
    <row r="10325" spans="1:2" x14ac:dyDescent="0.25">
      <c r="A10325" s="2">
        <v>10320</v>
      </c>
      <c r="B10325" s="11" t="str">
        <f>"00499201"</f>
        <v>00499201</v>
      </c>
    </row>
    <row r="10326" spans="1:2" x14ac:dyDescent="0.25">
      <c r="A10326" s="2">
        <v>10321</v>
      </c>
      <c r="B10326" s="11" t="str">
        <f>"00499204"</f>
        <v>00499204</v>
      </c>
    </row>
    <row r="10327" spans="1:2" x14ac:dyDescent="0.25">
      <c r="A10327" s="2">
        <v>10322</v>
      </c>
      <c r="B10327" s="11" t="str">
        <f>"00499237"</f>
        <v>00499237</v>
      </c>
    </row>
    <row r="10328" spans="1:2" x14ac:dyDescent="0.25">
      <c r="A10328" s="2">
        <v>10323</v>
      </c>
      <c r="B10328" s="11" t="str">
        <f>"00499251"</f>
        <v>00499251</v>
      </c>
    </row>
    <row r="10329" spans="1:2" x14ac:dyDescent="0.25">
      <c r="A10329" s="2">
        <v>10324</v>
      </c>
      <c r="B10329" s="11" t="str">
        <f>"00499256"</f>
        <v>00499256</v>
      </c>
    </row>
    <row r="10330" spans="1:2" x14ac:dyDescent="0.25">
      <c r="A10330" s="2">
        <v>10325</v>
      </c>
      <c r="B10330" s="11" t="str">
        <f>"00499281"</f>
        <v>00499281</v>
      </c>
    </row>
    <row r="10331" spans="1:2" x14ac:dyDescent="0.25">
      <c r="A10331" s="2">
        <v>10326</v>
      </c>
      <c r="B10331" s="11" t="str">
        <f>"00499284"</f>
        <v>00499284</v>
      </c>
    </row>
    <row r="10332" spans="1:2" x14ac:dyDescent="0.25">
      <c r="A10332" s="2">
        <v>10327</v>
      </c>
      <c r="B10332" s="11" t="str">
        <f>"00499317"</f>
        <v>00499317</v>
      </c>
    </row>
    <row r="10333" spans="1:2" x14ac:dyDescent="0.25">
      <c r="A10333" s="2">
        <v>10328</v>
      </c>
      <c r="B10333" s="11" t="str">
        <f>"00499326"</f>
        <v>00499326</v>
      </c>
    </row>
    <row r="10334" spans="1:2" x14ac:dyDescent="0.25">
      <c r="A10334" s="2">
        <v>10329</v>
      </c>
      <c r="B10334" s="11" t="str">
        <f>"00499445"</f>
        <v>00499445</v>
      </c>
    </row>
    <row r="10335" spans="1:2" x14ac:dyDescent="0.25">
      <c r="A10335" s="2">
        <v>10330</v>
      </c>
      <c r="B10335" s="11" t="str">
        <f>"00499451"</f>
        <v>00499451</v>
      </c>
    </row>
    <row r="10336" spans="1:2" x14ac:dyDescent="0.25">
      <c r="A10336" s="2">
        <v>10331</v>
      </c>
      <c r="B10336" s="11" t="str">
        <f>"00499474"</f>
        <v>00499474</v>
      </c>
    </row>
    <row r="10337" spans="1:2" x14ac:dyDescent="0.25">
      <c r="A10337" s="2">
        <v>10332</v>
      </c>
      <c r="B10337" s="11" t="str">
        <f>"00499477"</f>
        <v>00499477</v>
      </c>
    </row>
    <row r="10338" spans="1:2" x14ac:dyDescent="0.25">
      <c r="A10338" s="2">
        <v>10333</v>
      </c>
      <c r="B10338" s="11" t="str">
        <f>"00499845"</f>
        <v>00499845</v>
      </c>
    </row>
    <row r="10339" spans="1:2" x14ac:dyDescent="0.25">
      <c r="A10339" s="2">
        <v>10334</v>
      </c>
      <c r="B10339" s="11" t="str">
        <f>"00499900"</f>
        <v>00499900</v>
      </c>
    </row>
    <row r="10340" spans="1:2" x14ac:dyDescent="0.25">
      <c r="A10340" s="2">
        <v>10335</v>
      </c>
      <c r="B10340" s="11" t="str">
        <f>"00499907"</f>
        <v>00499907</v>
      </c>
    </row>
    <row r="10341" spans="1:2" x14ac:dyDescent="0.25">
      <c r="A10341" s="2">
        <v>10336</v>
      </c>
      <c r="B10341" s="11" t="str">
        <f>"00499916"</f>
        <v>00499916</v>
      </c>
    </row>
    <row r="10342" spans="1:2" x14ac:dyDescent="0.25">
      <c r="A10342" s="2">
        <v>10337</v>
      </c>
      <c r="B10342" s="11" t="str">
        <f>"00499938"</f>
        <v>00499938</v>
      </c>
    </row>
    <row r="10343" spans="1:2" x14ac:dyDescent="0.25">
      <c r="A10343" s="2">
        <v>10338</v>
      </c>
      <c r="B10343" s="11" t="str">
        <f>"00499967"</f>
        <v>00499967</v>
      </c>
    </row>
    <row r="10344" spans="1:2" x14ac:dyDescent="0.25">
      <c r="A10344" s="2">
        <v>10339</v>
      </c>
      <c r="B10344" s="11" t="str">
        <f>"00500098"</f>
        <v>00500098</v>
      </c>
    </row>
    <row r="10345" spans="1:2" x14ac:dyDescent="0.25">
      <c r="A10345" s="2">
        <v>10340</v>
      </c>
      <c r="B10345" s="11" t="str">
        <f>"00500177"</f>
        <v>00500177</v>
      </c>
    </row>
    <row r="10346" spans="1:2" x14ac:dyDescent="0.25">
      <c r="A10346" s="2">
        <v>10341</v>
      </c>
      <c r="B10346" s="11" t="str">
        <f>"00500180"</f>
        <v>00500180</v>
      </c>
    </row>
    <row r="10347" spans="1:2" x14ac:dyDescent="0.25">
      <c r="A10347" s="2">
        <v>10342</v>
      </c>
      <c r="B10347" s="11" t="str">
        <f>"00500204"</f>
        <v>00500204</v>
      </c>
    </row>
    <row r="10348" spans="1:2" x14ac:dyDescent="0.25">
      <c r="A10348" s="2">
        <v>10343</v>
      </c>
      <c r="B10348" s="11" t="str">
        <f>"00500207"</f>
        <v>00500207</v>
      </c>
    </row>
    <row r="10349" spans="1:2" x14ac:dyDescent="0.25">
      <c r="A10349" s="2">
        <v>10344</v>
      </c>
      <c r="B10349" s="11" t="str">
        <f>"00500236"</f>
        <v>00500236</v>
      </c>
    </row>
    <row r="10350" spans="1:2" x14ac:dyDescent="0.25">
      <c r="A10350" s="2">
        <v>10345</v>
      </c>
      <c r="B10350" s="11" t="str">
        <f>"00500252"</f>
        <v>00500252</v>
      </c>
    </row>
    <row r="10351" spans="1:2" x14ac:dyDescent="0.25">
      <c r="A10351" s="2">
        <v>10346</v>
      </c>
      <c r="B10351" s="11" t="str">
        <f>"00500260"</f>
        <v>00500260</v>
      </c>
    </row>
    <row r="10352" spans="1:2" x14ac:dyDescent="0.25">
      <c r="A10352" s="2">
        <v>10347</v>
      </c>
      <c r="B10352" s="11" t="str">
        <f>"00500279"</f>
        <v>00500279</v>
      </c>
    </row>
    <row r="10353" spans="1:2" x14ac:dyDescent="0.25">
      <c r="A10353" s="2">
        <v>10348</v>
      </c>
      <c r="B10353" s="11" t="str">
        <f>"00500377"</f>
        <v>00500377</v>
      </c>
    </row>
    <row r="10354" spans="1:2" x14ac:dyDescent="0.25">
      <c r="A10354" s="2">
        <v>10349</v>
      </c>
      <c r="B10354" s="11" t="str">
        <f>"00500378"</f>
        <v>00500378</v>
      </c>
    </row>
    <row r="10355" spans="1:2" x14ac:dyDescent="0.25">
      <c r="A10355" s="2">
        <v>10350</v>
      </c>
      <c r="B10355" s="11" t="str">
        <f>"00500382"</f>
        <v>00500382</v>
      </c>
    </row>
    <row r="10356" spans="1:2" x14ac:dyDescent="0.25">
      <c r="A10356" s="2">
        <v>10351</v>
      </c>
      <c r="B10356" s="11" t="str">
        <f>"00500401"</f>
        <v>00500401</v>
      </c>
    </row>
    <row r="10357" spans="1:2" x14ac:dyDescent="0.25">
      <c r="A10357" s="2">
        <v>10352</v>
      </c>
      <c r="B10357" s="11" t="str">
        <f>"00500429"</f>
        <v>00500429</v>
      </c>
    </row>
    <row r="10358" spans="1:2" x14ac:dyDescent="0.25">
      <c r="A10358" s="2">
        <v>10353</v>
      </c>
      <c r="B10358" s="11" t="str">
        <f>"00500471"</f>
        <v>00500471</v>
      </c>
    </row>
    <row r="10359" spans="1:2" x14ac:dyDescent="0.25">
      <c r="A10359" s="2">
        <v>10354</v>
      </c>
      <c r="B10359" s="11" t="str">
        <f>"00500490"</f>
        <v>00500490</v>
      </c>
    </row>
    <row r="10360" spans="1:2" x14ac:dyDescent="0.25">
      <c r="A10360" s="2">
        <v>10355</v>
      </c>
      <c r="B10360" s="11" t="str">
        <f>"00500507"</f>
        <v>00500507</v>
      </c>
    </row>
    <row r="10361" spans="1:2" x14ac:dyDescent="0.25">
      <c r="A10361" s="2">
        <v>10356</v>
      </c>
      <c r="B10361" s="11" t="str">
        <f>"00500566"</f>
        <v>00500566</v>
      </c>
    </row>
    <row r="10362" spans="1:2" x14ac:dyDescent="0.25">
      <c r="A10362" s="2">
        <v>10357</v>
      </c>
      <c r="B10362" s="11" t="str">
        <f>"00500614"</f>
        <v>00500614</v>
      </c>
    </row>
    <row r="10363" spans="1:2" x14ac:dyDescent="0.25">
      <c r="A10363" s="2">
        <v>10358</v>
      </c>
      <c r="B10363" s="11" t="str">
        <f>"00500676"</f>
        <v>00500676</v>
      </c>
    </row>
    <row r="10364" spans="1:2" x14ac:dyDescent="0.25">
      <c r="A10364" s="2">
        <v>10359</v>
      </c>
      <c r="B10364" s="11" t="str">
        <f>"00500680"</f>
        <v>00500680</v>
      </c>
    </row>
    <row r="10365" spans="1:2" x14ac:dyDescent="0.25">
      <c r="A10365" s="2">
        <v>10360</v>
      </c>
      <c r="B10365" s="11" t="str">
        <f>"00500692"</f>
        <v>00500692</v>
      </c>
    </row>
    <row r="10366" spans="1:2" x14ac:dyDescent="0.25">
      <c r="A10366" s="2">
        <v>10361</v>
      </c>
      <c r="B10366" s="11" t="str">
        <f>"00500698"</f>
        <v>00500698</v>
      </c>
    </row>
    <row r="10367" spans="1:2" x14ac:dyDescent="0.25">
      <c r="A10367" s="2">
        <v>10362</v>
      </c>
      <c r="B10367" s="11" t="str">
        <f>"00500708"</f>
        <v>00500708</v>
      </c>
    </row>
    <row r="10368" spans="1:2" x14ac:dyDescent="0.25">
      <c r="A10368" s="2">
        <v>10363</v>
      </c>
      <c r="B10368" s="11" t="str">
        <f>"00500718"</f>
        <v>00500718</v>
      </c>
    </row>
    <row r="10369" spans="1:2" x14ac:dyDescent="0.25">
      <c r="A10369" s="2">
        <v>10364</v>
      </c>
      <c r="B10369" s="11" t="str">
        <f>"00500720"</f>
        <v>00500720</v>
      </c>
    </row>
    <row r="10370" spans="1:2" x14ac:dyDescent="0.25">
      <c r="A10370" s="2">
        <v>10365</v>
      </c>
      <c r="B10370" s="11" t="str">
        <f>"00500730"</f>
        <v>00500730</v>
      </c>
    </row>
    <row r="10371" spans="1:2" x14ac:dyDescent="0.25">
      <c r="A10371" s="2">
        <v>10366</v>
      </c>
      <c r="B10371" s="11" t="str">
        <f>"00500843"</f>
        <v>00500843</v>
      </c>
    </row>
    <row r="10372" spans="1:2" x14ac:dyDescent="0.25">
      <c r="A10372" s="2">
        <v>10367</v>
      </c>
      <c r="B10372" s="11" t="str">
        <f>"00500855"</f>
        <v>00500855</v>
      </c>
    </row>
    <row r="10373" spans="1:2" x14ac:dyDescent="0.25">
      <c r="A10373" s="2">
        <v>10368</v>
      </c>
      <c r="B10373" s="11" t="str">
        <f>"00500879"</f>
        <v>00500879</v>
      </c>
    </row>
    <row r="10374" spans="1:2" x14ac:dyDescent="0.25">
      <c r="A10374" s="2">
        <v>10369</v>
      </c>
      <c r="B10374" s="11" t="str">
        <f>"00500884"</f>
        <v>00500884</v>
      </c>
    </row>
    <row r="10375" spans="1:2" x14ac:dyDescent="0.25">
      <c r="A10375" s="2">
        <v>10370</v>
      </c>
      <c r="B10375" s="11" t="str">
        <f>"00500887"</f>
        <v>00500887</v>
      </c>
    </row>
    <row r="10376" spans="1:2" x14ac:dyDescent="0.25">
      <c r="A10376" s="2">
        <v>10371</v>
      </c>
      <c r="B10376" s="11" t="str">
        <f>"00500933"</f>
        <v>00500933</v>
      </c>
    </row>
    <row r="10377" spans="1:2" x14ac:dyDescent="0.25">
      <c r="A10377" s="2">
        <v>10372</v>
      </c>
      <c r="B10377" s="11" t="str">
        <f>"00500964"</f>
        <v>00500964</v>
      </c>
    </row>
    <row r="10378" spans="1:2" x14ac:dyDescent="0.25">
      <c r="A10378" s="2">
        <v>10373</v>
      </c>
      <c r="B10378" s="11" t="str">
        <f>"00500965"</f>
        <v>00500965</v>
      </c>
    </row>
    <row r="10379" spans="1:2" x14ac:dyDescent="0.25">
      <c r="A10379" s="2">
        <v>10374</v>
      </c>
      <c r="B10379" s="11" t="str">
        <f>"00500967"</f>
        <v>00500967</v>
      </c>
    </row>
    <row r="10380" spans="1:2" x14ac:dyDescent="0.25">
      <c r="A10380" s="2">
        <v>10375</v>
      </c>
      <c r="B10380" s="11" t="str">
        <f>"00500976"</f>
        <v>00500976</v>
      </c>
    </row>
    <row r="10381" spans="1:2" x14ac:dyDescent="0.25">
      <c r="A10381" s="2">
        <v>10376</v>
      </c>
      <c r="B10381" s="11" t="str">
        <f>"00501011"</f>
        <v>00501011</v>
      </c>
    </row>
    <row r="10382" spans="1:2" x14ac:dyDescent="0.25">
      <c r="A10382" s="2">
        <v>10377</v>
      </c>
      <c r="B10382" s="11" t="str">
        <f>"00501039"</f>
        <v>00501039</v>
      </c>
    </row>
    <row r="10383" spans="1:2" x14ac:dyDescent="0.25">
      <c r="A10383" s="2">
        <v>10378</v>
      </c>
      <c r="B10383" s="11" t="str">
        <f>"00501046"</f>
        <v>00501046</v>
      </c>
    </row>
    <row r="10384" spans="1:2" x14ac:dyDescent="0.25">
      <c r="A10384" s="2">
        <v>10379</v>
      </c>
      <c r="B10384" s="11" t="str">
        <f>"00501132"</f>
        <v>00501132</v>
      </c>
    </row>
    <row r="10385" spans="1:2" x14ac:dyDescent="0.25">
      <c r="A10385" s="2">
        <v>10380</v>
      </c>
      <c r="B10385" s="11" t="str">
        <f>"00501182"</f>
        <v>00501182</v>
      </c>
    </row>
    <row r="10386" spans="1:2" x14ac:dyDescent="0.25">
      <c r="A10386" s="2">
        <v>10381</v>
      </c>
      <c r="B10386" s="11" t="str">
        <f>"00501206"</f>
        <v>00501206</v>
      </c>
    </row>
    <row r="10387" spans="1:2" x14ac:dyDescent="0.25">
      <c r="A10387" s="2">
        <v>10382</v>
      </c>
      <c r="B10387" s="11" t="str">
        <f>"00501216"</f>
        <v>00501216</v>
      </c>
    </row>
    <row r="10388" spans="1:2" x14ac:dyDescent="0.25">
      <c r="A10388" s="2">
        <v>10383</v>
      </c>
      <c r="B10388" s="11" t="str">
        <f>"00501322"</f>
        <v>00501322</v>
      </c>
    </row>
    <row r="10389" spans="1:2" x14ac:dyDescent="0.25">
      <c r="A10389" s="2">
        <v>10384</v>
      </c>
      <c r="B10389" s="11" t="str">
        <f>"00501326"</f>
        <v>00501326</v>
      </c>
    </row>
    <row r="10390" spans="1:2" x14ac:dyDescent="0.25">
      <c r="A10390" s="2">
        <v>10385</v>
      </c>
      <c r="B10390" s="11" t="str">
        <f>"00501329"</f>
        <v>00501329</v>
      </c>
    </row>
    <row r="10391" spans="1:2" x14ac:dyDescent="0.25">
      <c r="A10391" s="2">
        <v>10386</v>
      </c>
      <c r="B10391" s="11" t="str">
        <f>"00501330"</f>
        <v>00501330</v>
      </c>
    </row>
    <row r="10392" spans="1:2" x14ac:dyDescent="0.25">
      <c r="A10392" s="2">
        <v>10387</v>
      </c>
      <c r="B10392" s="11" t="str">
        <f>"00501396"</f>
        <v>00501396</v>
      </c>
    </row>
    <row r="10393" spans="1:2" x14ac:dyDescent="0.25">
      <c r="A10393" s="2">
        <v>10388</v>
      </c>
      <c r="B10393" s="11" t="str">
        <f>"00501434"</f>
        <v>00501434</v>
      </c>
    </row>
    <row r="10394" spans="1:2" x14ac:dyDescent="0.25">
      <c r="A10394" s="2">
        <v>10389</v>
      </c>
      <c r="B10394" s="11" t="str">
        <f>"00501467"</f>
        <v>00501467</v>
      </c>
    </row>
    <row r="10395" spans="1:2" x14ac:dyDescent="0.25">
      <c r="A10395" s="2">
        <v>10390</v>
      </c>
      <c r="B10395" s="11" t="str">
        <f>"00501470"</f>
        <v>00501470</v>
      </c>
    </row>
    <row r="10396" spans="1:2" x14ac:dyDescent="0.25">
      <c r="A10396" s="2">
        <v>10391</v>
      </c>
      <c r="B10396" s="11" t="str">
        <f>"00501471"</f>
        <v>00501471</v>
      </c>
    </row>
    <row r="10397" spans="1:2" x14ac:dyDescent="0.25">
      <c r="A10397" s="2">
        <v>10392</v>
      </c>
      <c r="B10397" s="11" t="str">
        <f>"00501481"</f>
        <v>00501481</v>
      </c>
    </row>
    <row r="10398" spans="1:2" x14ac:dyDescent="0.25">
      <c r="A10398" s="2">
        <v>10393</v>
      </c>
      <c r="B10398" s="11" t="str">
        <f>"00501600"</f>
        <v>00501600</v>
      </c>
    </row>
    <row r="10399" spans="1:2" x14ac:dyDescent="0.25">
      <c r="A10399" s="2">
        <v>10394</v>
      </c>
      <c r="B10399" s="11" t="str">
        <f>"00501615"</f>
        <v>00501615</v>
      </c>
    </row>
    <row r="10400" spans="1:2" x14ac:dyDescent="0.25">
      <c r="A10400" s="2">
        <v>10395</v>
      </c>
      <c r="B10400" s="11" t="str">
        <f>"00501619"</f>
        <v>00501619</v>
      </c>
    </row>
    <row r="10401" spans="1:2" x14ac:dyDescent="0.25">
      <c r="A10401" s="2">
        <v>10396</v>
      </c>
      <c r="B10401" s="11" t="str">
        <f>"00501656"</f>
        <v>00501656</v>
      </c>
    </row>
    <row r="10402" spans="1:2" x14ac:dyDescent="0.25">
      <c r="A10402" s="2">
        <v>10397</v>
      </c>
      <c r="B10402" s="11" t="str">
        <f>"00501687"</f>
        <v>00501687</v>
      </c>
    </row>
    <row r="10403" spans="1:2" x14ac:dyDescent="0.25">
      <c r="A10403" s="2">
        <v>10398</v>
      </c>
      <c r="B10403" s="11" t="str">
        <f>"00501696"</f>
        <v>00501696</v>
      </c>
    </row>
    <row r="10404" spans="1:2" x14ac:dyDescent="0.25">
      <c r="A10404" s="2">
        <v>10399</v>
      </c>
      <c r="B10404" s="11" t="str">
        <f>"00501705"</f>
        <v>00501705</v>
      </c>
    </row>
    <row r="10405" spans="1:2" x14ac:dyDescent="0.25">
      <c r="A10405" s="2">
        <v>10400</v>
      </c>
      <c r="B10405" s="11" t="str">
        <f>"00501717"</f>
        <v>00501717</v>
      </c>
    </row>
    <row r="10406" spans="1:2" x14ac:dyDescent="0.25">
      <c r="A10406" s="2">
        <v>10401</v>
      </c>
      <c r="B10406" s="11" t="str">
        <f>"00501742"</f>
        <v>00501742</v>
      </c>
    </row>
    <row r="10407" spans="1:2" x14ac:dyDescent="0.25">
      <c r="A10407" s="2">
        <v>10402</v>
      </c>
      <c r="B10407" s="11" t="str">
        <f>"00501743"</f>
        <v>00501743</v>
      </c>
    </row>
    <row r="10408" spans="1:2" x14ac:dyDescent="0.25">
      <c r="A10408" s="2">
        <v>10403</v>
      </c>
      <c r="B10408" s="11" t="str">
        <f>"00501782"</f>
        <v>00501782</v>
      </c>
    </row>
    <row r="10409" spans="1:2" x14ac:dyDescent="0.25">
      <c r="A10409" s="2">
        <v>10404</v>
      </c>
      <c r="B10409" s="11" t="str">
        <f>"00501789"</f>
        <v>00501789</v>
      </c>
    </row>
    <row r="10410" spans="1:2" x14ac:dyDescent="0.25">
      <c r="A10410" s="2">
        <v>10405</v>
      </c>
      <c r="B10410" s="11" t="str">
        <f>"00501884"</f>
        <v>00501884</v>
      </c>
    </row>
    <row r="10411" spans="1:2" x14ac:dyDescent="0.25">
      <c r="A10411" s="2">
        <v>10406</v>
      </c>
      <c r="B10411" s="11" t="str">
        <f>"00501910"</f>
        <v>00501910</v>
      </c>
    </row>
    <row r="10412" spans="1:2" x14ac:dyDescent="0.25">
      <c r="A10412" s="2">
        <v>10407</v>
      </c>
      <c r="B10412" s="11" t="str">
        <f>"00501926"</f>
        <v>00501926</v>
      </c>
    </row>
    <row r="10413" spans="1:2" x14ac:dyDescent="0.25">
      <c r="A10413" s="2">
        <v>10408</v>
      </c>
      <c r="B10413" s="11" t="str">
        <f>"00501941"</f>
        <v>00501941</v>
      </c>
    </row>
    <row r="10414" spans="1:2" x14ac:dyDescent="0.25">
      <c r="A10414" s="2">
        <v>10409</v>
      </c>
      <c r="B10414" s="11" t="str">
        <f>"00501942"</f>
        <v>00501942</v>
      </c>
    </row>
    <row r="10415" spans="1:2" x14ac:dyDescent="0.25">
      <c r="A10415" s="2">
        <v>10410</v>
      </c>
      <c r="B10415" s="11" t="str">
        <f>"00501972"</f>
        <v>00501972</v>
      </c>
    </row>
    <row r="10416" spans="1:2" x14ac:dyDescent="0.25">
      <c r="A10416" s="2">
        <v>10411</v>
      </c>
      <c r="B10416" s="11" t="str">
        <f>"00502004"</f>
        <v>00502004</v>
      </c>
    </row>
    <row r="10417" spans="1:2" x14ac:dyDescent="0.25">
      <c r="A10417" s="2">
        <v>10412</v>
      </c>
      <c r="B10417" s="11" t="str">
        <f>"00502026"</f>
        <v>00502026</v>
      </c>
    </row>
    <row r="10418" spans="1:2" x14ac:dyDescent="0.25">
      <c r="A10418" s="2">
        <v>10413</v>
      </c>
      <c r="B10418" s="11" t="str">
        <f>"00502029"</f>
        <v>00502029</v>
      </c>
    </row>
    <row r="10419" spans="1:2" x14ac:dyDescent="0.25">
      <c r="A10419" s="2">
        <v>10414</v>
      </c>
      <c r="B10419" s="11" t="str">
        <f>"00502078"</f>
        <v>00502078</v>
      </c>
    </row>
    <row r="10420" spans="1:2" x14ac:dyDescent="0.25">
      <c r="A10420" s="2">
        <v>10415</v>
      </c>
      <c r="B10420" s="11" t="str">
        <f>"00502096"</f>
        <v>00502096</v>
      </c>
    </row>
    <row r="10421" spans="1:2" x14ac:dyDescent="0.25">
      <c r="A10421" s="2">
        <v>10416</v>
      </c>
      <c r="B10421" s="11" t="str">
        <f>"00502117"</f>
        <v>00502117</v>
      </c>
    </row>
    <row r="10422" spans="1:2" x14ac:dyDescent="0.25">
      <c r="A10422" s="2">
        <v>10417</v>
      </c>
      <c r="B10422" s="11" t="str">
        <f>"00502119"</f>
        <v>00502119</v>
      </c>
    </row>
    <row r="10423" spans="1:2" x14ac:dyDescent="0.25">
      <c r="A10423" s="2">
        <v>10418</v>
      </c>
      <c r="B10423" s="11" t="str">
        <f>"00502138"</f>
        <v>00502138</v>
      </c>
    </row>
    <row r="10424" spans="1:2" x14ac:dyDescent="0.25">
      <c r="A10424" s="2">
        <v>10419</v>
      </c>
      <c r="B10424" s="11" t="str">
        <f>"00502169"</f>
        <v>00502169</v>
      </c>
    </row>
    <row r="10425" spans="1:2" x14ac:dyDescent="0.25">
      <c r="A10425" s="2">
        <v>10420</v>
      </c>
      <c r="B10425" s="11" t="str">
        <f>"00502183"</f>
        <v>00502183</v>
      </c>
    </row>
    <row r="10426" spans="1:2" x14ac:dyDescent="0.25">
      <c r="A10426" s="2">
        <v>10421</v>
      </c>
      <c r="B10426" s="11" t="str">
        <f>"00502211"</f>
        <v>00502211</v>
      </c>
    </row>
    <row r="10427" spans="1:2" x14ac:dyDescent="0.25">
      <c r="A10427" s="2">
        <v>10422</v>
      </c>
      <c r="B10427" s="11" t="str">
        <f>"00502268"</f>
        <v>00502268</v>
      </c>
    </row>
    <row r="10428" spans="1:2" x14ac:dyDescent="0.25">
      <c r="A10428" s="2">
        <v>10423</v>
      </c>
      <c r="B10428" s="11" t="str">
        <f>"00502306"</f>
        <v>00502306</v>
      </c>
    </row>
    <row r="10429" spans="1:2" x14ac:dyDescent="0.25">
      <c r="A10429" s="2">
        <v>10424</v>
      </c>
      <c r="B10429" s="11" t="str">
        <f>"00502321"</f>
        <v>00502321</v>
      </c>
    </row>
    <row r="10430" spans="1:2" x14ac:dyDescent="0.25">
      <c r="A10430" s="2">
        <v>10425</v>
      </c>
      <c r="B10430" s="11" t="str">
        <f>"00502328"</f>
        <v>00502328</v>
      </c>
    </row>
    <row r="10431" spans="1:2" x14ac:dyDescent="0.25">
      <c r="A10431" s="2">
        <v>10426</v>
      </c>
      <c r="B10431" s="11" t="str">
        <f>"00502363"</f>
        <v>00502363</v>
      </c>
    </row>
    <row r="10432" spans="1:2" x14ac:dyDescent="0.25">
      <c r="A10432" s="2">
        <v>10427</v>
      </c>
      <c r="B10432" s="11" t="str">
        <f>"00502382"</f>
        <v>00502382</v>
      </c>
    </row>
    <row r="10433" spans="1:2" x14ac:dyDescent="0.25">
      <c r="A10433" s="2">
        <v>10428</v>
      </c>
      <c r="B10433" s="11" t="str">
        <f>"00502434"</f>
        <v>00502434</v>
      </c>
    </row>
    <row r="10434" spans="1:2" x14ac:dyDescent="0.25">
      <c r="A10434" s="2">
        <v>10429</v>
      </c>
      <c r="B10434" s="11" t="str">
        <f>"00502447"</f>
        <v>00502447</v>
      </c>
    </row>
    <row r="10435" spans="1:2" x14ac:dyDescent="0.25">
      <c r="A10435" s="2">
        <v>10430</v>
      </c>
      <c r="B10435" s="11" t="str">
        <f>"00502473"</f>
        <v>00502473</v>
      </c>
    </row>
    <row r="10436" spans="1:2" x14ac:dyDescent="0.25">
      <c r="A10436" s="2">
        <v>10431</v>
      </c>
      <c r="B10436" s="11" t="str">
        <f>"00502520"</f>
        <v>00502520</v>
      </c>
    </row>
    <row r="10437" spans="1:2" x14ac:dyDescent="0.25">
      <c r="A10437" s="2">
        <v>10432</v>
      </c>
      <c r="B10437" s="11" t="str">
        <f>"00502570"</f>
        <v>00502570</v>
      </c>
    </row>
    <row r="10438" spans="1:2" x14ac:dyDescent="0.25">
      <c r="A10438" s="2">
        <v>10433</v>
      </c>
      <c r="B10438" s="11" t="str">
        <f>"00502595"</f>
        <v>00502595</v>
      </c>
    </row>
    <row r="10439" spans="1:2" x14ac:dyDescent="0.25">
      <c r="A10439" s="2">
        <v>10434</v>
      </c>
      <c r="B10439" s="11" t="str">
        <f>"00502597"</f>
        <v>00502597</v>
      </c>
    </row>
    <row r="10440" spans="1:2" x14ac:dyDescent="0.25">
      <c r="A10440" s="2">
        <v>10435</v>
      </c>
      <c r="B10440" s="11" t="str">
        <f>"00502669"</f>
        <v>00502669</v>
      </c>
    </row>
    <row r="10441" spans="1:2" x14ac:dyDescent="0.25">
      <c r="A10441" s="2">
        <v>10436</v>
      </c>
      <c r="B10441" s="11" t="str">
        <f>"00502670"</f>
        <v>00502670</v>
      </c>
    </row>
    <row r="10442" spans="1:2" x14ac:dyDescent="0.25">
      <c r="A10442" s="2">
        <v>10437</v>
      </c>
      <c r="B10442" s="11" t="str">
        <f>"00502672"</f>
        <v>00502672</v>
      </c>
    </row>
    <row r="10443" spans="1:2" x14ac:dyDescent="0.25">
      <c r="A10443" s="2">
        <v>10438</v>
      </c>
      <c r="B10443" s="11" t="str">
        <f>"00502681"</f>
        <v>00502681</v>
      </c>
    </row>
    <row r="10444" spans="1:2" x14ac:dyDescent="0.25">
      <c r="A10444" s="2">
        <v>10439</v>
      </c>
      <c r="B10444" s="11" t="str">
        <f>"00502704"</f>
        <v>00502704</v>
      </c>
    </row>
    <row r="10445" spans="1:2" x14ac:dyDescent="0.25">
      <c r="A10445" s="2">
        <v>10440</v>
      </c>
      <c r="B10445" s="11" t="str">
        <f>"00502715"</f>
        <v>00502715</v>
      </c>
    </row>
    <row r="10446" spans="1:2" x14ac:dyDescent="0.25">
      <c r="A10446" s="2">
        <v>10441</v>
      </c>
      <c r="B10446" s="11" t="str">
        <f>"00502802"</f>
        <v>00502802</v>
      </c>
    </row>
    <row r="10447" spans="1:2" x14ac:dyDescent="0.25">
      <c r="A10447" s="2">
        <v>10442</v>
      </c>
      <c r="B10447" s="11" t="str">
        <f>"00502811"</f>
        <v>00502811</v>
      </c>
    </row>
    <row r="10448" spans="1:2" x14ac:dyDescent="0.25">
      <c r="A10448" s="2">
        <v>10443</v>
      </c>
      <c r="B10448" s="11" t="str">
        <f>"00502827"</f>
        <v>00502827</v>
      </c>
    </row>
    <row r="10449" spans="1:2" x14ac:dyDescent="0.25">
      <c r="A10449" s="2">
        <v>10444</v>
      </c>
      <c r="B10449" s="11" t="str">
        <f>"00502859"</f>
        <v>00502859</v>
      </c>
    </row>
    <row r="10450" spans="1:2" x14ac:dyDescent="0.25">
      <c r="A10450" s="2">
        <v>10445</v>
      </c>
      <c r="B10450" s="11" t="str">
        <f>"00502892"</f>
        <v>00502892</v>
      </c>
    </row>
    <row r="10451" spans="1:2" x14ac:dyDescent="0.25">
      <c r="A10451" s="2">
        <v>10446</v>
      </c>
      <c r="B10451" s="11" t="str">
        <f>"00502958"</f>
        <v>00502958</v>
      </c>
    </row>
    <row r="10452" spans="1:2" x14ac:dyDescent="0.25">
      <c r="A10452" s="2">
        <v>10447</v>
      </c>
      <c r="B10452" s="11" t="str">
        <f>"00502961"</f>
        <v>00502961</v>
      </c>
    </row>
    <row r="10453" spans="1:2" x14ac:dyDescent="0.25">
      <c r="A10453" s="2">
        <v>10448</v>
      </c>
      <c r="B10453" s="11" t="str">
        <f>"00503049"</f>
        <v>00503049</v>
      </c>
    </row>
    <row r="10454" spans="1:2" x14ac:dyDescent="0.25">
      <c r="A10454" s="2">
        <v>10449</v>
      </c>
      <c r="B10454" s="11" t="str">
        <f>"00503069"</f>
        <v>00503069</v>
      </c>
    </row>
    <row r="10455" spans="1:2" x14ac:dyDescent="0.25">
      <c r="A10455" s="2">
        <v>10450</v>
      </c>
      <c r="B10455" s="11" t="str">
        <f>"00503075"</f>
        <v>00503075</v>
      </c>
    </row>
    <row r="10456" spans="1:2" x14ac:dyDescent="0.25">
      <c r="A10456" s="2">
        <v>10451</v>
      </c>
      <c r="B10456" s="11" t="str">
        <f>"00503085"</f>
        <v>00503085</v>
      </c>
    </row>
    <row r="10457" spans="1:2" x14ac:dyDescent="0.25">
      <c r="A10457" s="2">
        <v>10452</v>
      </c>
      <c r="B10457" s="11" t="str">
        <f>"00503386"</f>
        <v>00503386</v>
      </c>
    </row>
    <row r="10458" spans="1:2" x14ac:dyDescent="0.25">
      <c r="A10458" s="2">
        <v>10453</v>
      </c>
      <c r="B10458" s="11" t="str">
        <f>"00503432"</f>
        <v>00503432</v>
      </c>
    </row>
    <row r="10459" spans="1:2" x14ac:dyDescent="0.25">
      <c r="A10459" s="2">
        <v>10454</v>
      </c>
      <c r="B10459" s="11" t="str">
        <f>"00503445"</f>
        <v>00503445</v>
      </c>
    </row>
    <row r="10460" spans="1:2" x14ac:dyDescent="0.25">
      <c r="A10460" s="2">
        <v>10455</v>
      </c>
      <c r="B10460" s="11" t="str">
        <f>"00503465"</f>
        <v>00503465</v>
      </c>
    </row>
    <row r="10461" spans="1:2" x14ac:dyDescent="0.25">
      <c r="A10461" s="2">
        <v>10456</v>
      </c>
      <c r="B10461" s="11" t="str">
        <f>"00503529"</f>
        <v>00503529</v>
      </c>
    </row>
    <row r="10462" spans="1:2" x14ac:dyDescent="0.25">
      <c r="A10462" s="2">
        <v>10457</v>
      </c>
      <c r="B10462" s="11" t="str">
        <f>"00503627"</f>
        <v>00503627</v>
      </c>
    </row>
    <row r="10463" spans="1:2" x14ac:dyDescent="0.25">
      <c r="A10463" s="2">
        <v>10458</v>
      </c>
      <c r="B10463" s="11" t="str">
        <f>"00503643"</f>
        <v>00503643</v>
      </c>
    </row>
    <row r="10464" spans="1:2" x14ac:dyDescent="0.25">
      <c r="A10464" s="2">
        <v>10459</v>
      </c>
      <c r="B10464" s="11" t="str">
        <f>"00503692"</f>
        <v>00503692</v>
      </c>
    </row>
    <row r="10465" spans="1:2" x14ac:dyDescent="0.25">
      <c r="A10465" s="2">
        <v>10460</v>
      </c>
      <c r="B10465" s="11" t="str">
        <f>"00503797"</f>
        <v>00503797</v>
      </c>
    </row>
    <row r="10466" spans="1:2" x14ac:dyDescent="0.25">
      <c r="A10466" s="2">
        <v>10461</v>
      </c>
      <c r="B10466" s="11" t="str">
        <f>"00503857"</f>
        <v>00503857</v>
      </c>
    </row>
    <row r="10467" spans="1:2" x14ac:dyDescent="0.25">
      <c r="A10467" s="2">
        <v>10462</v>
      </c>
      <c r="B10467" s="11" t="str">
        <f>"00503912"</f>
        <v>00503912</v>
      </c>
    </row>
    <row r="10468" spans="1:2" x14ac:dyDescent="0.25">
      <c r="A10468" s="2">
        <v>10463</v>
      </c>
      <c r="B10468" s="11" t="str">
        <f>"00503933"</f>
        <v>00503933</v>
      </c>
    </row>
    <row r="10469" spans="1:2" x14ac:dyDescent="0.25">
      <c r="A10469" s="2">
        <v>10464</v>
      </c>
      <c r="B10469" s="11" t="str">
        <f>"00503976"</f>
        <v>00503976</v>
      </c>
    </row>
    <row r="10470" spans="1:2" x14ac:dyDescent="0.25">
      <c r="A10470" s="2">
        <v>10465</v>
      </c>
      <c r="B10470" s="11" t="str">
        <f>"00504022"</f>
        <v>00504022</v>
      </c>
    </row>
    <row r="10471" spans="1:2" x14ac:dyDescent="0.25">
      <c r="A10471" s="2">
        <v>10466</v>
      </c>
      <c r="B10471" s="11" t="str">
        <f>"00504033"</f>
        <v>00504033</v>
      </c>
    </row>
    <row r="10472" spans="1:2" x14ac:dyDescent="0.25">
      <c r="A10472" s="2">
        <v>10467</v>
      </c>
      <c r="B10472" s="11" t="str">
        <f>"00504069"</f>
        <v>00504069</v>
      </c>
    </row>
    <row r="10473" spans="1:2" x14ac:dyDescent="0.25">
      <c r="A10473" s="2">
        <v>10468</v>
      </c>
      <c r="B10473" s="11" t="str">
        <f>"00504133"</f>
        <v>00504133</v>
      </c>
    </row>
    <row r="10474" spans="1:2" x14ac:dyDescent="0.25">
      <c r="A10474" s="2">
        <v>10469</v>
      </c>
      <c r="B10474" s="11" t="str">
        <f>"00504176"</f>
        <v>00504176</v>
      </c>
    </row>
    <row r="10475" spans="1:2" x14ac:dyDescent="0.25">
      <c r="A10475" s="2">
        <v>10470</v>
      </c>
      <c r="B10475" s="11" t="str">
        <f>"00504234"</f>
        <v>00504234</v>
      </c>
    </row>
    <row r="10476" spans="1:2" x14ac:dyDescent="0.25">
      <c r="A10476" s="2">
        <v>10471</v>
      </c>
      <c r="B10476" s="11" t="str">
        <f>"00504289"</f>
        <v>00504289</v>
      </c>
    </row>
    <row r="10477" spans="1:2" x14ac:dyDescent="0.25">
      <c r="A10477" s="2">
        <v>10472</v>
      </c>
      <c r="B10477" s="11" t="str">
        <f>"00504317"</f>
        <v>00504317</v>
      </c>
    </row>
    <row r="10478" spans="1:2" x14ac:dyDescent="0.25">
      <c r="A10478" s="2">
        <v>10473</v>
      </c>
      <c r="B10478" s="11" t="str">
        <f>"00504320"</f>
        <v>00504320</v>
      </c>
    </row>
    <row r="10479" spans="1:2" x14ac:dyDescent="0.25">
      <c r="A10479" s="2">
        <v>10474</v>
      </c>
      <c r="B10479" s="11" t="str">
        <f>"00504326"</f>
        <v>00504326</v>
      </c>
    </row>
    <row r="10480" spans="1:2" x14ac:dyDescent="0.25">
      <c r="A10480" s="2">
        <v>10475</v>
      </c>
      <c r="B10480" s="11" t="str">
        <f>"00504333"</f>
        <v>00504333</v>
      </c>
    </row>
    <row r="10481" spans="1:2" x14ac:dyDescent="0.25">
      <c r="A10481" s="2">
        <v>10476</v>
      </c>
      <c r="B10481" s="11" t="str">
        <f>"00504365"</f>
        <v>00504365</v>
      </c>
    </row>
    <row r="10482" spans="1:2" x14ac:dyDescent="0.25">
      <c r="A10482" s="2">
        <v>10477</v>
      </c>
      <c r="B10482" s="11" t="str">
        <f>"00504367"</f>
        <v>00504367</v>
      </c>
    </row>
    <row r="10483" spans="1:2" x14ac:dyDescent="0.25">
      <c r="A10483" s="2">
        <v>10478</v>
      </c>
      <c r="B10483" s="11" t="str">
        <f>"00504386"</f>
        <v>00504386</v>
      </c>
    </row>
    <row r="10484" spans="1:2" x14ac:dyDescent="0.25">
      <c r="A10484" s="2">
        <v>10479</v>
      </c>
      <c r="B10484" s="11" t="str">
        <f>"00504397"</f>
        <v>00504397</v>
      </c>
    </row>
    <row r="10485" spans="1:2" x14ac:dyDescent="0.25">
      <c r="A10485" s="2">
        <v>10480</v>
      </c>
      <c r="B10485" s="11" t="str">
        <f>"00504400"</f>
        <v>00504400</v>
      </c>
    </row>
    <row r="10486" spans="1:2" x14ac:dyDescent="0.25">
      <c r="A10486" s="2">
        <v>10481</v>
      </c>
      <c r="B10486" s="11" t="str">
        <f>"00504447"</f>
        <v>00504447</v>
      </c>
    </row>
    <row r="10487" spans="1:2" x14ac:dyDescent="0.25">
      <c r="A10487" s="2">
        <v>10482</v>
      </c>
      <c r="B10487" s="11" t="str">
        <f>"00504485"</f>
        <v>00504485</v>
      </c>
    </row>
    <row r="10488" spans="1:2" x14ac:dyDescent="0.25">
      <c r="A10488" s="2">
        <v>10483</v>
      </c>
      <c r="B10488" s="11" t="str">
        <f>"00504532"</f>
        <v>00504532</v>
      </c>
    </row>
    <row r="10489" spans="1:2" x14ac:dyDescent="0.25">
      <c r="A10489" s="2">
        <v>10484</v>
      </c>
      <c r="B10489" s="11" t="str">
        <f>"00504575"</f>
        <v>00504575</v>
      </c>
    </row>
    <row r="10490" spans="1:2" x14ac:dyDescent="0.25">
      <c r="A10490" s="2">
        <v>10485</v>
      </c>
      <c r="B10490" s="11" t="str">
        <f>"00504690"</f>
        <v>00504690</v>
      </c>
    </row>
    <row r="10491" spans="1:2" x14ac:dyDescent="0.25">
      <c r="A10491" s="2">
        <v>10486</v>
      </c>
      <c r="B10491" s="11" t="str">
        <f>"00504696"</f>
        <v>00504696</v>
      </c>
    </row>
    <row r="10492" spans="1:2" x14ac:dyDescent="0.25">
      <c r="A10492" s="2">
        <v>10487</v>
      </c>
      <c r="B10492" s="11" t="str">
        <f>"00504736"</f>
        <v>00504736</v>
      </c>
    </row>
    <row r="10493" spans="1:2" x14ac:dyDescent="0.25">
      <c r="A10493" s="2">
        <v>10488</v>
      </c>
      <c r="B10493" s="11" t="str">
        <f>"00504740"</f>
        <v>00504740</v>
      </c>
    </row>
    <row r="10494" spans="1:2" x14ac:dyDescent="0.25">
      <c r="A10494" s="2">
        <v>10489</v>
      </c>
      <c r="B10494" s="11" t="str">
        <f>"00504745"</f>
        <v>00504745</v>
      </c>
    </row>
    <row r="10495" spans="1:2" x14ac:dyDescent="0.25">
      <c r="A10495" s="2">
        <v>10490</v>
      </c>
      <c r="B10495" s="11" t="str">
        <f>"00504835"</f>
        <v>00504835</v>
      </c>
    </row>
    <row r="10496" spans="1:2" x14ac:dyDescent="0.25">
      <c r="A10496" s="2">
        <v>10491</v>
      </c>
      <c r="B10496" s="11" t="str">
        <f>"00504982"</f>
        <v>00504982</v>
      </c>
    </row>
    <row r="10497" spans="1:2" x14ac:dyDescent="0.25">
      <c r="A10497" s="2">
        <v>10492</v>
      </c>
      <c r="B10497" s="11" t="str">
        <f>"00505003"</f>
        <v>00505003</v>
      </c>
    </row>
    <row r="10498" spans="1:2" x14ac:dyDescent="0.25">
      <c r="A10498" s="2">
        <v>10493</v>
      </c>
      <c r="B10498" s="11" t="str">
        <f>"00505064"</f>
        <v>00505064</v>
      </c>
    </row>
    <row r="10499" spans="1:2" x14ac:dyDescent="0.25">
      <c r="A10499" s="2">
        <v>10494</v>
      </c>
      <c r="B10499" s="11" t="str">
        <f>"00505138"</f>
        <v>00505138</v>
      </c>
    </row>
    <row r="10500" spans="1:2" x14ac:dyDescent="0.25">
      <c r="A10500" s="2">
        <v>10495</v>
      </c>
      <c r="B10500" s="11" t="str">
        <f>"00505178"</f>
        <v>00505178</v>
      </c>
    </row>
    <row r="10501" spans="1:2" x14ac:dyDescent="0.25">
      <c r="A10501" s="2">
        <v>10496</v>
      </c>
      <c r="B10501" s="11" t="str">
        <f>"00505218"</f>
        <v>00505218</v>
      </c>
    </row>
    <row r="10502" spans="1:2" x14ac:dyDescent="0.25">
      <c r="A10502" s="2">
        <v>10497</v>
      </c>
      <c r="B10502" s="11" t="str">
        <f>"00505246"</f>
        <v>00505246</v>
      </c>
    </row>
    <row r="10503" spans="1:2" x14ac:dyDescent="0.25">
      <c r="A10503" s="2">
        <v>10498</v>
      </c>
      <c r="B10503" s="11" t="str">
        <f>"00505338"</f>
        <v>00505338</v>
      </c>
    </row>
    <row r="10504" spans="1:2" x14ac:dyDescent="0.25">
      <c r="A10504" s="2">
        <v>10499</v>
      </c>
      <c r="B10504" s="11" t="str">
        <f>"00505339"</f>
        <v>00505339</v>
      </c>
    </row>
    <row r="10505" spans="1:2" x14ac:dyDescent="0.25">
      <c r="A10505" s="2">
        <v>10500</v>
      </c>
      <c r="B10505" s="11" t="str">
        <f>"00505342"</f>
        <v>00505342</v>
      </c>
    </row>
    <row r="10506" spans="1:2" x14ac:dyDescent="0.25">
      <c r="A10506" s="2">
        <v>10501</v>
      </c>
      <c r="B10506" s="11" t="str">
        <f>"00505421"</f>
        <v>00505421</v>
      </c>
    </row>
    <row r="10507" spans="1:2" x14ac:dyDescent="0.25">
      <c r="A10507" s="2">
        <v>10502</v>
      </c>
      <c r="B10507" s="11" t="str">
        <f>"00505457"</f>
        <v>00505457</v>
      </c>
    </row>
    <row r="10508" spans="1:2" x14ac:dyDescent="0.25">
      <c r="A10508" s="2">
        <v>10503</v>
      </c>
      <c r="B10508" s="11" t="str">
        <f>"00505750"</f>
        <v>00505750</v>
      </c>
    </row>
    <row r="10509" spans="1:2" x14ac:dyDescent="0.25">
      <c r="A10509" s="2">
        <v>10504</v>
      </c>
      <c r="B10509" s="11" t="str">
        <f>"00505757"</f>
        <v>00505757</v>
      </c>
    </row>
    <row r="10510" spans="1:2" x14ac:dyDescent="0.25">
      <c r="A10510" s="2">
        <v>10505</v>
      </c>
      <c r="B10510" s="11" t="str">
        <f>"00505898"</f>
        <v>00505898</v>
      </c>
    </row>
    <row r="10511" spans="1:2" x14ac:dyDescent="0.25">
      <c r="A10511" s="2">
        <v>10506</v>
      </c>
      <c r="B10511" s="11" t="str">
        <f>"00505916"</f>
        <v>00505916</v>
      </c>
    </row>
    <row r="10512" spans="1:2" x14ac:dyDescent="0.25">
      <c r="A10512" s="2">
        <v>10507</v>
      </c>
      <c r="B10512" s="11" t="str">
        <f>"00505945"</f>
        <v>00505945</v>
      </c>
    </row>
    <row r="10513" spans="1:2" x14ac:dyDescent="0.25">
      <c r="A10513" s="2">
        <v>10508</v>
      </c>
      <c r="B10513" s="11" t="str">
        <f>"00505987"</f>
        <v>00505987</v>
      </c>
    </row>
    <row r="10514" spans="1:2" x14ac:dyDescent="0.25">
      <c r="A10514" s="2">
        <v>10509</v>
      </c>
      <c r="B10514" s="11" t="str">
        <f>"00505988"</f>
        <v>00505988</v>
      </c>
    </row>
    <row r="10515" spans="1:2" x14ac:dyDescent="0.25">
      <c r="A10515" s="2">
        <v>10510</v>
      </c>
      <c r="B10515" s="11" t="str">
        <f>"00506080"</f>
        <v>00506080</v>
      </c>
    </row>
    <row r="10516" spans="1:2" x14ac:dyDescent="0.25">
      <c r="A10516" s="2">
        <v>10511</v>
      </c>
      <c r="B10516" s="11" t="str">
        <f>"00506128"</f>
        <v>00506128</v>
      </c>
    </row>
    <row r="10517" spans="1:2" x14ac:dyDescent="0.25">
      <c r="A10517" s="2">
        <v>10512</v>
      </c>
      <c r="B10517" s="11" t="str">
        <f>"00506165"</f>
        <v>00506165</v>
      </c>
    </row>
    <row r="10518" spans="1:2" x14ac:dyDescent="0.25">
      <c r="A10518" s="2">
        <v>10513</v>
      </c>
      <c r="B10518" s="11" t="str">
        <f>"00506252"</f>
        <v>00506252</v>
      </c>
    </row>
    <row r="10519" spans="1:2" x14ac:dyDescent="0.25">
      <c r="A10519" s="2">
        <v>10514</v>
      </c>
      <c r="B10519" s="11" t="str">
        <f>"00506297"</f>
        <v>00506297</v>
      </c>
    </row>
    <row r="10520" spans="1:2" x14ac:dyDescent="0.25">
      <c r="A10520" s="2">
        <v>10515</v>
      </c>
      <c r="B10520" s="11" t="str">
        <f>"00506310"</f>
        <v>00506310</v>
      </c>
    </row>
    <row r="10521" spans="1:2" x14ac:dyDescent="0.25">
      <c r="A10521" s="2">
        <v>10516</v>
      </c>
      <c r="B10521" s="11" t="str">
        <f>"00506374"</f>
        <v>00506374</v>
      </c>
    </row>
    <row r="10522" spans="1:2" x14ac:dyDescent="0.25">
      <c r="A10522" s="2">
        <v>10517</v>
      </c>
      <c r="B10522" s="11" t="str">
        <f>"00506385"</f>
        <v>00506385</v>
      </c>
    </row>
    <row r="10523" spans="1:2" x14ac:dyDescent="0.25">
      <c r="A10523" s="2">
        <v>10518</v>
      </c>
      <c r="B10523" s="11" t="str">
        <f>"00506416"</f>
        <v>00506416</v>
      </c>
    </row>
    <row r="10524" spans="1:2" x14ac:dyDescent="0.25">
      <c r="A10524" s="2">
        <v>10519</v>
      </c>
      <c r="B10524" s="11" t="str">
        <f>"00506469"</f>
        <v>00506469</v>
      </c>
    </row>
    <row r="10525" spans="1:2" x14ac:dyDescent="0.25">
      <c r="A10525" s="2">
        <v>10520</v>
      </c>
      <c r="B10525" s="11" t="str">
        <f>"00506494"</f>
        <v>00506494</v>
      </c>
    </row>
    <row r="10526" spans="1:2" x14ac:dyDescent="0.25">
      <c r="A10526" s="2">
        <v>10521</v>
      </c>
      <c r="B10526" s="11" t="str">
        <f>"00506526"</f>
        <v>00506526</v>
      </c>
    </row>
    <row r="10527" spans="1:2" x14ac:dyDescent="0.25">
      <c r="A10527" s="2">
        <v>10522</v>
      </c>
      <c r="B10527" s="11" t="str">
        <f>"00506585"</f>
        <v>00506585</v>
      </c>
    </row>
    <row r="10528" spans="1:2" x14ac:dyDescent="0.25">
      <c r="A10528" s="2">
        <v>10523</v>
      </c>
      <c r="B10528" s="11" t="str">
        <f>"00506619"</f>
        <v>00506619</v>
      </c>
    </row>
    <row r="10529" spans="1:2" x14ac:dyDescent="0.25">
      <c r="A10529" s="2">
        <v>10524</v>
      </c>
      <c r="B10529" s="11" t="str">
        <f>"00506629"</f>
        <v>00506629</v>
      </c>
    </row>
    <row r="10530" spans="1:2" x14ac:dyDescent="0.25">
      <c r="A10530" s="2">
        <v>10525</v>
      </c>
      <c r="B10530" s="11" t="str">
        <f>"00506653"</f>
        <v>00506653</v>
      </c>
    </row>
    <row r="10531" spans="1:2" x14ac:dyDescent="0.25">
      <c r="A10531" s="2">
        <v>10526</v>
      </c>
      <c r="B10531" s="11" t="str">
        <f>"00506667"</f>
        <v>00506667</v>
      </c>
    </row>
    <row r="10532" spans="1:2" x14ac:dyDescent="0.25">
      <c r="A10532" s="2">
        <v>10527</v>
      </c>
      <c r="B10532" s="11" t="str">
        <f>"00506742"</f>
        <v>00506742</v>
      </c>
    </row>
    <row r="10533" spans="1:2" x14ac:dyDescent="0.25">
      <c r="A10533" s="2">
        <v>10528</v>
      </c>
      <c r="B10533" s="11" t="str">
        <f>"00506746"</f>
        <v>00506746</v>
      </c>
    </row>
    <row r="10534" spans="1:2" x14ac:dyDescent="0.25">
      <c r="A10534" s="2">
        <v>10529</v>
      </c>
      <c r="B10534" s="11" t="str">
        <f>"00506833"</f>
        <v>00506833</v>
      </c>
    </row>
    <row r="10535" spans="1:2" x14ac:dyDescent="0.25">
      <c r="A10535" s="2">
        <v>10530</v>
      </c>
      <c r="B10535" s="11" t="str">
        <f>"00506841"</f>
        <v>00506841</v>
      </c>
    </row>
    <row r="10536" spans="1:2" x14ac:dyDescent="0.25">
      <c r="A10536" s="2">
        <v>10531</v>
      </c>
      <c r="B10536" s="11" t="str">
        <f>"00506890"</f>
        <v>00506890</v>
      </c>
    </row>
    <row r="10537" spans="1:2" x14ac:dyDescent="0.25">
      <c r="A10537" s="2">
        <v>10532</v>
      </c>
      <c r="B10537" s="11" t="str">
        <f>"00506897"</f>
        <v>00506897</v>
      </c>
    </row>
    <row r="10538" spans="1:2" x14ac:dyDescent="0.25">
      <c r="A10538" s="2">
        <v>10533</v>
      </c>
      <c r="B10538" s="11" t="str">
        <f>"00506899"</f>
        <v>00506899</v>
      </c>
    </row>
    <row r="10539" spans="1:2" x14ac:dyDescent="0.25">
      <c r="A10539" s="2">
        <v>10534</v>
      </c>
      <c r="B10539" s="11" t="str">
        <f>"00506913"</f>
        <v>00506913</v>
      </c>
    </row>
    <row r="10540" spans="1:2" x14ac:dyDescent="0.25">
      <c r="A10540" s="2">
        <v>10535</v>
      </c>
      <c r="B10540" s="11" t="str">
        <f>"00506951"</f>
        <v>00506951</v>
      </c>
    </row>
    <row r="10541" spans="1:2" x14ac:dyDescent="0.25">
      <c r="A10541" s="2">
        <v>10536</v>
      </c>
      <c r="B10541" s="11" t="str">
        <f>"00506969"</f>
        <v>00506969</v>
      </c>
    </row>
    <row r="10542" spans="1:2" x14ac:dyDescent="0.25">
      <c r="A10542" s="2">
        <v>10537</v>
      </c>
      <c r="B10542" s="11" t="str">
        <f>"00506975"</f>
        <v>00506975</v>
      </c>
    </row>
    <row r="10543" spans="1:2" x14ac:dyDescent="0.25">
      <c r="A10543" s="2">
        <v>10538</v>
      </c>
      <c r="B10543" s="11" t="str">
        <f>"00506989"</f>
        <v>00506989</v>
      </c>
    </row>
    <row r="10544" spans="1:2" x14ac:dyDescent="0.25">
      <c r="A10544" s="2">
        <v>10539</v>
      </c>
      <c r="B10544" s="11" t="str">
        <f>"00507019"</f>
        <v>00507019</v>
      </c>
    </row>
    <row r="10545" spans="1:2" x14ac:dyDescent="0.25">
      <c r="A10545" s="2">
        <v>10540</v>
      </c>
      <c r="B10545" s="11" t="str">
        <f>"00507035"</f>
        <v>00507035</v>
      </c>
    </row>
    <row r="10546" spans="1:2" x14ac:dyDescent="0.25">
      <c r="A10546" s="2">
        <v>10541</v>
      </c>
      <c r="B10546" s="11" t="str">
        <f>"00507152"</f>
        <v>00507152</v>
      </c>
    </row>
    <row r="10547" spans="1:2" x14ac:dyDescent="0.25">
      <c r="A10547" s="2">
        <v>10542</v>
      </c>
      <c r="B10547" s="11" t="str">
        <f>"00507159"</f>
        <v>00507159</v>
      </c>
    </row>
    <row r="10548" spans="1:2" x14ac:dyDescent="0.25">
      <c r="A10548" s="2">
        <v>10543</v>
      </c>
      <c r="B10548" s="11" t="str">
        <f>"00507170"</f>
        <v>00507170</v>
      </c>
    </row>
    <row r="10549" spans="1:2" x14ac:dyDescent="0.25">
      <c r="A10549" s="2">
        <v>10544</v>
      </c>
      <c r="B10549" s="11" t="str">
        <f>"00507356"</f>
        <v>00507356</v>
      </c>
    </row>
    <row r="10550" spans="1:2" x14ac:dyDescent="0.25">
      <c r="A10550" s="2">
        <v>10545</v>
      </c>
      <c r="B10550" s="11" t="str">
        <f>"00507420"</f>
        <v>00507420</v>
      </c>
    </row>
    <row r="10551" spans="1:2" x14ac:dyDescent="0.25">
      <c r="A10551" s="2">
        <v>10546</v>
      </c>
      <c r="B10551" s="11" t="str">
        <f>"00507484"</f>
        <v>00507484</v>
      </c>
    </row>
    <row r="10552" spans="1:2" x14ac:dyDescent="0.25">
      <c r="A10552" s="2">
        <v>10547</v>
      </c>
      <c r="B10552" s="11" t="str">
        <f>"00507584"</f>
        <v>00507584</v>
      </c>
    </row>
    <row r="10553" spans="1:2" x14ac:dyDescent="0.25">
      <c r="A10553" s="2">
        <v>10548</v>
      </c>
      <c r="B10553" s="11" t="str">
        <f>"00507596"</f>
        <v>00507596</v>
      </c>
    </row>
    <row r="10554" spans="1:2" x14ac:dyDescent="0.25">
      <c r="A10554" s="2">
        <v>10549</v>
      </c>
      <c r="B10554" s="11" t="str">
        <f>"00507616"</f>
        <v>00507616</v>
      </c>
    </row>
    <row r="10555" spans="1:2" x14ac:dyDescent="0.25">
      <c r="A10555" s="2">
        <v>10550</v>
      </c>
      <c r="B10555" s="11" t="str">
        <f>"00507874"</f>
        <v>00507874</v>
      </c>
    </row>
    <row r="10556" spans="1:2" x14ac:dyDescent="0.25">
      <c r="A10556" s="2">
        <v>10551</v>
      </c>
      <c r="B10556" s="11" t="str">
        <f>"00507915"</f>
        <v>00507915</v>
      </c>
    </row>
    <row r="10557" spans="1:2" x14ac:dyDescent="0.25">
      <c r="A10557" s="2">
        <v>10552</v>
      </c>
      <c r="B10557" s="11" t="str">
        <f>"00507930"</f>
        <v>00507930</v>
      </c>
    </row>
    <row r="10558" spans="1:2" x14ac:dyDescent="0.25">
      <c r="A10558" s="2">
        <v>10553</v>
      </c>
      <c r="B10558" s="11" t="str">
        <f>"00507996"</f>
        <v>00507996</v>
      </c>
    </row>
    <row r="10559" spans="1:2" x14ac:dyDescent="0.25">
      <c r="A10559" s="2">
        <v>10554</v>
      </c>
      <c r="B10559" s="11" t="str">
        <f>"00508020"</f>
        <v>00508020</v>
      </c>
    </row>
    <row r="10560" spans="1:2" x14ac:dyDescent="0.25">
      <c r="A10560" s="2">
        <v>10555</v>
      </c>
      <c r="B10560" s="11" t="str">
        <f>"00508056"</f>
        <v>00508056</v>
      </c>
    </row>
    <row r="10561" spans="1:2" x14ac:dyDescent="0.25">
      <c r="A10561" s="2">
        <v>10556</v>
      </c>
      <c r="B10561" s="11" t="str">
        <f>"00508084"</f>
        <v>00508084</v>
      </c>
    </row>
    <row r="10562" spans="1:2" x14ac:dyDescent="0.25">
      <c r="A10562" s="2">
        <v>10557</v>
      </c>
      <c r="B10562" s="11" t="str">
        <f>"00508154"</f>
        <v>00508154</v>
      </c>
    </row>
    <row r="10563" spans="1:2" x14ac:dyDescent="0.25">
      <c r="A10563" s="2">
        <v>10558</v>
      </c>
      <c r="B10563" s="11" t="str">
        <f>"00508174"</f>
        <v>00508174</v>
      </c>
    </row>
    <row r="10564" spans="1:2" x14ac:dyDescent="0.25">
      <c r="A10564" s="2">
        <v>10559</v>
      </c>
      <c r="B10564" s="11" t="str">
        <f>"00508190"</f>
        <v>00508190</v>
      </c>
    </row>
    <row r="10565" spans="1:2" x14ac:dyDescent="0.25">
      <c r="A10565" s="2">
        <v>10560</v>
      </c>
      <c r="B10565" s="11" t="str">
        <f>"00508265"</f>
        <v>00508265</v>
      </c>
    </row>
    <row r="10566" spans="1:2" x14ac:dyDescent="0.25">
      <c r="A10566" s="2">
        <v>10561</v>
      </c>
      <c r="B10566" s="11" t="str">
        <f>"00508285"</f>
        <v>00508285</v>
      </c>
    </row>
    <row r="10567" spans="1:2" x14ac:dyDescent="0.25">
      <c r="A10567" s="2">
        <v>10562</v>
      </c>
      <c r="B10567" s="11" t="str">
        <f>"00508565"</f>
        <v>00508565</v>
      </c>
    </row>
    <row r="10568" spans="1:2" x14ac:dyDescent="0.25">
      <c r="A10568" s="2">
        <v>10563</v>
      </c>
      <c r="B10568" s="11" t="str">
        <f>"00508569"</f>
        <v>00508569</v>
      </c>
    </row>
    <row r="10569" spans="1:2" x14ac:dyDescent="0.25">
      <c r="A10569" s="2">
        <v>10564</v>
      </c>
      <c r="B10569" s="11" t="str">
        <f>"00508660"</f>
        <v>00508660</v>
      </c>
    </row>
    <row r="10570" spans="1:2" x14ac:dyDescent="0.25">
      <c r="A10570" s="2">
        <v>10565</v>
      </c>
      <c r="B10570" s="11" t="str">
        <f>"00508812"</f>
        <v>00508812</v>
      </c>
    </row>
    <row r="10571" spans="1:2" x14ac:dyDescent="0.25">
      <c r="A10571" s="2">
        <v>10566</v>
      </c>
      <c r="B10571" s="11" t="str">
        <f>"00508861"</f>
        <v>00508861</v>
      </c>
    </row>
    <row r="10572" spans="1:2" x14ac:dyDescent="0.25">
      <c r="A10572" s="2">
        <v>10567</v>
      </c>
      <c r="B10572" s="11" t="str">
        <f>"00508901"</f>
        <v>00508901</v>
      </c>
    </row>
    <row r="10573" spans="1:2" x14ac:dyDescent="0.25">
      <c r="A10573" s="2">
        <v>10568</v>
      </c>
      <c r="B10573" s="11" t="str">
        <f>"00509045"</f>
        <v>00509045</v>
      </c>
    </row>
    <row r="10574" spans="1:2" x14ac:dyDescent="0.25">
      <c r="A10574" s="2">
        <v>10569</v>
      </c>
      <c r="B10574" s="11" t="str">
        <f>"00509153"</f>
        <v>00509153</v>
      </c>
    </row>
    <row r="10575" spans="1:2" x14ac:dyDescent="0.25">
      <c r="A10575" s="2">
        <v>10570</v>
      </c>
      <c r="B10575" s="11" t="str">
        <f>"00509162"</f>
        <v>00509162</v>
      </c>
    </row>
    <row r="10576" spans="1:2" x14ac:dyDescent="0.25">
      <c r="A10576" s="2">
        <v>10571</v>
      </c>
      <c r="B10576" s="11" t="str">
        <f>"00509284"</f>
        <v>00509284</v>
      </c>
    </row>
    <row r="10577" spans="1:2" x14ac:dyDescent="0.25">
      <c r="A10577" s="2">
        <v>10572</v>
      </c>
      <c r="B10577" s="11" t="str">
        <f>"00509301"</f>
        <v>00509301</v>
      </c>
    </row>
    <row r="10578" spans="1:2" x14ac:dyDescent="0.25">
      <c r="A10578" s="2">
        <v>10573</v>
      </c>
      <c r="B10578" s="11" t="str">
        <f>"00509346"</f>
        <v>00509346</v>
      </c>
    </row>
    <row r="10579" spans="1:2" x14ac:dyDescent="0.25">
      <c r="A10579" s="2">
        <v>10574</v>
      </c>
      <c r="B10579" s="11" t="str">
        <f>"00509349"</f>
        <v>00509349</v>
      </c>
    </row>
    <row r="10580" spans="1:2" x14ac:dyDescent="0.25">
      <c r="A10580" s="2">
        <v>10575</v>
      </c>
      <c r="B10580" s="11" t="str">
        <f>"00509363"</f>
        <v>00509363</v>
      </c>
    </row>
    <row r="10581" spans="1:2" x14ac:dyDescent="0.25">
      <c r="A10581" s="2">
        <v>10576</v>
      </c>
      <c r="B10581" s="11" t="str">
        <f>"00509486"</f>
        <v>00509486</v>
      </c>
    </row>
    <row r="10582" spans="1:2" x14ac:dyDescent="0.25">
      <c r="A10582" s="2">
        <v>10577</v>
      </c>
      <c r="B10582" s="11" t="str">
        <f>"00509603"</f>
        <v>00509603</v>
      </c>
    </row>
    <row r="10583" spans="1:2" x14ac:dyDescent="0.25">
      <c r="A10583" s="2">
        <v>10578</v>
      </c>
      <c r="B10583" s="11" t="str">
        <f>"00509740"</f>
        <v>00509740</v>
      </c>
    </row>
    <row r="10584" spans="1:2" x14ac:dyDescent="0.25">
      <c r="A10584" s="2">
        <v>10579</v>
      </c>
      <c r="B10584" s="11" t="str">
        <f>"00509784"</f>
        <v>00509784</v>
      </c>
    </row>
    <row r="10585" spans="1:2" x14ac:dyDescent="0.25">
      <c r="A10585" s="2">
        <v>10580</v>
      </c>
      <c r="B10585" s="11" t="str">
        <f>"00509989"</f>
        <v>00509989</v>
      </c>
    </row>
    <row r="10586" spans="1:2" x14ac:dyDescent="0.25">
      <c r="A10586" s="2">
        <v>10581</v>
      </c>
      <c r="B10586" s="11" t="str">
        <f>"00510022"</f>
        <v>00510022</v>
      </c>
    </row>
    <row r="10587" spans="1:2" x14ac:dyDescent="0.25">
      <c r="A10587" s="2">
        <v>10582</v>
      </c>
      <c r="B10587" s="11" t="str">
        <f>"00510049"</f>
        <v>00510049</v>
      </c>
    </row>
    <row r="10588" spans="1:2" x14ac:dyDescent="0.25">
      <c r="A10588" s="2">
        <v>10583</v>
      </c>
      <c r="B10588" s="11" t="str">
        <f>"00510083"</f>
        <v>00510083</v>
      </c>
    </row>
    <row r="10589" spans="1:2" x14ac:dyDescent="0.25">
      <c r="A10589" s="2">
        <v>10584</v>
      </c>
      <c r="B10589" s="11" t="str">
        <f>"00510190"</f>
        <v>00510190</v>
      </c>
    </row>
    <row r="10590" spans="1:2" x14ac:dyDescent="0.25">
      <c r="A10590" s="2">
        <v>10585</v>
      </c>
      <c r="B10590" s="11" t="str">
        <f>"00510303"</f>
        <v>00510303</v>
      </c>
    </row>
    <row r="10591" spans="1:2" x14ac:dyDescent="0.25">
      <c r="A10591" s="2">
        <v>10586</v>
      </c>
      <c r="B10591" s="11" t="str">
        <f>"00510315"</f>
        <v>00510315</v>
      </c>
    </row>
    <row r="10592" spans="1:2" x14ac:dyDescent="0.25">
      <c r="A10592" s="2">
        <v>10587</v>
      </c>
      <c r="B10592" s="11" t="str">
        <f>"00510339"</f>
        <v>00510339</v>
      </c>
    </row>
    <row r="10593" spans="1:2" x14ac:dyDescent="0.25">
      <c r="A10593" s="2">
        <v>10588</v>
      </c>
      <c r="B10593" s="11" t="str">
        <f>"00510389"</f>
        <v>00510389</v>
      </c>
    </row>
    <row r="10594" spans="1:2" x14ac:dyDescent="0.25">
      <c r="A10594" s="2">
        <v>10589</v>
      </c>
      <c r="B10594" s="11" t="str">
        <f>"00510477"</f>
        <v>00510477</v>
      </c>
    </row>
    <row r="10595" spans="1:2" x14ac:dyDescent="0.25">
      <c r="A10595" s="2">
        <v>10590</v>
      </c>
      <c r="B10595" s="11" t="str">
        <f>"00510482"</f>
        <v>00510482</v>
      </c>
    </row>
    <row r="10596" spans="1:2" x14ac:dyDescent="0.25">
      <c r="A10596" s="2">
        <v>10591</v>
      </c>
      <c r="B10596" s="11" t="str">
        <f>"00510501"</f>
        <v>00510501</v>
      </c>
    </row>
    <row r="10597" spans="1:2" x14ac:dyDescent="0.25">
      <c r="A10597" s="2">
        <v>10592</v>
      </c>
      <c r="B10597" s="11" t="str">
        <f>"00510824"</f>
        <v>00510824</v>
      </c>
    </row>
    <row r="10598" spans="1:2" x14ac:dyDescent="0.25">
      <c r="A10598" s="2">
        <v>10593</v>
      </c>
      <c r="B10598" s="11" t="str">
        <f>"00510958"</f>
        <v>00510958</v>
      </c>
    </row>
    <row r="10599" spans="1:2" x14ac:dyDescent="0.25">
      <c r="A10599" s="2">
        <v>10594</v>
      </c>
      <c r="B10599" s="11" t="str">
        <f>"00511053"</f>
        <v>00511053</v>
      </c>
    </row>
    <row r="10600" spans="1:2" x14ac:dyDescent="0.25">
      <c r="A10600" s="2">
        <v>10595</v>
      </c>
      <c r="B10600" s="11" t="str">
        <f>"00511300"</f>
        <v>00511300</v>
      </c>
    </row>
    <row r="10601" spans="1:2" x14ac:dyDescent="0.25">
      <c r="A10601" s="2">
        <v>10596</v>
      </c>
      <c r="B10601" s="11" t="str">
        <f>"00511305"</f>
        <v>00511305</v>
      </c>
    </row>
    <row r="10602" spans="1:2" x14ac:dyDescent="0.25">
      <c r="A10602" s="2">
        <v>10597</v>
      </c>
      <c r="B10602" s="11" t="str">
        <f>"00511636"</f>
        <v>00511636</v>
      </c>
    </row>
    <row r="10603" spans="1:2" x14ac:dyDescent="0.25">
      <c r="A10603" s="2">
        <v>10598</v>
      </c>
      <c r="B10603" s="11" t="str">
        <f>"00511730"</f>
        <v>00511730</v>
      </c>
    </row>
    <row r="10604" spans="1:2" x14ac:dyDescent="0.25">
      <c r="A10604" s="2">
        <v>10599</v>
      </c>
      <c r="B10604" s="11" t="str">
        <f>"00511741"</f>
        <v>00511741</v>
      </c>
    </row>
    <row r="10605" spans="1:2" x14ac:dyDescent="0.25">
      <c r="A10605" s="2">
        <v>10600</v>
      </c>
      <c r="B10605" s="11" t="str">
        <f>"00511848"</f>
        <v>00511848</v>
      </c>
    </row>
    <row r="10606" spans="1:2" x14ac:dyDescent="0.25">
      <c r="A10606" s="2">
        <v>10601</v>
      </c>
      <c r="B10606" s="11" t="str">
        <f>"00511933"</f>
        <v>00511933</v>
      </c>
    </row>
    <row r="10607" spans="1:2" x14ac:dyDescent="0.25">
      <c r="A10607" s="2">
        <v>10602</v>
      </c>
      <c r="B10607" s="11" t="str">
        <f>"00512036"</f>
        <v>00512036</v>
      </c>
    </row>
    <row r="10608" spans="1:2" x14ac:dyDescent="0.25">
      <c r="A10608" s="2">
        <v>10603</v>
      </c>
      <c r="B10608" s="11" t="str">
        <f>"00512127"</f>
        <v>00512127</v>
      </c>
    </row>
    <row r="10609" spans="1:2" x14ac:dyDescent="0.25">
      <c r="A10609" s="2">
        <v>10604</v>
      </c>
      <c r="B10609" s="11" t="str">
        <f>"00512135"</f>
        <v>00512135</v>
      </c>
    </row>
    <row r="10610" spans="1:2" x14ac:dyDescent="0.25">
      <c r="A10610" s="2">
        <v>10605</v>
      </c>
      <c r="B10610" s="11" t="str">
        <f>"00512294"</f>
        <v>00512294</v>
      </c>
    </row>
    <row r="10611" spans="1:2" x14ac:dyDescent="0.25">
      <c r="A10611" s="2">
        <v>10606</v>
      </c>
      <c r="B10611" s="11" t="str">
        <f>"00512364"</f>
        <v>00512364</v>
      </c>
    </row>
    <row r="10612" spans="1:2" x14ac:dyDescent="0.25">
      <c r="A10612" s="2">
        <v>10607</v>
      </c>
      <c r="B10612" s="11" t="str">
        <f>"00512380"</f>
        <v>00512380</v>
      </c>
    </row>
    <row r="10613" spans="1:2" x14ac:dyDescent="0.25">
      <c r="A10613" s="2">
        <v>10608</v>
      </c>
      <c r="B10613" s="11" t="str">
        <f>"00512427"</f>
        <v>00512427</v>
      </c>
    </row>
    <row r="10614" spans="1:2" x14ac:dyDescent="0.25">
      <c r="A10614" s="2">
        <v>10609</v>
      </c>
      <c r="B10614" s="11" t="str">
        <f>"00512479"</f>
        <v>00512479</v>
      </c>
    </row>
    <row r="10615" spans="1:2" x14ac:dyDescent="0.25">
      <c r="A10615" s="2">
        <v>10610</v>
      </c>
      <c r="B10615" s="11" t="str">
        <f>"00512651"</f>
        <v>00512651</v>
      </c>
    </row>
    <row r="10616" spans="1:2" x14ac:dyDescent="0.25">
      <c r="A10616" s="2">
        <v>10611</v>
      </c>
      <c r="B10616" s="11" t="str">
        <f>"00512661"</f>
        <v>00512661</v>
      </c>
    </row>
    <row r="10617" spans="1:2" x14ac:dyDescent="0.25">
      <c r="A10617" s="2">
        <v>10612</v>
      </c>
      <c r="B10617" s="11" t="str">
        <f>"00512666"</f>
        <v>00512666</v>
      </c>
    </row>
    <row r="10618" spans="1:2" x14ac:dyDescent="0.25">
      <c r="A10618" s="2">
        <v>10613</v>
      </c>
      <c r="B10618" s="11" t="str">
        <f>"00512837"</f>
        <v>00512837</v>
      </c>
    </row>
    <row r="10619" spans="1:2" x14ac:dyDescent="0.25">
      <c r="A10619" s="2">
        <v>10614</v>
      </c>
      <c r="B10619" s="11" t="str">
        <f>"00512911"</f>
        <v>00512911</v>
      </c>
    </row>
    <row r="10620" spans="1:2" x14ac:dyDescent="0.25">
      <c r="A10620" s="2">
        <v>10615</v>
      </c>
      <c r="B10620" s="11" t="str">
        <f>"00513221"</f>
        <v>00513221</v>
      </c>
    </row>
    <row r="10621" spans="1:2" x14ac:dyDescent="0.25">
      <c r="A10621" s="2">
        <v>10616</v>
      </c>
      <c r="B10621" s="11" t="str">
        <f>"00513234"</f>
        <v>00513234</v>
      </c>
    </row>
    <row r="10622" spans="1:2" x14ac:dyDescent="0.25">
      <c r="A10622" s="2">
        <v>10617</v>
      </c>
      <c r="B10622" s="11" t="str">
        <f>"00513242"</f>
        <v>00513242</v>
      </c>
    </row>
    <row r="10623" spans="1:2" x14ac:dyDescent="0.25">
      <c r="A10623" s="2">
        <v>10618</v>
      </c>
      <c r="B10623" s="11" t="str">
        <f>"00513250"</f>
        <v>00513250</v>
      </c>
    </row>
    <row r="10624" spans="1:2" x14ac:dyDescent="0.25">
      <c r="A10624" s="2">
        <v>10619</v>
      </c>
      <c r="B10624" s="11" t="str">
        <f>"00513358"</f>
        <v>00513358</v>
      </c>
    </row>
    <row r="10625" spans="1:2" x14ac:dyDescent="0.25">
      <c r="A10625" s="2">
        <v>10620</v>
      </c>
      <c r="B10625" s="11" t="str">
        <f>"00513528"</f>
        <v>00513528</v>
      </c>
    </row>
    <row r="10626" spans="1:2" x14ac:dyDescent="0.25">
      <c r="A10626" s="2">
        <v>10621</v>
      </c>
      <c r="B10626" s="11" t="str">
        <f>"00513538"</f>
        <v>00513538</v>
      </c>
    </row>
    <row r="10627" spans="1:2" x14ac:dyDescent="0.25">
      <c r="A10627" s="2">
        <v>10622</v>
      </c>
      <c r="B10627" s="11" t="str">
        <f>"00513683"</f>
        <v>00513683</v>
      </c>
    </row>
    <row r="10628" spans="1:2" x14ac:dyDescent="0.25">
      <c r="A10628" s="2">
        <v>10623</v>
      </c>
      <c r="B10628" s="11" t="str">
        <f>"00513685"</f>
        <v>00513685</v>
      </c>
    </row>
    <row r="10629" spans="1:2" x14ac:dyDescent="0.25">
      <c r="A10629" s="2">
        <v>10624</v>
      </c>
      <c r="B10629" s="11" t="str">
        <f>"00513979"</f>
        <v>00513979</v>
      </c>
    </row>
    <row r="10630" spans="1:2" x14ac:dyDescent="0.25">
      <c r="A10630" s="2">
        <v>10625</v>
      </c>
      <c r="B10630" s="11" t="str">
        <f>"00514208"</f>
        <v>00514208</v>
      </c>
    </row>
    <row r="10631" spans="1:2" x14ac:dyDescent="0.25">
      <c r="A10631" s="2">
        <v>10626</v>
      </c>
      <c r="B10631" s="11" t="str">
        <f>"00514373"</f>
        <v>00514373</v>
      </c>
    </row>
    <row r="10632" spans="1:2" x14ac:dyDescent="0.25">
      <c r="A10632" s="2">
        <v>10627</v>
      </c>
      <c r="B10632" s="11" t="str">
        <f>"00514474"</f>
        <v>00514474</v>
      </c>
    </row>
    <row r="10633" spans="1:2" x14ac:dyDescent="0.25">
      <c r="A10633" s="2">
        <v>10628</v>
      </c>
      <c r="B10633" s="11" t="str">
        <f>"00514503"</f>
        <v>00514503</v>
      </c>
    </row>
    <row r="10634" spans="1:2" x14ac:dyDescent="0.25">
      <c r="A10634" s="2">
        <v>10629</v>
      </c>
      <c r="B10634" s="11" t="str">
        <f>"00514667"</f>
        <v>00514667</v>
      </c>
    </row>
    <row r="10635" spans="1:2" x14ac:dyDescent="0.25">
      <c r="A10635" s="2">
        <v>10630</v>
      </c>
      <c r="B10635" s="11" t="str">
        <f>"00514895"</f>
        <v>00514895</v>
      </c>
    </row>
    <row r="10636" spans="1:2" x14ac:dyDescent="0.25">
      <c r="A10636" s="2">
        <v>10631</v>
      </c>
      <c r="B10636" s="11" t="str">
        <f>"00514957"</f>
        <v>00514957</v>
      </c>
    </row>
    <row r="10637" spans="1:2" x14ac:dyDescent="0.25">
      <c r="A10637" s="2">
        <v>10632</v>
      </c>
      <c r="B10637" s="11" t="str">
        <f>"00515051"</f>
        <v>00515051</v>
      </c>
    </row>
    <row r="10638" spans="1:2" x14ac:dyDescent="0.25">
      <c r="A10638" s="2">
        <v>10633</v>
      </c>
      <c r="B10638" s="11" t="str">
        <f>"00515146"</f>
        <v>00515146</v>
      </c>
    </row>
    <row r="10639" spans="1:2" x14ac:dyDescent="0.25">
      <c r="A10639" s="2">
        <v>10634</v>
      </c>
      <c r="B10639" s="11" t="str">
        <f>"00515177"</f>
        <v>00515177</v>
      </c>
    </row>
    <row r="10640" spans="1:2" x14ac:dyDescent="0.25">
      <c r="A10640" s="2">
        <v>10635</v>
      </c>
      <c r="B10640" s="11" t="str">
        <f>"00515254"</f>
        <v>00515254</v>
      </c>
    </row>
    <row r="10641" spans="1:2" x14ac:dyDescent="0.25">
      <c r="A10641" s="2">
        <v>10636</v>
      </c>
      <c r="B10641" s="11" t="str">
        <f>"00515283"</f>
        <v>00515283</v>
      </c>
    </row>
    <row r="10642" spans="1:2" x14ac:dyDescent="0.25">
      <c r="A10642" s="2">
        <v>10637</v>
      </c>
      <c r="B10642" s="11" t="str">
        <f>"00515533"</f>
        <v>00515533</v>
      </c>
    </row>
    <row r="10643" spans="1:2" x14ac:dyDescent="0.25">
      <c r="A10643" s="2">
        <v>10638</v>
      </c>
      <c r="B10643" s="11" t="str">
        <f>"00515553"</f>
        <v>00515553</v>
      </c>
    </row>
    <row r="10644" spans="1:2" x14ac:dyDescent="0.25">
      <c r="A10644" s="2">
        <v>10639</v>
      </c>
      <c r="B10644" s="11" t="str">
        <f>"00515631"</f>
        <v>00515631</v>
      </c>
    </row>
    <row r="10645" spans="1:2" x14ac:dyDescent="0.25">
      <c r="A10645" s="2">
        <v>10640</v>
      </c>
      <c r="B10645" s="11" t="str">
        <f>"00515637"</f>
        <v>00515637</v>
      </c>
    </row>
    <row r="10646" spans="1:2" x14ac:dyDescent="0.25">
      <c r="A10646" s="2">
        <v>10641</v>
      </c>
      <c r="B10646" s="11" t="str">
        <f>"00515638"</f>
        <v>00515638</v>
      </c>
    </row>
    <row r="10647" spans="1:2" x14ac:dyDescent="0.25">
      <c r="A10647" s="2">
        <v>10642</v>
      </c>
      <c r="B10647" s="11" t="str">
        <f>"00515885"</f>
        <v>00515885</v>
      </c>
    </row>
    <row r="10648" spans="1:2" x14ac:dyDescent="0.25">
      <c r="A10648" s="2">
        <v>10643</v>
      </c>
      <c r="B10648" s="11" t="str">
        <f>"00515948"</f>
        <v>00515948</v>
      </c>
    </row>
    <row r="10649" spans="1:2" x14ac:dyDescent="0.25">
      <c r="A10649" s="2">
        <v>10644</v>
      </c>
      <c r="B10649" s="11" t="str">
        <f>"00516194"</f>
        <v>00516194</v>
      </c>
    </row>
    <row r="10650" spans="1:2" x14ac:dyDescent="0.25">
      <c r="A10650" s="2">
        <v>10645</v>
      </c>
      <c r="B10650" s="11" t="str">
        <f>"00516421"</f>
        <v>00516421</v>
      </c>
    </row>
    <row r="10651" spans="1:2" x14ac:dyDescent="0.25">
      <c r="A10651" s="2">
        <v>10646</v>
      </c>
      <c r="B10651" s="11" t="str">
        <f>"00516440"</f>
        <v>00516440</v>
      </c>
    </row>
    <row r="10652" spans="1:2" x14ac:dyDescent="0.25">
      <c r="A10652" s="2">
        <v>10647</v>
      </c>
      <c r="B10652" s="11" t="str">
        <f>"00516528"</f>
        <v>00516528</v>
      </c>
    </row>
    <row r="10653" spans="1:2" x14ac:dyDescent="0.25">
      <c r="A10653" s="2">
        <v>10648</v>
      </c>
      <c r="B10653" s="11" t="str">
        <f>"00516571"</f>
        <v>00516571</v>
      </c>
    </row>
    <row r="10654" spans="1:2" x14ac:dyDescent="0.25">
      <c r="A10654" s="2">
        <v>10649</v>
      </c>
      <c r="B10654" s="11" t="str">
        <f>"00516628"</f>
        <v>00516628</v>
      </c>
    </row>
    <row r="10655" spans="1:2" x14ac:dyDescent="0.25">
      <c r="A10655" s="2">
        <v>10650</v>
      </c>
      <c r="B10655" s="11" t="str">
        <f>"00516680"</f>
        <v>00516680</v>
      </c>
    </row>
    <row r="10656" spans="1:2" x14ac:dyDescent="0.25">
      <c r="A10656" s="2">
        <v>10651</v>
      </c>
      <c r="B10656" s="11" t="str">
        <f>"00516807"</f>
        <v>00516807</v>
      </c>
    </row>
    <row r="10657" spans="1:2" x14ac:dyDescent="0.25">
      <c r="A10657" s="2">
        <v>10652</v>
      </c>
      <c r="B10657" s="11" t="str">
        <f>"00516825"</f>
        <v>00516825</v>
      </c>
    </row>
    <row r="10658" spans="1:2" x14ac:dyDescent="0.25">
      <c r="A10658" s="2">
        <v>10653</v>
      </c>
      <c r="B10658" s="11" t="str">
        <f>"00516829"</f>
        <v>00516829</v>
      </c>
    </row>
    <row r="10659" spans="1:2" x14ac:dyDescent="0.25">
      <c r="A10659" s="2">
        <v>10654</v>
      </c>
      <c r="B10659" s="11" t="str">
        <f>"00516851"</f>
        <v>00516851</v>
      </c>
    </row>
    <row r="10660" spans="1:2" x14ac:dyDescent="0.25">
      <c r="A10660" s="2">
        <v>10655</v>
      </c>
      <c r="B10660" s="11" t="str">
        <f>"00516947"</f>
        <v>00516947</v>
      </c>
    </row>
    <row r="10661" spans="1:2" x14ac:dyDescent="0.25">
      <c r="A10661" s="2">
        <v>10656</v>
      </c>
      <c r="B10661" s="11" t="str">
        <f>"00517097"</f>
        <v>00517097</v>
      </c>
    </row>
    <row r="10662" spans="1:2" x14ac:dyDescent="0.25">
      <c r="A10662" s="2">
        <v>10657</v>
      </c>
      <c r="B10662" s="11" t="str">
        <f>"00517119"</f>
        <v>00517119</v>
      </c>
    </row>
    <row r="10663" spans="1:2" x14ac:dyDescent="0.25">
      <c r="A10663" s="2">
        <v>10658</v>
      </c>
      <c r="B10663" s="11" t="str">
        <f>"00517188"</f>
        <v>00517188</v>
      </c>
    </row>
    <row r="10664" spans="1:2" x14ac:dyDescent="0.25">
      <c r="A10664" s="2">
        <v>10659</v>
      </c>
      <c r="B10664" s="11" t="str">
        <f>"00517370"</f>
        <v>00517370</v>
      </c>
    </row>
    <row r="10665" spans="1:2" x14ac:dyDescent="0.25">
      <c r="A10665" s="2">
        <v>10660</v>
      </c>
      <c r="B10665" s="11" t="str">
        <f>"00517431"</f>
        <v>00517431</v>
      </c>
    </row>
    <row r="10666" spans="1:2" x14ac:dyDescent="0.25">
      <c r="A10666" s="2">
        <v>10661</v>
      </c>
      <c r="B10666" s="11" t="str">
        <f>"00517452"</f>
        <v>00517452</v>
      </c>
    </row>
    <row r="10667" spans="1:2" x14ac:dyDescent="0.25">
      <c r="A10667" s="2">
        <v>10662</v>
      </c>
      <c r="B10667" s="11" t="str">
        <f>"00517462"</f>
        <v>00517462</v>
      </c>
    </row>
    <row r="10668" spans="1:2" x14ac:dyDescent="0.25">
      <c r="A10668" s="2">
        <v>10663</v>
      </c>
      <c r="B10668" s="11" t="str">
        <f>"00517518"</f>
        <v>00517518</v>
      </c>
    </row>
    <row r="10669" spans="1:2" x14ac:dyDescent="0.25">
      <c r="A10669" s="2">
        <v>10664</v>
      </c>
      <c r="B10669" s="11" t="str">
        <f>"00517524"</f>
        <v>00517524</v>
      </c>
    </row>
    <row r="10670" spans="1:2" x14ac:dyDescent="0.25">
      <c r="A10670" s="2">
        <v>10665</v>
      </c>
      <c r="B10670" s="11" t="str">
        <f>"00517586"</f>
        <v>00517586</v>
      </c>
    </row>
    <row r="10671" spans="1:2" x14ac:dyDescent="0.25">
      <c r="A10671" s="2">
        <v>10666</v>
      </c>
      <c r="B10671" s="11" t="str">
        <f>"00517612"</f>
        <v>00517612</v>
      </c>
    </row>
    <row r="10672" spans="1:2" x14ac:dyDescent="0.25">
      <c r="A10672" s="2">
        <v>10667</v>
      </c>
      <c r="B10672" s="11" t="str">
        <f>"00517980"</f>
        <v>00517980</v>
      </c>
    </row>
    <row r="10673" spans="1:2" x14ac:dyDescent="0.25">
      <c r="A10673" s="2">
        <v>10668</v>
      </c>
      <c r="B10673" s="11" t="str">
        <f>"00517997"</f>
        <v>00517997</v>
      </c>
    </row>
    <row r="10674" spans="1:2" x14ac:dyDescent="0.25">
      <c r="A10674" s="2">
        <v>10669</v>
      </c>
      <c r="B10674" s="11" t="str">
        <f>"00518058"</f>
        <v>00518058</v>
      </c>
    </row>
    <row r="10675" spans="1:2" x14ac:dyDescent="0.25">
      <c r="A10675" s="2">
        <v>10670</v>
      </c>
      <c r="B10675" s="11" t="str">
        <f>"00518168"</f>
        <v>00518168</v>
      </c>
    </row>
    <row r="10676" spans="1:2" x14ac:dyDescent="0.25">
      <c r="A10676" s="2">
        <v>10671</v>
      </c>
      <c r="B10676" s="11" t="str">
        <f>"00518170"</f>
        <v>00518170</v>
      </c>
    </row>
    <row r="10677" spans="1:2" x14ac:dyDescent="0.25">
      <c r="A10677" s="2">
        <v>10672</v>
      </c>
      <c r="B10677" s="11" t="str">
        <f>"00518218"</f>
        <v>00518218</v>
      </c>
    </row>
    <row r="10678" spans="1:2" x14ac:dyDescent="0.25">
      <c r="A10678" s="2">
        <v>10673</v>
      </c>
      <c r="B10678" s="11" t="str">
        <f>"00518249"</f>
        <v>00518249</v>
      </c>
    </row>
    <row r="10679" spans="1:2" x14ac:dyDescent="0.25">
      <c r="A10679" s="2">
        <v>10674</v>
      </c>
      <c r="B10679" s="11" t="str">
        <f>"00518581"</f>
        <v>00518581</v>
      </c>
    </row>
    <row r="10680" spans="1:2" x14ac:dyDescent="0.25">
      <c r="A10680" s="2">
        <v>10675</v>
      </c>
      <c r="B10680" s="11" t="str">
        <f>"00518610"</f>
        <v>00518610</v>
      </c>
    </row>
    <row r="10681" spans="1:2" x14ac:dyDescent="0.25">
      <c r="A10681" s="2">
        <v>10676</v>
      </c>
      <c r="B10681" s="11" t="str">
        <f>"00518691"</f>
        <v>00518691</v>
      </c>
    </row>
    <row r="10682" spans="1:2" x14ac:dyDescent="0.25">
      <c r="A10682" s="2">
        <v>10677</v>
      </c>
      <c r="B10682" s="11" t="str">
        <f>"00518894"</f>
        <v>00518894</v>
      </c>
    </row>
    <row r="10683" spans="1:2" x14ac:dyDescent="0.25">
      <c r="A10683" s="2">
        <v>10678</v>
      </c>
      <c r="B10683" s="11" t="str">
        <f>"00518967"</f>
        <v>00518967</v>
      </c>
    </row>
    <row r="10684" spans="1:2" x14ac:dyDescent="0.25">
      <c r="A10684" s="2">
        <v>10679</v>
      </c>
      <c r="B10684" s="11" t="str">
        <f>"00519092"</f>
        <v>00519092</v>
      </c>
    </row>
    <row r="10685" spans="1:2" x14ac:dyDescent="0.25">
      <c r="A10685" s="2">
        <v>10680</v>
      </c>
      <c r="B10685" s="11" t="str">
        <f>"00519103"</f>
        <v>00519103</v>
      </c>
    </row>
    <row r="10686" spans="1:2" x14ac:dyDescent="0.25">
      <c r="A10686" s="2">
        <v>10681</v>
      </c>
      <c r="B10686" s="11" t="str">
        <f>"00519221"</f>
        <v>00519221</v>
      </c>
    </row>
    <row r="10687" spans="1:2" x14ac:dyDescent="0.25">
      <c r="A10687" s="2">
        <v>10682</v>
      </c>
      <c r="B10687" s="11" t="str">
        <f>"00519229"</f>
        <v>00519229</v>
      </c>
    </row>
    <row r="10688" spans="1:2" x14ac:dyDescent="0.25">
      <c r="A10688" s="2">
        <v>10683</v>
      </c>
      <c r="B10688" s="11" t="str">
        <f>"00519535"</f>
        <v>00519535</v>
      </c>
    </row>
    <row r="10689" spans="1:2" x14ac:dyDescent="0.25">
      <c r="A10689" s="2">
        <v>10684</v>
      </c>
      <c r="B10689" s="11" t="str">
        <f>"00519566"</f>
        <v>00519566</v>
      </c>
    </row>
    <row r="10690" spans="1:2" x14ac:dyDescent="0.25">
      <c r="A10690" s="2">
        <v>10685</v>
      </c>
      <c r="B10690" s="11" t="str">
        <f>"00519680"</f>
        <v>00519680</v>
      </c>
    </row>
    <row r="10691" spans="1:2" x14ac:dyDescent="0.25">
      <c r="A10691" s="2">
        <v>10686</v>
      </c>
      <c r="B10691" s="11" t="str">
        <f>"00519712"</f>
        <v>00519712</v>
      </c>
    </row>
    <row r="10692" spans="1:2" x14ac:dyDescent="0.25">
      <c r="A10692" s="2">
        <v>10687</v>
      </c>
      <c r="B10692" s="11" t="str">
        <f>"00519768"</f>
        <v>00519768</v>
      </c>
    </row>
    <row r="10693" spans="1:2" x14ac:dyDescent="0.25">
      <c r="A10693" s="2">
        <v>10688</v>
      </c>
      <c r="B10693" s="11" t="str">
        <f>"00519773"</f>
        <v>00519773</v>
      </c>
    </row>
    <row r="10694" spans="1:2" x14ac:dyDescent="0.25">
      <c r="A10694" s="2">
        <v>10689</v>
      </c>
      <c r="B10694" s="11" t="str">
        <f>"00519776"</f>
        <v>00519776</v>
      </c>
    </row>
    <row r="10695" spans="1:2" x14ac:dyDescent="0.25">
      <c r="A10695" s="2">
        <v>10690</v>
      </c>
      <c r="B10695" s="11" t="str">
        <f>"00519863"</f>
        <v>00519863</v>
      </c>
    </row>
    <row r="10696" spans="1:2" x14ac:dyDescent="0.25">
      <c r="A10696" s="2">
        <v>10691</v>
      </c>
      <c r="B10696" s="11" t="str">
        <f>"00520027"</f>
        <v>00520027</v>
      </c>
    </row>
    <row r="10697" spans="1:2" x14ac:dyDescent="0.25">
      <c r="A10697" s="2">
        <v>10692</v>
      </c>
      <c r="B10697" s="11" t="str">
        <f>"00520078"</f>
        <v>00520078</v>
      </c>
    </row>
    <row r="10698" spans="1:2" x14ac:dyDescent="0.25">
      <c r="A10698" s="2">
        <v>10693</v>
      </c>
      <c r="B10698" s="11" t="str">
        <f>"00520310"</f>
        <v>00520310</v>
      </c>
    </row>
    <row r="10699" spans="1:2" x14ac:dyDescent="0.25">
      <c r="A10699" s="2">
        <v>10694</v>
      </c>
      <c r="B10699" s="11" t="str">
        <f>"00520475"</f>
        <v>00520475</v>
      </c>
    </row>
    <row r="10700" spans="1:2" x14ac:dyDescent="0.25">
      <c r="A10700" s="2">
        <v>10695</v>
      </c>
      <c r="B10700" s="11" t="str">
        <f>"00520499"</f>
        <v>00520499</v>
      </c>
    </row>
    <row r="10701" spans="1:2" x14ac:dyDescent="0.25">
      <c r="A10701" s="2">
        <v>10696</v>
      </c>
      <c r="B10701" s="11" t="str">
        <f>"00520702"</f>
        <v>00520702</v>
      </c>
    </row>
    <row r="10702" spans="1:2" x14ac:dyDescent="0.25">
      <c r="A10702" s="2">
        <v>10697</v>
      </c>
      <c r="B10702" s="11" t="str">
        <f>"00520791"</f>
        <v>00520791</v>
      </c>
    </row>
    <row r="10703" spans="1:2" x14ac:dyDescent="0.25">
      <c r="A10703" s="2">
        <v>10698</v>
      </c>
      <c r="B10703" s="11" t="str">
        <f>"00520820"</f>
        <v>00520820</v>
      </c>
    </row>
    <row r="10704" spans="1:2" x14ac:dyDescent="0.25">
      <c r="A10704" s="2">
        <v>10699</v>
      </c>
      <c r="B10704" s="11" t="str">
        <f>"00520849"</f>
        <v>00520849</v>
      </c>
    </row>
    <row r="10705" spans="1:2" x14ac:dyDescent="0.25">
      <c r="A10705" s="2">
        <v>10700</v>
      </c>
      <c r="B10705" s="11" t="str">
        <f>"00520909"</f>
        <v>00520909</v>
      </c>
    </row>
    <row r="10706" spans="1:2" x14ac:dyDescent="0.25">
      <c r="A10706" s="2">
        <v>10701</v>
      </c>
      <c r="B10706" s="11" t="str">
        <f>"00520963"</f>
        <v>00520963</v>
      </c>
    </row>
    <row r="10707" spans="1:2" x14ac:dyDescent="0.25">
      <c r="A10707" s="2">
        <v>10702</v>
      </c>
      <c r="B10707" s="11" t="str">
        <f>"00521113"</f>
        <v>00521113</v>
      </c>
    </row>
    <row r="10708" spans="1:2" x14ac:dyDescent="0.25">
      <c r="A10708" s="2">
        <v>10703</v>
      </c>
      <c r="B10708" s="11" t="str">
        <f>"00521126"</f>
        <v>00521126</v>
      </c>
    </row>
    <row r="10709" spans="1:2" x14ac:dyDescent="0.25">
      <c r="A10709" s="2">
        <v>10704</v>
      </c>
      <c r="B10709" s="11" t="str">
        <f>"00521296"</f>
        <v>00521296</v>
      </c>
    </row>
    <row r="10710" spans="1:2" x14ac:dyDescent="0.25">
      <c r="A10710" s="2">
        <v>10705</v>
      </c>
      <c r="B10710" s="11" t="str">
        <f>"00521319"</f>
        <v>00521319</v>
      </c>
    </row>
    <row r="10711" spans="1:2" x14ac:dyDescent="0.25">
      <c r="A10711" s="2">
        <v>10706</v>
      </c>
      <c r="B10711" s="11" t="str">
        <f>"00521429"</f>
        <v>00521429</v>
      </c>
    </row>
    <row r="10712" spans="1:2" x14ac:dyDescent="0.25">
      <c r="A10712" s="2">
        <v>10707</v>
      </c>
      <c r="B10712" s="11" t="str">
        <f>"00521582"</f>
        <v>00521582</v>
      </c>
    </row>
    <row r="10713" spans="1:2" x14ac:dyDescent="0.25">
      <c r="A10713" s="2">
        <v>10708</v>
      </c>
      <c r="B10713" s="11" t="str">
        <f>"00521661"</f>
        <v>00521661</v>
      </c>
    </row>
    <row r="10714" spans="1:2" x14ac:dyDescent="0.25">
      <c r="A10714" s="2">
        <v>10709</v>
      </c>
      <c r="B10714" s="11" t="str">
        <f>"00521665"</f>
        <v>00521665</v>
      </c>
    </row>
    <row r="10715" spans="1:2" x14ac:dyDescent="0.25">
      <c r="A10715" s="2">
        <v>10710</v>
      </c>
      <c r="B10715" s="11" t="str">
        <f>"00521798"</f>
        <v>00521798</v>
      </c>
    </row>
    <row r="10716" spans="1:2" x14ac:dyDescent="0.25">
      <c r="A10716" s="2">
        <v>10711</v>
      </c>
      <c r="B10716" s="11" t="str">
        <f>"00521860"</f>
        <v>00521860</v>
      </c>
    </row>
    <row r="10717" spans="1:2" x14ac:dyDescent="0.25">
      <c r="A10717" s="2">
        <v>10712</v>
      </c>
      <c r="B10717" s="11" t="str">
        <f>"00521872"</f>
        <v>00521872</v>
      </c>
    </row>
    <row r="10718" spans="1:2" x14ac:dyDescent="0.25">
      <c r="A10718" s="2">
        <v>10713</v>
      </c>
      <c r="B10718" s="11" t="str">
        <f>"00522041"</f>
        <v>00522041</v>
      </c>
    </row>
    <row r="10719" spans="1:2" x14ac:dyDescent="0.25">
      <c r="A10719" s="2">
        <v>10714</v>
      </c>
      <c r="B10719" s="11" t="str">
        <f>"00522118"</f>
        <v>00522118</v>
      </c>
    </row>
    <row r="10720" spans="1:2" x14ac:dyDescent="0.25">
      <c r="A10720" s="2">
        <v>10715</v>
      </c>
      <c r="B10720" s="11" t="str">
        <f>"00522140"</f>
        <v>00522140</v>
      </c>
    </row>
    <row r="10721" spans="1:2" x14ac:dyDescent="0.25">
      <c r="A10721" s="2">
        <v>10716</v>
      </c>
      <c r="B10721" s="11" t="str">
        <f>"00522277"</f>
        <v>00522277</v>
      </c>
    </row>
    <row r="10722" spans="1:2" x14ac:dyDescent="0.25">
      <c r="A10722" s="2">
        <v>10717</v>
      </c>
      <c r="B10722" s="11" t="str">
        <f>"00522294"</f>
        <v>00522294</v>
      </c>
    </row>
    <row r="10723" spans="1:2" x14ac:dyDescent="0.25">
      <c r="A10723" s="2">
        <v>10718</v>
      </c>
      <c r="B10723" s="11" t="str">
        <f>"00522364"</f>
        <v>00522364</v>
      </c>
    </row>
    <row r="10724" spans="1:2" x14ac:dyDescent="0.25">
      <c r="A10724" s="2">
        <v>10719</v>
      </c>
      <c r="B10724" s="11" t="str">
        <f>"00522778"</f>
        <v>00522778</v>
      </c>
    </row>
    <row r="10725" spans="1:2" x14ac:dyDescent="0.25">
      <c r="A10725" s="2">
        <v>10720</v>
      </c>
      <c r="B10725" s="11" t="str">
        <f>"00522785"</f>
        <v>00522785</v>
      </c>
    </row>
    <row r="10726" spans="1:2" x14ac:dyDescent="0.25">
      <c r="A10726" s="2">
        <v>10721</v>
      </c>
      <c r="B10726" s="11" t="str">
        <f>"00522938"</f>
        <v>00522938</v>
      </c>
    </row>
    <row r="10727" spans="1:2" x14ac:dyDescent="0.25">
      <c r="A10727" s="2">
        <v>10722</v>
      </c>
      <c r="B10727" s="11" t="str">
        <f>"00522964"</f>
        <v>00522964</v>
      </c>
    </row>
    <row r="10728" spans="1:2" x14ac:dyDescent="0.25">
      <c r="A10728" s="2">
        <v>10723</v>
      </c>
      <c r="B10728" s="11" t="str">
        <f>"00522997"</f>
        <v>00522997</v>
      </c>
    </row>
    <row r="10729" spans="1:2" x14ac:dyDescent="0.25">
      <c r="A10729" s="2">
        <v>10724</v>
      </c>
      <c r="B10729" s="11" t="str">
        <f>"00523245"</f>
        <v>00523245</v>
      </c>
    </row>
    <row r="10730" spans="1:2" x14ac:dyDescent="0.25">
      <c r="A10730" s="2">
        <v>10725</v>
      </c>
      <c r="B10730" s="11" t="str">
        <f>"00523298"</f>
        <v>00523298</v>
      </c>
    </row>
    <row r="10731" spans="1:2" x14ac:dyDescent="0.25">
      <c r="A10731" s="2">
        <v>10726</v>
      </c>
      <c r="B10731" s="11" t="str">
        <f>"00523323"</f>
        <v>00523323</v>
      </c>
    </row>
    <row r="10732" spans="1:2" x14ac:dyDescent="0.25">
      <c r="A10732" s="2">
        <v>10727</v>
      </c>
      <c r="B10732" s="11" t="str">
        <f>"00523374"</f>
        <v>00523374</v>
      </c>
    </row>
    <row r="10733" spans="1:2" x14ac:dyDescent="0.25">
      <c r="A10733" s="2">
        <v>10728</v>
      </c>
      <c r="B10733" s="11" t="str">
        <f>"00523414"</f>
        <v>00523414</v>
      </c>
    </row>
    <row r="10734" spans="1:2" x14ac:dyDescent="0.25">
      <c r="A10734" s="2">
        <v>10729</v>
      </c>
      <c r="B10734" s="11" t="str">
        <f>"00523454"</f>
        <v>00523454</v>
      </c>
    </row>
    <row r="10735" spans="1:2" x14ac:dyDescent="0.25">
      <c r="A10735" s="2">
        <v>10730</v>
      </c>
      <c r="B10735" s="11" t="str">
        <f>"00523579"</f>
        <v>00523579</v>
      </c>
    </row>
    <row r="10736" spans="1:2" x14ac:dyDescent="0.25">
      <c r="A10736" s="2">
        <v>10731</v>
      </c>
      <c r="B10736" s="11" t="str">
        <f>"00523610"</f>
        <v>00523610</v>
      </c>
    </row>
    <row r="10737" spans="1:2" x14ac:dyDescent="0.25">
      <c r="A10737" s="2">
        <v>10732</v>
      </c>
      <c r="B10737" s="11" t="str">
        <f>"00523643"</f>
        <v>00523643</v>
      </c>
    </row>
    <row r="10738" spans="1:2" x14ac:dyDescent="0.25">
      <c r="A10738" s="2">
        <v>10733</v>
      </c>
      <c r="B10738" s="11" t="str">
        <f>"00523695"</f>
        <v>00523695</v>
      </c>
    </row>
    <row r="10739" spans="1:2" x14ac:dyDescent="0.25">
      <c r="A10739" s="2">
        <v>10734</v>
      </c>
      <c r="B10739" s="11" t="str">
        <f>"00523742"</f>
        <v>00523742</v>
      </c>
    </row>
    <row r="10740" spans="1:2" x14ac:dyDescent="0.25">
      <c r="A10740" s="2">
        <v>10735</v>
      </c>
      <c r="B10740" s="11" t="str">
        <f>"00523765"</f>
        <v>00523765</v>
      </c>
    </row>
    <row r="10741" spans="1:2" x14ac:dyDescent="0.25">
      <c r="A10741" s="2">
        <v>10736</v>
      </c>
      <c r="B10741" s="11" t="str">
        <f>"00523766"</f>
        <v>00523766</v>
      </c>
    </row>
    <row r="10742" spans="1:2" x14ac:dyDescent="0.25">
      <c r="A10742" s="2">
        <v>10737</v>
      </c>
      <c r="B10742" s="11" t="str">
        <f>"00523806"</f>
        <v>00523806</v>
      </c>
    </row>
    <row r="10743" spans="1:2" x14ac:dyDescent="0.25">
      <c r="A10743" s="2">
        <v>10738</v>
      </c>
      <c r="B10743" s="11" t="str">
        <f>"00523956"</f>
        <v>00523956</v>
      </c>
    </row>
    <row r="10744" spans="1:2" x14ac:dyDescent="0.25">
      <c r="A10744" s="2">
        <v>10739</v>
      </c>
      <c r="B10744" s="11" t="str">
        <f>"00524067"</f>
        <v>00524067</v>
      </c>
    </row>
    <row r="10745" spans="1:2" x14ac:dyDescent="0.25">
      <c r="A10745" s="2">
        <v>10740</v>
      </c>
      <c r="B10745" s="11" t="str">
        <f>"00524473"</f>
        <v>00524473</v>
      </c>
    </row>
    <row r="10746" spans="1:2" x14ac:dyDescent="0.25">
      <c r="A10746" s="2">
        <v>10741</v>
      </c>
      <c r="B10746" s="11" t="str">
        <f>"00524495"</f>
        <v>00524495</v>
      </c>
    </row>
    <row r="10747" spans="1:2" x14ac:dyDescent="0.25">
      <c r="A10747" s="2">
        <v>10742</v>
      </c>
      <c r="B10747" s="11" t="str">
        <f>"00524631"</f>
        <v>00524631</v>
      </c>
    </row>
    <row r="10748" spans="1:2" x14ac:dyDescent="0.25">
      <c r="A10748" s="2">
        <v>10743</v>
      </c>
      <c r="B10748" s="11" t="str">
        <f>"00524722"</f>
        <v>00524722</v>
      </c>
    </row>
    <row r="10749" spans="1:2" x14ac:dyDescent="0.25">
      <c r="A10749" s="2">
        <v>10744</v>
      </c>
      <c r="B10749" s="11" t="str">
        <f>"00524794"</f>
        <v>00524794</v>
      </c>
    </row>
    <row r="10750" spans="1:2" x14ac:dyDescent="0.25">
      <c r="A10750" s="2">
        <v>10745</v>
      </c>
      <c r="B10750" s="11" t="str">
        <f>"00524796"</f>
        <v>00524796</v>
      </c>
    </row>
    <row r="10751" spans="1:2" x14ac:dyDescent="0.25">
      <c r="A10751" s="2">
        <v>10746</v>
      </c>
      <c r="B10751" s="11" t="str">
        <f>"00524850"</f>
        <v>00524850</v>
      </c>
    </row>
    <row r="10752" spans="1:2" x14ac:dyDescent="0.25">
      <c r="A10752" s="2">
        <v>10747</v>
      </c>
      <c r="B10752" s="11" t="str">
        <f>"00524858"</f>
        <v>00524858</v>
      </c>
    </row>
    <row r="10753" spans="1:2" x14ac:dyDescent="0.25">
      <c r="A10753" s="2">
        <v>10748</v>
      </c>
      <c r="B10753" s="11" t="str">
        <f>"00524883"</f>
        <v>00524883</v>
      </c>
    </row>
    <row r="10754" spans="1:2" x14ac:dyDescent="0.25">
      <c r="A10754" s="2">
        <v>10749</v>
      </c>
      <c r="B10754" s="11" t="str">
        <f>"00524934"</f>
        <v>00524934</v>
      </c>
    </row>
    <row r="10755" spans="1:2" x14ac:dyDescent="0.25">
      <c r="A10755" s="2">
        <v>10750</v>
      </c>
      <c r="B10755" s="11" t="str">
        <f>"00524981"</f>
        <v>00524981</v>
      </c>
    </row>
    <row r="10756" spans="1:2" x14ac:dyDescent="0.25">
      <c r="A10756" s="2">
        <v>10751</v>
      </c>
      <c r="B10756" s="11" t="str">
        <f>"00525130"</f>
        <v>00525130</v>
      </c>
    </row>
    <row r="10757" spans="1:2" x14ac:dyDescent="0.25">
      <c r="A10757" s="2">
        <v>10752</v>
      </c>
      <c r="B10757" s="11" t="str">
        <f>"00525238"</f>
        <v>00525238</v>
      </c>
    </row>
    <row r="10758" spans="1:2" x14ac:dyDescent="0.25">
      <c r="A10758" s="2">
        <v>10753</v>
      </c>
      <c r="B10758" s="11" t="str">
        <f>"00525326"</f>
        <v>00525326</v>
      </c>
    </row>
    <row r="10759" spans="1:2" x14ac:dyDescent="0.25">
      <c r="A10759" s="2">
        <v>10754</v>
      </c>
      <c r="B10759" s="11" t="str">
        <f>"00525390"</f>
        <v>00525390</v>
      </c>
    </row>
    <row r="10760" spans="1:2" x14ac:dyDescent="0.25">
      <c r="A10760" s="2">
        <v>10755</v>
      </c>
      <c r="B10760" s="11" t="str">
        <f>"00525412"</f>
        <v>00525412</v>
      </c>
    </row>
    <row r="10761" spans="1:2" x14ac:dyDescent="0.25">
      <c r="A10761" s="2">
        <v>10756</v>
      </c>
      <c r="B10761" s="11" t="str">
        <f>"00525429"</f>
        <v>00525429</v>
      </c>
    </row>
    <row r="10762" spans="1:2" x14ac:dyDescent="0.25">
      <c r="A10762" s="2">
        <v>10757</v>
      </c>
      <c r="B10762" s="11" t="str">
        <f>"00525498"</f>
        <v>00525498</v>
      </c>
    </row>
    <row r="10763" spans="1:2" x14ac:dyDescent="0.25">
      <c r="A10763" s="2">
        <v>10758</v>
      </c>
      <c r="B10763" s="11" t="str">
        <f>"00525605"</f>
        <v>00525605</v>
      </c>
    </row>
    <row r="10764" spans="1:2" x14ac:dyDescent="0.25">
      <c r="A10764" s="2">
        <v>10759</v>
      </c>
      <c r="B10764" s="11" t="str">
        <f>"00525654"</f>
        <v>00525654</v>
      </c>
    </row>
    <row r="10765" spans="1:2" x14ac:dyDescent="0.25">
      <c r="A10765" s="2">
        <v>10760</v>
      </c>
      <c r="B10765" s="11" t="str">
        <f>"00525662"</f>
        <v>00525662</v>
      </c>
    </row>
    <row r="10766" spans="1:2" x14ac:dyDescent="0.25">
      <c r="A10766" s="2">
        <v>10761</v>
      </c>
      <c r="B10766" s="11" t="str">
        <f>"00525684"</f>
        <v>00525684</v>
      </c>
    </row>
    <row r="10767" spans="1:2" x14ac:dyDescent="0.25">
      <c r="A10767" s="2">
        <v>10762</v>
      </c>
      <c r="B10767" s="11" t="str">
        <f>"00525705"</f>
        <v>00525705</v>
      </c>
    </row>
    <row r="10768" spans="1:2" x14ac:dyDescent="0.25">
      <c r="A10768" s="2">
        <v>10763</v>
      </c>
      <c r="B10768" s="11" t="str">
        <f>"00525838"</f>
        <v>00525838</v>
      </c>
    </row>
    <row r="10769" spans="1:2" x14ac:dyDescent="0.25">
      <c r="A10769" s="2">
        <v>10764</v>
      </c>
      <c r="B10769" s="11" t="str">
        <f>"00525911"</f>
        <v>00525911</v>
      </c>
    </row>
    <row r="10770" spans="1:2" x14ac:dyDescent="0.25">
      <c r="A10770" s="2">
        <v>10765</v>
      </c>
      <c r="B10770" s="11" t="str">
        <f>"00525986"</f>
        <v>00525986</v>
      </c>
    </row>
    <row r="10771" spans="1:2" x14ac:dyDescent="0.25">
      <c r="A10771" s="2">
        <v>10766</v>
      </c>
      <c r="B10771" s="11" t="str">
        <f>"00526454"</f>
        <v>00526454</v>
      </c>
    </row>
    <row r="10772" spans="1:2" x14ac:dyDescent="0.25">
      <c r="A10772" s="2">
        <v>10767</v>
      </c>
      <c r="B10772" s="11" t="str">
        <f>"00526507"</f>
        <v>00526507</v>
      </c>
    </row>
    <row r="10773" spans="1:2" x14ac:dyDescent="0.25">
      <c r="A10773" s="2">
        <v>10768</v>
      </c>
      <c r="B10773" s="11" t="str">
        <f>"00526618"</f>
        <v>00526618</v>
      </c>
    </row>
    <row r="10774" spans="1:2" x14ac:dyDescent="0.25">
      <c r="A10774" s="2">
        <v>10769</v>
      </c>
      <c r="B10774" s="11" t="str">
        <f>"00526693"</f>
        <v>00526693</v>
      </c>
    </row>
    <row r="10775" spans="1:2" x14ac:dyDescent="0.25">
      <c r="A10775" s="2">
        <v>10770</v>
      </c>
      <c r="B10775" s="11" t="str">
        <f>"00526932"</f>
        <v>00526932</v>
      </c>
    </row>
    <row r="10776" spans="1:2" x14ac:dyDescent="0.25">
      <c r="A10776" s="2">
        <v>10771</v>
      </c>
      <c r="B10776" s="11" t="str">
        <f>"00527009"</f>
        <v>00527009</v>
      </c>
    </row>
    <row r="10777" spans="1:2" x14ac:dyDescent="0.25">
      <c r="A10777" s="2">
        <v>10772</v>
      </c>
      <c r="B10777" s="11" t="str">
        <f>"00527037"</f>
        <v>00527037</v>
      </c>
    </row>
    <row r="10778" spans="1:2" x14ac:dyDescent="0.25">
      <c r="A10778" s="2">
        <v>10773</v>
      </c>
      <c r="B10778" s="11" t="str">
        <f>"00527078"</f>
        <v>00527078</v>
      </c>
    </row>
    <row r="10779" spans="1:2" x14ac:dyDescent="0.25">
      <c r="A10779" s="2">
        <v>10774</v>
      </c>
      <c r="B10779" s="11" t="str">
        <f>"00527123"</f>
        <v>00527123</v>
      </c>
    </row>
    <row r="10780" spans="1:2" x14ac:dyDescent="0.25">
      <c r="A10780" s="2">
        <v>10775</v>
      </c>
      <c r="B10780" s="11" t="str">
        <f>"00527308"</f>
        <v>00527308</v>
      </c>
    </row>
    <row r="10781" spans="1:2" x14ac:dyDescent="0.25">
      <c r="A10781" s="2">
        <v>10776</v>
      </c>
      <c r="B10781" s="11" t="str">
        <f>"00527328"</f>
        <v>00527328</v>
      </c>
    </row>
    <row r="10782" spans="1:2" x14ac:dyDescent="0.25">
      <c r="A10782" s="2">
        <v>10777</v>
      </c>
      <c r="B10782" s="11" t="str">
        <f>"00527370"</f>
        <v>00527370</v>
      </c>
    </row>
    <row r="10783" spans="1:2" x14ac:dyDescent="0.25">
      <c r="A10783" s="2">
        <v>10778</v>
      </c>
      <c r="B10783" s="11" t="str">
        <f>"00527379"</f>
        <v>00527379</v>
      </c>
    </row>
    <row r="10784" spans="1:2" x14ac:dyDescent="0.25">
      <c r="A10784" s="2">
        <v>10779</v>
      </c>
      <c r="B10784" s="11" t="str">
        <f>"00527382"</f>
        <v>00527382</v>
      </c>
    </row>
    <row r="10785" spans="1:2" x14ac:dyDescent="0.25">
      <c r="A10785" s="2">
        <v>10780</v>
      </c>
      <c r="B10785" s="11" t="str">
        <f>"00527401"</f>
        <v>00527401</v>
      </c>
    </row>
    <row r="10786" spans="1:2" x14ac:dyDescent="0.25">
      <c r="A10786" s="2">
        <v>10781</v>
      </c>
      <c r="B10786" s="11" t="str">
        <f>"00527431"</f>
        <v>00527431</v>
      </c>
    </row>
    <row r="10787" spans="1:2" x14ac:dyDescent="0.25">
      <c r="A10787" s="2">
        <v>10782</v>
      </c>
      <c r="B10787" s="11" t="str">
        <f>"00527586"</f>
        <v>00527586</v>
      </c>
    </row>
    <row r="10788" spans="1:2" x14ac:dyDescent="0.25">
      <c r="A10788" s="2">
        <v>10783</v>
      </c>
      <c r="B10788" s="11" t="str">
        <f>"00527614"</f>
        <v>00527614</v>
      </c>
    </row>
    <row r="10789" spans="1:2" x14ac:dyDescent="0.25">
      <c r="A10789" s="2">
        <v>10784</v>
      </c>
      <c r="B10789" s="11" t="str">
        <f>"00527635"</f>
        <v>00527635</v>
      </c>
    </row>
    <row r="10790" spans="1:2" x14ac:dyDescent="0.25">
      <c r="A10790" s="2">
        <v>10785</v>
      </c>
      <c r="B10790" s="11" t="str">
        <f>"00527647"</f>
        <v>00527647</v>
      </c>
    </row>
    <row r="10791" spans="1:2" x14ac:dyDescent="0.25">
      <c r="A10791" s="2">
        <v>10786</v>
      </c>
      <c r="B10791" s="11" t="str">
        <f>"00527724"</f>
        <v>00527724</v>
      </c>
    </row>
    <row r="10792" spans="1:2" x14ac:dyDescent="0.25">
      <c r="A10792" s="2">
        <v>10787</v>
      </c>
      <c r="B10792" s="11" t="str">
        <f>"00527759"</f>
        <v>00527759</v>
      </c>
    </row>
    <row r="10793" spans="1:2" x14ac:dyDescent="0.25">
      <c r="A10793" s="2">
        <v>10788</v>
      </c>
      <c r="B10793" s="11" t="str">
        <f>"00527865"</f>
        <v>00527865</v>
      </c>
    </row>
    <row r="10794" spans="1:2" x14ac:dyDescent="0.25">
      <c r="A10794" s="2">
        <v>10789</v>
      </c>
      <c r="B10794" s="11" t="str">
        <f>"00528017"</f>
        <v>00528017</v>
      </c>
    </row>
    <row r="10795" spans="1:2" x14ac:dyDescent="0.25">
      <c r="A10795" s="2">
        <v>10790</v>
      </c>
      <c r="B10795" s="11" t="str">
        <f>"00528065"</f>
        <v>00528065</v>
      </c>
    </row>
    <row r="10796" spans="1:2" x14ac:dyDescent="0.25">
      <c r="A10796" s="2">
        <v>10791</v>
      </c>
      <c r="B10796" s="11" t="str">
        <f>"00528124"</f>
        <v>00528124</v>
      </c>
    </row>
    <row r="10797" spans="1:2" x14ac:dyDescent="0.25">
      <c r="A10797" s="2">
        <v>10792</v>
      </c>
      <c r="B10797" s="11" t="str">
        <f>"00528155"</f>
        <v>00528155</v>
      </c>
    </row>
    <row r="10798" spans="1:2" x14ac:dyDescent="0.25">
      <c r="A10798" s="2">
        <v>10793</v>
      </c>
      <c r="B10798" s="11" t="str">
        <f>"00528227"</f>
        <v>00528227</v>
      </c>
    </row>
    <row r="10799" spans="1:2" x14ac:dyDescent="0.25">
      <c r="A10799" s="2">
        <v>10794</v>
      </c>
      <c r="B10799" s="11" t="str">
        <f>"00528249"</f>
        <v>00528249</v>
      </c>
    </row>
    <row r="10800" spans="1:2" x14ac:dyDescent="0.25">
      <c r="A10800" s="2">
        <v>10795</v>
      </c>
      <c r="B10800" s="11" t="str">
        <f>"00528250"</f>
        <v>00528250</v>
      </c>
    </row>
    <row r="10801" spans="1:2" x14ac:dyDescent="0.25">
      <c r="A10801" s="2">
        <v>10796</v>
      </c>
      <c r="B10801" s="11" t="str">
        <f>"00528258"</f>
        <v>00528258</v>
      </c>
    </row>
    <row r="10802" spans="1:2" x14ac:dyDescent="0.25">
      <c r="A10802" s="2">
        <v>10797</v>
      </c>
      <c r="B10802" s="11" t="str">
        <f>"00528500"</f>
        <v>00528500</v>
      </c>
    </row>
    <row r="10803" spans="1:2" x14ac:dyDescent="0.25">
      <c r="A10803" s="2">
        <v>10798</v>
      </c>
      <c r="B10803" s="11" t="str">
        <f>"00528559"</f>
        <v>00528559</v>
      </c>
    </row>
    <row r="10804" spans="1:2" x14ac:dyDescent="0.25">
      <c r="A10804" s="2">
        <v>10799</v>
      </c>
      <c r="B10804" s="11" t="str">
        <f>"00528675"</f>
        <v>00528675</v>
      </c>
    </row>
    <row r="10805" spans="1:2" x14ac:dyDescent="0.25">
      <c r="A10805" s="2">
        <v>10800</v>
      </c>
      <c r="B10805" s="11" t="str">
        <f>"00528877"</f>
        <v>00528877</v>
      </c>
    </row>
    <row r="10806" spans="1:2" x14ac:dyDescent="0.25">
      <c r="A10806" s="2">
        <v>10801</v>
      </c>
      <c r="B10806" s="11" t="str">
        <f>"00528964"</f>
        <v>00528964</v>
      </c>
    </row>
    <row r="10807" spans="1:2" x14ac:dyDescent="0.25">
      <c r="A10807" s="2">
        <v>10802</v>
      </c>
      <c r="B10807" s="11" t="str">
        <f>"00529009"</f>
        <v>00529009</v>
      </c>
    </row>
    <row r="10808" spans="1:2" x14ac:dyDescent="0.25">
      <c r="A10808" s="2">
        <v>10803</v>
      </c>
      <c r="B10808" s="11" t="str">
        <f>"00529017"</f>
        <v>00529017</v>
      </c>
    </row>
    <row r="10809" spans="1:2" x14ac:dyDescent="0.25">
      <c r="A10809" s="2">
        <v>10804</v>
      </c>
      <c r="B10809" s="11" t="str">
        <f>"00529415"</f>
        <v>00529415</v>
      </c>
    </row>
    <row r="10810" spans="1:2" x14ac:dyDescent="0.25">
      <c r="A10810" s="2">
        <v>10805</v>
      </c>
      <c r="B10810" s="11" t="str">
        <f>"00529485"</f>
        <v>00529485</v>
      </c>
    </row>
    <row r="10811" spans="1:2" x14ac:dyDescent="0.25">
      <c r="A10811" s="2">
        <v>10806</v>
      </c>
      <c r="B10811" s="11" t="str">
        <f>"00529487"</f>
        <v>00529487</v>
      </c>
    </row>
    <row r="10812" spans="1:2" x14ac:dyDescent="0.25">
      <c r="A10812" s="2">
        <v>10807</v>
      </c>
      <c r="B10812" s="11" t="str">
        <f>"00529512"</f>
        <v>00529512</v>
      </c>
    </row>
    <row r="10813" spans="1:2" x14ac:dyDescent="0.25">
      <c r="A10813" s="2">
        <v>10808</v>
      </c>
      <c r="B10813" s="11" t="str">
        <f>"00529513"</f>
        <v>00529513</v>
      </c>
    </row>
    <row r="10814" spans="1:2" x14ac:dyDescent="0.25">
      <c r="A10814" s="2">
        <v>10809</v>
      </c>
      <c r="B10814" s="11" t="str">
        <f>"00529566"</f>
        <v>00529566</v>
      </c>
    </row>
    <row r="10815" spans="1:2" x14ac:dyDescent="0.25">
      <c r="A10815" s="2">
        <v>10810</v>
      </c>
      <c r="B10815" s="11" t="str">
        <f>"00529641"</f>
        <v>00529641</v>
      </c>
    </row>
    <row r="10816" spans="1:2" x14ac:dyDescent="0.25">
      <c r="A10816" s="2">
        <v>10811</v>
      </c>
      <c r="B10816" s="11" t="str">
        <f>"00529674"</f>
        <v>00529674</v>
      </c>
    </row>
    <row r="10817" spans="1:2" x14ac:dyDescent="0.25">
      <c r="A10817" s="2">
        <v>10812</v>
      </c>
      <c r="B10817" s="11" t="str">
        <f>"00529684"</f>
        <v>00529684</v>
      </c>
    </row>
    <row r="10818" spans="1:2" x14ac:dyDescent="0.25">
      <c r="A10818" s="2">
        <v>10813</v>
      </c>
      <c r="B10818" s="11" t="str">
        <f>"00529695"</f>
        <v>00529695</v>
      </c>
    </row>
    <row r="10819" spans="1:2" x14ac:dyDescent="0.25">
      <c r="A10819" s="2">
        <v>10814</v>
      </c>
      <c r="B10819" s="11" t="str">
        <f>"00529711"</f>
        <v>00529711</v>
      </c>
    </row>
    <row r="10820" spans="1:2" x14ac:dyDescent="0.25">
      <c r="A10820" s="2">
        <v>10815</v>
      </c>
      <c r="B10820" s="11" t="str">
        <f>"00529808"</f>
        <v>00529808</v>
      </c>
    </row>
    <row r="10821" spans="1:2" x14ac:dyDescent="0.25">
      <c r="A10821" s="2">
        <v>10816</v>
      </c>
      <c r="B10821" s="11" t="str">
        <f>"00529820"</f>
        <v>00529820</v>
      </c>
    </row>
    <row r="10822" spans="1:2" x14ac:dyDescent="0.25">
      <c r="A10822" s="2">
        <v>10817</v>
      </c>
      <c r="B10822" s="11" t="str">
        <f>"00530265"</f>
        <v>00530265</v>
      </c>
    </row>
    <row r="10823" spans="1:2" x14ac:dyDescent="0.25">
      <c r="A10823" s="2">
        <v>10818</v>
      </c>
      <c r="B10823" s="11" t="str">
        <f>"00530289"</f>
        <v>00530289</v>
      </c>
    </row>
    <row r="10824" spans="1:2" x14ac:dyDescent="0.25">
      <c r="A10824" s="2">
        <v>10819</v>
      </c>
      <c r="B10824" s="11" t="str">
        <f>"00530312"</f>
        <v>00530312</v>
      </c>
    </row>
    <row r="10825" spans="1:2" x14ac:dyDescent="0.25">
      <c r="A10825" s="2">
        <v>10820</v>
      </c>
      <c r="B10825" s="11" t="str">
        <f>"00530370"</f>
        <v>00530370</v>
      </c>
    </row>
    <row r="10826" spans="1:2" x14ac:dyDescent="0.25">
      <c r="A10826" s="2">
        <v>10821</v>
      </c>
      <c r="B10826" s="11" t="str">
        <f>"00530455"</f>
        <v>00530455</v>
      </c>
    </row>
    <row r="10827" spans="1:2" x14ac:dyDescent="0.25">
      <c r="A10827" s="2">
        <v>10822</v>
      </c>
      <c r="B10827" s="11" t="str">
        <f>"00530506"</f>
        <v>00530506</v>
      </c>
    </row>
    <row r="10828" spans="1:2" x14ac:dyDescent="0.25">
      <c r="A10828" s="2">
        <v>10823</v>
      </c>
      <c r="B10828" s="11" t="str">
        <f>"00530724"</f>
        <v>00530724</v>
      </c>
    </row>
    <row r="10829" spans="1:2" x14ac:dyDescent="0.25">
      <c r="A10829" s="2">
        <v>10824</v>
      </c>
      <c r="B10829" s="11" t="str">
        <f>"00530848"</f>
        <v>00530848</v>
      </c>
    </row>
    <row r="10830" spans="1:2" x14ac:dyDescent="0.25">
      <c r="A10830" s="2">
        <v>10825</v>
      </c>
      <c r="B10830" s="11" t="str">
        <f>"00530949"</f>
        <v>00530949</v>
      </c>
    </row>
    <row r="10831" spans="1:2" x14ac:dyDescent="0.25">
      <c r="A10831" s="2">
        <v>10826</v>
      </c>
      <c r="B10831" s="11" t="str">
        <f>"00531011"</f>
        <v>00531011</v>
      </c>
    </row>
    <row r="10832" spans="1:2" x14ac:dyDescent="0.25">
      <c r="A10832" s="2">
        <v>10827</v>
      </c>
      <c r="B10832" s="11" t="str">
        <f>"00531050"</f>
        <v>00531050</v>
      </c>
    </row>
    <row r="10833" spans="1:2" x14ac:dyDescent="0.25">
      <c r="A10833" s="2">
        <v>10828</v>
      </c>
      <c r="B10833" s="11" t="str">
        <f>"00531058"</f>
        <v>00531058</v>
      </c>
    </row>
    <row r="10834" spans="1:2" x14ac:dyDescent="0.25">
      <c r="A10834" s="2">
        <v>10829</v>
      </c>
      <c r="B10834" s="11" t="str">
        <f>"00531096"</f>
        <v>00531096</v>
      </c>
    </row>
    <row r="10835" spans="1:2" x14ac:dyDescent="0.25">
      <c r="A10835" s="2">
        <v>10830</v>
      </c>
      <c r="B10835" s="11" t="str">
        <f>"00531098"</f>
        <v>00531098</v>
      </c>
    </row>
    <row r="10836" spans="1:2" x14ac:dyDescent="0.25">
      <c r="A10836" s="2">
        <v>10831</v>
      </c>
      <c r="B10836" s="11" t="str">
        <f>"00531099"</f>
        <v>00531099</v>
      </c>
    </row>
    <row r="10837" spans="1:2" x14ac:dyDescent="0.25">
      <c r="A10837" s="2">
        <v>10832</v>
      </c>
      <c r="B10837" s="11" t="str">
        <f>"00531209"</f>
        <v>00531209</v>
      </c>
    </row>
    <row r="10838" spans="1:2" x14ac:dyDescent="0.25">
      <c r="A10838" s="2">
        <v>10833</v>
      </c>
      <c r="B10838" s="11" t="str">
        <f>"00531258"</f>
        <v>00531258</v>
      </c>
    </row>
    <row r="10839" spans="1:2" x14ac:dyDescent="0.25">
      <c r="A10839" s="2">
        <v>10834</v>
      </c>
      <c r="B10839" s="11" t="str">
        <f>"00531317"</f>
        <v>00531317</v>
      </c>
    </row>
    <row r="10840" spans="1:2" x14ac:dyDescent="0.25">
      <c r="A10840" s="2">
        <v>10835</v>
      </c>
      <c r="B10840" s="11" t="str">
        <f>"00531319"</f>
        <v>00531319</v>
      </c>
    </row>
    <row r="10841" spans="1:2" x14ac:dyDescent="0.25">
      <c r="A10841" s="2">
        <v>10836</v>
      </c>
      <c r="B10841" s="11" t="str">
        <f>"00531398"</f>
        <v>00531398</v>
      </c>
    </row>
    <row r="10842" spans="1:2" x14ac:dyDescent="0.25">
      <c r="A10842" s="2">
        <v>10837</v>
      </c>
      <c r="B10842" s="11" t="str">
        <f>"00531433"</f>
        <v>00531433</v>
      </c>
    </row>
    <row r="10843" spans="1:2" x14ac:dyDescent="0.25">
      <c r="A10843" s="2">
        <v>10838</v>
      </c>
      <c r="B10843" s="11" t="str">
        <f>"00531693"</f>
        <v>00531693</v>
      </c>
    </row>
    <row r="10844" spans="1:2" x14ac:dyDescent="0.25">
      <c r="A10844" s="2">
        <v>10839</v>
      </c>
      <c r="B10844" s="11" t="str">
        <f>"00531745"</f>
        <v>00531745</v>
      </c>
    </row>
    <row r="10845" spans="1:2" x14ac:dyDescent="0.25">
      <c r="A10845" s="2">
        <v>10840</v>
      </c>
      <c r="B10845" s="11" t="str">
        <f>"00531760"</f>
        <v>00531760</v>
      </c>
    </row>
    <row r="10846" spans="1:2" x14ac:dyDescent="0.25">
      <c r="A10846" s="2">
        <v>10841</v>
      </c>
      <c r="B10846" s="11" t="str">
        <f>"00531832"</f>
        <v>00531832</v>
      </c>
    </row>
    <row r="10847" spans="1:2" x14ac:dyDescent="0.25">
      <c r="A10847" s="2">
        <v>10842</v>
      </c>
      <c r="B10847" s="11" t="str">
        <f>"00531934"</f>
        <v>00531934</v>
      </c>
    </row>
    <row r="10848" spans="1:2" x14ac:dyDescent="0.25">
      <c r="A10848" s="2">
        <v>10843</v>
      </c>
      <c r="B10848" s="11" t="str">
        <f>"00531966"</f>
        <v>00531966</v>
      </c>
    </row>
    <row r="10849" spans="1:2" x14ac:dyDescent="0.25">
      <c r="A10849" s="2">
        <v>10844</v>
      </c>
      <c r="B10849" s="11" t="str">
        <f>"00531998"</f>
        <v>00531998</v>
      </c>
    </row>
    <row r="10850" spans="1:2" x14ac:dyDescent="0.25">
      <c r="A10850" s="2">
        <v>10845</v>
      </c>
      <c r="B10850" s="11" t="str">
        <f>"00532064"</f>
        <v>00532064</v>
      </c>
    </row>
    <row r="10851" spans="1:2" x14ac:dyDescent="0.25">
      <c r="A10851" s="2">
        <v>10846</v>
      </c>
      <c r="B10851" s="11" t="str">
        <f>"00532159"</f>
        <v>00532159</v>
      </c>
    </row>
    <row r="10852" spans="1:2" x14ac:dyDescent="0.25">
      <c r="A10852" s="2">
        <v>10847</v>
      </c>
      <c r="B10852" s="11" t="str">
        <f>"00532248"</f>
        <v>00532248</v>
      </c>
    </row>
    <row r="10853" spans="1:2" x14ac:dyDescent="0.25">
      <c r="A10853" s="2">
        <v>10848</v>
      </c>
      <c r="B10853" s="11" t="str">
        <f>"00532394"</f>
        <v>00532394</v>
      </c>
    </row>
    <row r="10854" spans="1:2" x14ac:dyDescent="0.25">
      <c r="A10854" s="2">
        <v>10849</v>
      </c>
      <c r="B10854" s="11" t="str">
        <f>"00532461"</f>
        <v>00532461</v>
      </c>
    </row>
    <row r="10855" spans="1:2" x14ac:dyDescent="0.25">
      <c r="A10855" s="2">
        <v>10850</v>
      </c>
      <c r="B10855" s="11" t="str">
        <f>"00532541"</f>
        <v>00532541</v>
      </c>
    </row>
    <row r="10856" spans="1:2" x14ac:dyDescent="0.25">
      <c r="A10856" s="2">
        <v>10851</v>
      </c>
      <c r="B10856" s="11" t="str">
        <f>"00532557"</f>
        <v>00532557</v>
      </c>
    </row>
    <row r="10857" spans="1:2" x14ac:dyDescent="0.25">
      <c r="A10857" s="2">
        <v>10852</v>
      </c>
      <c r="B10857" s="11" t="str">
        <f>"00532562"</f>
        <v>00532562</v>
      </c>
    </row>
    <row r="10858" spans="1:2" x14ac:dyDescent="0.25">
      <c r="A10858" s="2">
        <v>10853</v>
      </c>
      <c r="B10858" s="11" t="str">
        <f>"00532569"</f>
        <v>00532569</v>
      </c>
    </row>
    <row r="10859" spans="1:2" x14ac:dyDescent="0.25">
      <c r="A10859" s="2">
        <v>10854</v>
      </c>
      <c r="B10859" s="11" t="str">
        <f>"00532647"</f>
        <v>00532647</v>
      </c>
    </row>
    <row r="10860" spans="1:2" x14ac:dyDescent="0.25">
      <c r="A10860" s="2">
        <v>10855</v>
      </c>
      <c r="B10860" s="11" t="str">
        <f>"00532665"</f>
        <v>00532665</v>
      </c>
    </row>
    <row r="10861" spans="1:2" x14ac:dyDescent="0.25">
      <c r="A10861" s="2">
        <v>10856</v>
      </c>
      <c r="B10861" s="11" t="str">
        <f>"00532706"</f>
        <v>00532706</v>
      </c>
    </row>
    <row r="10862" spans="1:2" x14ac:dyDescent="0.25">
      <c r="A10862" s="2">
        <v>10857</v>
      </c>
      <c r="B10862" s="11" t="str">
        <f>"00532729"</f>
        <v>00532729</v>
      </c>
    </row>
    <row r="10863" spans="1:2" x14ac:dyDescent="0.25">
      <c r="A10863" s="2">
        <v>10858</v>
      </c>
      <c r="B10863" s="11" t="str">
        <f>"00532746"</f>
        <v>00532746</v>
      </c>
    </row>
    <row r="10864" spans="1:2" x14ac:dyDescent="0.25">
      <c r="A10864" s="2">
        <v>10859</v>
      </c>
      <c r="B10864" s="11" t="str">
        <f>"00532770"</f>
        <v>00532770</v>
      </c>
    </row>
    <row r="10865" spans="1:2" x14ac:dyDescent="0.25">
      <c r="A10865" s="2">
        <v>10860</v>
      </c>
      <c r="B10865" s="11" t="str">
        <f>"00532800"</f>
        <v>00532800</v>
      </c>
    </row>
    <row r="10866" spans="1:2" x14ac:dyDescent="0.25">
      <c r="A10866" s="2">
        <v>10861</v>
      </c>
      <c r="B10866" s="11" t="str">
        <f>"00532815"</f>
        <v>00532815</v>
      </c>
    </row>
    <row r="10867" spans="1:2" x14ac:dyDescent="0.25">
      <c r="A10867" s="2">
        <v>10862</v>
      </c>
      <c r="B10867" s="11" t="str">
        <f>"00532831"</f>
        <v>00532831</v>
      </c>
    </row>
    <row r="10868" spans="1:2" x14ac:dyDescent="0.25">
      <c r="A10868" s="2">
        <v>10863</v>
      </c>
      <c r="B10868" s="11" t="str">
        <f>"00532919"</f>
        <v>00532919</v>
      </c>
    </row>
    <row r="10869" spans="1:2" x14ac:dyDescent="0.25">
      <c r="A10869" s="2">
        <v>10864</v>
      </c>
      <c r="B10869" s="11" t="str">
        <f>"00532988"</f>
        <v>00532988</v>
      </c>
    </row>
    <row r="10870" spans="1:2" x14ac:dyDescent="0.25">
      <c r="A10870" s="2">
        <v>10865</v>
      </c>
      <c r="B10870" s="11" t="str">
        <f>"00533002"</f>
        <v>00533002</v>
      </c>
    </row>
    <row r="10871" spans="1:2" x14ac:dyDescent="0.25">
      <c r="A10871" s="2">
        <v>10866</v>
      </c>
      <c r="B10871" s="11" t="str">
        <f>"00533066"</f>
        <v>00533066</v>
      </c>
    </row>
    <row r="10872" spans="1:2" x14ac:dyDescent="0.25">
      <c r="A10872" s="2">
        <v>10867</v>
      </c>
      <c r="B10872" s="11" t="str">
        <f>"00533129"</f>
        <v>00533129</v>
      </c>
    </row>
    <row r="10873" spans="1:2" x14ac:dyDescent="0.25">
      <c r="A10873" s="2">
        <v>10868</v>
      </c>
      <c r="B10873" s="11" t="str">
        <f>"00533245"</f>
        <v>00533245</v>
      </c>
    </row>
    <row r="10874" spans="1:2" x14ac:dyDescent="0.25">
      <c r="A10874" s="2">
        <v>10869</v>
      </c>
      <c r="B10874" s="11" t="str">
        <f>"00533335"</f>
        <v>00533335</v>
      </c>
    </row>
    <row r="10875" spans="1:2" x14ac:dyDescent="0.25">
      <c r="A10875" s="2">
        <v>10870</v>
      </c>
      <c r="B10875" s="11" t="str">
        <f>"00533369"</f>
        <v>00533369</v>
      </c>
    </row>
    <row r="10876" spans="1:2" x14ac:dyDescent="0.25">
      <c r="A10876" s="2">
        <v>10871</v>
      </c>
      <c r="B10876" s="11" t="str">
        <f>"00533376"</f>
        <v>00533376</v>
      </c>
    </row>
    <row r="10877" spans="1:2" x14ac:dyDescent="0.25">
      <c r="A10877" s="2">
        <v>10872</v>
      </c>
      <c r="B10877" s="11" t="str">
        <f>"00533458"</f>
        <v>00533458</v>
      </c>
    </row>
    <row r="10878" spans="1:2" x14ac:dyDescent="0.25">
      <c r="A10878" s="2">
        <v>10873</v>
      </c>
      <c r="B10878" s="11" t="str">
        <f>"00533472"</f>
        <v>00533472</v>
      </c>
    </row>
    <row r="10879" spans="1:2" x14ac:dyDescent="0.25">
      <c r="A10879" s="2">
        <v>10874</v>
      </c>
      <c r="B10879" s="11" t="str">
        <f>"00533499"</f>
        <v>00533499</v>
      </c>
    </row>
    <row r="10880" spans="1:2" x14ac:dyDescent="0.25">
      <c r="A10880" s="2">
        <v>10875</v>
      </c>
      <c r="B10880" s="11" t="str">
        <f>"00533667"</f>
        <v>00533667</v>
      </c>
    </row>
    <row r="10881" spans="1:2" x14ac:dyDescent="0.25">
      <c r="A10881" s="2">
        <v>10876</v>
      </c>
      <c r="B10881" s="11" t="str">
        <f>"00533687"</f>
        <v>00533687</v>
      </c>
    </row>
    <row r="10882" spans="1:2" x14ac:dyDescent="0.25">
      <c r="A10882" s="2">
        <v>10877</v>
      </c>
      <c r="B10882" s="11" t="str">
        <f>"00533725"</f>
        <v>00533725</v>
      </c>
    </row>
    <row r="10883" spans="1:2" x14ac:dyDescent="0.25">
      <c r="A10883" s="2">
        <v>10878</v>
      </c>
      <c r="B10883" s="11" t="str">
        <f>"00533747"</f>
        <v>00533747</v>
      </c>
    </row>
    <row r="10884" spans="1:2" x14ac:dyDescent="0.25">
      <c r="A10884" s="2">
        <v>10879</v>
      </c>
      <c r="B10884" s="11" t="str">
        <f>"00533770"</f>
        <v>00533770</v>
      </c>
    </row>
    <row r="10885" spans="1:2" x14ac:dyDescent="0.25">
      <c r="A10885" s="2">
        <v>10880</v>
      </c>
      <c r="B10885" s="11" t="str">
        <f>"00533979"</f>
        <v>00533979</v>
      </c>
    </row>
    <row r="10886" spans="1:2" x14ac:dyDescent="0.25">
      <c r="A10886" s="2">
        <v>10881</v>
      </c>
      <c r="B10886" s="11" t="str">
        <f>"00534164"</f>
        <v>00534164</v>
      </c>
    </row>
    <row r="10887" spans="1:2" x14ac:dyDescent="0.25">
      <c r="A10887" s="2">
        <v>10882</v>
      </c>
      <c r="B10887" s="11" t="str">
        <f>"00534167"</f>
        <v>00534167</v>
      </c>
    </row>
    <row r="10888" spans="1:2" x14ac:dyDescent="0.25">
      <c r="A10888" s="2">
        <v>10883</v>
      </c>
      <c r="B10888" s="11" t="str">
        <f>"00534225"</f>
        <v>00534225</v>
      </c>
    </row>
    <row r="10889" spans="1:2" x14ac:dyDescent="0.25">
      <c r="A10889" s="2">
        <v>10884</v>
      </c>
      <c r="B10889" s="11" t="str">
        <f>"00534331"</f>
        <v>00534331</v>
      </c>
    </row>
    <row r="10890" spans="1:2" x14ac:dyDescent="0.25">
      <c r="A10890" s="2">
        <v>10885</v>
      </c>
      <c r="B10890" s="11" t="str">
        <f>"00534345"</f>
        <v>00534345</v>
      </c>
    </row>
    <row r="10891" spans="1:2" x14ac:dyDescent="0.25">
      <c r="A10891" s="2">
        <v>10886</v>
      </c>
      <c r="B10891" s="11" t="str">
        <f>"00534400"</f>
        <v>00534400</v>
      </c>
    </row>
    <row r="10892" spans="1:2" x14ac:dyDescent="0.25">
      <c r="A10892" s="2">
        <v>10887</v>
      </c>
      <c r="B10892" s="11" t="str">
        <f>"00534426"</f>
        <v>00534426</v>
      </c>
    </row>
    <row r="10893" spans="1:2" x14ac:dyDescent="0.25">
      <c r="A10893" s="2">
        <v>10888</v>
      </c>
      <c r="B10893" s="11" t="str">
        <f>"00534460"</f>
        <v>00534460</v>
      </c>
    </row>
    <row r="10894" spans="1:2" x14ac:dyDescent="0.25">
      <c r="A10894" s="2">
        <v>10889</v>
      </c>
      <c r="B10894" s="11" t="str">
        <f>"00534471"</f>
        <v>00534471</v>
      </c>
    </row>
    <row r="10895" spans="1:2" x14ac:dyDescent="0.25">
      <c r="A10895" s="2">
        <v>10890</v>
      </c>
      <c r="B10895" s="11" t="str">
        <f>"00534483"</f>
        <v>00534483</v>
      </c>
    </row>
    <row r="10896" spans="1:2" x14ac:dyDescent="0.25">
      <c r="A10896" s="2">
        <v>10891</v>
      </c>
      <c r="B10896" s="11" t="str">
        <f>"00534494"</f>
        <v>00534494</v>
      </c>
    </row>
    <row r="10897" spans="1:2" x14ac:dyDescent="0.25">
      <c r="A10897" s="2">
        <v>10892</v>
      </c>
      <c r="B10897" s="11" t="str">
        <f>"00534516"</f>
        <v>00534516</v>
      </c>
    </row>
    <row r="10898" spans="1:2" x14ac:dyDescent="0.25">
      <c r="A10898" s="2">
        <v>10893</v>
      </c>
      <c r="B10898" s="11" t="str">
        <f>"00534551"</f>
        <v>00534551</v>
      </c>
    </row>
    <row r="10899" spans="1:2" x14ac:dyDescent="0.25">
      <c r="A10899" s="2">
        <v>10894</v>
      </c>
      <c r="B10899" s="11" t="str">
        <f>"00534596"</f>
        <v>00534596</v>
      </c>
    </row>
    <row r="10900" spans="1:2" x14ac:dyDescent="0.25">
      <c r="A10900" s="2">
        <v>10895</v>
      </c>
      <c r="B10900" s="11" t="str">
        <f>"00534601"</f>
        <v>00534601</v>
      </c>
    </row>
    <row r="10901" spans="1:2" x14ac:dyDescent="0.25">
      <c r="A10901" s="2">
        <v>10896</v>
      </c>
      <c r="B10901" s="11" t="str">
        <f>"00534678"</f>
        <v>00534678</v>
      </c>
    </row>
    <row r="10902" spans="1:2" x14ac:dyDescent="0.25">
      <c r="A10902" s="2">
        <v>10897</v>
      </c>
      <c r="B10902" s="11" t="str">
        <f>"00534803"</f>
        <v>00534803</v>
      </c>
    </row>
    <row r="10903" spans="1:2" x14ac:dyDescent="0.25">
      <c r="A10903" s="2">
        <v>10898</v>
      </c>
      <c r="B10903" s="11" t="str">
        <f>"00534871"</f>
        <v>00534871</v>
      </c>
    </row>
    <row r="10904" spans="1:2" x14ac:dyDescent="0.25">
      <c r="A10904" s="2">
        <v>10899</v>
      </c>
      <c r="B10904" s="11" t="str">
        <f>"00534876"</f>
        <v>00534876</v>
      </c>
    </row>
    <row r="10905" spans="1:2" x14ac:dyDescent="0.25">
      <c r="A10905" s="2">
        <v>10900</v>
      </c>
      <c r="B10905" s="11" t="str">
        <f>"00534905"</f>
        <v>00534905</v>
      </c>
    </row>
    <row r="10906" spans="1:2" x14ac:dyDescent="0.25">
      <c r="A10906" s="2">
        <v>10901</v>
      </c>
      <c r="B10906" s="11" t="str">
        <f>"00534947"</f>
        <v>00534947</v>
      </c>
    </row>
    <row r="10907" spans="1:2" x14ac:dyDescent="0.25">
      <c r="A10907" s="2">
        <v>10902</v>
      </c>
      <c r="B10907" s="11" t="str">
        <f>"00534962"</f>
        <v>00534962</v>
      </c>
    </row>
    <row r="10908" spans="1:2" x14ac:dyDescent="0.25">
      <c r="A10908" s="2">
        <v>10903</v>
      </c>
      <c r="B10908" s="11" t="str">
        <f>"00534996"</f>
        <v>00534996</v>
      </c>
    </row>
    <row r="10909" spans="1:2" x14ac:dyDescent="0.25">
      <c r="A10909" s="2">
        <v>10904</v>
      </c>
      <c r="B10909" s="11" t="str">
        <f>"00535014"</f>
        <v>00535014</v>
      </c>
    </row>
    <row r="10910" spans="1:2" x14ac:dyDescent="0.25">
      <c r="A10910" s="2">
        <v>10905</v>
      </c>
      <c r="B10910" s="11" t="str">
        <f>"00535022"</f>
        <v>00535022</v>
      </c>
    </row>
    <row r="10911" spans="1:2" x14ac:dyDescent="0.25">
      <c r="A10911" s="2">
        <v>10906</v>
      </c>
      <c r="B10911" s="11" t="str">
        <f>"00535039"</f>
        <v>00535039</v>
      </c>
    </row>
    <row r="10912" spans="1:2" x14ac:dyDescent="0.25">
      <c r="A10912" s="2">
        <v>10907</v>
      </c>
      <c r="B10912" s="11" t="str">
        <f>"00535126"</f>
        <v>00535126</v>
      </c>
    </row>
    <row r="10913" spans="1:2" x14ac:dyDescent="0.25">
      <c r="A10913" s="2">
        <v>10908</v>
      </c>
      <c r="B10913" s="11" t="str">
        <f>"00535132"</f>
        <v>00535132</v>
      </c>
    </row>
    <row r="10914" spans="1:2" x14ac:dyDescent="0.25">
      <c r="A10914" s="2">
        <v>10909</v>
      </c>
      <c r="B10914" s="11" t="str">
        <f>"00535161"</f>
        <v>00535161</v>
      </c>
    </row>
    <row r="10915" spans="1:2" x14ac:dyDescent="0.25">
      <c r="A10915" s="2">
        <v>10910</v>
      </c>
      <c r="B10915" s="11" t="str">
        <f>"00535174"</f>
        <v>00535174</v>
      </c>
    </row>
    <row r="10916" spans="1:2" x14ac:dyDescent="0.25">
      <c r="A10916" s="2">
        <v>10911</v>
      </c>
      <c r="B10916" s="11" t="str">
        <f>"00535200"</f>
        <v>00535200</v>
      </c>
    </row>
    <row r="10917" spans="1:2" x14ac:dyDescent="0.25">
      <c r="A10917" s="2">
        <v>10912</v>
      </c>
      <c r="B10917" s="11" t="str">
        <f>"00535359"</f>
        <v>00535359</v>
      </c>
    </row>
    <row r="10918" spans="1:2" x14ac:dyDescent="0.25">
      <c r="A10918" s="2">
        <v>10913</v>
      </c>
      <c r="B10918" s="11" t="str">
        <f>"00535408"</f>
        <v>00535408</v>
      </c>
    </row>
    <row r="10919" spans="1:2" x14ac:dyDescent="0.25">
      <c r="A10919" s="2">
        <v>10914</v>
      </c>
      <c r="B10919" s="11" t="str">
        <f>"00535558"</f>
        <v>00535558</v>
      </c>
    </row>
    <row r="10920" spans="1:2" x14ac:dyDescent="0.25">
      <c r="A10920" s="2">
        <v>10915</v>
      </c>
      <c r="B10920" s="11" t="str">
        <f>"00535592"</f>
        <v>00535592</v>
      </c>
    </row>
    <row r="10921" spans="1:2" x14ac:dyDescent="0.25">
      <c r="A10921" s="2">
        <v>10916</v>
      </c>
      <c r="B10921" s="11" t="str">
        <f>"00535625"</f>
        <v>00535625</v>
      </c>
    </row>
    <row r="10922" spans="1:2" x14ac:dyDescent="0.25">
      <c r="A10922" s="2">
        <v>10917</v>
      </c>
      <c r="B10922" s="11" t="str">
        <f>"00535627"</f>
        <v>00535627</v>
      </c>
    </row>
    <row r="10923" spans="1:2" x14ac:dyDescent="0.25">
      <c r="A10923" s="2">
        <v>10918</v>
      </c>
      <c r="B10923" s="11" t="str">
        <f>"00535628"</f>
        <v>00535628</v>
      </c>
    </row>
    <row r="10924" spans="1:2" x14ac:dyDescent="0.25">
      <c r="A10924" s="2">
        <v>10919</v>
      </c>
      <c r="B10924" s="11" t="str">
        <f>"00535636"</f>
        <v>00535636</v>
      </c>
    </row>
    <row r="10925" spans="1:2" x14ac:dyDescent="0.25">
      <c r="A10925" s="2">
        <v>10920</v>
      </c>
      <c r="B10925" s="11" t="str">
        <f>"00535963"</f>
        <v>00535963</v>
      </c>
    </row>
    <row r="10926" spans="1:2" x14ac:dyDescent="0.25">
      <c r="A10926" s="2">
        <v>10921</v>
      </c>
      <c r="B10926" s="11" t="str">
        <f>"00536036"</f>
        <v>00536036</v>
      </c>
    </row>
    <row r="10927" spans="1:2" x14ac:dyDescent="0.25">
      <c r="A10927" s="2">
        <v>10922</v>
      </c>
      <c r="B10927" s="11" t="str">
        <f>"00536043"</f>
        <v>00536043</v>
      </c>
    </row>
    <row r="10928" spans="1:2" x14ac:dyDescent="0.25">
      <c r="A10928" s="2">
        <v>10923</v>
      </c>
      <c r="B10928" s="11" t="str">
        <f>"00536049"</f>
        <v>00536049</v>
      </c>
    </row>
    <row r="10929" spans="1:2" x14ac:dyDescent="0.25">
      <c r="A10929" s="2">
        <v>10924</v>
      </c>
      <c r="B10929" s="11" t="str">
        <f>"00536087"</f>
        <v>00536087</v>
      </c>
    </row>
    <row r="10930" spans="1:2" x14ac:dyDescent="0.25">
      <c r="A10930" s="2">
        <v>10925</v>
      </c>
      <c r="B10930" s="11" t="str">
        <f>"00536109"</f>
        <v>00536109</v>
      </c>
    </row>
    <row r="10931" spans="1:2" x14ac:dyDescent="0.25">
      <c r="A10931" s="2">
        <v>10926</v>
      </c>
      <c r="B10931" s="11" t="str">
        <f>"00536173"</f>
        <v>00536173</v>
      </c>
    </row>
    <row r="10932" spans="1:2" x14ac:dyDescent="0.25">
      <c r="A10932" s="2">
        <v>10927</v>
      </c>
      <c r="B10932" s="11" t="str">
        <f>"00536220"</f>
        <v>00536220</v>
      </c>
    </row>
    <row r="10933" spans="1:2" x14ac:dyDescent="0.25">
      <c r="A10933" s="2">
        <v>10928</v>
      </c>
      <c r="B10933" s="11" t="str">
        <f>"00536222"</f>
        <v>00536222</v>
      </c>
    </row>
    <row r="10934" spans="1:2" x14ac:dyDescent="0.25">
      <c r="A10934" s="2">
        <v>10929</v>
      </c>
      <c r="B10934" s="11" t="str">
        <f>"00536256"</f>
        <v>00536256</v>
      </c>
    </row>
    <row r="10935" spans="1:2" x14ac:dyDescent="0.25">
      <c r="A10935" s="2">
        <v>10930</v>
      </c>
      <c r="B10935" s="11" t="str">
        <f>"00536259"</f>
        <v>00536259</v>
      </c>
    </row>
    <row r="10936" spans="1:2" x14ac:dyDescent="0.25">
      <c r="A10936" s="2">
        <v>10931</v>
      </c>
      <c r="B10936" s="11" t="str">
        <f>"00536363"</f>
        <v>00536363</v>
      </c>
    </row>
    <row r="10937" spans="1:2" x14ac:dyDescent="0.25">
      <c r="A10937" s="2">
        <v>10932</v>
      </c>
      <c r="B10937" s="11" t="str">
        <f>"00536364"</f>
        <v>00536364</v>
      </c>
    </row>
    <row r="10938" spans="1:2" x14ac:dyDescent="0.25">
      <c r="A10938" s="2">
        <v>10933</v>
      </c>
      <c r="B10938" s="11" t="str">
        <f>"00536392"</f>
        <v>00536392</v>
      </c>
    </row>
    <row r="10939" spans="1:2" x14ac:dyDescent="0.25">
      <c r="A10939" s="2">
        <v>10934</v>
      </c>
      <c r="B10939" s="11" t="str">
        <f>"00536428"</f>
        <v>00536428</v>
      </c>
    </row>
    <row r="10940" spans="1:2" x14ac:dyDescent="0.25">
      <c r="A10940" s="2">
        <v>10935</v>
      </c>
      <c r="B10940" s="11" t="str">
        <f>"00536462"</f>
        <v>00536462</v>
      </c>
    </row>
    <row r="10941" spans="1:2" x14ac:dyDescent="0.25">
      <c r="A10941" s="2">
        <v>10936</v>
      </c>
      <c r="B10941" s="11" t="str">
        <f>"00536487"</f>
        <v>00536487</v>
      </c>
    </row>
    <row r="10942" spans="1:2" x14ac:dyDescent="0.25">
      <c r="A10942" s="2">
        <v>10937</v>
      </c>
      <c r="B10942" s="11" t="str">
        <f>"00536818"</f>
        <v>00536818</v>
      </c>
    </row>
    <row r="10943" spans="1:2" x14ac:dyDescent="0.25">
      <c r="A10943" s="2">
        <v>10938</v>
      </c>
      <c r="B10943" s="11" t="str">
        <f>"00536893"</f>
        <v>00536893</v>
      </c>
    </row>
    <row r="10944" spans="1:2" x14ac:dyDescent="0.25">
      <c r="A10944" s="2">
        <v>10939</v>
      </c>
      <c r="B10944" s="11" t="str">
        <f>"00536912"</f>
        <v>00536912</v>
      </c>
    </row>
    <row r="10945" spans="1:2" x14ac:dyDescent="0.25">
      <c r="A10945" s="2">
        <v>10940</v>
      </c>
      <c r="B10945" s="11" t="str">
        <f>"00536918"</f>
        <v>00536918</v>
      </c>
    </row>
    <row r="10946" spans="1:2" x14ac:dyDescent="0.25">
      <c r="A10946" s="2">
        <v>10941</v>
      </c>
      <c r="B10946" s="11" t="str">
        <f>"00537088"</f>
        <v>00537088</v>
      </c>
    </row>
    <row r="10947" spans="1:2" x14ac:dyDescent="0.25">
      <c r="A10947" s="2">
        <v>10942</v>
      </c>
      <c r="B10947" s="11" t="str">
        <f>"00537173"</f>
        <v>00537173</v>
      </c>
    </row>
    <row r="10948" spans="1:2" x14ac:dyDescent="0.25">
      <c r="A10948" s="2">
        <v>10943</v>
      </c>
      <c r="B10948" s="11" t="str">
        <f>"00537193"</f>
        <v>00537193</v>
      </c>
    </row>
    <row r="10949" spans="1:2" x14ac:dyDescent="0.25">
      <c r="A10949" s="2">
        <v>10944</v>
      </c>
      <c r="B10949" s="11" t="str">
        <f>"00537243"</f>
        <v>00537243</v>
      </c>
    </row>
    <row r="10950" spans="1:2" x14ac:dyDescent="0.25">
      <c r="A10950" s="2">
        <v>10945</v>
      </c>
      <c r="B10950" s="11" t="str">
        <f>"00537248"</f>
        <v>00537248</v>
      </c>
    </row>
    <row r="10951" spans="1:2" x14ac:dyDescent="0.25">
      <c r="A10951" s="2">
        <v>10946</v>
      </c>
      <c r="B10951" s="11" t="str">
        <f>"00537288"</f>
        <v>00537288</v>
      </c>
    </row>
    <row r="10952" spans="1:2" x14ac:dyDescent="0.25">
      <c r="A10952" s="2">
        <v>10947</v>
      </c>
      <c r="B10952" s="11" t="str">
        <f>"00537355"</f>
        <v>00537355</v>
      </c>
    </row>
    <row r="10953" spans="1:2" x14ac:dyDescent="0.25">
      <c r="A10953" s="2">
        <v>10948</v>
      </c>
      <c r="B10953" s="11" t="str">
        <f>"00537404"</f>
        <v>00537404</v>
      </c>
    </row>
    <row r="10954" spans="1:2" x14ac:dyDescent="0.25">
      <c r="A10954" s="2">
        <v>10949</v>
      </c>
      <c r="B10954" s="11" t="str">
        <f>"00537424"</f>
        <v>00537424</v>
      </c>
    </row>
    <row r="10955" spans="1:2" x14ac:dyDescent="0.25">
      <c r="A10955" s="2">
        <v>10950</v>
      </c>
      <c r="B10955" s="11" t="str">
        <f>"00537467"</f>
        <v>00537467</v>
      </c>
    </row>
    <row r="10956" spans="1:2" x14ac:dyDescent="0.25">
      <c r="A10956" s="2">
        <v>10951</v>
      </c>
      <c r="B10956" s="11" t="str">
        <f>"00537517"</f>
        <v>00537517</v>
      </c>
    </row>
    <row r="10957" spans="1:2" x14ac:dyDescent="0.25">
      <c r="A10957" s="2">
        <v>10952</v>
      </c>
      <c r="B10957" s="11" t="str">
        <f>"00537546"</f>
        <v>00537546</v>
      </c>
    </row>
    <row r="10958" spans="1:2" x14ac:dyDescent="0.25">
      <c r="A10958" s="2">
        <v>10953</v>
      </c>
      <c r="B10958" s="11" t="str">
        <f>"00537550"</f>
        <v>00537550</v>
      </c>
    </row>
    <row r="10959" spans="1:2" x14ac:dyDescent="0.25">
      <c r="A10959" s="2">
        <v>10954</v>
      </c>
      <c r="B10959" s="11" t="str">
        <f>"00537663"</f>
        <v>00537663</v>
      </c>
    </row>
    <row r="10960" spans="1:2" x14ac:dyDescent="0.25">
      <c r="A10960" s="2">
        <v>10955</v>
      </c>
      <c r="B10960" s="11" t="str">
        <f>"00537709"</f>
        <v>00537709</v>
      </c>
    </row>
    <row r="10961" spans="1:2" x14ac:dyDescent="0.25">
      <c r="A10961" s="2">
        <v>10956</v>
      </c>
      <c r="B10961" s="11" t="str">
        <f>"00537723"</f>
        <v>00537723</v>
      </c>
    </row>
    <row r="10962" spans="1:2" x14ac:dyDescent="0.25">
      <c r="A10962" s="2">
        <v>10957</v>
      </c>
      <c r="B10962" s="11" t="str">
        <f>"00537745"</f>
        <v>00537745</v>
      </c>
    </row>
    <row r="10963" spans="1:2" x14ac:dyDescent="0.25">
      <c r="A10963" s="2">
        <v>10958</v>
      </c>
      <c r="B10963" s="11" t="str">
        <f>"00537837"</f>
        <v>00537837</v>
      </c>
    </row>
    <row r="10964" spans="1:2" x14ac:dyDescent="0.25">
      <c r="A10964" s="2">
        <v>10959</v>
      </c>
      <c r="B10964" s="11" t="str">
        <f>"00537861"</f>
        <v>00537861</v>
      </c>
    </row>
    <row r="10965" spans="1:2" x14ac:dyDescent="0.25">
      <c r="A10965" s="2">
        <v>10960</v>
      </c>
      <c r="B10965" s="11" t="str">
        <f>"00537875"</f>
        <v>00537875</v>
      </c>
    </row>
    <row r="10966" spans="1:2" x14ac:dyDescent="0.25">
      <c r="A10966" s="2">
        <v>10961</v>
      </c>
      <c r="B10966" s="11" t="str">
        <f>"00537883"</f>
        <v>00537883</v>
      </c>
    </row>
    <row r="10967" spans="1:2" x14ac:dyDescent="0.25">
      <c r="A10967" s="2">
        <v>10962</v>
      </c>
      <c r="B10967" s="11" t="str">
        <f>"00537897"</f>
        <v>00537897</v>
      </c>
    </row>
    <row r="10968" spans="1:2" x14ac:dyDescent="0.25">
      <c r="A10968" s="2">
        <v>10963</v>
      </c>
      <c r="B10968" s="11" t="str">
        <f>"00537919"</f>
        <v>00537919</v>
      </c>
    </row>
    <row r="10969" spans="1:2" x14ac:dyDescent="0.25">
      <c r="A10969" s="2">
        <v>10964</v>
      </c>
      <c r="B10969" s="11" t="str">
        <f>"00537930"</f>
        <v>00537930</v>
      </c>
    </row>
    <row r="10970" spans="1:2" x14ac:dyDescent="0.25">
      <c r="A10970" s="2">
        <v>10965</v>
      </c>
      <c r="B10970" s="11" t="str">
        <f>"00537931"</f>
        <v>00537931</v>
      </c>
    </row>
    <row r="10971" spans="1:2" x14ac:dyDescent="0.25">
      <c r="A10971" s="2">
        <v>10966</v>
      </c>
      <c r="B10971" s="11" t="str">
        <f>"00537949"</f>
        <v>00537949</v>
      </c>
    </row>
    <row r="10972" spans="1:2" x14ac:dyDescent="0.25">
      <c r="A10972" s="2">
        <v>10967</v>
      </c>
      <c r="B10972" s="11" t="str">
        <f>"00537954"</f>
        <v>00537954</v>
      </c>
    </row>
    <row r="10973" spans="1:2" x14ac:dyDescent="0.25">
      <c r="A10973" s="2">
        <v>10968</v>
      </c>
      <c r="B10973" s="11" t="str">
        <f>"00537996"</f>
        <v>00537996</v>
      </c>
    </row>
    <row r="10974" spans="1:2" x14ac:dyDescent="0.25">
      <c r="A10974" s="2">
        <v>10969</v>
      </c>
      <c r="B10974" s="11" t="str">
        <f>"00538015"</f>
        <v>00538015</v>
      </c>
    </row>
    <row r="10975" spans="1:2" x14ac:dyDescent="0.25">
      <c r="A10975" s="2">
        <v>10970</v>
      </c>
      <c r="B10975" s="11" t="str">
        <f>"00538021"</f>
        <v>00538021</v>
      </c>
    </row>
    <row r="10976" spans="1:2" x14ac:dyDescent="0.25">
      <c r="A10976" s="2">
        <v>10971</v>
      </c>
      <c r="B10976" s="11" t="str">
        <f>"00538102"</f>
        <v>00538102</v>
      </c>
    </row>
    <row r="10977" spans="1:2" x14ac:dyDescent="0.25">
      <c r="A10977" s="2">
        <v>10972</v>
      </c>
      <c r="B10977" s="11" t="str">
        <f>"00538142"</f>
        <v>00538142</v>
      </c>
    </row>
    <row r="10978" spans="1:2" x14ac:dyDescent="0.25">
      <c r="A10978" s="2">
        <v>10973</v>
      </c>
      <c r="B10978" s="11" t="str">
        <f>"00538146"</f>
        <v>00538146</v>
      </c>
    </row>
    <row r="10979" spans="1:2" x14ac:dyDescent="0.25">
      <c r="A10979" s="2">
        <v>10974</v>
      </c>
      <c r="B10979" s="11" t="str">
        <f>"00538149"</f>
        <v>00538149</v>
      </c>
    </row>
    <row r="10980" spans="1:2" x14ac:dyDescent="0.25">
      <c r="A10980" s="2">
        <v>10975</v>
      </c>
      <c r="B10980" s="11" t="str">
        <f>"00538182"</f>
        <v>00538182</v>
      </c>
    </row>
    <row r="10981" spans="1:2" x14ac:dyDescent="0.25">
      <c r="A10981" s="2">
        <v>10976</v>
      </c>
      <c r="B10981" s="11" t="str">
        <f>"00538185"</f>
        <v>00538185</v>
      </c>
    </row>
    <row r="10982" spans="1:2" x14ac:dyDescent="0.25">
      <c r="A10982" s="2">
        <v>10977</v>
      </c>
      <c r="B10982" s="11" t="str">
        <f>"00538190"</f>
        <v>00538190</v>
      </c>
    </row>
    <row r="10983" spans="1:2" x14ac:dyDescent="0.25">
      <c r="A10983" s="2">
        <v>10978</v>
      </c>
      <c r="B10983" s="11" t="str">
        <f>"00538192"</f>
        <v>00538192</v>
      </c>
    </row>
    <row r="10984" spans="1:2" x14ac:dyDescent="0.25">
      <c r="A10984" s="2">
        <v>10979</v>
      </c>
      <c r="B10984" s="11" t="str">
        <f>"00538202"</f>
        <v>00538202</v>
      </c>
    </row>
    <row r="10985" spans="1:2" x14ac:dyDescent="0.25">
      <c r="A10985" s="2">
        <v>10980</v>
      </c>
      <c r="B10985" s="11" t="str">
        <f>"00538229"</f>
        <v>00538229</v>
      </c>
    </row>
    <row r="10986" spans="1:2" x14ac:dyDescent="0.25">
      <c r="A10986" s="2">
        <v>10981</v>
      </c>
      <c r="B10986" s="11" t="str">
        <f>"00538231"</f>
        <v>00538231</v>
      </c>
    </row>
    <row r="10987" spans="1:2" x14ac:dyDescent="0.25">
      <c r="A10987" s="2">
        <v>10982</v>
      </c>
      <c r="B10987" s="11" t="str">
        <f>"00538286"</f>
        <v>00538286</v>
      </c>
    </row>
    <row r="10988" spans="1:2" x14ac:dyDescent="0.25">
      <c r="A10988" s="2">
        <v>10983</v>
      </c>
      <c r="B10988" s="11" t="str">
        <f>"00538364"</f>
        <v>00538364</v>
      </c>
    </row>
    <row r="10989" spans="1:2" x14ac:dyDescent="0.25">
      <c r="A10989" s="2">
        <v>10984</v>
      </c>
      <c r="B10989" s="11" t="str">
        <f>"00538373"</f>
        <v>00538373</v>
      </c>
    </row>
    <row r="10990" spans="1:2" x14ac:dyDescent="0.25">
      <c r="A10990" s="2">
        <v>10985</v>
      </c>
      <c r="B10990" s="11" t="str">
        <f>"00538384"</f>
        <v>00538384</v>
      </c>
    </row>
    <row r="10991" spans="1:2" x14ac:dyDescent="0.25">
      <c r="A10991" s="2">
        <v>10986</v>
      </c>
      <c r="B10991" s="11" t="str">
        <f>"00538387"</f>
        <v>00538387</v>
      </c>
    </row>
    <row r="10992" spans="1:2" x14ac:dyDescent="0.25">
      <c r="A10992" s="2">
        <v>10987</v>
      </c>
      <c r="B10992" s="11" t="str">
        <f>"00538428"</f>
        <v>00538428</v>
      </c>
    </row>
    <row r="10993" spans="1:2" x14ac:dyDescent="0.25">
      <c r="A10993" s="2">
        <v>10988</v>
      </c>
      <c r="B10993" s="11" t="str">
        <f>"00538430"</f>
        <v>00538430</v>
      </c>
    </row>
    <row r="10994" spans="1:2" x14ac:dyDescent="0.25">
      <c r="A10994" s="2">
        <v>10989</v>
      </c>
      <c r="B10994" s="11" t="str">
        <f>"00538431"</f>
        <v>00538431</v>
      </c>
    </row>
    <row r="10995" spans="1:2" x14ac:dyDescent="0.25">
      <c r="A10995" s="2">
        <v>10990</v>
      </c>
      <c r="B10995" s="11" t="str">
        <f>"00538440"</f>
        <v>00538440</v>
      </c>
    </row>
    <row r="10996" spans="1:2" x14ac:dyDescent="0.25">
      <c r="A10996" s="2">
        <v>10991</v>
      </c>
      <c r="B10996" s="11" t="str">
        <f>"00538450"</f>
        <v>00538450</v>
      </c>
    </row>
    <row r="10997" spans="1:2" x14ac:dyDescent="0.25">
      <c r="A10997" s="2">
        <v>10992</v>
      </c>
      <c r="B10997" s="11" t="str">
        <f>"00538456"</f>
        <v>00538456</v>
      </c>
    </row>
    <row r="10998" spans="1:2" x14ac:dyDescent="0.25">
      <c r="A10998" s="2">
        <v>10993</v>
      </c>
      <c r="B10998" s="11" t="str">
        <f>"00538500"</f>
        <v>00538500</v>
      </c>
    </row>
    <row r="10999" spans="1:2" x14ac:dyDescent="0.25">
      <c r="A10999" s="2">
        <v>10994</v>
      </c>
      <c r="B10999" s="11" t="str">
        <f>"00538529"</f>
        <v>00538529</v>
      </c>
    </row>
    <row r="11000" spans="1:2" x14ac:dyDescent="0.25">
      <c r="A11000" s="2">
        <v>10995</v>
      </c>
      <c r="B11000" s="11" t="str">
        <f>"00538590"</f>
        <v>00538590</v>
      </c>
    </row>
    <row r="11001" spans="1:2" x14ac:dyDescent="0.25">
      <c r="A11001" s="2">
        <v>10996</v>
      </c>
      <c r="B11001" s="11" t="str">
        <f>"00538606"</f>
        <v>00538606</v>
      </c>
    </row>
    <row r="11002" spans="1:2" x14ac:dyDescent="0.25">
      <c r="A11002" s="2">
        <v>10997</v>
      </c>
      <c r="B11002" s="11" t="str">
        <f>"00538619"</f>
        <v>00538619</v>
      </c>
    </row>
    <row r="11003" spans="1:2" x14ac:dyDescent="0.25">
      <c r="A11003" s="2">
        <v>10998</v>
      </c>
      <c r="B11003" s="11" t="str">
        <f>"00538754"</f>
        <v>00538754</v>
      </c>
    </row>
    <row r="11004" spans="1:2" x14ac:dyDescent="0.25">
      <c r="A11004" s="2">
        <v>10999</v>
      </c>
      <c r="B11004" s="11" t="str">
        <f>"00538850"</f>
        <v>00538850</v>
      </c>
    </row>
    <row r="11005" spans="1:2" x14ac:dyDescent="0.25">
      <c r="A11005" s="2">
        <v>11000</v>
      </c>
      <c r="B11005" s="11" t="str">
        <f>"00538873"</f>
        <v>00538873</v>
      </c>
    </row>
    <row r="11006" spans="1:2" x14ac:dyDescent="0.25">
      <c r="A11006" s="2">
        <v>11001</v>
      </c>
      <c r="B11006" s="11" t="str">
        <f>"00538890"</f>
        <v>00538890</v>
      </c>
    </row>
    <row r="11007" spans="1:2" x14ac:dyDescent="0.25">
      <c r="A11007" s="2">
        <v>11002</v>
      </c>
      <c r="B11007" s="11" t="str">
        <f>"00538933"</f>
        <v>00538933</v>
      </c>
    </row>
    <row r="11008" spans="1:2" x14ac:dyDescent="0.25">
      <c r="A11008" s="2">
        <v>11003</v>
      </c>
      <c r="B11008" s="11" t="str">
        <f>"00539031"</f>
        <v>00539031</v>
      </c>
    </row>
    <row r="11009" spans="1:2" x14ac:dyDescent="0.25">
      <c r="A11009" s="2">
        <v>11004</v>
      </c>
      <c r="B11009" s="11" t="str">
        <f>"00539032"</f>
        <v>00539032</v>
      </c>
    </row>
    <row r="11010" spans="1:2" x14ac:dyDescent="0.25">
      <c r="A11010" s="2">
        <v>11005</v>
      </c>
      <c r="B11010" s="11" t="str">
        <f>"00539048"</f>
        <v>00539048</v>
      </c>
    </row>
    <row r="11011" spans="1:2" x14ac:dyDescent="0.25">
      <c r="A11011" s="2">
        <v>11006</v>
      </c>
      <c r="B11011" s="11" t="str">
        <f>"00539064"</f>
        <v>00539064</v>
      </c>
    </row>
    <row r="11012" spans="1:2" x14ac:dyDescent="0.25">
      <c r="A11012" s="2">
        <v>11007</v>
      </c>
      <c r="B11012" s="11" t="str">
        <f>"00539082"</f>
        <v>00539082</v>
      </c>
    </row>
    <row r="11013" spans="1:2" x14ac:dyDescent="0.25">
      <c r="A11013" s="2">
        <v>11008</v>
      </c>
      <c r="B11013" s="11" t="str">
        <f>"00539125"</f>
        <v>00539125</v>
      </c>
    </row>
    <row r="11014" spans="1:2" x14ac:dyDescent="0.25">
      <c r="A11014" s="2">
        <v>11009</v>
      </c>
      <c r="B11014" s="11" t="str">
        <f>"00539159"</f>
        <v>00539159</v>
      </c>
    </row>
    <row r="11015" spans="1:2" x14ac:dyDescent="0.25">
      <c r="A11015" s="2">
        <v>11010</v>
      </c>
      <c r="B11015" s="11" t="str">
        <f>"00539172"</f>
        <v>00539172</v>
      </c>
    </row>
    <row r="11016" spans="1:2" x14ac:dyDescent="0.25">
      <c r="A11016" s="2">
        <v>11011</v>
      </c>
      <c r="B11016" s="11" t="str">
        <f>"00539182"</f>
        <v>00539182</v>
      </c>
    </row>
    <row r="11017" spans="1:2" x14ac:dyDescent="0.25">
      <c r="A11017" s="2">
        <v>11012</v>
      </c>
      <c r="B11017" s="11" t="str">
        <f>"00539200"</f>
        <v>00539200</v>
      </c>
    </row>
    <row r="11018" spans="1:2" x14ac:dyDescent="0.25">
      <c r="A11018" s="2">
        <v>11013</v>
      </c>
      <c r="B11018" s="11" t="str">
        <f>"00539241"</f>
        <v>00539241</v>
      </c>
    </row>
    <row r="11019" spans="1:2" x14ac:dyDescent="0.25">
      <c r="A11019" s="2">
        <v>11014</v>
      </c>
      <c r="B11019" s="11" t="str">
        <f>"00539245"</f>
        <v>00539245</v>
      </c>
    </row>
    <row r="11020" spans="1:2" x14ac:dyDescent="0.25">
      <c r="A11020" s="2">
        <v>11015</v>
      </c>
      <c r="B11020" s="11" t="str">
        <f>"00539338"</f>
        <v>00539338</v>
      </c>
    </row>
    <row r="11021" spans="1:2" x14ac:dyDescent="0.25">
      <c r="A11021" s="2">
        <v>11016</v>
      </c>
      <c r="B11021" s="11" t="str">
        <f>"00539419"</f>
        <v>00539419</v>
      </c>
    </row>
    <row r="11022" spans="1:2" x14ac:dyDescent="0.25">
      <c r="A11022" s="2">
        <v>11017</v>
      </c>
      <c r="B11022" s="11" t="str">
        <f>"00539428"</f>
        <v>00539428</v>
      </c>
    </row>
    <row r="11023" spans="1:2" x14ac:dyDescent="0.25">
      <c r="A11023" s="2">
        <v>11018</v>
      </c>
      <c r="B11023" s="11" t="str">
        <f>"00539435"</f>
        <v>00539435</v>
      </c>
    </row>
    <row r="11024" spans="1:2" x14ac:dyDescent="0.25">
      <c r="A11024" s="2">
        <v>11019</v>
      </c>
      <c r="B11024" s="11" t="str">
        <f>"00539496"</f>
        <v>00539496</v>
      </c>
    </row>
    <row r="11025" spans="1:2" x14ac:dyDescent="0.25">
      <c r="A11025" s="2">
        <v>11020</v>
      </c>
      <c r="B11025" s="11" t="str">
        <f>"00539543"</f>
        <v>00539543</v>
      </c>
    </row>
    <row r="11026" spans="1:2" x14ac:dyDescent="0.25">
      <c r="A11026" s="2">
        <v>11021</v>
      </c>
      <c r="B11026" s="11" t="str">
        <f>"00539618"</f>
        <v>00539618</v>
      </c>
    </row>
    <row r="11027" spans="1:2" x14ac:dyDescent="0.25">
      <c r="A11027" s="2">
        <v>11022</v>
      </c>
      <c r="B11027" s="11" t="str">
        <f>"00539692"</f>
        <v>00539692</v>
      </c>
    </row>
    <row r="11028" spans="1:2" x14ac:dyDescent="0.25">
      <c r="A11028" s="2">
        <v>11023</v>
      </c>
      <c r="B11028" s="11" t="str">
        <f>"00539752"</f>
        <v>00539752</v>
      </c>
    </row>
    <row r="11029" spans="1:2" x14ac:dyDescent="0.25">
      <c r="A11029" s="2">
        <v>11024</v>
      </c>
      <c r="B11029" s="11" t="str">
        <f>"00539782"</f>
        <v>00539782</v>
      </c>
    </row>
    <row r="11030" spans="1:2" x14ac:dyDescent="0.25">
      <c r="A11030" s="2">
        <v>11025</v>
      </c>
      <c r="B11030" s="11" t="str">
        <f>"00539801"</f>
        <v>00539801</v>
      </c>
    </row>
    <row r="11031" spans="1:2" x14ac:dyDescent="0.25">
      <c r="A11031" s="2">
        <v>11026</v>
      </c>
      <c r="B11031" s="11" t="str">
        <f>"00539802"</f>
        <v>00539802</v>
      </c>
    </row>
    <row r="11032" spans="1:2" x14ac:dyDescent="0.25">
      <c r="A11032" s="2">
        <v>11027</v>
      </c>
      <c r="B11032" s="11" t="str">
        <f>"00539808"</f>
        <v>00539808</v>
      </c>
    </row>
    <row r="11033" spans="1:2" x14ac:dyDescent="0.25">
      <c r="A11033" s="2">
        <v>11028</v>
      </c>
      <c r="B11033" s="11" t="str">
        <f>"00539819"</f>
        <v>00539819</v>
      </c>
    </row>
    <row r="11034" spans="1:2" x14ac:dyDescent="0.25">
      <c r="A11034" s="2">
        <v>11029</v>
      </c>
      <c r="B11034" s="11" t="str">
        <f>"00539849"</f>
        <v>00539849</v>
      </c>
    </row>
    <row r="11035" spans="1:2" x14ac:dyDescent="0.25">
      <c r="A11035" s="2">
        <v>11030</v>
      </c>
      <c r="B11035" s="11" t="str">
        <f>"00539855"</f>
        <v>00539855</v>
      </c>
    </row>
    <row r="11036" spans="1:2" x14ac:dyDescent="0.25">
      <c r="A11036" s="2">
        <v>11031</v>
      </c>
      <c r="B11036" s="11" t="str">
        <f>"00539865"</f>
        <v>00539865</v>
      </c>
    </row>
    <row r="11037" spans="1:2" x14ac:dyDescent="0.25">
      <c r="A11037" s="2">
        <v>11032</v>
      </c>
      <c r="B11037" s="11" t="str">
        <f>"00539874"</f>
        <v>00539874</v>
      </c>
    </row>
    <row r="11038" spans="1:2" x14ac:dyDescent="0.25">
      <c r="A11038" s="2">
        <v>11033</v>
      </c>
      <c r="B11038" s="11" t="str">
        <f>"00539908"</f>
        <v>00539908</v>
      </c>
    </row>
    <row r="11039" spans="1:2" x14ac:dyDescent="0.25">
      <c r="A11039" s="2">
        <v>11034</v>
      </c>
      <c r="B11039" s="11" t="str">
        <f>"00539952"</f>
        <v>00539952</v>
      </c>
    </row>
    <row r="11040" spans="1:2" x14ac:dyDescent="0.25">
      <c r="A11040" s="2">
        <v>11035</v>
      </c>
      <c r="B11040" s="11" t="str">
        <f>"00539966"</f>
        <v>00539966</v>
      </c>
    </row>
    <row r="11041" spans="1:2" x14ac:dyDescent="0.25">
      <c r="A11041" s="2">
        <v>11036</v>
      </c>
      <c r="B11041" s="11" t="str">
        <f>"00540024"</f>
        <v>00540024</v>
      </c>
    </row>
    <row r="11042" spans="1:2" x14ac:dyDescent="0.25">
      <c r="A11042" s="2">
        <v>11037</v>
      </c>
      <c r="B11042" s="11" t="str">
        <f>"00540051"</f>
        <v>00540051</v>
      </c>
    </row>
    <row r="11043" spans="1:2" x14ac:dyDescent="0.25">
      <c r="A11043" s="2">
        <v>11038</v>
      </c>
      <c r="B11043" s="11" t="str">
        <f>"00540078"</f>
        <v>00540078</v>
      </c>
    </row>
    <row r="11044" spans="1:2" x14ac:dyDescent="0.25">
      <c r="A11044" s="2">
        <v>11039</v>
      </c>
      <c r="B11044" s="11" t="str">
        <f>"00540087"</f>
        <v>00540087</v>
      </c>
    </row>
    <row r="11045" spans="1:2" x14ac:dyDescent="0.25">
      <c r="A11045" s="2">
        <v>11040</v>
      </c>
      <c r="B11045" s="11" t="str">
        <f>"00540092"</f>
        <v>00540092</v>
      </c>
    </row>
    <row r="11046" spans="1:2" x14ac:dyDescent="0.25">
      <c r="A11046" s="2">
        <v>11041</v>
      </c>
      <c r="B11046" s="11" t="str">
        <f>"00540097"</f>
        <v>00540097</v>
      </c>
    </row>
    <row r="11047" spans="1:2" x14ac:dyDescent="0.25">
      <c r="A11047" s="2">
        <v>11042</v>
      </c>
      <c r="B11047" s="11" t="str">
        <f>"00540121"</f>
        <v>00540121</v>
      </c>
    </row>
    <row r="11048" spans="1:2" x14ac:dyDescent="0.25">
      <c r="A11048" s="2">
        <v>11043</v>
      </c>
      <c r="B11048" s="11" t="str">
        <f>"00540129"</f>
        <v>00540129</v>
      </c>
    </row>
    <row r="11049" spans="1:2" x14ac:dyDescent="0.25">
      <c r="A11049" s="2">
        <v>11044</v>
      </c>
      <c r="B11049" s="11" t="str">
        <f>"00540187"</f>
        <v>00540187</v>
      </c>
    </row>
    <row r="11050" spans="1:2" x14ac:dyDescent="0.25">
      <c r="A11050" s="2">
        <v>11045</v>
      </c>
      <c r="B11050" s="11" t="str">
        <f>"00540189"</f>
        <v>00540189</v>
      </c>
    </row>
    <row r="11051" spans="1:2" x14ac:dyDescent="0.25">
      <c r="A11051" s="2">
        <v>11046</v>
      </c>
      <c r="B11051" s="11" t="str">
        <f>"00540214"</f>
        <v>00540214</v>
      </c>
    </row>
    <row r="11052" spans="1:2" x14ac:dyDescent="0.25">
      <c r="A11052" s="2">
        <v>11047</v>
      </c>
      <c r="B11052" s="11" t="str">
        <f>"00540215"</f>
        <v>00540215</v>
      </c>
    </row>
    <row r="11053" spans="1:2" x14ac:dyDescent="0.25">
      <c r="A11053" s="2">
        <v>11048</v>
      </c>
      <c r="B11053" s="11" t="str">
        <f>"00540218"</f>
        <v>00540218</v>
      </c>
    </row>
    <row r="11054" spans="1:2" x14ac:dyDescent="0.25">
      <c r="A11054" s="2">
        <v>11049</v>
      </c>
      <c r="B11054" s="11" t="str">
        <f>"00540258"</f>
        <v>00540258</v>
      </c>
    </row>
    <row r="11055" spans="1:2" x14ac:dyDescent="0.25">
      <c r="A11055" s="2">
        <v>11050</v>
      </c>
      <c r="B11055" s="11" t="str">
        <f>"00540277"</f>
        <v>00540277</v>
      </c>
    </row>
    <row r="11056" spans="1:2" x14ac:dyDescent="0.25">
      <c r="A11056" s="2">
        <v>11051</v>
      </c>
      <c r="B11056" s="11" t="str">
        <f>"00540296"</f>
        <v>00540296</v>
      </c>
    </row>
    <row r="11057" spans="1:2" x14ac:dyDescent="0.25">
      <c r="A11057" s="2">
        <v>11052</v>
      </c>
      <c r="B11057" s="11" t="str">
        <f>"00540299"</f>
        <v>00540299</v>
      </c>
    </row>
    <row r="11058" spans="1:2" x14ac:dyDescent="0.25">
      <c r="A11058" s="2">
        <v>11053</v>
      </c>
      <c r="B11058" s="11" t="str">
        <f>"00540310"</f>
        <v>00540310</v>
      </c>
    </row>
    <row r="11059" spans="1:2" x14ac:dyDescent="0.25">
      <c r="A11059" s="2">
        <v>11054</v>
      </c>
      <c r="B11059" s="11" t="str">
        <f>"00540343"</f>
        <v>00540343</v>
      </c>
    </row>
    <row r="11060" spans="1:2" x14ac:dyDescent="0.25">
      <c r="A11060" s="2">
        <v>11055</v>
      </c>
      <c r="B11060" s="11" t="str">
        <f>"00540367"</f>
        <v>00540367</v>
      </c>
    </row>
    <row r="11061" spans="1:2" x14ac:dyDescent="0.25">
      <c r="A11061" s="2">
        <v>11056</v>
      </c>
      <c r="B11061" s="11" t="str">
        <f>"00540395"</f>
        <v>00540395</v>
      </c>
    </row>
    <row r="11062" spans="1:2" x14ac:dyDescent="0.25">
      <c r="A11062" s="2">
        <v>11057</v>
      </c>
      <c r="B11062" s="11" t="str">
        <f>"00540407"</f>
        <v>00540407</v>
      </c>
    </row>
    <row r="11063" spans="1:2" x14ac:dyDescent="0.25">
      <c r="A11063" s="2">
        <v>11058</v>
      </c>
      <c r="B11063" s="11" t="str">
        <f>"00540411"</f>
        <v>00540411</v>
      </c>
    </row>
    <row r="11064" spans="1:2" x14ac:dyDescent="0.25">
      <c r="A11064" s="2">
        <v>11059</v>
      </c>
      <c r="B11064" s="11" t="str">
        <f>"00540439"</f>
        <v>00540439</v>
      </c>
    </row>
    <row r="11065" spans="1:2" x14ac:dyDescent="0.25">
      <c r="A11065" s="2">
        <v>11060</v>
      </c>
      <c r="B11065" s="11" t="str">
        <f>"00540462"</f>
        <v>00540462</v>
      </c>
    </row>
    <row r="11066" spans="1:2" x14ac:dyDescent="0.25">
      <c r="A11066" s="2">
        <v>11061</v>
      </c>
      <c r="B11066" s="11" t="str">
        <f>"00540470"</f>
        <v>00540470</v>
      </c>
    </row>
    <row r="11067" spans="1:2" x14ac:dyDescent="0.25">
      <c r="A11067" s="2">
        <v>11062</v>
      </c>
      <c r="B11067" s="11" t="str">
        <f>"00540487"</f>
        <v>00540487</v>
      </c>
    </row>
    <row r="11068" spans="1:2" x14ac:dyDescent="0.25">
      <c r="A11068" s="2">
        <v>11063</v>
      </c>
      <c r="B11068" s="11" t="str">
        <f>"00540491"</f>
        <v>00540491</v>
      </c>
    </row>
    <row r="11069" spans="1:2" x14ac:dyDescent="0.25">
      <c r="A11069" s="2">
        <v>11064</v>
      </c>
      <c r="B11069" s="11" t="str">
        <f>"00540580"</f>
        <v>00540580</v>
      </c>
    </row>
    <row r="11070" spans="1:2" x14ac:dyDescent="0.25">
      <c r="A11070" s="2">
        <v>11065</v>
      </c>
      <c r="B11070" s="11" t="str">
        <f>"00540584"</f>
        <v>00540584</v>
      </c>
    </row>
    <row r="11071" spans="1:2" x14ac:dyDescent="0.25">
      <c r="A11071" s="2">
        <v>11066</v>
      </c>
      <c r="B11071" s="11" t="str">
        <f>"00540588"</f>
        <v>00540588</v>
      </c>
    </row>
    <row r="11072" spans="1:2" x14ac:dyDescent="0.25">
      <c r="A11072" s="2">
        <v>11067</v>
      </c>
      <c r="B11072" s="11" t="str">
        <f>"00540626"</f>
        <v>00540626</v>
      </c>
    </row>
    <row r="11073" spans="1:2" x14ac:dyDescent="0.25">
      <c r="A11073" s="2">
        <v>11068</v>
      </c>
      <c r="B11073" s="11" t="str">
        <f>"00540631"</f>
        <v>00540631</v>
      </c>
    </row>
    <row r="11074" spans="1:2" x14ac:dyDescent="0.25">
      <c r="A11074" s="2">
        <v>11069</v>
      </c>
      <c r="B11074" s="11" t="str">
        <f>"00540647"</f>
        <v>00540647</v>
      </c>
    </row>
    <row r="11075" spans="1:2" x14ac:dyDescent="0.25">
      <c r="A11075" s="2">
        <v>11070</v>
      </c>
      <c r="B11075" s="11" t="str">
        <f>"00540663"</f>
        <v>00540663</v>
      </c>
    </row>
    <row r="11076" spans="1:2" x14ac:dyDescent="0.25">
      <c r="A11076" s="2">
        <v>11071</v>
      </c>
      <c r="B11076" s="11" t="str">
        <f>"00540792"</f>
        <v>00540792</v>
      </c>
    </row>
    <row r="11077" spans="1:2" x14ac:dyDescent="0.25">
      <c r="A11077" s="2">
        <v>11072</v>
      </c>
      <c r="B11077" s="11" t="str">
        <f>"00540794"</f>
        <v>00540794</v>
      </c>
    </row>
    <row r="11078" spans="1:2" x14ac:dyDescent="0.25">
      <c r="A11078" s="2">
        <v>11073</v>
      </c>
      <c r="B11078" s="11" t="str">
        <f>"00540803"</f>
        <v>00540803</v>
      </c>
    </row>
    <row r="11079" spans="1:2" x14ac:dyDescent="0.25">
      <c r="A11079" s="2">
        <v>11074</v>
      </c>
      <c r="B11079" s="11" t="str">
        <f>"00540814"</f>
        <v>00540814</v>
      </c>
    </row>
    <row r="11080" spans="1:2" x14ac:dyDescent="0.25">
      <c r="A11080" s="2">
        <v>11075</v>
      </c>
      <c r="B11080" s="11" t="str">
        <f>"00540816"</f>
        <v>00540816</v>
      </c>
    </row>
    <row r="11081" spans="1:2" x14ac:dyDescent="0.25">
      <c r="A11081" s="2">
        <v>11076</v>
      </c>
      <c r="B11081" s="11" t="str">
        <f>"00540830"</f>
        <v>00540830</v>
      </c>
    </row>
    <row r="11082" spans="1:2" x14ac:dyDescent="0.25">
      <c r="A11082" s="2">
        <v>11077</v>
      </c>
      <c r="B11082" s="11" t="str">
        <f>"00540843"</f>
        <v>00540843</v>
      </c>
    </row>
    <row r="11083" spans="1:2" x14ac:dyDescent="0.25">
      <c r="A11083" s="2">
        <v>11078</v>
      </c>
      <c r="B11083" s="11" t="str">
        <f>"00540844"</f>
        <v>00540844</v>
      </c>
    </row>
    <row r="11084" spans="1:2" x14ac:dyDescent="0.25">
      <c r="A11084" s="2">
        <v>11079</v>
      </c>
      <c r="B11084" s="11" t="str">
        <f>"00540847"</f>
        <v>00540847</v>
      </c>
    </row>
    <row r="11085" spans="1:2" x14ac:dyDescent="0.25">
      <c r="A11085" s="2">
        <v>11080</v>
      </c>
      <c r="B11085" s="11" t="str">
        <f>"00540853"</f>
        <v>00540853</v>
      </c>
    </row>
    <row r="11086" spans="1:2" x14ac:dyDescent="0.25">
      <c r="A11086" s="2">
        <v>11081</v>
      </c>
      <c r="B11086" s="11" t="str">
        <f>"00540883"</f>
        <v>00540883</v>
      </c>
    </row>
    <row r="11087" spans="1:2" x14ac:dyDescent="0.25">
      <c r="A11087" s="2">
        <v>11082</v>
      </c>
      <c r="B11087" s="11" t="str">
        <f>"00540944"</f>
        <v>00540944</v>
      </c>
    </row>
    <row r="11088" spans="1:2" x14ac:dyDescent="0.25">
      <c r="A11088" s="2">
        <v>11083</v>
      </c>
      <c r="B11088" s="11" t="str">
        <f>"00540958"</f>
        <v>00540958</v>
      </c>
    </row>
    <row r="11089" spans="1:2" x14ac:dyDescent="0.25">
      <c r="A11089" s="2">
        <v>11084</v>
      </c>
      <c r="B11089" s="11" t="str">
        <f>"00541024"</f>
        <v>00541024</v>
      </c>
    </row>
    <row r="11090" spans="1:2" x14ac:dyDescent="0.25">
      <c r="A11090" s="2">
        <v>11085</v>
      </c>
      <c r="B11090" s="11" t="str">
        <f>"00541029"</f>
        <v>00541029</v>
      </c>
    </row>
    <row r="11091" spans="1:2" x14ac:dyDescent="0.25">
      <c r="A11091" s="2">
        <v>11086</v>
      </c>
      <c r="B11091" s="11" t="str">
        <f>"00541032"</f>
        <v>00541032</v>
      </c>
    </row>
    <row r="11092" spans="1:2" x14ac:dyDescent="0.25">
      <c r="A11092" s="2">
        <v>11087</v>
      </c>
      <c r="B11092" s="11" t="str">
        <f>"00541091"</f>
        <v>00541091</v>
      </c>
    </row>
    <row r="11093" spans="1:2" x14ac:dyDescent="0.25">
      <c r="A11093" s="2">
        <v>11088</v>
      </c>
      <c r="B11093" s="11" t="str">
        <f>"00541184"</f>
        <v>00541184</v>
      </c>
    </row>
    <row r="11094" spans="1:2" x14ac:dyDescent="0.25">
      <c r="A11094" s="2">
        <v>11089</v>
      </c>
      <c r="B11094" s="11" t="str">
        <f>"00541196"</f>
        <v>00541196</v>
      </c>
    </row>
    <row r="11095" spans="1:2" x14ac:dyDescent="0.25">
      <c r="A11095" s="2">
        <v>11090</v>
      </c>
      <c r="B11095" s="11" t="str">
        <f>"00541212"</f>
        <v>00541212</v>
      </c>
    </row>
    <row r="11096" spans="1:2" x14ac:dyDescent="0.25">
      <c r="A11096" s="2">
        <v>11091</v>
      </c>
      <c r="B11096" s="11" t="str">
        <f>"00541227"</f>
        <v>00541227</v>
      </c>
    </row>
    <row r="11097" spans="1:2" x14ac:dyDescent="0.25">
      <c r="A11097" s="2">
        <v>11092</v>
      </c>
      <c r="B11097" s="11" t="str">
        <f>"00541287"</f>
        <v>00541287</v>
      </c>
    </row>
    <row r="11098" spans="1:2" x14ac:dyDescent="0.25">
      <c r="A11098" s="2">
        <v>11093</v>
      </c>
      <c r="B11098" s="11" t="str">
        <f>"00541298"</f>
        <v>00541298</v>
      </c>
    </row>
    <row r="11099" spans="1:2" x14ac:dyDescent="0.25">
      <c r="A11099" s="2">
        <v>11094</v>
      </c>
      <c r="B11099" s="11" t="str">
        <f>"00541339"</f>
        <v>00541339</v>
      </c>
    </row>
    <row r="11100" spans="1:2" x14ac:dyDescent="0.25">
      <c r="A11100" s="2">
        <v>11095</v>
      </c>
      <c r="B11100" s="11" t="str">
        <f>"00541424"</f>
        <v>00541424</v>
      </c>
    </row>
    <row r="11101" spans="1:2" x14ac:dyDescent="0.25">
      <c r="A11101" s="2">
        <v>11096</v>
      </c>
      <c r="B11101" s="11" t="str">
        <f>"00541441"</f>
        <v>00541441</v>
      </c>
    </row>
    <row r="11102" spans="1:2" x14ac:dyDescent="0.25">
      <c r="A11102" s="2">
        <v>11097</v>
      </c>
      <c r="B11102" s="11" t="str">
        <f>"00541460"</f>
        <v>00541460</v>
      </c>
    </row>
    <row r="11103" spans="1:2" x14ac:dyDescent="0.25">
      <c r="A11103" s="2">
        <v>11098</v>
      </c>
      <c r="B11103" s="11" t="str">
        <f>"00541461"</f>
        <v>00541461</v>
      </c>
    </row>
    <row r="11104" spans="1:2" x14ac:dyDescent="0.25">
      <c r="A11104" s="2">
        <v>11099</v>
      </c>
      <c r="B11104" s="11" t="str">
        <f>"00541478"</f>
        <v>00541478</v>
      </c>
    </row>
    <row r="11105" spans="1:2" x14ac:dyDescent="0.25">
      <c r="A11105" s="2">
        <v>11100</v>
      </c>
      <c r="B11105" s="11" t="str">
        <f>"00541491"</f>
        <v>00541491</v>
      </c>
    </row>
    <row r="11106" spans="1:2" x14ac:dyDescent="0.25">
      <c r="A11106" s="2">
        <v>11101</v>
      </c>
      <c r="B11106" s="11" t="str">
        <f>"00541538"</f>
        <v>00541538</v>
      </c>
    </row>
    <row r="11107" spans="1:2" x14ac:dyDescent="0.25">
      <c r="A11107" s="2">
        <v>11102</v>
      </c>
      <c r="B11107" s="11" t="str">
        <f>"00541569"</f>
        <v>00541569</v>
      </c>
    </row>
    <row r="11108" spans="1:2" x14ac:dyDescent="0.25">
      <c r="A11108" s="2">
        <v>11103</v>
      </c>
      <c r="B11108" s="11" t="str">
        <f>"00541586"</f>
        <v>00541586</v>
      </c>
    </row>
    <row r="11109" spans="1:2" x14ac:dyDescent="0.25">
      <c r="A11109" s="2">
        <v>11104</v>
      </c>
      <c r="B11109" s="11" t="str">
        <f>"00541596"</f>
        <v>00541596</v>
      </c>
    </row>
    <row r="11110" spans="1:2" x14ac:dyDescent="0.25">
      <c r="A11110" s="2">
        <v>11105</v>
      </c>
      <c r="B11110" s="11" t="str">
        <f>"00541604"</f>
        <v>00541604</v>
      </c>
    </row>
    <row r="11111" spans="1:2" x14ac:dyDescent="0.25">
      <c r="A11111" s="2">
        <v>11106</v>
      </c>
      <c r="B11111" s="11" t="str">
        <f>"00541661"</f>
        <v>00541661</v>
      </c>
    </row>
    <row r="11112" spans="1:2" x14ac:dyDescent="0.25">
      <c r="A11112" s="2">
        <v>11107</v>
      </c>
      <c r="B11112" s="11" t="str">
        <f>"00541672"</f>
        <v>00541672</v>
      </c>
    </row>
    <row r="11113" spans="1:2" x14ac:dyDescent="0.25">
      <c r="A11113" s="2">
        <v>11108</v>
      </c>
      <c r="B11113" s="11" t="str">
        <f>"00541690"</f>
        <v>00541690</v>
      </c>
    </row>
    <row r="11114" spans="1:2" x14ac:dyDescent="0.25">
      <c r="A11114" s="2">
        <v>11109</v>
      </c>
      <c r="B11114" s="11" t="str">
        <f>"00541801"</f>
        <v>00541801</v>
      </c>
    </row>
    <row r="11115" spans="1:2" x14ac:dyDescent="0.25">
      <c r="A11115" s="2">
        <v>11110</v>
      </c>
      <c r="B11115" s="11" t="str">
        <f>"00541809"</f>
        <v>00541809</v>
      </c>
    </row>
    <row r="11116" spans="1:2" x14ac:dyDescent="0.25">
      <c r="A11116" s="2">
        <v>11111</v>
      </c>
      <c r="B11116" s="11" t="str">
        <f>"00541856"</f>
        <v>00541856</v>
      </c>
    </row>
    <row r="11117" spans="1:2" x14ac:dyDescent="0.25">
      <c r="A11117" s="2">
        <v>11112</v>
      </c>
      <c r="B11117" s="11" t="str">
        <f>"00542007"</f>
        <v>00542007</v>
      </c>
    </row>
    <row r="11118" spans="1:2" x14ac:dyDescent="0.25">
      <c r="A11118" s="2">
        <v>11113</v>
      </c>
      <c r="B11118" s="11" t="str">
        <f>"00542044"</f>
        <v>00542044</v>
      </c>
    </row>
    <row r="11119" spans="1:2" x14ac:dyDescent="0.25">
      <c r="A11119" s="2">
        <v>11114</v>
      </c>
      <c r="B11119" s="11" t="str">
        <f>"00542061"</f>
        <v>00542061</v>
      </c>
    </row>
    <row r="11120" spans="1:2" x14ac:dyDescent="0.25">
      <c r="A11120" s="2">
        <v>11115</v>
      </c>
      <c r="B11120" s="11" t="str">
        <f>"00542065"</f>
        <v>00542065</v>
      </c>
    </row>
    <row r="11121" spans="1:2" x14ac:dyDescent="0.25">
      <c r="A11121" s="2">
        <v>11116</v>
      </c>
      <c r="B11121" s="11" t="str">
        <f>"00542067"</f>
        <v>00542067</v>
      </c>
    </row>
    <row r="11122" spans="1:2" x14ac:dyDescent="0.25">
      <c r="A11122" s="2">
        <v>11117</v>
      </c>
      <c r="B11122" s="11" t="str">
        <f>"00542076"</f>
        <v>00542076</v>
      </c>
    </row>
    <row r="11123" spans="1:2" x14ac:dyDescent="0.25">
      <c r="A11123" s="2">
        <v>11118</v>
      </c>
      <c r="B11123" s="11" t="str">
        <f>"00542088"</f>
        <v>00542088</v>
      </c>
    </row>
    <row r="11124" spans="1:2" x14ac:dyDescent="0.25">
      <c r="A11124" s="2">
        <v>11119</v>
      </c>
      <c r="B11124" s="11" t="str">
        <f>"00542093"</f>
        <v>00542093</v>
      </c>
    </row>
    <row r="11125" spans="1:2" x14ac:dyDescent="0.25">
      <c r="A11125" s="2">
        <v>11120</v>
      </c>
      <c r="B11125" s="11" t="str">
        <f>"00542106"</f>
        <v>00542106</v>
      </c>
    </row>
    <row r="11126" spans="1:2" x14ac:dyDescent="0.25">
      <c r="A11126" s="2">
        <v>11121</v>
      </c>
      <c r="B11126" s="11" t="str">
        <f>"00542123"</f>
        <v>00542123</v>
      </c>
    </row>
    <row r="11127" spans="1:2" x14ac:dyDescent="0.25">
      <c r="A11127" s="2">
        <v>11122</v>
      </c>
      <c r="B11127" s="11" t="str">
        <f>"00542146"</f>
        <v>00542146</v>
      </c>
    </row>
    <row r="11128" spans="1:2" x14ac:dyDescent="0.25">
      <c r="A11128" s="2">
        <v>11123</v>
      </c>
      <c r="B11128" s="11" t="str">
        <f>"00542214"</f>
        <v>00542214</v>
      </c>
    </row>
    <row r="11129" spans="1:2" x14ac:dyDescent="0.25">
      <c r="A11129" s="2">
        <v>11124</v>
      </c>
      <c r="B11129" s="11" t="str">
        <f>"00542221"</f>
        <v>00542221</v>
      </c>
    </row>
    <row r="11130" spans="1:2" x14ac:dyDescent="0.25">
      <c r="A11130" s="2">
        <v>11125</v>
      </c>
      <c r="B11130" s="11" t="str">
        <f>"00542222"</f>
        <v>00542222</v>
      </c>
    </row>
    <row r="11131" spans="1:2" x14ac:dyDescent="0.25">
      <c r="A11131" s="2">
        <v>11126</v>
      </c>
      <c r="B11131" s="11" t="str">
        <f>"00542230"</f>
        <v>00542230</v>
      </c>
    </row>
    <row r="11132" spans="1:2" x14ac:dyDescent="0.25">
      <c r="A11132" s="2">
        <v>11127</v>
      </c>
      <c r="B11132" s="11" t="str">
        <f>"00542232"</f>
        <v>00542232</v>
      </c>
    </row>
    <row r="11133" spans="1:2" x14ac:dyDescent="0.25">
      <c r="A11133" s="2">
        <v>11128</v>
      </c>
      <c r="B11133" s="11" t="str">
        <f>"00542254"</f>
        <v>00542254</v>
      </c>
    </row>
    <row r="11134" spans="1:2" x14ac:dyDescent="0.25">
      <c r="A11134" s="2">
        <v>11129</v>
      </c>
      <c r="B11134" s="11" t="str">
        <f>"00542291"</f>
        <v>00542291</v>
      </c>
    </row>
    <row r="11135" spans="1:2" x14ac:dyDescent="0.25">
      <c r="A11135" s="2">
        <v>11130</v>
      </c>
      <c r="B11135" s="11" t="str">
        <f>"00542297"</f>
        <v>00542297</v>
      </c>
    </row>
    <row r="11136" spans="1:2" x14ac:dyDescent="0.25">
      <c r="A11136" s="2">
        <v>11131</v>
      </c>
      <c r="B11136" s="11" t="str">
        <f>"00542298"</f>
        <v>00542298</v>
      </c>
    </row>
    <row r="11137" spans="1:2" x14ac:dyDescent="0.25">
      <c r="A11137" s="2">
        <v>11132</v>
      </c>
      <c r="B11137" s="11" t="str">
        <f>"00542384"</f>
        <v>00542384</v>
      </c>
    </row>
    <row r="11138" spans="1:2" x14ac:dyDescent="0.25">
      <c r="A11138" s="2">
        <v>11133</v>
      </c>
      <c r="B11138" s="11" t="str">
        <f>"00542387"</f>
        <v>00542387</v>
      </c>
    </row>
    <row r="11139" spans="1:2" x14ac:dyDescent="0.25">
      <c r="A11139" s="2">
        <v>11134</v>
      </c>
      <c r="B11139" s="11" t="str">
        <f>"00542390"</f>
        <v>00542390</v>
      </c>
    </row>
    <row r="11140" spans="1:2" x14ac:dyDescent="0.25">
      <c r="A11140" s="2">
        <v>11135</v>
      </c>
      <c r="B11140" s="11" t="str">
        <f>"00542465"</f>
        <v>00542465</v>
      </c>
    </row>
    <row r="11141" spans="1:2" x14ac:dyDescent="0.25">
      <c r="A11141" s="2">
        <v>11136</v>
      </c>
      <c r="B11141" s="11" t="str">
        <f>"00542491"</f>
        <v>00542491</v>
      </c>
    </row>
    <row r="11142" spans="1:2" x14ac:dyDescent="0.25">
      <c r="A11142" s="2">
        <v>11137</v>
      </c>
      <c r="B11142" s="11" t="str">
        <f>"00542506"</f>
        <v>00542506</v>
      </c>
    </row>
    <row r="11143" spans="1:2" x14ac:dyDescent="0.25">
      <c r="A11143" s="2">
        <v>11138</v>
      </c>
      <c r="B11143" s="11" t="str">
        <f>"00542565"</f>
        <v>00542565</v>
      </c>
    </row>
    <row r="11144" spans="1:2" x14ac:dyDescent="0.25">
      <c r="A11144" s="2">
        <v>11139</v>
      </c>
      <c r="B11144" s="11" t="str">
        <f>"00542566"</f>
        <v>00542566</v>
      </c>
    </row>
    <row r="11145" spans="1:2" x14ac:dyDescent="0.25">
      <c r="A11145" s="2">
        <v>11140</v>
      </c>
      <c r="B11145" s="11" t="str">
        <f>"00542597"</f>
        <v>00542597</v>
      </c>
    </row>
    <row r="11146" spans="1:2" x14ac:dyDescent="0.25">
      <c r="A11146" s="2">
        <v>11141</v>
      </c>
      <c r="B11146" s="11" t="str">
        <f>"00542608"</f>
        <v>00542608</v>
      </c>
    </row>
    <row r="11147" spans="1:2" x14ac:dyDescent="0.25">
      <c r="A11147" s="2">
        <v>11142</v>
      </c>
      <c r="B11147" s="11" t="str">
        <f>"00542685"</f>
        <v>00542685</v>
      </c>
    </row>
    <row r="11148" spans="1:2" x14ac:dyDescent="0.25">
      <c r="A11148" s="2">
        <v>11143</v>
      </c>
      <c r="B11148" s="11" t="str">
        <f>"00542696"</f>
        <v>00542696</v>
      </c>
    </row>
    <row r="11149" spans="1:2" x14ac:dyDescent="0.25">
      <c r="A11149" s="2">
        <v>11144</v>
      </c>
      <c r="B11149" s="11" t="str">
        <f>"00542770"</f>
        <v>00542770</v>
      </c>
    </row>
    <row r="11150" spans="1:2" x14ac:dyDescent="0.25">
      <c r="A11150" s="2">
        <v>11145</v>
      </c>
      <c r="B11150" s="11" t="str">
        <f>"00542857"</f>
        <v>00542857</v>
      </c>
    </row>
    <row r="11151" spans="1:2" x14ac:dyDescent="0.25">
      <c r="A11151" s="2">
        <v>11146</v>
      </c>
      <c r="B11151" s="11" t="str">
        <f>"00542902"</f>
        <v>00542902</v>
      </c>
    </row>
    <row r="11152" spans="1:2" x14ac:dyDescent="0.25">
      <c r="A11152" s="2">
        <v>11147</v>
      </c>
      <c r="B11152" s="11" t="str">
        <f>"00542904"</f>
        <v>00542904</v>
      </c>
    </row>
    <row r="11153" spans="1:2" x14ac:dyDescent="0.25">
      <c r="A11153" s="2">
        <v>11148</v>
      </c>
      <c r="B11153" s="11" t="str">
        <f>"00542979"</f>
        <v>00542979</v>
      </c>
    </row>
    <row r="11154" spans="1:2" x14ac:dyDescent="0.25">
      <c r="A11154" s="2">
        <v>11149</v>
      </c>
      <c r="B11154" s="11" t="str">
        <f>"00542986"</f>
        <v>00542986</v>
      </c>
    </row>
    <row r="11155" spans="1:2" x14ac:dyDescent="0.25">
      <c r="A11155" s="2">
        <v>11150</v>
      </c>
      <c r="B11155" s="11" t="str">
        <f>"00543043"</f>
        <v>00543043</v>
      </c>
    </row>
    <row r="11156" spans="1:2" x14ac:dyDescent="0.25">
      <c r="A11156" s="2">
        <v>11151</v>
      </c>
      <c r="B11156" s="11" t="str">
        <f>"00543047"</f>
        <v>00543047</v>
      </c>
    </row>
    <row r="11157" spans="1:2" x14ac:dyDescent="0.25">
      <c r="A11157" s="2">
        <v>11152</v>
      </c>
      <c r="B11157" s="11" t="str">
        <f>"00543050"</f>
        <v>00543050</v>
      </c>
    </row>
    <row r="11158" spans="1:2" x14ac:dyDescent="0.25">
      <c r="A11158" s="2">
        <v>11153</v>
      </c>
      <c r="B11158" s="11" t="str">
        <f>"00543088"</f>
        <v>00543088</v>
      </c>
    </row>
    <row r="11159" spans="1:2" x14ac:dyDescent="0.25">
      <c r="A11159" s="2">
        <v>11154</v>
      </c>
      <c r="B11159" s="11" t="str">
        <f>"00543093"</f>
        <v>00543093</v>
      </c>
    </row>
    <row r="11160" spans="1:2" x14ac:dyDescent="0.25">
      <c r="A11160" s="2">
        <v>11155</v>
      </c>
      <c r="B11160" s="11" t="str">
        <f>"00543099"</f>
        <v>00543099</v>
      </c>
    </row>
    <row r="11161" spans="1:2" x14ac:dyDescent="0.25">
      <c r="A11161" s="2">
        <v>11156</v>
      </c>
      <c r="B11161" s="11" t="str">
        <f>"00543131"</f>
        <v>00543131</v>
      </c>
    </row>
    <row r="11162" spans="1:2" x14ac:dyDescent="0.25">
      <c r="A11162" s="2">
        <v>11157</v>
      </c>
      <c r="B11162" s="11" t="str">
        <f>"00543136"</f>
        <v>00543136</v>
      </c>
    </row>
    <row r="11163" spans="1:2" x14ac:dyDescent="0.25">
      <c r="A11163" s="2">
        <v>11158</v>
      </c>
      <c r="B11163" s="11" t="str">
        <f>"00543227"</f>
        <v>00543227</v>
      </c>
    </row>
    <row r="11164" spans="1:2" x14ac:dyDescent="0.25">
      <c r="A11164" s="2">
        <v>11159</v>
      </c>
      <c r="B11164" s="11" t="str">
        <f>"00543283"</f>
        <v>00543283</v>
      </c>
    </row>
    <row r="11165" spans="1:2" x14ac:dyDescent="0.25">
      <c r="A11165" s="2">
        <v>11160</v>
      </c>
      <c r="B11165" s="11" t="str">
        <f>"00543285"</f>
        <v>00543285</v>
      </c>
    </row>
    <row r="11166" spans="1:2" x14ac:dyDescent="0.25">
      <c r="A11166" s="2">
        <v>11161</v>
      </c>
      <c r="B11166" s="11" t="str">
        <f>"00543316"</f>
        <v>00543316</v>
      </c>
    </row>
    <row r="11167" spans="1:2" x14ac:dyDescent="0.25">
      <c r="A11167" s="2">
        <v>11162</v>
      </c>
      <c r="B11167" s="11" t="str">
        <f>"00543329"</f>
        <v>00543329</v>
      </c>
    </row>
    <row r="11168" spans="1:2" x14ac:dyDescent="0.25">
      <c r="A11168" s="2">
        <v>11163</v>
      </c>
      <c r="B11168" s="11" t="str">
        <f>"00543362"</f>
        <v>00543362</v>
      </c>
    </row>
    <row r="11169" spans="1:2" x14ac:dyDescent="0.25">
      <c r="A11169" s="2">
        <v>11164</v>
      </c>
      <c r="B11169" s="11" t="str">
        <f>"00543386"</f>
        <v>00543386</v>
      </c>
    </row>
    <row r="11170" spans="1:2" x14ac:dyDescent="0.25">
      <c r="A11170" s="2">
        <v>11165</v>
      </c>
      <c r="B11170" s="11" t="str">
        <f>"00543390"</f>
        <v>00543390</v>
      </c>
    </row>
    <row r="11171" spans="1:2" x14ac:dyDescent="0.25">
      <c r="A11171" s="2">
        <v>11166</v>
      </c>
      <c r="B11171" s="11" t="str">
        <f>"00543406"</f>
        <v>00543406</v>
      </c>
    </row>
    <row r="11172" spans="1:2" x14ac:dyDescent="0.25">
      <c r="A11172" s="2">
        <v>11167</v>
      </c>
      <c r="B11172" s="11" t="str">
        <f>"00543418"</f>
        <v>00543418</v>
      </c>
    </row>
    <row r="11173" spans="1:2" x14ac:dyDescent="0.25">
      <c r="A11173" s="2">
        <v>11168</v>
      </c>
      <c r="B11173" s="11" t="str">
        <f>"00543618"</f>
        <v>00543618</v>
      </c>
    </row>
    <row r="11174" spans="1:2" x14ac:dyDescent="0.25">
      <c r="A11174" s="2">
        <v>11169</v>
      </c>
      <c r="B11174" s="11" t="str">
        <f>"00543621"</f>
        <v>00543621</v>
      </c>
    </row>
    <row r="11175" spans="1:2" x14ac:dyDescent="0.25">
      <c r="A11175" s="2">
        <v>11170</v>
      </c>
      <c r="B11175" s="11" t="str">
        <f>"00543664"</f>
        <v>00543664</v>
      </c>
    </row>
    <row r="11176" spans="1:2" x14ac:dyDescent="0.25">
      <c r="A11176" s="2">
        <v>11171</v>
      </c>
      <c r="B11176" s="11" t="str">
        <f>"00543717"</f>
        <v>00543717</v>
      </c>
    </row>
    <row r="11177" spans="1:2" x14ac:dyDescent="0.25">
      <c r="A11177" s="2">
        <v>11172</v>
      </c>
      <c r="B11177" s="11" t="str">
        <f>"00543731"</f>
        <v>00543731</v>
      </c>
    </row>
    <row r="11178" spans="1:2" x14ac:dyDescent="0.25">
      <c r="A11178" s="2">
        <v>11173</v>
      </c>
      <c r="B11178" s="11" t="str">
        <f>"00543745"</f>
        <v>00543745</v>
      </c>
    </row>
    <row r="11179" spans="1:2" x14ac:dyDescent="0.25">
      <c r="A11179" s="2">
        <v>11174</v>
      </c>
      <c r="B11179" s="11" t="str">
        <f>"00543775"</f>
        <v>00543775</v>
      </c>
    </row>
    <row r="11180" spans="1:2" x14ac:dyDescent="0.25">
      <c r="A11180" s="2">
        <v>11175</v>
      </c>
      <c r="B11180" s="11" t="str">
        <f>"00543815"</f>
        <v>00543815</v>
      </c>
    </row>
    <row r="11181" spans="1:2" x14ac:dyDescent="0.25">
      <c r="A11181" s="2">
        <v>11176</v>
      </c>
      <c r="B11181" s="11" t="str">
        <f>"00543855"</f>
        <v>00543855</v>
      </c>
    </row>
    <row r="11182" spans="1:2" x14ac:dyDescent="0.25">
      <c r="A11182" s="2">
        <v>11177</v>
      </c>
      <c r="B11182" s="11" t="str">
        <f>"00543898"</f>
        <v>00543898</v>
      </c>
    </row>
    <row r="11183" spans="1:2" x14ac:dyDescent="0.25">
      <c r="A11183" s="2">
        <v>11178</v>
      </c>
      <c r="B11183" s="11" t="str">
        <f>"00543903"</f>
        <v>00543903</v>
      </c>
    </row>
    <row r="11184" spans="1:2" x14ac:dyDescent="0.25">
      <c r="A11184" s="2">
        <v>11179</v>
      </c>
      <c r="B11184" s="11" t="str">
        <f>"00544045"</f>
        <v>00544045</v>
      </c>
    </row>
    <row r="11185" spans="1:2" x14ac:dyDescent="0.25">
      <c r="A11185" s="2">
        <v>11180</v>
      </c>
      <c r="B11185" s="11" t="str">
        <f>"00544130"</f>
        <v>00544130</v>
      </c>
    </row>
    <row r="11186" spans="1:2" x14ac:dyDescent="0.25">
      <c r="A11186" s="2">
        <v>11181</v>
      </c>
      <c r="B11186" s="11" t="str">
        <f>"00544134"</f>
        <v>00544134</v>
      </c>
    </row>
    <row r="11187" spans="1:2" x14ac:dyDescent="0.25">
      <c r="A11187" s="2">
        <v>11182</v>
      </c>
      <c r="B11187" s="11" t="str">
        <f>"00544140"</f>
        <v>00544140</v>
      </c>
    </row>
    <row r="11188" spans="1:2" x14ac:dyDescent="0.25">
      <c r="A11188" s="2">
        <v>11183</v>
      </c>
      <c r="B11188" s="11" t="str">
        <f>"00544218"</f>
        <v>00544218</v>
      </c>
    </row>
    <row r="11189" spans="1:2" x14ac:dyDescent="0.25">
      <c r="A11189" s="2">
        <v>11184</v>
      </c>
      <c r="B11189" s="11" t="str">
        <f>"00544220"</f>
        <v>00544220</v>
      </c>
    </row>
    <row r="11190" spans="1:2" x14ac:dyDescent="0.25">
      <c r="A11190" s="2">
        <v>11185</v>
      </c>
      <c r="B11190" s="11" t="str">
        <f>"00544332"</f>
        <v>00544332</v>
      </c>
    </row>
    <row r="11191" spans="1:2" x14ac:dyDescent="0.25">
      <c r="A11191" s="2">
        <v>11186</v>
      </c>
      <c r="B11191" s="11" t="str">
        <f>"00544387"</f>
        <v>00544387</v>
      </c>
    </row>
    <row r="11192" spans="1:2" x14ac:dyDescent="0.25">
      <c r="A11192" s="2">
        <v>11187</v>
      </c>
      <c r="B11192" s="11" t="str">
        <f>"00544405"</f>
        <v>00544405</v>
      </c>
    </row>
    <row r="11193" spans="1:2" x14ac:dyDescent="0.25">
      <c r="A11193" s="2">
        <v>11188</v>
      </c>
      <c r="B11193" s="11" t="str">
        <f>"00544431"</f>
        <v>00544431</v>
      </c>
    </row>
    <row r="11194" spans="1:2" x14ac:dyDescent="0.25">
      <c r="A11194" s="2">
        <v>11189</v>
      </c>
      <c r="B11194" s="11" t="str">
        <f>"00544439"</f>
        <v>00544439</v>
      </c>
    </row>
    <row r="11195" spans="1:2" x14ac:dyDescent="0.25">
      <c r="A11195" s="2">
        <v>11190</v>
      </c>
      <c r="B11195" s="11" t="str">
        <f>"00544449"</f>
        <v>00544449</v>
      </c>
    </row>
    <row r="11196" spans="1:2" x14ac:dyDescent="0.25">
      <c r="A11196" s="2">
        <v>11191</v>
      </c>
      <c r="B11196" s="11" t="str">
        <f>"00544560"</f>
        <v>00544560</v>
      </c>
    </row>
    <row r="11197" spans="1:2" x14ac:dyDescent="0.25">
      <c r="A11197" s="2">
        <v>11192</v>
      </c>
      <c r="B11197" s="11" t="str">
        <f>"00544577"</f>
        <v>00544577</v>
      </c>
    </row>
    <row r="11198" spans="1:2" x14ac:dyDescent="0.25">
      <c r="A11198" s="2">
        <v>11193</v>
      </c>
      <c r="B11198" s="11" t="str">
        <f>"00544609"</f>
        <v>00544609</v>
      </c>
    </row>
    <row r="11199" spans="1:2" x14ac:dyDescent="0.25">
      <c r="A11199" s="2">
        <v>11194</v>
      </c>
      <c r="B11199" s="11" t="str">
        <f>"00544694"</f>
        <v>00544694</v>
      </c>
    </row>
    <row r="11200" spans="1:2" x14ac:dyDescent="0.25">
      <c r="A11200" s="2">
        <v>11195</v>
      </c>
      <c r="B11200" s="11" t="str">
        <f>"00544703"</f>
        <v>00544703</v>
      </c>
    </row>
    <row r="11201" spans="1:2" x14ac:dyDescent="0.25">
      <c r="A11201" s="2">
        <v>11196</v>
      </c>
      <c r="B11201" s="11" t="str">
        <f>"00544758"</f>
        <v>00544758</v>
      </c>
    </row>
    <row r="11202" spans="1:2" x14ac:dyDescent="0.25">
      <c r="A11202" s="2">
        <v>11197</v>
      </c>
      <c r="B11202" s="11" t="str">
        <f>"00544775"</f>
        <v>00544775</v>
      </c>
    </row>
    <row r="11203" spans="1:2" x14ac:dyDescent="0.25">
      <c r="A11203" s="2">
        <v>11198</v>
      </c>
      <c r="B11203" s="11" t="str">
        <f>"00544839"</f>
        <v>00544839</v>
      </c>
    </row>
    <row r="11204" spans="1:2" x14ac:dyDescent="0.25">
      <c r="A11204" s="2">
        <v>11199</v>
      </c>
      <c r="B11204" s="11" t="str">
        <f>"00544872"</f>
        <v>00544872</v>
      </c>
    </row>
    <row r="11205" spans="1:2" x14ac:dyDescent="0.25">
      <c r="A11205" s="2">
        <v>11200</v>
      </c>
      <c r="B11205" s="11" t="str">
        <f>"00544896"</f>
        <v>00544896</v>
      </c>
    </row>
    <row r="11206" spans="1:2" x14ac:dyDescent="0.25">
      <c r="A11206" s="2">
        <v>11201</v>
      </c>
      <c r="B11206" s="11" t="str">
        <f>"00544967"</f>
        <v>00544967</v>
      </c>
    </row>
    <row r="11207" spans="1:2" x14ac:dyDescent="0.25">
      <c r="A11207" s="2">
        <v>11202</v>
      </c>
      <c r="B11207" s="11" t="str">
        <f>"00544999"</f>
        <v>00544999</v>
      </c>
    </row>
    <row r="11208" spans="1:2" x14ac:dyDescent="0.25">
      <c r="A11208" s="2">
        <v>11203</v>
      </c>
      <c r="B11208" s="11" t="str">
        <f>"00545044"</f>
        <v>00545044</v>
      </c>
    </row>
    <row r="11209" spans="1:2" x14ac:dyDescent="0.25">
      <c r="A11209" s="2">
        <v>11204</v>
      </c>
      <c r="B11209" s="11" t="str">
        <f>"00545050"</f>
        <v>00545050</v>
      </c>
    </row>
    <row r="11210" spans="1:2" x14ac:dyDescent="0.25">
      <c r="A11210" s="2">
        <v>11205</v>
      </c>
      <c r="B11210" s="11" t="str">
        <f>"00545098"</f>
        <v>00545098</v>
      </c>
    </row>
    <row r="11211" spans="1:2" x14ac:dyDescent="0.25">
      <c r="A11211" s="2">
        <v>11206</v>
      </c>
      <c r="B11211" s="11" t="str">
        <f>"00545169"</f>
        <v>00545169</v>
      </c>
    </row>
    <row r="11212" spans="1:2" x14ac:dyDescent="0.25">
      <c r="A11212" s="2">
        <v>11207</v>
      </c>
      <c r="B11212" s="11" t="str">
        <f>"00545191"</f>
        <v>00545191</v>
      </c>
    </row>
    <row r="11213" spans="1:2" x14ac:dyDescent="0.25">
      <c r="A11213" s="2">
        <v>11208</v>
      </c>
      <c r="B11213" s="11" t="str">
        <f>"00545214"</f>
        <v>00545214</v>
      </c>
    </row>
    <row r="11214" spans="1:2" x14ac:dyDescent="0.25">
      <c r="A11214" s="2">
        <v>11209</v>
      </c>
      <c r="B11214" s="11" t="str">
        <f>"00545288"</f>
        <v>00545288</v>
      </c>
    </row>
    <row r="11215" spans="1:2" x14ac:dyDescent="0.25">
      <c r="A11215" s="2">
        <v>11210</v>
      </c>
      <c r="B11215" s="11" t="str">
        <f>"00545305"</f>
        <v>00545305</v>
      </c>
    </row>
    <row r="11216" spans="1:2" x14ac:dyDescent="0.25">
      <c r="A11216" s="2">
        <v>11211</v>
      </c>
      <c r="B11216" s="11" t="str">
        <f>"00545328"</f>
        <v>00545328</v>
      </c>
    </row>
    <row r="11217" spans="1:2" x14ac:dyDescent="0.25">
      <c r="A11217" s="2">
        <v>11212</v>
      </c>
      <c r="B11217" s="11" t="str">
        <f>"00545357"</f>
        <v>00545357</v>
      </c>
    </row>
    <row r="11218" spans="1:2" x14ac:dyDescent="0.25">
      <c r="A11218" s="2">
        <v>11213</v>
      </c>
      <c r="B11218" s="11" t="str">
        <f>"00545366"</f>
        <v>00545366</v>
      </c>
    </row>
    <row r="11219" spans="1:2" x14ac:dyDescent="0.25">
      <c r="A11219" s="2">
        <v>11214</v>
      </c>
      <c r="B11219" s="11" t="str">
        <f>"00545439"</f>
        <v>00545439</v>
      </c>
    </row>
    <row r="11220" spans="1:2" x14ac:dyDescent="0.25">
      <c r="A11220" s="2">
        <v>11215</v>
      </c>
      <c r="B11220" s="11" t="str">
        <f>"00545442"</f>
        <v>00545442</v>
      </c>
    </row>
    <row r="11221" spans="1:2" x14ac:dyDescent="0.25">
      <c r="A11221" s="2">
        <v>11216</v>
      </c>
      <c r="B11221" s="11" t="str">
        <f>"00545460"</f>
        <v>00545460</v>
      </c>
    </row>
    <row r="11222" spans="1:2" x14ac:dyDescent="0.25">
      <c r="A11222" s="2">
        <v>11217</v>
      </c>
      <c r="B11222" s="11" t="str">
        <f>"00545484"</f>
        <v>00545484</v>
      </c>
    </row>
    <row r="11223" spans="1:2" x14ac:dyDescent="0.25">
      <c r="A11223" s="2">
        <v>11218</v>
      </c>
      <c r="B11223" s="11" t="str">
        <f>"00545537"</f>
        <v>00545537</v>
      </c>
    </row>
    <row r="11224" spans="1:2" x14ac:dyDescent="0.25">
      <c r="A11224" s="2">
        <v>11219</v>
      </c>
      <c r="B11224" s="11" t="str">
        <f>"00545544"</f>
        <v>00545544</v>
      </c>
    </row>
    <row r="11225" spans="1:2" x14ac:dyDescent="0.25">
      <c r="A11225" s="2">
        <v>11220</v>
      </c>
      <c r="B11225" s="11" t="str">
        <f>"00545563"</f>
        <v>00545563</v>
      </c>
    </row>
    <row r="11226" spans="1:2" x14ac:dyDescent="0.25">
      <c r="A11226" s="2">
        <v>11221</v>
      </c>
      <c r="B11226" s="11" t="str">
        <f>"00545572"</f>
        <v>00545572</v>
      </c>
    </row>
    <row r="11227" spans="1:2" x14ac:dyDescent="0.25">
      <c r="A11227" s="2">
        <v>11222</v>
      </c>
      <c r="B11227" s="11" t="str">
        <f>"00545590"</f>
        <v>00545590</v>
      </c>
    </row>
    <row r="11228" spans="1:2" x14ac:dyDescent="0.25">
      <c r="A11228" s="2">
        <v>11223</v>
      </c>
      <c r="B11228" s="11" t="str">
        <f>"00545591"</f>
        <v>00545591</v>
      </c>
    </row>
    <row r="11229" spans="1:2" x14ac:dyDescent="0.25">
      <c r="A11229" s="2">
        <v>11224</v>
      </c>
      <c r="B11229" s="11" t="str">
        <f>"00545610"</f>
        <v>00545610</v>
      </c>
    </row>
    <row r="11230" spans="1:2" x14ac:dyDescent="0.25">
      <c r="A11230" s="2">
        <v>11225</v>
      </c>
      <c r="B11230" s="11" t="str">
        <f>"00545649"</f>
        <v>00545649</v>
      </c>
    </row>
    <row r="11231" spans="1:2" x14ac:dyDescent="0.25">
      <c r="A11231" s="2">
        <v>11226</v>
      </c>
      <c r="B11231" s="11" t="str">
        <f>"00545663"</f>
        <v>00545663</v>
      </c>
    </row>
    <row r="11232" spans="1:2" x14ac:dyDescent="0.25">
      <c r="A11232" s="2">
        <v>11227</v>
      </c>
      <c r="B11232" s="11" t="str">
        <f>"00545664"</f>
        <v>00545664</v>
      </c>
    </row>
    <row r="11233" spans="1:2" x14ac:dyDescent="0.25">
      <c r="A11233" s="2">
        <v>11228</v>
      </c>
      <c r="B11233" s="11" t="str">
        <f>"00545684"</f>
        <v>00545684</v>
      </c>
    </row>
    <row r="11234" spans="1:2" x14ac:dyDescent="0.25">
      <c r="A11234" s="2">
        <v>11229</v>
      </c>
      <c r="B11234" s="11" t="str">
        <f>"00545726"</f>
        <v>00545726</v>
      </c>
    </row>
    <row r="11235" spans="1:2" x14ac:dyDescent="0.25">
      <c r="A11235" s="2">
        <v>11230</v>
      </c>
      <c r="B11235" s="11" t="str">
        <f>"00545779"</f>
        <v>00545779</v>
      </c>
    </row>
    <row r="11236" spans="1:2" x14ac:dyDescent="0.25">
      <c r="A11236" s="2">
        <v>11231</v>
      </c>
      <c r="B11236" s="11" t="str">
        <f>"00545796"</f>
        <v>00545796</v>
      </c>
    </row>
    <row r="11237" spans="1:2" x14ac:dyDescent="0.25">
      <c r="A11237" s="2">
        <v>11232</v>
      </c>
      <c r="B11237" s="11" t="str">
        <f>"00545811"</f>
        <v>00545811</v>
      </c>
    </row>
    <row r="11238" spans="1:2" x14ac:dyDescent="0.25">
      <c r="A11238" s="2">
        <v>11233</v>
      </c>
      <c r="B11238" s="11" t="str">
        <f>"00545837"</f>
        <v>00545837</v>
      </c>
    </row>
    <row r="11239" spans="1:2" x14ac:dyDescent="0.25">
      <c r="A11239" s="2">
        <v>11234</v>
      </c>
      <c r="B11239" s="11" t="str">
        <f>"00545872"</f>
        <v>00545872</v>
      </c>
    </row>
    <row r="11240" spans="1:2" x14ac:dyDescent="0.25">
      <c r="A11240" s="2">
        <v>11235</v>
      </c>
      <c r="B11240" s="11" t="str">
        <f>"00545931"</f>
        <v>00545931</v>
      </c>
    </row>
    <row r="11241" spans="1:2" x14ac:dyDescent="0.25">
      <c r="A11241" s="2">
        <v>11236</v>
      </c>
      <c r="B11241" s="11" t="str">
        <f>"00545952"</f>
        <v>00545952</v>
      </c>
    </row>
    <row r="11242" spans="1:2" x14ac:dyDescent="0.25">
      <c r="A11242" s="2">
        <v>11237</v>
      </c>
      <c r="B11242" s="11" t="str">
        <f>"00545957"</f>
        <v>00545957</v>
      </c>
    </row>
    <row r="11243" spans="1:2" x14ac:dyDescent="0.25">
      <c r="A11243" s="2">
        <v>11238</v>
      </c>
      <c r="B11243" s="11" t="str">
        <f>"00545985"</f>
        <v>00545985</v>
      </c>
    </row>
    <row r="11244" spans="1:2" x14ac:dyDescent="0.25">
      <c r="A11244" s="2">
        <v>11239</v>
      </c>
      <c r="B11244" s="11" t="str">
        <f>"00545988"</f>
        <v>00545988</v>
      </c>
    </row>
    <row r="11245" spans="1:2" x14ac:dyDescent="0.25">
      <c r="A11245" s="2">
        <v>11240</v>
      </c>
      <c r="B11245" s="11" t="str">
        <f>"00546014"</f>
        <v>00546014</v>
      </c>
    </row>
    <row r="11246" spans="1:2" x14ac:dyDescent="0.25">
      <c r="A11246" s="2">
        <v>11241</v>
      </c>
      <c r="B11246" s="11" t="str">
        <f>"00546031"</f>
        <v>00546031</v>
      </c>
    </row>
    <row r="11247" spans="1:2" x14ac:dyDescent="0.25">
      <c r="A11247" s="2">
        <v>11242</v>
      </c>
      <c r="B11247" s="11" t="str">
        <f>"00546035"</f>
        <v>00546035</v>
      </c>
    </row>
    <row r="11248" spans="1:2" x14ac:dyDescent="0.25">
      <c r="A11248" s="2">
        <v>11243</v>
      </c>
      <c r="B11248" s="11" t="str">
        <f>"00546041"</f>
        <v>00546041</v>
      </c>
    </row>
    <row r="11249" spans="1:2" x14ac:dyDescent="0.25">
      <c r="A11249" s="2">
        <v>11244</v>
      </c>
      <c r="B11249" s="11" t="str">
        <f>"00546058"</f>
        <v>00546058</v>
      </c>
    </row>
    <row r="11250" spans="1:2" x14ac:dyDescent="0.25">
      <c r="A11250" s="2">
        <v>11245</v>
      </c>
      <c r="B11250" s="11" t="str">
        <f>"00546075"</f>
        <v>00546075</v>
      </c>
    </row>
    <row r="11251" spans="1:2" x14ac:dyDescent="0.25">
      <c r="A11251" s="2">
        <v>11246</v>
      </c>
      <c r="B11251" s="11" t="str">
        <f>"00546087"</f>
        <v>00546087</v>
      </c>
    </row>
    <row r="11252" spans="1:2" x14ac:dyDescent="0.25">
      <c r="A11252" s="2">
        <v>11247</v>
      </c>
      <c r="B11252" s="11" t="str">
        <f>"00546091"</f>
        <v>00546091</v>
      </c>
    </row>
    <row r="11253" spans="1:2" x14ac:dyDescent="0.25">
      <c r="A11253" s="2">
        <v>11248</v>
      </c>
      <c r="B11253" s="11" t="str">
        <f>"00546109"</f>
        <v>00546109</v>
      </c>
    </row>
    <row r="11254" spans="1:2" x14ac:dyDescent="0.25">
      <c r="A11254" s="2">
        <v>11249</v>
      </c>
      <c r="B11254" s="11" t="str">
        <f>"00546132"</f>
        <v>00546132</v>
      </c>
    </row>
    <row r="11255" spans="1:2" x14ac:dyDescent="0.25">
      <c r="A11255" s="2">
        <v>11250</v>
      </c>
      <c r="B11255" s="11" t="str">
        <f>"00546171"</f>
        <v>00546171</v>
      </c>
    </row>
    <row r="11256" spans="1:2" x14ac:dyDescent="0.25">
      <c r="A11256" s="2">
        <v>11251</v>
      </c>
      <c r="B11256" s="11" t="str">
        <f>"00546187"</f>
        <v>00546187</v>
      </c>
    </row>
    <row r="11257" spans="1:2" x14ac:dyDescent="0.25">
      <c r="A11257" s="2">
        <v>11252</v>
      </c>
      <c r="B11257" s="11" t="str">
        <f>"00546200"</f>
        <v>00546200</v>
      </c>
    </row>
    <row r="11258" spans="1:2" x14ac:dyDescent="0.25">
      <c r="A11258" s="2">
        <v>11253</v>
      </c>
      <c r="B11258" s="11" t="str">
        <f>"00546288"</f>
        <v>00546288</v>
      </c>
    </row>
    <row r="11259" spans="1:2" x14ac:dyDescent="0.25">
      <c r="A11259" s="2">
        <v>11254</v>
      </c>
      <c r="B11259" s="11" t="str">
        <f>"00546289"</f>
        <v>00546289</v>
      </c>
    </row>
    <row r="11260" spans="1:2" x14ac:dyDescent="0.25">
      <c r="A11260" s="2">
        <v>11255</v>
      </c>
      <c r="B11260" s="11" t="str">
        <f>"00546292"</f>
        <v>00546292</v>
      </c>
    </row>
    <row r="11261" spans="1:2" x14ac:dyDescent="0.25">
      <c r="A11261" s="2">
        <v>11256</v>
      </c>
      <c r="B11261" s="11" t="str">
        <f>"00546357"</f>
        <v>00546357</v>
      </c>
    </row>
    <row r="11262" spans="1:2" x14ac:dyDescent="0.25">
      <c r="A11262" s="2">
        <v>11257</v>
      </c>
      <c r="B11262" s="11" t="str">
        <f>"00546370"</f>
        <v>00546370</v>
      </c>
    </row>
    <row r="11263" spans="1:2" x14ac:dyDescent="0.25">
      <c r="A11263" s="2">
        <v>11258</v>
      </c>
      <c r="B11263" s="11" t="str">
        <f>"00546371"</f>
        <v>00546371</v>
      </c>
    </row>
    <row r="11264" spans="1:2" x14ac:dyDescent="0.25">
      <c r="A11264" s="2">
        <v>11259</v>
      </c>
      <c r="B11264" s="11" t="str">
        <f>"00546389"</f>
        <v>00546389</v>
      </c>
    </row>
    <row r="11265" spans="1:2" x14ac:dyDescent="0.25">
      <c r="A11265" s="2">
        <v>11260</v>
      </c>
      <c r="B11265" s="11" t="str">
        <f>"00546416"</f>
        <v>00546416</v>
      </c>
    </row>
    <row r="11266" spans="1:2" x14ac:dyDescent="0.25">
      <c r="A11266" s="2">
        <v>11261</v>
      </c>
      <c r="B11266" s="11" t="str">
        <f>"00546434"</f>
        <v>00546434</v>
      </c>
    </row>
    <row r="11267" spans="1:2" x14ac:dyDescent="0.25">
      <c r="A11267" s="2">
        <v>11262</v>
      </c>
      <c r="B11267" s="11" t="str">
        <f>"00546508"</f>
        <v>00546508</v>
      </c>
    </row>
    <row r="11268" spans="1:2" x14ac:dyDescent="0.25">
      <c r="A11268" s="2">
        <v>11263</v>
      </c>
      <c r="B11268" s="11" t="str">
        <f>"00546556"</f>
        <v>00546556</v>
      </c>
    </row>
    <row r="11269" spans="1:2" x14ac:dyDescent="0.25">
      <c r="A11269" s="2">
        <v>11264</v>
      </c>
      <c r="B11269" s="11" t="str">
        <f>"00546616"</f>
        <v>00546616</v>
      </c>
    </row>
    <row r="11270" spans="1:2" x14ac:dyDescent="0.25">
      <c r="A11270" s="2">
        <v>11265</v>
      </c>
      <c r="B11270" s="11" t="str">
        <f>"00546630"</f>
        <v>00546630</v>
      </c>
    </row>
    <row r="11271" spans="1:2" x14ac:dyDescent="0.25">
      <c r="A11271" s="2">
        <v>11266</v>
      </c>
      <c r="B11271" s="11" t="str">
        <f>"00546634"</f>
        <v>00546634</v>
      </c>
    </row>
    <row r="11272" spans="1:2" x14ac:dyDescent="0.25">
      <c r="A11272" s="2">
        <v>11267</v>
      </c>
      <c r="B11272" s="11" t="str">
        <f>"00546642"</f>
        <v>00546642</v>
      </c>
    </row>
    <row r="11273" spans="1:2" x14ac:dyDescent="0.25">
      <c r="A11273" s="2">
        <v>11268</v>
      </c>
      <c r="B11273" s="11" t="str">
        <f>"00546653"</f>
        <v>00546653</v>
      </c>
    </row>
    <row r="11274" spans="1:2" x14ac:dyDescent="0.25">
      <c r="A11274" s="2">
        <v>11269</v>
      </c>
      <c r="B11274" s="11" t="str">
        <f>"00546658"</f>
        <v>00546658</v>
      </c>
    </row>
    <row r="11275" spans="1:2" x14ac:dyDescent="0.25">
      <c r="A11275" s="2">
        <v>11270</v>
      </c>
      <c r="B11275" s="11" t="str">
        <f>"00546723"</f>
        <v>00546723</v>
      </c>
    </row>
    <row r="11276" spans="1:2" x14ac:dyDescent="0.25">
      <c r="A11276" s="2">
        <v>11271</v>
      </c>
      <c r="B11276" s="11" t="str">
        <f>"00546726"</f>
        <v>00546726</v>
      </c>
    </row>
    <row r="11277" spans="1:2" x14ac:dyDescent="0.25">
      <c r="A11277" s="2">
        <v>11272</v>
      </c>
      <c r="B11277" s="11" t="str">
        <f>"00546727"</f>
        <v>00546727</v>
      </c>
    </row>
    <row r="11278" spans="1:2" x14ac:dyDescent="0.25">
      <c r="A11278" s="2">
        <v>11273</v>
      </c>
      <c r="B11278" s="11" t="str">
        <f>"00546736"</f>
        <v>00546736</v>
      </c>
    </row>
    <row r="11279" spans="1:2" x14ac:dyDescent="0.25">
      <c r="A11279" s="2">
        <v>11274</v>
      </c>
      <c r="B11279" s="11" t="str">
        <f>"00546786"</f>
        <v>00546786</v>
      </c>
    </row>
    <row r="11280" spans="1:2" x14ac:dyDescent="0.25">
      <c r="A11280" s="2">
        <v>11275</v>
      </c>
      <c r="B11280" s="11" t="str">
        <f>"00546861"</f>
        <v>00546861</v>
      </c>
    </row>
    <row r="11281" spans="1:2" x14ac:dyDescent="0.25">
      <c r="A11281" s="2">
        <v>11276</v>
      </c>
      <c r="B11281" s="11" t="str">
        <f>"00546883"</f>
        <v>00546883</v>
      </c>
    </row>
    <row r="11282" spans="1:2" x14ac:dyDescent="0.25">
      <c r="A11282" s="2">
        <v>11277</v>
      </c>
      <c r="B11282" s="11" t="str">
        <f>"00546897"</f>
        <v>00546897</v>
      </c>
    </row>
    <row r="11283" spans="1:2" x14ac:dyDescent="0.25">
      <c r="A11283" s="2">
        <v>11278</v>
      </c>
      <c r="B11283" s="11" t="str">
        <f>"00546899"</f>
        <v>00546899</v>
      </c>
    </row>
    <row r="11284" spans="1:2" x14ac:dyDescent="0.25">
      <c r="A11284" s="2">
        <v>11279</v>
      </c>
      <c r="B11284" s="11" t="str">
        <f>"00546902"</f>
        <v>00546902</v>
      </c>
    </row>
    <row r="11285" spans="1:2" x14ac:dyDescent="0.25">
      <c r="A11285" s="2">
        <v>11280</v>
      </c>
      <c r="B11285" s="11" t="str">
        <f>"00546911"</f>
        <v>00546911</v>
      </c>
    </row>
    <row r="11286" spans="1:2" x14ac:dyDescent="0.25">
      <c r="A11286" s="2">
        <v>11281</v>
      </c>
      <c r="B11286" s="11" t="str">
        <f>"00546915"</f>
        <v>00546915</v>
      </c>
    </row>
    <row r="11287" spans="1:2" x14ac:dyDescent="0.25">
      <c r="A11287" s="2">
        <v>11282</v>
      </c>
      <c r="B11287" s="11" t="str">
        <f>"00546918"</f>
        <v>00546918</v>
      </c>
    </row>
    <row r="11288" spans="1:2" x14ac:dyDescent="0.25">
      <c r="A11288" s="2">
        <v>11283</v>
      </c>
      <c r="B11288" s="11" t="str">
        <f>"00546932"</f>
        <v>00546932</v>
      </c>
    </row>
    <row r="11289" spans="1:2" x14ac:dyDescent="0.25">
      <c r="A11289" s="2">
        <v>11284</v>
      </c>
      <c r="B11289" s="11" t="str">
        <f>"00546966"</f>
        <v>00546966</v>
      </c>
    </row>
    <row r="11290" spans="1:2" x14ac:dyDescent="0.25">
      <c r="A11290" s="2">
        <v>11285</v>
      </c>
      <c r="B11290" s="11" t="str">
        <f>"00546972"</f>
        <v>00546972</v>
      </c>
    </row>
    <row r="11291" spans="1:2" x14ac:dyDescent="0.25">
      <c r="A11291" s="2">
        <v>11286</v>
      </c>
      <c r="B11291" s="11" t="str">
        <f>"00546977"</f>
        <v>00546977</v>
      </c>
    </row>
    <row r="11292" spans="1:2" x14ac:dyDescent="0.25">
      <c r="A11292" s="2">
        <v>11287</v>
      </c>
      <c r="B11292" s="11" t="str">
        <f>"00546983"</f>
        <v>00546983</v>
      </c>
    </row>
    <row r="11293" spans="1:2" x14ac:dyDescent="0.25">
      <c r="A11293" s="2">
        <v>11288</v>
      </c>
      <c r="B11293" s="11" t="str">
        <f>"00546989"</f>
        <v>00546989</v>
      </c>
    </row>
    <row r="11294" spans="1:2" x14ac:dyDescent="0.25">
      <c r="A11294" s="2">
        <v>11289</v>
      </c>
      <c r="B11294" s="11" t="str">
        <f>"00547019"</f>
        <v>00547019</v>
      </c>
    </row>
    <row r="11295" spans="1:2" x14ac:dyDescent="0.25">
      <c r="A11295" s="2">
        <v>11290</v>
      </c>
      <c r="B11295" s="11" t="str">
        <f>"00547032"</f>
        <v>00547032</v>
      </c>
    </row>
    <row r="11296" spans="1:2" x14ac:dyDescent="0.25">
      <c r="A11296" s="2">
        <v>11291</v>
      </c>
      <c r="B11296" s="11" t="str">
        <f>"00547053"</f>
        <v>00547053</v>
      </c>
    </row>
    <row r="11297" spans="1:2" x14ac:dyDescent="0.25">
      <c r="A11297" s="2">
        <v>11292</v>
      </c>
      <c r="B11297" s="11" t="str">
        <f>"00547081"</f>
        <v>00547081</v>
      </c>
    </row>
    <row r="11298" spans="1:2" x14ac:dyDescent="0.25">
      <c r="A11298" s="2">
        <v>11293</v>
      </c>
      <c r="B11298" s="11" t="str">
        <f>"00547100"</f>
        <v>00547100</v>
      </c>
    </row>
    <row r="11299" spans="1:2" x14ac:dyDescent="0.25">
      <c r="A11299" s="2">
        <v>11294</v>
      </c>
      <c r="B11299" s="11" t="str">
        <f>"00547150"</f>
        <v>00547150</v>
      </c>
    </row>
    <row r="11300" spans="1:2" x14ac:dyDescent="0.25">
      <c r="A11300" s="2">
        <v>11295</v>
      </c>
      <c r="B11300" s="11" t="str">
        <f>"00547170"</f>
        <v>00547170</v>
      </c>
    </row>
    <row r="11301" spans="1:2" x14ac:dyDescent="0.25">
      <c r="A11301" s="2">
        <v>11296</v>
      </c>
      <c r="B11301" s="11" t="str">
        <f>"00547196"</f>
        <v>00547196</v>
      </c>
    </row>
    <row r="11302" spans="1:2" x14ac:dyDescent="0.25">
      <c r="A11302" s="2">
        <v>11297</v>
      </c>
      <c r="B11302" s="11" t="str">
        <f>"00547215"</f>
        <v>00547215</v>
      </c>
    </row>
    <row r="11303" spans="1:2" x14ac:dyDescent="0.25">
      <c r="A11303" s="2">
        <v>11298</v>
      </c>
      <c r="B11303" s="11" t="str">
        <f>"00547219"</f>
        <v>00547219</v>
      </c>
    </row>
    <row r="11304" spans="1:2" x14ac:dyDescent="0.25">
      <c r="A11304" s="2">
        <v>11299</v>
      </c>
      <c r="B11304" s="11" t="str">
        <f>"00547259"</f>
        <v>00547259</v>
      </c>
    </row>
    <row r="11305" spans="1:2" x14ac:dyDescent="0.25">
      <c r="A11305" s="2">
        <v>11300</v>
      </c>
      <c r="B11305" s="11" t="str">
        <f>"00547282"</f>
        <v>00547282</v>
      </c>
    </row>
    <row r="11306" spans="1:2" x14ac:dyDescent="0.25">
      <c r="A11306" s="2">
        <v>11301</v>
      </c>
      <c r="B11306" s="11" t="str">
        <f>"00547284"</f>
        <v>00547284</v>
      </c>
    </row>
    <row r="11307" spans="1:2" x14ac:dyDescent="0.25">
      <c r="A11307" s="2">
        <v>11302</v>
      </c>
      <c r="B11307" s="11" t="str">
        <f>"00547292"</f>
        <v>00547292</v>
      </c>
    </row>
    <row r="11308" spans="1:2" x14ac:dyDescent="0.25">
      <c r="A11308" s="2">
        <v>11303</v>
      </c>
      <c r="B11308" s="11" t="str">
        <f>"00547294"</f>
        <v>00547294</v>
      </c>
    </row>
    <row r="11309" spans="1:2" x14ac:dyDescent="0.25">
      <c r="A11309" s="2">
        <v>11304</v>
      </c>
      <c r="B11309" s="11" t="str">
        <f>"00547299"</f>
        <v>00547299</v>
      </c>
    </row>
    <row r="11310" spans="1:2" x14ac:dyDescent="0.25">
      <c r="A11310" s="2">
        <v>11305</v>
      </c>
      <c r="B11310" s="11" t="str">
        <f>"00547306"</f>
        <v>00547306</v>
      </c>
    </row>
    <row r="11311" spans="1:2" x14ac:dyDescent="0.25">
      <c r="A11311" s="2">
        <v>11306</v>
      </c>
      <c r="B11311" s="11" t="str">
        <f>"00547371"</f>
        <v>00547371</v>
      </c>
    </row>
    <row r="11312" spans="1:2" x14ac:dyDescent="0.25">
      <c r="A11312" s="2">
        <v>11307</v>
      </c>
      <c r="B11312" s="11" t="str">
        <f>"00547380"</f>
        <v>00547380</v>
      </c>
    </row>
    <row r="11313" spans="1:2" x14ac:dyDescent="0.25">
      <c r="A11313" s="2">
        <v>11308</v>
      </c>
      <c r="B11313" s="11" t="str">
        <f>"00547418"</f>
        <v>00547418</v>
      </c>
    </row>
    <row r="11314" spans="1:2" x14ac:dyDescent="0.25">
      <c r="A11314" s="2">
        <v>11309</v>
      </c>
      <c r="B11314" s="11" t="str">
        <f>"00547422"</f>
        <v>00547422</v>
      </c>
    </row>
    <row r="11315" spans="1:2" x14ac:dyDescent="0.25">
      <c r="A11315" s="2">
        <v>11310</v>
      </c>
      <c r="B11315" s="11" t="str">
        <f>"00547436"</f>
        <v>00547436</v>
      </c>
    </row>
    <row r="11316" spans="1:2" x14ac:dyDescent="0.25">
      <c r="A11316" s="2">
        <v>11311</v>
      </c>
      <c r="B11316" s="11" t="str">
        <f>"00547478"</f>
        <v>00547478</v>
      </c>
    </row>
    <row r="11317" spans="1:2" x14ac:dyDescent="0.25">
      <c r="A11317" s="2">
        <v>11312</v>
      </c>
      <c r="B11317" s="11" t="str">
        <f>"00547505"</f>
        <v>00547505</v>
      </c>
    </row>
    <row r="11318" spans="1:2" x14ac:dyDescent="0.25">
      <c r="A11318" s="2">
        <v>11313</v>
      </c>
      <c r="B11318" s="11" t="str">
        <f>"00547511"</f>
        <v>00547511</v>
      </c>
    </row>
    <row r="11319" spans="1:2" x14ac:dyDescent="0.25">
      <c r="A11319" s="2">
        <v>11314</v>
      </c>
      <c r="B11319" s="11" t="str">
        <f>"00547514"</f>
        <v>00547514</v>
      </c>
    </row>
    <row r="11320" spans="1:2" x14ac:dyDescent="0.25">
      <c r="A11320" s="2">
        <v>11315</v>
      </c>
      <c r="B11320" s="11" t="str">
        <f>"00547528"</f>
        <v>00547528</v>
      </c>
    </row>
    <row r="11321" spans="1:2" x14ac:dyDescent="0.25">
      <c r="A11321" s="2">
        <v>11316</v>
      </c>
      <c r="B11321" s="11" t="str">
        <f>"00547529"</f>
        <v>00547529</v>
      </c>
    </row>
    <row r="11322" spans="1:2" x14ac:dyDescent="0.25">
      <c r="A11322" s="2">
        <v>11317</v>
      </c>
      <c r="B11322" s="11" t="str">
        <f>"00547531"</f>
        <v>00547531</v>
      </c>
    </row>
    <row r="11323" spans="1:2" x14ac:dyDescent="0.25">
      <c r="A11323" s="2">
        <v>11318</v>
      </c>
      <c r="B11323" s="11" t="str">
        <f>"00547533"</f>
        <v>00547533</v>
      </c>
    </row>
    <row r="11324" spans="1:2" x14ac:dyDescent="0.25">
      <c r="A11324" s="2">
        <v>11319</v>
      </c>
      <c r="B11324" s="11" t="str">
        <f>"00547541"</f>
        <v>00547541</v>
      </c>
    </row>
    <row r="11325" spans="1:2" x14ac:dyDescent="0.25">
      <c r="A11325" s="2">
        <v>11320</v>
      </c>
      <c r="B11325" s="11" t="str">
        <f>"00547568"</f>
        <v>00547568</v>
      </c>
    </row>
    <row r="11326" spans="1:2" x14ac:dyDescent="0.25">
      <c r="A11326" s="2">
        <v>11321</v>
      </c>
      <c r="B11326" s="11" t="str">
        <f>"00547572"</f>
        <v>00547572</v>
      </c>
    </row>
    <row r="11327" spans="1:2" x14ac:dyDescent="0.25">
      <c r="A11327" s="2">
        <v>11322</v>
      </c>
      <c r="B11327" s="11" t="str">
        <f>"00547575"</f>
        <v>00547575</v>
      </c>
    </row>
    <row r="11328" spans="1:2" x14ac:dyDescent="0.25">
      <c r="A11328" s="2">
        <v>11323</v>
      </c>
      <c r="B11328" s="11" t="str">
        <f>"00547588"</f>
        <v>00547588</v>
      </c>
    </row>
    <row r="11329" spans="1:2" x14ac:dyDescent="0.25">
      <c r="A11329" s="2">
        <v>11324</v>
      </c>
      <c r="B11329" s="11" t="str">
        <f>"00547590"</f>
        <v>00547590</v>
      </c>
    </row>
    <row r="11330" spans="1:2" x14ac:dyDescent="0.25">
      <c r="A11330" s="2">
        <v>11325</v>
      </c>
      <c r="B11330" s="11" t="str">
        <f>"00547591"</f>
        <v>00547591</v>
      </c>
    </row>
    <row r="11331" spans="1:2" x14ac:dyDescent="0.25">
      <c r="A11331" s="2">
        <v>11326</v>
      </c>
      <c r="B11331" s="11" t="str">
        <f>"00547668"</f>
        <v>00547668</v>
      </c>
    </row>
    <row r="11332" spans="1:2" x14ac:dyDescent="0.25">
      <c r="A11332" s="2">
        <v>11327</v>
      </c>
      <c r="B11332" s="11" t="str">
        <f>"00547689"</f>
        <v>00547689</v>
      </c>
    </row>
    <row r="11333" spans="1:2" x14ac:dyDescent="0.25">
      <c r="A11333" s="2">
        <v>11328</v>
      </c>
      <c r="B11333" s="11" t="str">
        <f>"00547699"</f>
        <v>00547699</v>
      </c>
    </row>
    <row r="11334" spans="1:2" x14ac:dyDescent="0.25">
      <c r="A11334" s="2">
        <v>11329</v>
      </c>
      <c r="B11334" s="11" t="str">
        <f>"00547705"</f>
        <v>00547705</v>
      </c>
    </row>
    <row r="11335" spans="1:2" x14ac:dyDescent="0.25">
      <c r="A11335" s="2">
        <v>11330</v>
      </c>
      <c r="B11335" s="11" t="str">
        <f>"00547708"</f>
        <v>00547708</v>
      </c>
    </row>
    <row r="11336" spans="1:2" x14ac:dyDescent="0.25">
      <c r="A11336" s="2">
        <v>11331</v>
      </c>
      <c r="B11336" s="11" t="str">
        <f>"00547714"</f>
        <v>00547714</v>
      </c>
    </row>
    <row r="11337" spans="1:2" x14ac:dyDescent="0.25">
      <c r="A11337" s="2">
        <v>11332</v>
      </c>
      <c r="B11337" s="11" t="str">
        <f>"00547723"</f>
        <v>00547723</v>
      </c>
    </row>
    <row r="11338" spans="1:2" x14ac:dyDescent="0.25">
      <c r="A11338" s="2">
        <v>11333</v>
      </c>
      <c r="B11338" s="11" t="str">
        <f>"00547762"</f>
        <v>00547762</v>
      </c>
    </row>
    <row r="11339" spans="1:2" x14ac:dyDescent="0.25">
      <c r="A11339" s="2">
        <v>11334</v>
      </c>
      <c r="B11339" s="11" t="str">
        <f>"00547772"</f>
        <v>00547772</v>
      </c>
    </row>
    <row r="11340" spans="1:2" x14ac:dyDescent="0.25">
      <c r="A11340" s="2">
        <v>11335</v>
      </c>
      <c r="B11340" s="11" t="str">
        <f>"00547777"</f>
        <v>00547777</v>
      </c>
    </row>
    <row r="11341" spans="1:2" x14ac:dyDescent="0.25">
      <c r="A11341" s="2">
        <v>11336</v>
      </c>
      <c r="B11341" s="11" t="str">
        <f>"00547859"</f>
        <v>00547859</v>
      </c>
    </row>
    <row r="11342" spans="1:2" x14ac:dyDescent="0.25">
      <c r="A11342" s="2">
        <v>11337</v>
      </c>
      <c r="B11342" s="11" t="str">
        <f>"00547898"</f>
        <v>00547898</v>
      </c>
    </row>
    <row r="11343" spans="1:2" x14ac:dyDescent="0.25">
      <c r="A11343" s="2">
        <v>11338</v>
      </c>
      <c r="B11343" s="11" t="str">
        <f>"00547908"</f>
        <v>00547908</v>
      </c>
    </row>
    <row r="11344" spans="1:2" x14ac:dyDescent="0.25">
      <c r="A11344" s="2">
        <v>11339</v>
      </c>
      <c r="B11344" s="11" t="str">
        <f>"00547925"</f>
        <v>00547925</v>
      </c>
    </row>
    <row r="11345" spans="1:2" x14ac:dyDescent="0.25">
      <c r="A11345" s="2">
        <v>11340</v>
      </c>
      <c r="B11345" s="11" t="str">
        <f>"00547929"</f>
        <v>00547929</v>
      </c>
    </row>
    <row r="11346" spans="1:2" x14ac:dyDescent="0.25">
      <c r="A11346" s="2">
        <v>11341</v>
      </c>
      <c r="B11346" s="11" t="str">
        <f>"00547936"</f>
        <v>00547936</v>
      </c>
    </row>
    <row r="11347" spans="1:2" x14ac:dyDescent="0.25">
      <c r="A11347" s="2">
        <v>11342</v>
      </c>
      <c r="B11347" s="11" t="str">
        <f>"00547945"</f>
        <v>00547945</v>
      </c>
    </row>
    <row r="11348" spans="1:2" x14ac:dyDescent="0.25">
      <c r="A11348" s="2">
        <v>11343</v>
      </c>
      <c r="B11348" s="11" t="str">
        <f>"00547951"</f>
        <v>00547951</v>
      </c>
    </row>
    <row r="11349" spans="1:2" x14ac:dyDescent="0.25">
      <c r="A11349" s="2">
        <v>11344</v>
      </c>
      <c r="B11349" s="11" t="str">
        <f>"00547955"</f>
        <v>00547955</v>
      </c>
    </row>
    <row r="11350" spans="1:2" x14ac:dyDescent="0.25">
      <c r="A11350" s="2">
        <v>11345</v>
      </c>
      <c r="B11350" s="11" t="str">
        <f>"00548004"</f>
        <v>00548004</v>
      </c>
    </row>
    <row r="11351" spans="1:2" x14ac:dyDescent="0.25">
      <c r="A11351" s="2">
        <v>11346</v>
      </c>
      <c r="B11351" s="11" t="str">
        <f>"00548013"</f>
        <v>00548013</v>
      </c>
    </row>
    <row r="11352" spans="1:2" x14ac:dyDescent="0.25">
      <c r="A11352" s="2">
        <v>11347</v>
      </c>
      <c r="B11352" s="11" t="str">
        <f>"00548025"</f>
        <v>00548025</v>
      </c>
    </row>
    <row r="11353" spans="1:2" x14ac:dyDescent="0.25">
      <c r="A11353" s="2">
        <v>11348</v>
      </c>
      <c r="B11353" s="11" t="str">
        <f>"00548031"</f>
        <v>00548031</v>
      </c>
    </row>
    <row r="11354" spans="1:2" x14ac:dyDescent="0.25">
      <c r="A11354" s="2">
        <v>11349</v>
      </c>
      <c r="B11354" s="11" t="str">
        <f>"00548045"</f>
        <v>00548045</v>
      </c>
    </row>
    <row r="11355" spans="1:2" x14ac:dyDescent="0.25">
      <c r="A11355" s="2">
        <v>11350</v>
      </c>
      <c r="B11355" s="11" t="str">
        <f>"00548060"</f>
        <v>00548060</v>
      </c>
    </row>
    <row r="11356" spans="1:2" x14ac:dyDescent="0.25">
      <c r="A11356" s="2">
        <v>11351</v>
      </c>
      <c r="B11356" s="11" t="str">
        <f>"00548061"</f>
        <v>00548061</v>
      </c>
    </row>
    <row r="11357" spans="1:2" x14ac:dyDescent="0.25">
      <c r="A11357" s="2">
        <v>11352</v>
      </c>
      <c r="B11357" s="11" t="str">
        <f>"00548072"</f>
        <v>00548072</v>
      </c>
    </row>
    <row r="11358" spans="1:2" x14ac:dyDescent="0.25">
      <c r="A11358" s="2">
        <v>11353</v>
      </c>
      <c r="B11358" s="11" t="str">
        <f>"00548085"</f>
        <v>00548085</v>
      </c>
    </row>
    <row r="11359" spans="1:2" x14ac:dyDescent="0.25">
      <c r="A11359" s="2">
        <v>11354</v>
      </c>
      <c r="B11359" s="11" t="str">
        <f>"00548092"</f>
        <v>00548092</v>
      </c>
    </row>
    <row r="11360" spans="1:2" x14ac:dyDescent="0.25">
      <c r="A11360" s="2">
        <v>11355</v>
      </c>
      <c r="B11360" s="11" t="str">
        <f>"00548093"</f>
        <v>00548093</v>
      </c>
    </row>
    <row r="11361" spans="1:2" x14ac:dyDescent="0.25">
      <c r="A11361" s="2">
        <v>11356</v>
      </c>
      <c r="B11361" s="11" t="str">
        <f>"00548112"</f>
        <v>00548112</v>
      </c>
    </row>
    <row r="11362" spans="1:2" x14ac:dyDescent="0.25">
      <c r="A11362" s="2">
        <v>11357</v>
      </c>
      <c r="B11362" s="11" t="str">
        <f>"00548149"</f>
        <v>00548149</v>
      </c>
    </row>
    <row r="11363" spans="1:2" x14ac:dyDescent="0.25">
      <c r="A11363" s="2">
        <v>11358</v>
      </c>
      <c r="B11363" s="11" t="str">
        <f>"00548168"</f>
        <v>00548168</v>
      </c>
    </row>
    <row r="11364" spans="1:2" x14ac:dyDescent="0.25">
      <c r="A11364" s="2">
        <v>11359</v>
      </c>
      <c r="B11364" s="11" t="str">
        <f>"00548174"</f>
        <v>00548174</v>
      </c>
    </row>
    <row r="11365" spans="1:2" x14ac:dyDescent="0.25">
      <c r="A11365" s="2">
        <v>11360</v>
      </c>
      <c r="B11365" s="11" t="str">
        <f>"00548184"</f>
        <v>00548184</v>
      </c>
    </row>
    <row r="11366" spans="1:2" x14ac:dyDescent="0.25">
      <c r="A11366" s="2">
        <v>11361</v>
      </c>
      <c r="B11366" s="11" t="str">
        <f>"00548185"</f>
        <v>00548185</v>
      </c>
    </row>
    <row r="11367" spans="1:2" x14ac:dyDescent="0.25">
      <c r="A11367" s="2">
        <v>11362</v>
      </c>
      <c r="B11367" s="11" t="str">
        <f>"00548203"</f>
        <v>00548203</v>
      </c>
    </row>
    <row r="11368" spans="1:2" x14ac:dyDescent="0.25">
      <c r="A11368" s="2">
        <v>11363</v>
      </c>
      <c r="B11368" s="11" t="str">
        <f>"00548214"</f>
        <v>00548214</v>
      </c>
    </row>
    <row r="11369" spans="1:2" x14ac:dyDescent="0.25">
      <c r="A11369" s="2">
        <v>11364</v>
      </c>
      <c r="B11369" s="11" t="str">
        <f>"00548229"</f>
        <v>00548229</v>
      </c>
    </row>
    <row r="11370" spans="1:2" x14ac:dyDescent="0.25">
      <c r="A11370" s="2">
        <v>11365</v>
      </c>
      <c r="B11370" s="11" t="str">
        <f>"00548246"</f>
        <v>00548246</v>
      </c>
    </row>
    <row r="11371" spans="1:2" x14ac:dyDescent="0.25">
      <c r="A11371" s="2">
        <v>11366</v>
      </c>
      <c r="B11371" s="11" t="str">
        <f>"00548268"</f>
        <v>00548268</v>
      </c>
    </row>
    <row r="11372" spans="1:2" x14ac:dyDescent="0.25">
      <c r="A11372" s="2">
        <v>11367</v>
      </c>
      <c r="B11372" s="11" t="str">
        <f>"00548287"</f>
        <v>00548287</v>
      </c>
    </row>
    <row r="11373" spans="1:2" x14ac:dyDescent="0.25">
      <c r="A11373" s="2">
        <v>11368</v>
      </c>
      <c r="B11373" s="11" t="str">
        <f>"00548306"</f>
        <v>00548306</v>
      </c>
    </row>
    <row r="11374" spans="1:2" x14ac:dyDescent="0.25">
      <c r="A11374" s="2">
        <v>11369</v>
      </c>
      <c r="B11374" s="11" t="str">
        <f>"00548315"</f>
        <v>00548315</v>
      </c>
    </row>
    <row r="11375" spans="1:2" x14ac:dyDescent="0.25">
      <c r="A11375" s="2">
        <v>11370</v>
      </c>
      <c r="B11375" s="11" t="str">
        <f>"00548316"</f>
        <v>00548316</v>
      </c>
    </row>
    <row r="11376" spans="1:2" x14ac:dyDescent="0.25">
      <c r="A11376" s="2">
        <v>11371</v>
      </c>
      <c r="B11376" s="11" t="str">
        <f>"00548329"</f>
        <v>00548329</v>
      </c>
    </row>
    <row r="11377" spans="1:2" x14ac:dyDescent="0.25">
      <c r="A11377" s="2">
        <v>11372</v>
      </c>
      <c r="B11377" s="11" t="str">
        <f>"00548349"</f>
        <v>00548349</v>
      </c>
    </row>
    <row r="11378" spans="1:2" x14ac:dyDescent="0.25">
      <c r="A11378" s="2">
        <v>11373</v>
      </c>
      <c r="B11378" s="11" t="str">
        <f>"00548351"</f>
        <v>00548351</v>
      </c>
    </row>
    <row r="11379" spans="1:2" x14ac:dyDescent="0.25">
      <c r="A11379" s="2">
        <v>11374</v>
      </c>
      <c r="B11379" s="11" t="str">
        <f>"00548360"</f>
        <v>00548360</v>
      </c>
    </row>
    <row r="11380" spans="1:2" x14ac:dyDescent="0.25">
      <c r="A11380" s="2">
        <v>11375</v>
      </c>
      <c r="B11380" s="11" t="str">
        <f>"00548380"</f>
        <v>00548380</v>
      </c>
    </row>
    <row r="11381" spans="1:2" x14ac:dyDescent="0.25">
      <c r="A11381" s="2">
        <v>11376</v>
      </c>
      <c r="B11381" s="11" t="str">
        <f>"00548447"</f>
        <v>00548447</v>
      </c>
    </row>
    <row r="11382" spans="1:2" x14ac:dyDescent="0.25">
      <c r="A11382" s="2">
        <v>11377</v>
      </c>
      <c r="B11382" s="11" t="str">
        <f>"00548512"</f>
        <v>00548512</v>
      </c>
    </row>
    <row r="11383" spans="1:2" x14ac:dyDescent="0.25">
      <c r="A11383" s="2">
        <v>11378</v>
      </c>
      <c r="B11383" s="11" t="str">
        <f>"00548518"</f>
        <v>00548518</v>
      </c>
    </row>
    <row r="11384" spans="1:2" x14ac:dyDescent="0.25">
      <c r="A11384" s="2">
        <v>11379</v>
      </c>
      <c r="B11384" s="11" t="str">
        <f>"00548534"</f>
        <v>00548534</v>
      </c>
    </row>
    <row r="11385" spans="1:2" x14ac:dyDescent="0.25">
      <c r="A11385" s="2">
        <v>11380</v>
      </c>
      <c r="B11385" s="11" t="str">
        <f>"00548541"</f>
        <v>00548541</v>
      </c>
    </row>
    <row r="11386" spans="1:2" x14ac:dyDescent="0.25">
      <c r="A11386" s="2">
        <v>11381</v>
      </c>
      <c r="B11386" s="11" t="str">
        <f>"00548549"</f>
        <v>00548549</v>
      </c>
    </row>
    <row r="11387" spans="1:2" x14ac:dyDescent="0.25">
      <c r="A11387" s="2">
        <v>11382</v>
      </c>
      <c r="B11387" s="11" t="str">
        <f>"00548598"</f>
        <v>00548598</v>
      </c>
    </row>
    <row r="11388" spans="1:2" x14ac:dyDescent="0.25">
      <c r="A11388" s="2">
        <v>11383</v>
      </c>
      <c r="B11388" s="11" t="str">
        <f>"00548614"</f>
        <v>00548614</v>
      </c>
    </row>
    <row r="11389" spans="1:2" x14ac:dyDescent="0.25">
      <c r="A11389" s="2">
        <v>11384</v>
      </c>
      <c r="B11389" s="11" t="str">
        <f>"00548638"</f>
        <v>00548638</v>
      </c>
    </row>
    <row r="11390" spans="1:2" x14ac:dyDescent="0.25">
      <c r="A11390" s="2">
        <v>11385</v>
      </c>
      <c r="B11390" s="11" t="str">
        <f>"00548642"</f>
        <v>00548642</v>
      </c>
    </row>
    <row r="11391" spans="1:2" x14ac:dyDescent="0.25">
      <c r="A11391" s="2">
        <v>11386</v>
      </c>
      <c r="B11391" s="11" t="str">
        <f>"00548658"</f>
        <v>00548658</v>
      </c>
    </row>
    <row r="11392" spans="1:2" x14ac:dyDescent="0.25">
      <c r="A11392" s="2">
        <v>11387</v>
      </c>
      <c r="B11392" s="11" t="str">
        <f>"00548676"</f>
        <v>00548676</v>
      </c>
    </row>
    <row r="11393" spans="1:2" x14ac:dyDescent="0.25">
      <c r="A11393" s="2">
        <v>11388</v>
      </c>
      <c r="B11393" s="11" t="str">
        <f>"00548716"</f>
        <v>00548716</v>
      </c>
    </row>
    <row r="11394" spans="1:2" x14ac:dyDescent="0.25">
      <c r="A11394" s="2">
        <v>11389</v>
      </c>
      <c r="B11394" s="11" t="str">
        <f>"00548719"</f>
        <v>00548719</v>
      </c>
    </row>
    <row r="11395" spans="1:2" x14ac:dyDescent="0.25">
      <c r="A11395" s="2">
        <v>11390</v>
      </c>
      <c r="B11395" s="11" t="str">
        <f>"00548740"</f>
        <v>00548740</v>
      </c>
    </row>
    <row r="11396" spans="1:2" x14ac:dyDescent="0.25">
      <c r="A11396" s="2">
        <v>11391</v>
      </c>
      <c r="B11396" s="11" t="str">
        <f>"00548742"</f>
        <v>00548742</v>
      </c>
    </row>
    <row r="11397" spans="1:2" x14ac:dyDescent="0.25">
      <c r="A11397" s="2">
        <v>11392</v>
      </c>
      <c r="B11397" s="11" t="str">
        <f>"00548755"</f>
        <v>00548755</v>
      </c>
    </row>
    <row r="11398" spans="1:2" x14ac:dyDescent="0.25">
      <c r="A11398" s="2">
        <v>11393</v>
      </c>
      <c r="B11398" s="11" t="str">
        <f>"00548776"</f>
        <v>00548776</v>
      </c>
    </row>
    <row r="11399" spans="1:2" x14ac:dyDescent="0.25">
      <c r="A11399" s="2">
        <v>11394</v>
      </c>
      <c r="B11399" s="11" t="str">
        <f>"00548782"</f>
        <v>00548782</v>
      </c>
    </row>
    <row r="11400" spans="1:2" x14ac:dyDescent="0.25">
      <c r="A11400" s="2">
        <v>11395</v>
      </c>
      <c r="B11400" s="11" t="str">
        <f>"00548791"</f>
        <v>00548791</v>
      </c>
    </row>
    <row r="11401" spans="1:2" x14ac:dyDescent="0.25">
      <c r="A11401" s="2">
        <v>11396</v>
      </c>
      <c r="B11401" s="11" t="str">
        <f>"00548809"</f>
        <v>00548809</v>
      </c>
    </row>
    <row r="11402" spans="1:2" x14ac:dyDescent="0.25">
      <c r="A11402" s="2">
        <v>11397</v>
      </c>
      <c r="B11402" s="11" t="str">
        <f>"00548817"</f>
        <v>00548817</v>
      </c>
    </row>
    <row r="11403" spans="1:2" x14ac:dyDescent="0.25">
      <c r="A11403" s="2">
        <v>11398</v>
      </c>
      <c r="B11403" s="11" t="str">
        <f>"00548825"</f>
        <v>00548825</v>
      </c>
    </row>
    <row r="11404" spans="1:2" x14ac:dyDescent="0.25">
      <c r="A11404" s="2">
        <v>11399</v>
      </c>
      <c r="B11404" s="11" t="str">
        <f>"00548835"</f>
        <v>00548835</v>
      </c>
    </row>
    <row r="11405" spans="1:2" x14ac:dyDescent="0.25">
      <c r="A11405" s="2">
        <v>11400</v>
      </c>
      <c r="B11405" s="11" t="str">
        <f>"00548848"</f>
        <v>00548848</v>
      </c>
    </row>
    <row r="11406" spans="1:2" x14ac:dyDescent="0.25">
      <c r="A11406" s="2">
        <v>11401</v>
      </c>
      <c r="B11406" s="11" t="str">
        <f>"00548858"</f>
        <v>00548858</v>
      </c>
    </row>
    <row r="11407" spans="1:2" x14ac:dyDescent="0.25">
      <c r="A11407" s="2">
        <v>11402</v>
      </c>
      <c r="B11407" s="11" t="str">
        <f>"00548914"</f>
        <v>00548914</v>
      </c>
    </row>
    <row r="11408" spans="1:2" x14ac:dyDescent="0.25">
      <c r="A11408" s="2">
        <v>11403</v>
      </c>
      <c r="B11408" s="11" t="str">
        <f>"00548985"</f>
        <v>00548985</v>
      </c>
    </row>
    <row r="11409" spans="1:2" x14ac:dyDescent="0.25">
      <c r="A11409" s="2">
        <v>11404</v>
      </c>
      <c r="B11409" s="11" t="str">
        <f>"00548993"</f>
        <v>00548993</v>
      </c>
    </row>
    <row r="11410" spans="1:2" x14ac:dyDescent="0.25">
      <c r="A11410" s="2">
        <v>11405</v>
      </c>
      <c r="B11410" s="11" t="str">
        <f>"00548994"</f>
        <v>00548994</v>
      </c>
    </row>
    <row r="11411" spans="1:2" x14ac:dyDescent="0.25">
      <c r="A11411" s="2">
        <v>11406</v>
      </c>
      <c r="B11411" s="11" t="str">
        <f>"00549019"</f>
        <v>00549019</v>
      </c>
    </row>
    <row r="11412" spans="1:2" x14ac:dyDescent="0.25">
      <c r="A11412" s="2">
        <v>11407</v>
      </c>
      <c r="B11412" s="11" t="str">
        <f>"00549025"</f>
        <v>00549025</v>
      </c>
    </row>
    <row r="11413" spans="1:2" x14ac:dyDescent="0.25">
      <c r="A11413" s="2">
        <v>11408</v>
      </c>
      <c r="B11413" s="11" t="str">
        <f>"00549039"</f>
        <v>00549039</v>
      </c>
    </row>
    <row r="11414" spans="1:2" x14ac:dyDescent="0.25">
      <c r="A11414" s="2">
        <v>11409</v>
      </c>
      <c r="B11414" s="11" t="str">
        <f>"00549069"</f>
        <v>00549069</v>
      </c>
    </row>
    <row r="11415" spans="1:2" x14ac:dyDescent="0.25">
      <c r="A11415" s="2">
        <v>11410</v>
      </c>
      <c r="B11415" s="11" t="str">
        <f>"00549071"</f>
        <v>00549071</v>
      </c>
    </row>
    <row r="11416" spans="1:2" x14ac:dyDescent="0.25">
      <c r="A11416" s="2">
        <v>11411</v>
      </c>
      <c r="B11416" s="11" t="str">
        <f>"00549073"</f>
        <v>00549073</v>
      </c>
    </row>
    <row r="11417" spans="1:2" x14ac:dyDescent="0.25">
      <c r="A11417" s="2">
        <v>11412</v>
      </c>
      <c r="B11417" s="11" t="str">
        <f>"00549076"</f>
        <v>00549076</v>
      </c>
    </row>
    <row r="11418" spans="1:2" x14ac:dyDescent="0.25">
      <c r="A11418" s="2">
        <v>11413</v>
      </c>
      <c r="B11418" s="11" t="str">
        <f>"00549093"</f>
        <v>00549093</v>
      </c>
    </row>
    <row r="11419" spans="1:2" x14ac:dyDescent="0.25">
      <c r="A11419" s="2">
        <v>11414</v>
      </c>
      <c r="B11419" s="11" t="str">
        <f>"00549096"</f>
        <v>00549096</v>
      </c>
    </row>
    <row r="11420" spans="1:2" x14ac:dyDescent="0.25">
      <c r="A11420" s="2">
        <v>11415</v>
      </c>
      <c r="B11420" s="11" t="str">
        <f>"00549175"</f>
        <v>00549175</v>
      </c>
    </row>
    <row r="11421" spans="1:2" x14ac:dyDescent="0.25">
      <c r="A11421" s="2">
        <v>11416</v>
      </c>
      <c r="B11421" s="11" t="str">
        <f>"00549191"</f>
        <v>00549191</v>
      </c>
    </row>
    <row r="11422" spans="1:2" x14ac:dyDescent="0.25">
      <c r="A11422" s="2">
        <v>11417</v>
      </c>
      <c r="B11422" s="11" t="str">
        <f>"00549197"</f>
        <v>00549197</v>
      </c>
    </row>
    <row r="11423" spans="1:2" x14ac:dyDescent="0.25">
      <c r="A11423" s="2">
        <v>11418</v>
      </c>
      <c r="B11423" s="11" t="str">
        <f>"00549198"</f>
        <v>00549198</v>
      </c>
    </row>
    <row r="11424" spans="1:2" x14ac:dyDescent="0.25">
      <c r="A11424" s="2">
        <v>11419</v>
      </c>
      <c r="B11424" s="11" t="str">
        <f>"00549235"</f>
        <v>00549235</v>
      </c>
    </row>
    <row r="11425" spans="1:2" x14ac:dyDescent="0.25">
      <c r="A11425" s="2">
        <v>11420</v>
      </c>
      <c r="B11425" s="11" t="str">
        <f>"00549253"</f>
        <v>00549253</v>
      </c>
    </row>
    <row r="11426" spans="1:2" x14ac:dyDescent="0.25">
      <c r="A11426" s="2">
        <v>11421</v>
      </c>
      <c r="B11426" s="11" t="str">
        <f>"00549254"</f>
        <v>00549254</v>
      </c>
    </row>
    <row r="11427" spans="1:2" x14ac:dyDescent="0.25">
      <c r="A11427" s="2">
        <v>11422</v>
      </c>
      <c r="B11427" s="11" t="str">
        <f>"00549269"</f>
        <v>00549269</v>
      </c>
    </row>
    <row r="11428" spans="1:2" x14ac:dyDescent="0.25">
      <c r="A11428" s="2">
        <v>11423</v>
      </c>
      <c r="B11428" s="11" t="str">
        <f>"00549293"</f>
        <v>00549293</v>
      </c>
    </row>
    <row r="11429" spans="1:2" x14ac:dyDescent="0.25">
      <c r="A11429" s="2">
        <v>11424</v>
      </c>
      <c r="B11429" s="11" t="str">
        <f>"00549296"</f>
        <v>00549296</v>
      </c>
    </row>
    <row r="11430" spans="1:2" x14ac:dyDescent="0.25">
      <c r="A11430" s="2">
        <v>11425</v>
      </c>
      <c r="B11430" s="11" t="str">
        <f>"00549300"</f>
        <v>00549300</v>
      </c>
    </row>
    <row r="11431" spans="1:2" x14ac:dyDescent="0.25">
      <c r="A11431" s="2">
        <v>11426</v>
      </c>
      <c r="B11431" s="11" t="str">
        <f>"00549315"</f>
        <v>00549315</v>
      </c>
    </row>
    <row r="11432" spans="1:2" x14ac:dyDescent="0.25">
      <c r="A11432" s="2">
        <v>11427</v>
      </c>
      <c r="B11432" s="11" t="str">
        <f>"00549329"</f>
        <v>00549329</v>
      </c>
    </row>
    <row r="11433" spans="1:2" x14ac:dyDescent="0.25">
      <c r="A11433" s="2">
        <v>11428</v>
      </c>
      <c r="B11433" s="11" t="str">
        <f>"00549332"</f>
        <v>00549332</v>
      </c>
    </row>
    <row r="11434" spans="1:2" x14ac:dyDescent="0.25">
      <c r="A11434" s="2">
        <v>11429</v>
      </c>
      <c r="B11434" s="11" t="str">
        <f>"00549353"</f>
        <v>00549353</v>
      </c>
    </row>
    <row r="11435" spans="1:2" x14ac:dyDescent="0.25">
      <c r="A11435" s="2">
        <v>11430</v>
      </c>
      <c r="B11435" s="11" t="str">
        <f>"00549360"</f>
        <v>00549360</v>
      </c>
    </row>
    <row r="11436" spans="1:2" x14ac:dyDescent="0.25">
      <c r="A11436" s="2">
        <v>11431</v>
      </c>
      <c r="B11436" s="11" t="str">
        <f>"00549366"</f>
        <v>00549366</v>
      </c>
    </row>
    <row r="11437" spans="1:2" x14ac:dyDescent="0.25">
      <c r="A11437" s="2">
        <v>11432</v>
      </c>
      <c r="B11437" s="11" t="str">
        <f>"00549367"</f>
        <v>00549367</v>
      </c>
    </row>
    <row r="11438" spans="1:2" x14ac:dyDescent="0.25">
      <c r="A11438" s="2">
        <v>11433</v>
      </c>
      <c r="B11438" s="11" t="str">
        <f>"00549391"</f>
        <v>00549391</v>
      </c>
    </row>
    <row r="11439" spans="1:2" x14ac:dyDescent="0.25">
      <c r="A11439" s="2">
        <v>11434</v>
      </c>
      <c r="B11439" s="11" t="str">
        <f>"00549398"</f>
        <v>00549398</v>
      </c>
    </row>
    <row r="11440" spans="1:2" x14ac:dyDescent="0.25">
      <c r="A11440" s="2">
        <v>11435</v>
      </c>
      <c r="B11440" s="11" t="str">
        <f>"00549430"</f>
        <v>00549430</v>
      </c>
    </row>
    <row r="11441" spans="1:2" x14ac:dyDescent="0.25">
      <c r="A11441" s="2">
        <v>11436</v>
      </c>
      <c r="B11441" s="11" t="str">
        <f>"00549433"</f>
        <v>00549433</v>
      </c>
    </row>
    <row r="11442" spans="1:2" x14ac:dyDescent="0.25">
      <c r="A11442" s="2">
        <v>11437</v>
      </c>
      <c r="B11442" s="11" t="str">
        <f>"00549439"</f>
        <v>00549439</v>
      </c>
    </row>
    <row r="11443" spans="1:2" x14ac:dyDescent="0.25">
      <c r="A11443" s="2">
        <v>11438</v>
      </c>
      <c r="B11443" s="11" t="str">
        <f>"00549457"</f>
        <v>00549457</v>
      </c>
    </row>
    <row r="11444" spans="1:2" x14ac:dyDescent="0.25">
      <c r="A11444" s="2">
        <v>11439</v>
      </c>
      <c r="B11444" s="11" t="str">
        <f>"00549466"</f>
        <v>00549466</v>
      </c>
    </row>
    <row r="11445" spans="1:2" x14ac:dyDescent="0.25">
      <c r="A11445" s="2">
        <v>11440</v>
      </c>
      <c r="B11445" s="11" t="str">
        <f>"00549473"</f>
        <v>00549473</v>
      </c>
    </row>
    <row r="11446" spans="1:2" x14ac:dyDescent="0.25">
      <c r="A11446" s="2">
        <v>11441</v>
      </c>
      <c r="B11446" s="11" t="str">
        <f>"00549498"</f>
        <v>00549498</v>
      </c>
    </row>
    <row r="11447" spans="1:2" x14ac:dyDescent="0.25">
      <c r="A11447" s="2">
        <v>11442</v>
      </c>
      <c r="B11447" s="11" t="str">
        <f>"00549505"</f>
        <v>00549505</v>
      </c>
    </row>
    <row r="11448" spans="1:2" x14ac:dyDescent="0.25">
      <c r="A11448" s="2">
        <v>11443</v>
      </c>
      <c r="B11448" s="11" t="str">
        <f>"00549512"</f>
        <v>00549512</v>
      </c>
    </row>
    <row r="11449" spans="1:2" x14ac:dyDescent="0.25">
      <c r="A11449" s="2">
        <v>11444</v>
      </c>
      <c r="B11449" s="11" t="str">
        <f>"00549545"</f>
        <v>00549545</v>
      </c>
    </row>
    <row r="11450" spans="1:2" x14ac:dyDescent="0.25">
      <c r="A11450" s="2">
        <v>11445</v>
      </c>
      <c r="B11450" s="11" t="str">
        <f>"00549557"</f>
        <v>00549557</v>
      </c>
    </row>
    <row r="11451" spans="1:2" x14ac:dyDescent="0.25">
      <c r="A11451" s="2">
        <v>11446</v>
      </c>
      <c r="B11451" s="11" t="str">
        <f>"00549562"</f>
        <v>00549562</v>
      </c>
    </row>
    <row r="11452" spans="1:2" x14ac:dyDescent="0.25">
      <c r="A11452" s="2">
        <v>11447</v>
      </c>
      <c r="B11452" s="11" t="str">
        <f>"00549578"</f>
        <v>00549578</v>
      </c>
    </row>
    <row r="11453" spans="1:2" x14ac:dyDescent="0.25">
      <c r="A11453" s="2">
        <v>11448</v>
      </c>
      <c r="B11453" s="11" t="str">
        <f>"00549604"</f>
        <v>00549604</v>
      </c>
    </row>
    <row r="11454" spans="1:2" x14ac:dyDescent="0.25">
      <c r="A11454" s="2">
        <v>11449</v>
      </c>
      <c r="B11454" s="11" t="str">
        <f>"00549605"</f>
        <v>00549605</v>
      </c>
    </row>
    <row r="11455" spans="1:2" x14ac:dyDescent="0.25">
      <c r="A11455" s="2">
        <v>11450</v>
      </c>
      <c r="B11455" s="11" t="str">
        <f>"00549635"</f>
        <v>00549635</v>
      </c>
    </row>
    <row r="11456" spans="1:2" x14ac:dyDescent="0.25">
      <c r="A11456" s="2">
        <v>11451</v>
      </c>
      <c r="B11456" s="11" t="str">
        <f>"00549639"</f>
        <v>00549639</v>
      </c>
    </row>
    <row r="11457" spans="1:2" x14ac:dyDescent="0.25">
      <c r="A11457" s="2">
        <v>11452</v>
      </c>
      <c r="B11457" s="11" t="str">
        <f>"00549658"</f>
        <v>00549658</v>
      </c>
    </row>
    <row r="11458" spans="1:2" x14ac:dyDescent="0.25">
      <c r="A11458" s="2">
        <v>11453</v>
      </c>
      <c r="B11458" s="11" t="str">
        <f>"00549683"</f>
        <v>00549683</v>
      </c>
    </row>
    <row r="11459" spans="1:2" x14ac:dyDescent="0.25">
      <c r="A11459" s="2">
        <v>11454</v>
      </c>
      <c r="B11459" s="11" t="str">
        <f>"00549685"</f>
        <v>00549685</v>
      </c>
    </row>
    <row r="11460" spans="1:2" x14ac:dyDescent="0.25">
      <c r="A11460" s="2">
        <v>11455</v>
      </c>
      <c r="B11460" s="11" t="str">
        <f>"00549714"</f>
        <v>00549714</v>
      </c>
    </row>
    <row r="11461" spans="1:2" x14ac:dyDescent="0.25">
      <c r="A11461" s="2">
        <v>11456</v>
      </c>
      <c r="B11461" s="11" t="str">
        <f>"00549718"</f>
        <v>00549718</v>
      </c>
    </row>
    <row r="11462" spans="1:2" x14ac:dyDescent="0.25">
      <c r="A11462" s="2">
        <v>11457</v>
      </c>
      <c r="B11462" s="11" t="str">
        <f>"00549725"</f>
        <v>00549725</v>
      </c>
    </row>
    <row r="11463" spans="1:2" x14ac:dyDescent="0.25">
      <c r="A11463" s="2">
        <v>11458</v>
      </c>
      <c r="B11463" s="11" t="str">
        <f>"00549727"</f>
        <v>00549727</v>
      </c>
    </row>
    <row r="11464" spans="1:2" x14ac:dyDescent="0.25">
      <c r="A11464" s="2">
        <v>11459</v>
      </c>
      <c r="B11464" s="11" t="str">
        <f>"00549729"</f>
        <v>00549729</v>
      </c>
    </row>
    <row r="11465" spans="1:2" x14ac:dyDescent="0.25">
      <c r="A11465" s="2">
        <v>11460</v>
      </c>
      <c r="B11465" s="11" t="str">
        <f>"00549746"</f>
        <v>00549746</v>
      </c>
    </row>
    <row r="11466" spans="1:2" x14ac:dyDescent="0.25">
      <c r="A11466" s="2">
        <v>11461</v>
      </c>
      <c r="B11466" s="11" t="str">
        <f>"00549749"</f>
        <v>00549749</v>
      </c>
    </row>
    <row r="11467" spans="1:2" x14ac:dyDescent="0.25">
      <c r="A11467" s="2">
        <v>11462</v>
      </c>
      <c r="B11467" s="11" t="str">
        <f>"00549761"</f>
        <v>00549761</v>
      </c>
    </row>
    <row r="11468" spans="1:2" x14ac:dyDescent="0.25">
      <c r="A11468" s="2">
        <v>11463</v>
      </c>
      <c r="B11468" s="11" t="str">
        <f>"00549776"</f>
        <v>00549776</v>
      </c>
    </row>
    <row r="11469" spans="1:2" x14ac:dyDescent="0.25">
      <c r="A11469" s="2">
        <v>11464</v>
      </c>
      <c r="B11469" s="11" t="str">
        <f>"00549778"</f>
        <v>00549778</v>
      </c>
    </row>
    <row r="11470" spans="1:2" x14ac:dyDescent="0.25">
      <c r="A11470" s="2">
        <v>11465</v>
      </c>
      <c r="B11470" s="11" t="str">
        <f>"00549798"</f>
        <v>00549798</v>
      </c>
    </row>
    <row r="11471" spans="1:2" x14ac:dyDescent="0.25">
      <c r="A11471" s="2">
        <v>11466</v>
      </c>
      <c r="B11471" s="11" t="str">
        <f>"00549799"</f>
        <v>00549799</v>
      </c>
    </row>
    <row r="11472" spans="1:2" x14ac:dyDescent="0.25">
      <c r="A11472" s="2">
        <v>11467</v>
      </c>
      <c r="B11472" s="11" t="str">
        <f>"00549808"</f>
        <v>00549808</v>
      </c>
    </row>
    <row r="11473" spans="1:2" x14ac:dyDescent="0.25">
      <c r="A11473" s="2">
        <v>11468</v>
      </c>
      <c r="B11473" s="11" t="str">
        <f>"00549815"</f>
        <v>00549815</v>
      </c>
    </row>
    <row r="11474" spans="1:2" x14ac:dyDescent="0.25">
      <c r="A11474" s="2">
        <v>11469</v>
      </c>
      <c r="B11474" s="11" t="str">
        <f>"00549819"</f>
        <v>00549819</v>
      </c>
    </row>
    <row r="11475" spans="1:2" x14ac:dyDescent="0.25">
      <c r="A11475" s="2">
        <v>11470</v>
      </c>
      <c r="B11475" s="11" t="str">
        <f>"00549832"</f>
        <v>00549832</v>
      </c>
    </row>
    <row r="11476" spans="1:2" x14ac:dyDescent="0.25">
      <c r="A11476" s="2">
        <v>11471</v>
      </c>
      <c r="B11476" s="11" t="str">
        <f>"00549833"</f>
        <v>00549833</v>
      </c>
    </row>
    <row r="11477" spans="1:2" x14ac:dyDescent="0.25">
      <c r="A11477" s="2">
        <v>11472</v>
      </c>
      <c r="B11477" s="11" t="str">
        <f>"00549835"</f>
        <v>00549835</v>
      </c>
    </row>
    <row r="11478" spans="1:2" x14ac:dyDescent="0.25">
      <c r="A11478" s="2">
        <v>11473</v>
      </c>
      <c r="B11478" s="11" t="str">
        <f>"00549856"</f>
        <v>00549856</v>
      </c>
    </row>
    <row r="11479" spans="1:2" x14ac:dyDescent="0.25">
      <c r="A11479" s="2">
        <v>11474</v>
      </c>
      <c r="B11479" s="11" t="str">
        <f>"00549860"</f>
        <v>00549860</v>
      </c>
    </row>
    <row r="11480" spans="1:2" x14ac:dyDescent="0.25">
      <c r="A11480" s="2">
        <v>11475</v>
      </c>
      <c r="B11480" s="11" t="str">
        <f>"00549868"</f>
        <v>00549868</v>
      </c>
    </row>
    <row r="11481" spans="1:2" x14ac:dyDescent="0.25">
      <c r="A11481" s="2">
        <v>11476</v>
      </c>
      <c r="B11481" s="11" t="str">
        <f>"00549875"</f>
        <v>00549875</v>
      </c>
    </row>
    <row r="11482" spans="1:2" x14ac:dyDescent="0.25">
      <c r="A11482" s="2">
        <v>11477</v>
      </c>
      <c r="B11482" s="11" t="str">
        <f>"00549897"</f>
        <v>00549897</v>
      </c>
    </row>
    <row r="11483" spans="1:2" x14ac:dyDescent="0.25">
      <c r="A11483" s="2">
        <v>11478</v>
      </c>
      <c r="B11483" s="11" t="str">
        <f>"00549909"</f>
        <v>00549909</v>
      </c>
    </row>
    <row r="11484" spans="1:2" x14ac:dyDescent="0.25">
      <c r="A11484" s="2">
        <v>11479</v>
      </c>
      <c r="B11484" s="11" t="str">
        <f>"00549917"</f>
        <v>00549917</v>
      </c>
    </row>
    <row r="11485" spans="1:2" x14ac:dyDescent="0.25">
      <c r="A11485" s="2">
        <v>11480</v>
      </c>
      <c r="B11485" s="11" t="str">
        <f>"00549919"</f>
        <v>00549919</v>
      </c>
    </row>
    <row r="11486" spans="1:2" x14ac:dyDescent="0.25">
      <c r="A11486" s="2">
        <v>11481</v>
      </c>
      <c r="B11486" s="11" t="str">
        <f>"00549926"</f>
        <v>00549926</v>
      </c>
    </row>
    <row r="11487" spans="1:2" x14ac:dyDescent="0.25">
      <c r="A11487" s="2">
        <v>11482</v>
      </c>
      <c r="B11487" s="11" t="str">
        <f>"00549931"</f>
        <v>00549931</v>
      </c>
    </row>
    <row r="11488" spans="1:2" x14ac:dyDescent="0.25">
      <c r="A11488" s="2">
        <v>11483</v>
      </c>
      <c r="B11488" s="11" t="str">
        <f>"00549999"</f>
        <v>00549999</v>
      </c>
    </row>
    <row r="11489" spans="1:2" x14ac:dyDescent="0.25">
      <c r="A11489" s="2">
        <v>11484</v>
      </c>
      <c r="B11489" s="11" t="str">
        <f>"00550006"</f>
        <v>00550006</v>
      </c>
    </row>
    <row r="11490" spans="1:2" x14ac:dyDescent="0.25">
      <c r="A11490" s="2">
        <v>11485</v>
      </c>
      <c r="B11490" s="11" t="str">
        <f>"00550009"</f>
        <v>00550009</v>
      </c>
    </row>
    <row r="11491" spans="1:2" x14ac:dyDescent="0.25">
      <c r="A11491" s="2">
        <v>11486</v>
      </c>
      <c r="B11491" s="11" t="str">
        <f>"00550012"</f>
        <v>00550012</v>
      </c>
    </row>
    <row r="11492" spans="1:2" x14ac:dyDescent="0.25">
      <c r="A11492" s="2">
        <v>11487</v>
      </c>
      <c r="B11492" s="11" t="str">
        <f>"00550020"</f>
        <v>00550020</v>
      </c>
    </row>
    <row r="11493" spans="1:2" x14ac:dyDescent="0.25">
      <c r="A11493" s="2">
        <v>11488</v>
      </c>
      <c r="B11493" s="11" t="str">
        <f>"00550022"</f>
        <v>00550022</v>
      </c>
    </row>
    <row r="11494" spans="1:2" x14ac:dyDescent="0.25">
      <c r="A11494" s="2">
        <v>11489</v>
      </c>
      <c r="B11494" s="11" t="str">
        <f>"00550033"</f>
        <v>00550033</v>
      </c>
    </row>
    <row r="11495" spans="1:2" x14ac:dyDescent="0.25">
      <c r="A11495" s="2">
        <v>11490</v>
      </c>
      <c r="B11495" s="11" t="str">
        <f>"00550052"</f>
        <v>00550052</v>
      </c>
    </row>
    <row r="11496" spans="1:2" x14ac:dyDescent="0.25">
      <c r="A11496" s="2">
        <v>11491</v>
      </c>
      <c r="B11496" s="11" t="str">
        <f>"00550075"</f>
        <v>00550075</v>
      </c>
    </row>
    <row r="11497" spans="1:2" x14ac:dyDescent="0.25">
      <c r="A11497" s="2">
        <v>11492</v>
      </c>
      <c r="B11497" s="11" t="str">
        <f>"00550081"</f>
        <v>00550081</v>
      </c>
    </row>
    <row r="11498" spans="1:2" x14ac:dyDescent="0.25">
      <c r="A11498" s="2">
        <v>11493</v>
      </c>
      <c r="B11498" s="11" t="str">
        <f>"00550085"</f>
        <v>00550085</v>
      </c>
    </row>
    <row r="11499" spans="1:2" x14ac:dyDescent="0.25">
      <c r="A11499" s="2">
        <v>11494</v>
      </c>
      <c r="B11499" s="11" t="str">
        <f>"00550095"</f>
        <v>00550095</v>
      </c>
    </row>
    <row r="11500" spans="1:2" x14ac:dyDescent="0.25">
      <c r="A11500" s="2">
        <v>11495</v>
      </c>
      <c r="B11500" s="11" t="str">
        <f>"00550113"</f>
        <v>00550113</v>
      </c>
    </row>
    <row r="11501" spans="1:2" x14ac:dyDescent="0.25">
      <c r="A11501" s="2">
        <v>11496</v>
      </c>
      <c r="B11501" s="11" t="str">
        <f>"00550137"</f>
        <v>00550137</v>
      </c>
    </row>
    <row r="11502" spans="1:2" x14ac:dyDescent="0.25">
      <c r="A11502" s="2">
        <v>11497</v>
      </c>
      <c r="B11502" s="11" t="str">
        <f>"00550142"</f>
        <v>00550142</v>
      </c>
    </row>
    <row r="11503" spans="1:2" x14ac:dyDescent="0.25">
      <c r="A11503" s="2">
        <v>11498</v>
      </c>
      <c r="B11503" s="11" t="str">
        <f>"00550149"</f>
        <v>00550149</v>
      </c>
    </row>
    <row r="11504" spans="1:2" x14ac:dyDescent="0.25">
      <c r="A11504" s="2">
        <v>11499</v>
      </c>
      <c r="B11504" s="11" t="str">
        <f>"00550160"</f>
        <v>00550160</v>
      </c>
    </row>
    <row r="11505" spans="1:2" x14ac:dyDescent="0.25">
      <c r="A11505" s="2">
        <v>11500</v>
      </c>
      <c r="B11505" s="11" t="str">
        <f>"00550174"</f>
        <v>00550174</v>
      </c>
    </row>
    <row r="11506" spans="1:2" x14ac:dyDescent="0.25">
      <c r="A11506" s="2">
        <v>11501</v>
      </c>
      <c r="B11506" s="11" t="str">
        <f>"00550181"</f>
        <v>00550181</v>
      </c>
    </row>
    <row r="11507" spans="1:2" x14ac:dyDescent="0.25">
      <c r="A11507" s="2">
        <v>11502</v>
      </c>
      <c r="B11507" s="11" t="str">
        <f>"00550184"</f>
        <v>00550184</v>
      </c>
    </row>
    <row r="11508" spans="1:2" x14ac:dyDescent="0.25">
      <c r="A11508" s="2">
        <v>11503</v>
      </c>
      <c r="B11508" s="11" t="str">
        <f>"00550202"</f>
        <v>00550202</v>
      </c>
    </row>
    <row r="11509" spans="1:2" x14ac:dyDescent="0.25">
      <c r="A11509" s="2">
        <v>11504</v>
      </c>
      <c r="B11509" s="11" t="str">
        <f>"00550207"</f>
        <v>00550207</v>
      </c>
    </row>
    <row r="11510" spans="1:2" x14ac:dyDescent="0.25">
      <c r="A11510" s="2">
        <v>11505</v>
      </c>
      <c r="B11510" s="11" t="str">
        <f>"00550214"</f>
        <v>00550214</v>
      </c>
    </row>
    <row r="11511" spans="1:2" x14ac:dyDescent="0.25">
      <c r="A11511" s="2">
        <v>11506</v>
      </c>
      <c r="B11511" s="11" t="str">
        <f>"00550228"</f>
        <v>00550228</v>
      </c>
    </row>
    <row r="11512" spans="1:2" x14ac:dyDescent="0.25">
      <c r="A11512" s="2">
        <v>11507</v>
      </c>
      <c r="B11512" s="11" t="str">
        <f>"00550229"</f>
        <v>00550229</v>
      </c>
    </row>
    <row r="11513" spans="1:2" x14ac:dyDescent="0.25">
      <c r="A11513" s="2">
        <v>11508</v>
      </c>
      <c r="B11513" s="11" t="str">
        <f>"00550243"</f>
        <v>00550243</v>
      </c>
    </row>
    <row r="11514" spans="1:2" x14ac:dyDescent="0.25">
      <c r="A11514" s="2">
        <v>11509</v>
      </c>
      <c r="B11514" s="11" t="str">
        <f>"00550253"</f>
        <v>00550253</v>
      </c>
    </row>
    <row r="11515" spans="1:2" x14ac:dyDescent="0.25">
      <c r="A11515" s="2">
        <v>11510</v>
      </c>
      <c r="B11515" s="11" t="str">
        <f>"00550274"</f>
        <v>00550274</v>
      </c>
    </row>
    <row r="11516" spans="1:2" x14ac:dyDescent="0.25">
      <c r="A11516" s="2">
        <v>11511</v>
      </c>
      <c r="B11516" s="11" t="str">
        <f>"00550275"</f>
        <v>00550275</v>
      </c>
    </row>
    <row r="11517" spans="1:2" x14ac:dyDescent="0.25">
      <c r="A11517" s="2">
        <v>11512</v>
      </c>
      <c r="B11517" s="11" t="str">
        <f>"00550279"</f>
        <v>00550279</v>
      </c>
    </row>
    <row r="11518" spans="1:2" x14ac:dyDescent="0.25">
      <c r="A11518" s="2">
        <v>11513</v>
      </c>
      <c r="B11518" s="11" t="str">
        <f>"00550296"</f>
        <v>00550296</v>
      </c>
    </row>
    <row r="11519" spans="1:2" x14ac:dyDescent="0.25">
      <c r="A11519" s="2">
        <v>11514</v>
      </c>
      <c r="B11519" s="11" t="str">
        <f>"00550301"</f>
        <v>00550301</v>
      </c>
    </row>
    <row r="11520" spans="1:2" x14ac:dyDescent="0.25">
      <c r="A11520" s="2">
        <v>11515</v>
      </c>
      <c r="B11520" s="11" t="str">
        <f>"00550318"</f>
        <v>00550318</v>
      </c>
    </row>
    <row r="11521" spans="1:2" x14ac:dyDescent="0.25">
      <c r="A11521" s="2">
        <v>11516</v>
      </c>
      <c r="B11521" s="11" t="str">
        <f>"00550336"</f>
        <v>00550336</v>
      </c>
    </row>
    <row r="11522" spans="1:2" x14ac:dyDescent="0.25">
      <c r="A11522" s="2">
        <v>11517</v>
      </c>
      <c r="B11522" s="11" t="str">
        <f>"00550347"</f>
        <v>00550347</v>
      </c>
    </row>
    <row r="11523" spans="1:2" x14ac:dyDescent="0.25">
      <c r="A11523" s="2">
        <v>11518</v>
      </c>
      <c r="B11523" s="11" t="str">
        <f>"00550362"</f>
        <v>00550362</v>
      </c>
    </row>
    <row r="11524" spans="1:2" x14ac:dyDescent="0.25">
      <c r="A11524" s="2">
        <v>11519</v>
      </c>
      <c r="B11524" s="11" t="str">
        <f>"00550376"</f>
        <v>00550376</v>
      </c>
    </row>
    <row r="11525" spans="1:2" x14ac:dyDescent="0.25">
      <c r="A11525" s="2">
        <v>11520</v>
      </c>
      <c r="B11525" s="11" t="str">
        <f>"00550408"</f>
        <v>00550408</v>
      </c>
    </row>
    <row r="11526" spans="1:2" x14ac:dyDescent="0.25">
      <c r="A11526" s="2">
        <v>11521</v>
      </c>
      <c r="B11526" s="11" t="str">
        <f>"00550411"</f>
        <v>00550411</v>
      </c>
    </row>
    <row r="11527" spans="1:2" x14ac:dyDescent="0.25">
      <c r="A11527" s="2">
        <v>11522</v>
      </c>
      <c r="B11527" s="11" t="str">
        <f>"00550423"</f>
        <v>00550423</v>
      </c>
    </row>
    <row r="11528" spans="1:2" x14ac:dyDescent="0.25">
      <c r="A11528" s="2">
        <v>11523</v>
      </c>
      <c r="B11528" s="11" t="str">
        <f>"00550439"</f>
        <v>00550439</v>
      </c>
    </row>
    <row r="11529" spans="1:2" x14ac:dyDescent="0.25">
      <c r="A11529" s="2">
        <v>11524</v>
      </c>
      <c r="B11529" s="11" t="str">
        <f>"00550465"</f>
        <v>00550465</v>
      </c>
    </row>
    <row r="11530" spans="1:2" x14ac:dyDescent="0.25">
      <c r="A11530" s="2">
        <v>11525</v>
      </c>
      <c r="B11530" s="11" t="str">
        <f>"00550474"</f>
        <v>00550474</v>
      </c>
    </row>
    <row r="11531" spans="1:2" x14ac:dyDescent="0.25">
      <c r="A11531" s="2">
        <v>11526</v>
      </c>
      <c r="B11531" s="11" t="str">
        <f>"00550484"</f>
        <v>00550484</v>
      </c>
    </row>
    <row r="11532" spans="1:2" x14ac:dyDescent="0.25">
      <c r="A11532" s="2">
        <v>11527</v>
      </c>
      <c r="B11532" s="11" t="str">
        <f>"00550485"</f>
        <v>00550485</v>
      </c>
    </row>
    <row r="11533" spans="1:2" x14ac:dyDescent="0.25">
      <c r="A11533" s="2">
        <v>11528</v>
      </c>
      <c r="B11533" s="11" t="str">
        <f>"00550491"</f>
        <v>00550491</v>
      </c>
    </row>
    <row r="11534" spans="1:2" x14ac:dyDescent="0.25">
      <c r="A11534" s="2">
        <v>11529</v>
      </c>
      <c r="B11534" s="11" t="str">
        <f>"00550501"</f>
        <v>00550501</v>
      </c>
    </row>
    <row r="11535" spans="1:2" x14ac:dyDescent="0.25">
      <c r="A11535" s="2">
        <v>11530</v>
      </c>
      <c r="B11535" s="11" t="str">
        <f>"00550518"</f>
        <v>00550518</v>
      </c>
    </row>
    <row r="11536" spans="1:2" x14ac:dyDescent="0.25">
      <c r="A11536" s="2">
        <v>11531</v>
      </c>
      <c r="B11536" s="11" t="str">
        <f>"00550519"</f>
        <v>00550519</v>
      </c>
    </row>
    <row r="11537" spans="1:2" x14ac:dyDescent="0.25">
      <c r="A11537" s="2">
        <v>11532</v>
      </c>
      <c r="B11537" s="11" t="str">
        <f>"00550526"</f>
        <v>00550526</v>
      </c>
    </row>
    <row r="11538" spans="1:2" x14ac:dyDescent="0.25">
      <c r="A11538" s="2">
        <v>11533</v>
      </c>
      <c r="B11538" s="11" t="str">
        <f>"00550617"</f>
        <v>00550617</v>
      </c>
    </row>
    <row r="11539" spans="1:2" x14ac:dyDescent="0.25">
      <c r="A11539" s="2">
        <v>11534</v>
      </c>
      <c r="B11539" s="11" t="str">
        <f>"00550628"</f>
        <v>00550628</v>
      </c>
    </row>
    <row r="11540" spans="1:2" x14ac:dyDescent="0.25">
      <c r="A11540" s="2">
        <v>11535</v>
      </c>
      <c r="B11540" s="11" t="str">
        <f>"00550634"</f>
        <v>00550634</v>
      </c>
    </row>
    <row r="11541" spans="1:2" x14ac:dyDescent="0.25">
      <c r="A11541" s="2">
        <v>11536</v>
      </c>
      <c r="B11541" s="11" t="str">
        <f>"00550644"</f>
        <v>00550644</v>
      </c>
    </row>
    <row r="11542" spans="1:2" x14ac:dyDescent="0.25">
      <c r="A11542" s="2">
        <v>11537</v>
      </c>
      <c r="B11542" s="11" t="str">
        <f>"00550672"</f>
        <v>00550672</v>
      </c>
    </row>
    <row r="11543" spans="1:2" x14ac:dyDescent="0.25">
      <c r="A11543" s="2">
        <v>11538</v>
      </c>
      <c r="B11543" s="11" t="str">
        <f>"00550725"</f>
        <v>00550725</v>
      </c>
    </row>
    <row r="11544" spans="1:2" x14ac:dyDescent="0.25">
      <c r="A11544" s="2">
        <v>11539</v>
      </c>
      <c r="B11544" s="11" t="str">
        <f>"00550753"</f>
        <v>00550753</v>
      </c>
    </row>
    <row r="11545" spans="1:2" x14ac:dyDescent="0.25">
      <c r="A11545" s="2">
        <v>11540</v>
      </c>
      <c r="B11545" s="11" t="str">
        <f>"00550757"</f>
        <v>00550757</v>
      </c>
    </row>
    <row r="11546" spans="1:2" x14ac:dyDescent="0.25">
      <c r="A11546" s="2">
        <v>11541</v>
      </c>
      <c r="B11546" s="11" t="str">
        <f>"00550761"</f>
        <v>00550761</v>
      </c>
    </row>
    <row r="11547" spans="1:2" x14ac:dyDescent="0.25">
      <c r="A11547" s="2">
        <v>11542</v>
      </c>
      <c r="B11547" s="11" t="str">
        <f>"00550770"</f>
        <v>00550770</v>
      </c>
    </row>
    <row r="11548" spans="1:2" x14ac:dyDescent="0.25">
      <c r="A11548" s="2">
        <v>11543</v>
      </c>
      <c r="B11548" s="11" t="str">
        <f>"00550771"</f>
        <v>00550771</v>
      </c>
    </row>
    <row r="11549" spans="1:2" x14ac:dyDescent="0.25">
      <c r="A11549" s="2">
        <v>11544</v>
      </c>
      <c r="B11549" s="11" t="str">
        <f>"00550825"</f>
        <v>00550825</v>
      </c>
    </row>
    <row r="11550" spans="1:2" x14ac:dyDescent="0.25">
      <c r="A11550" s="2">
        <v>11545</v>
      </c>
      <c r="B11550" s="11" t="str">
        <f>"00550830"</f>
        <v>00550830</v>
      </c>
    </row>
    <row r="11551" spans="1:2" x14ac:dyDescent="0.25">
      <c r="A11551" s="2">
        <v>11546</v>
      </c>
      <c r="B11551" s="11" t="str">
        <f>"00550885"</f>
        <v>00550885</v>
      </c>
    </row>
    <row r="11552" spans="1:2" x14ac:dyDescent="0.25">
      <c r="A11552" s="2">
        <v>11547</v>
      </c>
      <c r="B11552" s="11" t="str">
        <f>"00550901"</f>
        <v>00550901</v>
      </c>
    </row>
    <row r="11553" spans="1:2" x14ac:dyDescent="0.25">
      <c r="A11553" s="2">
        <v>11548</v>
      </c>
      <c r="B11553" s="11" t="str">
        <f>"00550911"</f>
        <v>00550911</v>
      </c>
    </row>
    <row r="11554" spans="1:2" x14ac:dyDescent="0.25">
      <c r="A11554" s="2">
        <v>11549</v>
      </c>
      <c r="B11554" s="11" t="str">
        <f>"00550915"</f>
        <v>00550915</v>
      </c>
    </row>
    <row r="11555" spans="1:2" x14ac:dyDescent="0.25">
      <c r="A11555" s="2">
        <v>11550</v>
      </c>
      <c r="B11555" s="11" t="str">
        <f>"00550917"</f>
        <v>00550917</v>
      </c>
    </row>
    <row r="11556" spans="1:2" x14ac:dyDescent="0.25">
      <c r="A11556" s="2">
        <v>11551</v>
      </c>
      <c r="B11556" s="11" t="str">
        <f>"00550973"</f>
        <v>00550973</v>
      </c>
    </row>
    <row r="11557" spans="1:2" x14ac:dyDescent="0.25">
      <c r="A11557" s="2">
        <v>11552</v>
      </c>
      <c r="B11557" s="11" t="str">
        <f>"00550978"</f>
        <v>00550978</v>
      </c>
    </row>
    <row r="11558" spans="1:2" x14ac:dyDescent="0.25">
      <c r="A11558" s="2">
        <v>11553</v>
      </c>
      <c r="B11558" s="11" t="str">
        <f>"00550999"</f>
        <v>00550999</v>
      </c>
    </row>
    <row r="11559" spans="1:2" x14ac:dyDescent="0.25">
      <c r="A11559" s="2">
        <v>11554</v>
      </c>
      <c r="B11559" s="11" t="str">
        <f>"00551013"</f>
        <v>00551013</v>
      </c>
    </row>
    <row r="11560" spans="1:2" x14ac:dyDescent="0.25">
      <c r="A11560" s="2">
        <v>11555</v>
      </c>
      <c r="B11560" s="11" t="str">
        <f>"00551026"</f>
        <v>00551026</v>
      </c>
    </row>
    <row r="11561" spans="1:2" x14ac:dyDescent="0.25">
      <c r="A11561" s="2">
        <v>11556</v>
      </c>
      <c r="B11561" s="11" t="str">
        <f>"00551027"</f>
        <v>00551027</v>
      </c>
    </row>
    <row r="11562" spans="1:2" x14ac:dyDescent="0.25">
      <c r="A11562" s="2">
        <v>11557</v>
      </c>
      <c r="B11562" s="11" t="str">
        <f>"00551035"</f>
        <v>00551035</v>
      </c>
    </row>
    <row r="11563" spans="1:2" x14ac:dyDescent="0.25">
      <c r="A11563" s="2">
        <v>11558</v>
      </c>
      <c r="B11563" s="11" t="str">
        <f>"00551046"</f>
        <v>00551046</v>
      </c>
    </row>
    <row r="11564" spans="1:2" x14ac:dyDescent="0.25">
      <c r="A11564" s="2">
        <v>11559</v>
      </c>
      <c r="B11564" s="11" t="str">
        <f>"00551054"</f>
        <v>00551054</v>
      </c>
    </row>
    <row r="11565" spans="1:2" x14ac:dyDescent="0.25">
      <c r="A11565" s="2">
        <v>11560</v>
      </c>
      <c r="B11565" s="11" t="str">
        <f>"00551057"</f>
        <v>00551057</v>
      </c>
    </row>
    <row r="11566" spans="1:2" x14ac:dyDescent="0.25">
      <c r="A11566" s="2">
        <v>11561</v>
      </c>
      <c r="B11566" s="11" t="str">
        <f>"00551061"</f>
        <v>00551061</v>
      </c>
    </row>
    <row r="11567" spans="1:2" x14ac:dyDescent="0.25">
      <c r="A11567" s="2">
        <v>11562</v>
      </c>
      <c r="B11567" s="11" t="str">
        <f>"00551063"</f>
        <v>00551063</v>
      </c>
    </row>
    <row r="11568" spans="1:2" x14ac:dyDescent="0.25">
      <c r="A11568" s="2">
        <v>11563</v>
      </c>
      <c r="B11568" s="11" t="str">
        <f>"00551074"</f>
        <v>00551074</v>
      </c>
    </row>
    <row r="11569" spans="1:2" x14ac:dyDescent="0.25">
      <c r="A11569" s="2">
        <v>11564</v>
      </c>
      <c r="B11569" s="11" t="str">
        <f>"00551076"</f>
        <v>00551076</v>
      </c>
    </row>
    <row r="11570" spans="1:2" x14ac:dyDescent="0.25">
      <c r="A11570" s="2">
        <v>11565</v>
      </c>
      <c r="B11570" s="11" t="str">
        <f>"00551085"</f>
        <v>00551085</v>
      </c>
    </row>
    <row r="11571" spans="1:2" x14ac:dyDescent="0.25">
      <c r="A11571" s="2">
        <v>11566</v>
      </c>
      <c r="B11571" s="11" t="str">
        <f>"00551088"</f>
        <v>00551088</v>
      </c>
    </row>
    <row r="11572" spans="1:2" x14ac:dyDescent="0.25">
      <c r="A11572" s="2">
        <v>11567</v>
      </c>
      <c r="B11572" s="11" t="str">
        <f>"00551103"</f>
        <v>00551103</v>
      </c>
    </row>
    <row r="11573" spans="1:2" x14ac:dyDescent="0.25">
      <c r="A11573" s="2">
        <v>11568</v>
      </c>
      <c r="B11573" s="11" t="str">
        <f>"00551116"</f>
        <v>00551116</v>
      </c>
    </row>
    <row r="11574" spans="1:2" x14ac:dyDescent="0.25">
      <c r="A11574" s="2">
        <v>11569</v>
      </c>
      <c r="B11574" s="11" t="str">
        <f>"00551128"</f>
        <v>00551128</v>
      </c>
    </row>
    <row r="11575" spans="1:2" x14ac:dyDescent="0.25">
      <c r="A11575" s="2">
        <v>11570</v>
      </c>
      <c r="B11575" s="11" t="str">
        <f>"00551133"</f>
        <v>00551133</v>
      </c>
    </row>
    <row r="11576" spans="1:2" x14ac:dyDescent="0.25">
      <c r="A11576" s="2">
        <v>11571</v>
      </c>
      <c r="B11576" s="11" t="str">
        <f>"00551137"</f>
        <v>00551137</v>
      </c>
    </row>
    <row r="11577" spans="1:2" x14ac:dyDescent="0.25">
      <c r="A11577" s="2">
        <v>11572</v>
      </c>
      <c r="B11577" s="11" t="str">
        <f>"00551154"</f>
        <v>00551154</v>
      </c>
    </row>
    <row r="11578" spans="1:2" x14ac:dyDescent="0.25">
      <c r="A11578" s="2">
        <v>11573</v>
      </c>
      <c r="B11578" s="11" t="str">
        <f>"00551170"</f>
        <v>00551170</v>
      </c>
    </row>
    <row r="11579" spans="1:2" x14ac:dyDescent="0.25">
      <c r="A11579" s="2">
        <v>11574</v>
      </c>
      <c r="B11579" s="11" t="str">
        <f>"00551186"</f>
        <v>00551186</v>
      </c>
    </row>
    <row r="11580" spans="1:2" x14ac:dyDescent="0.25">
      <c r="A11580" s="2">
        <v>11575</v>
      </c>
      <c r="B11580" s="11" t="str">
        <f>"00551207"</f>
        <v>00551207</v>
      </c>
    </row>
    <row r="11581" spans="1:2" x14ac:dyDescent="0.25">
      <c r="A11581" s="2">
        <v>11576</v>
      </c>
      <c r="B11581" s="11" t="str">
        <f>"00551225"</f>
        <v>00551225</v>
      </c>
    </row>
    <row r="11582" spans="1:2" x14ac:dyDescent="0.25">
      <c r="A11582" s="2">
        <v>11577</v>
      </c>
      <c r="B11582" s="11" t="str">
        <f>"00551235"</f>
        <v>00551235</v>
      </c>
    </row>
    <row r="11583" spans="1:2" x14ac:dyDescent="0.25">
      <c r="A11583" s="2">
        <v>11578</v>
      </c>
      <c r="B11583" s="11" t="str">
        <f>"00551260"</f>
        <v>00551260</v>
      </c>
    </row>
    <row r="11584" spans="1:2" x14ac:dyDescent="0.25">
      <c r="A11584" s="2">
        <v>11579</v>
      </c>
      <c r="B11584" s="11" t="str">
        <f>"00551358"</f>
        <v>00551358</v>
      </c>
    </row>
    <row r="11585" spans="1:2" x14ac:dyDescent="0.25">
      <c r="A11585" s="2">
        <v>11580</v>
      </c>
      <c r="B11585" s="11" t="str">
        <f>"00551390"</f>
        <v>00551390</v>
      </c>
    </row>
    <row r="11586" spans="1:2" x14ac:dyDescent="0.25">
      <c r="A11586" s="2">
        <v>11581</v>
      </c>
      <c r="B11586" s="11" t="str">
        <f>"00551391"</f>
        <v>00551391</v>
      </c>
    </row>
    <row r="11587" spans="1:2" x14ac:dyDescent="0.25">
      <c r="A11587" s="2">
        <v>11582</v>
      </c>
      <c r="B11587" s="11" t="str">
        <f>"00551425"</f>
        <v>00551425</v>
      </c>
    </row>
    <row r="11588" spans="1:2" x14ac:dyDescent="0.25">
      <c r="A11588" s="2">
        <v>11583</v>
      </c>
      <c r="B11588" s="11" t="str">
        <f>"00551452"</f>
        <v>00551452</v>
      </c>
    </row>
    <row r="11589" spans="1:2" x14ac:dyDescent="0.25">
      <c r="A11589" s="2">
        <v>11584</v>
      </c>
      <c r="B11589" s="11" t="str">
        <f>"00551457"</f>
        <v>00551457</v>
      </c>
    </row>
    <row r="11590" spans="1:2" x14ac:dyDescent="0.25">
      <c r="A11590" s="2">
        <v>11585</v>
      </c>
      <c r="B11590" s="11" t="str">
        <f>"00551488"</f>
        <v>00551488</v>
      </c>
    </row>
    <row r="11591" spans="1:2" x14ac:dyDescent="0.25">
      <c r="A11591" s="2">
        <v>11586</v>
      </c>
      <c r="B11591" s="11" t="str">
        <f>"00551491"</f>
        <v>00551491</v>
      </c>
    </row>
    <row r="11592" spans="1:2" x14ac:dyDescent="0.25">
      <c r="A11592" s="2">
        <v>11587</v>
      </c>
      <c r="B11592" s="11" t="str">
        <f>"00551520"</f>
        <v>00551520</v>
      </c>
    </row>
    <row r="11593" spans="1:2" x14ac:dyDescent="0.25">
      <c r="A11593" s="2">
        <v>11588</v>
      </c>
      <c r="B11593" s="11" t="str">
        <f>"00551530"</f>
        <v>00551530</v>
      </c>
    </row>
    <row r="11594" spans="1:2" x14ac:dyDescent="0.25">
      <c r="A11594" s="2">
        <v>11589</v>
      </c>
      <c r="B11594" s="11" t="str">
        <f>"00551531"</f>
        <v>00551531</v>
      </c>
    </row>
    <row r="11595" spans="1:2" x14ac:dyDescent="0.25">
      <c r="A11595" s="2">
        <v>11590</v>
      </c>
      <c r="B11595" s="11" t="str">
        <f>"00551536"</f>
        <v>00551536</v>
      </c>
    </row>
    <row r="11596" spans="1:2" x14ac:dyDescent="0.25">
      <c r="A11596" s="2">
        <v>11591</v>
      </c>
      <c r="B11596" s="11" t="str">
        <f>"00551557"</f>
        <v>00551557</v>
      </c>
    </row>
    <row r="11597" spans="1:2" x14ac:dyDescent="0.25">
      <c r="A11597" s="2">
        <v>11592</v>
      </c>
      <c r="B11597" s="11" t="str">
        <f>"00551562"</f>
        <v>00551562</v>
      </c>
    </row>
    <row r="11598" spans="1:2" x14ac:dyDescent="0.25">
      <c r="A11598" s="2">
        <v>11593</v>
      </c>
      <c r="B11598" s="11" t="str">
        <f>"00551615"</f>
        <v>00551615</v>
      </c>
    </row>
    <row r="11599" spans="1:2" x14ac:dyDescent="0.25">
      <c r="A11599" s="2">
        <v>11594</v>
      </c>
      <c r="B11599" s="11" t="str">
        <f>"00551793"</f>
        <v>00551793</v>
      </c>
    </row>
    <row r="11600" spans="1:2" x14ac:dyDescent="0.25">
      <c r="A11600" s="2">
        <v>11595</v>
      </c>
      <c r="B11600" s="11" t="str">
        <f>"00551809"</f>
        <v>00551809</v>
      </c>
    </row>
    <row r="11601" spans="1:2" x14ac:dyDescent="0.25">
      <c r="A11601" s="2">
        <v>11596</v>
      </c>
      <c r="B11601" s="11" t="str">
        <f>"00551819"</f>
        <v>00551819</v>
      </c>
    </row>
    <row r="11602" spans="1:2" x14ac:dyDescent="0.25">
      <c r="A11602" s="2">
        <v>11597</v>
      </c>
      <c r="B11602" s="11" t="str">
        <f>"00551861"</f>
        <v>00551861</v>
      </c>
    </row>
    <row r="11603" spans="1:2" x14ac:dyDescent="0.25">
      <c r="A11603" s="2">
        <v>11598</v>
      </c>
      <c r="B11603" s="11" t="str">
        <f>"00551870"</f>
        <v>00551870</v>
      </c>
    </row>
    <row r="11604" spans="1:2" x14ac:dyDescent="0.25">
      <c r="A11604" s="2">
        <v>11599</v>
      </c>
      <c r="B11604" s="11" t="str">
        <f>"00551913"</f>
        <v>00551913</v>
      </c>
    </row>
    <row r="11605" spans="1:2" x14ac:dyDescent="0.25">
      <c r="A11605" s="2">
        <v>11600</v>
      </c>
      <c r="B11605" s="11" t="str">
        <f>"00551916"</f>
        <v>00551916</v>
      </c>
    </row>
    <row r="11606" spans="1:2" x14ac:dyDescent="0.25">
      <c r="A11606" s="2">
        <v>11601</v>
      </c>
      <c r="B11606" s="11" t="str">
        <f>"00551925"</f>
        <v>00551925</v>
      </c>
    </row>
    <row r="11607" spans="1:2" x14ac:dyDescent="0.25">
      <c r="A11607" s="2">
        <v>11602</v>
      </c>
      <c r="B11607" s="11" t="str">
        <f>"00551952"</f>
        <v>00551952</v>
      </c>
    </row>
    <row r="11608" spans="1:2" x14ac:dyDescent="0.25">
      <c r="A11608" s="2">
        <v>11603</v>
      </c>
      <c r="B11608" s="11" t="str">
        <f>"00551977"</f>
        <v>00551977</v>
      </c>
    </row>
    <row r="11609" spans="1:2" x14ac:dyDescent="0.25">
      <c r="A11609" s="2">
        <v>11604</v>
      </c>
      <c r="B11609" s="11" t="str">
        <f>"00551984"</f>
        <v>00551984</v>
      </c>
    </row>
    <row r="11610" spans="1:2" x14ac:dyDescent="0.25">
      <c r="A11610" s="2">
        <v>11605</v>
      </c>
      <c r="B11610" s="11" t="str">
        <f>"00551988"</f>
        <v>00551988</v>
      </c>
    </row>
    <row r="11611" spans="1:2" x14ac:dyDescent="0.25">
      <c r="A11611" s="2">
        <v>11606</v>
      </c>
      <c r="B11611" s="11" t="str">
        <f>"00552008"</f>
        <v>00552008</v>
      </c>
    </row>
    <row r="11612" spans="1:2" x14ac:dyDescent="0.25">
      <c r="A11612" s="2">
        <v>11607</v>
      </c>
      <c r="B11612" s="11" t="str">
        <f>"00552094"</f>
        <v>00552094</v>
      </c>
    </row>
    <row r="11613" spans="1:2" x14ac:dyDescent="0.25">
      <c r="A11613" s="2">
        <v>11608</v>
      </c>
      <c r="B11613" s="11" t="str">
        <f>"00552262"</f>
        <v>00552262</v>
      </c>
    </row>
    <row r="11614" spans="1:2" x14ac:dyDescent="0.25">
      <c r="A11614" s="2">
        <v>11609</v>
      </c>
      <c r="B11614" s="11" t="str">
        <f>"00552289"</f>
        <v>00552289</v>
      </c>
    </row>
    <row r="11615" spans="1:2" x14ac:dyDescent="0.25">
      <c r="A11615" s="2">
        <v>11610</v>
      </c>
      <c r="B11615" s="11" t="str">
        <f>"00552417"</f>
        <v>00552417</v>
      </c>
    </row>
    <row r="11616" spans="1:2" x14ac:dyDescent="0.25">
      <c r="A11616" s="2">
        <v>11611</v>
      </c>
      <c r="B11616" s="11" t="str">
        <f>"00552451"</f>
        <v>00552451</v>
      </c>
    </row>
    <row r="11617" spans="1:2" x14ac:dyDescent="0.25">
      <c r="A11617" s="2">
        <v>11612</v>
      </c>
      <c r="B11617" s="11" t="str">
        <f>"00552529"</f>
        <v>00552529</v>
      </c>
    </row>
    <row r="11618" spans="1:2" x14ac:dyDescent="0.25">
      <c r="A11618" s="2">
        <v>11613</v>
      </c>
      <c r="B11618" s="11" t="str">
        <f>"00552595"</f>
        <v>00552595</v>
      </c>
    </row>
    <row r="11619" spans="1:2" x14ac:dyDescent="0.25">
      <c r="A11619" s="2">
        <v>11614</v>
      </c>
      <c r="B11619" s="11" t="str">
        <f>"00552644"</f>
        <v>00552644</v>
      </c>
    </row>
    <row r="11620" spans="1:2" x14ac:dyDescent="0.25">
      <c r="A11620" s="2">
        <v>11615</v>
      </c>
      <c r="B11620" s="11" t="str">
        <f>"00552672"</f>
        <v>00552672</v>
      </c>
    </row>
    <row r="11621" spans="1:2" x14ac:dyDescent="0.25">
      <c r="A11621" s="2">
        <v>11616</v>
      </c>
      <c r="B11621" s="11" t="str">
        <f>"00552705"</f>
        <v>00552705</v>
      </c>
    </row>
    <row r="11622" spans="1:2" x14ac:dyDescent="0.25">
      <c r="A11622" s="2">
        <v>11617</v>
      </c>
      <c r="B11622" s="11" t="str">
        <f>"00552736"</f>
        <v>00552736</v>
      </c>
    </row>
    <row r="11623" spans="1:2" x14ac:dyDescent="0.25">
      <c r="A11623" s="2">
        <v>11618</v>
      </c>
      <c r="B11623" s="11" t="str">
        <f>"00552810"</f>
        <v>00552810</v>
      </c>
    </row>
    <row r="11624" spans="1:2" x14ac:dyDescent="0.25">
      <c r="A11624" s="2">
        <v>11619</v>
      </c>
      <c r="B11624" s="11" t="str">
        <f>"00552825"</f>
        <v>00552825</v>
      </c>
    </row>
    <row r="11625" spans="1:2" x14ac:dyDescent="0.25">
      <c r="A11625" s="2">
        <v>11620</v>
      </c>
      <c r="B11625" s="11" t="str">
        <f>"00552882"</f>
        <v>00552882</v>
      </c>
    </row>
    <row r="11626" spans="1:2" x14ac:dyDescent="0.25">
      <c r="A11626" s="2">
        <v>11621</v>
      </c>
      <c r="B11626" s="11" t="str">
        <f>"00552899"</f>
        <v>00552899</v>
      </c>
    </row>
    <row r="11627" spans="1:2" x14ac:dyDescent="0.25">
      <c r="A11627" s="2">
        <v>11622</v>
      </c>
      <c r="B11627" s="11" t="str">
        <f>"00552904"</f>
        <v>00552904</v>
      </c>
    </row>
    <row r="11628" spans="1:2" x14ac:dyDescent="0.25">
      <c r="A11628" s="2">
        <v>11623</v>
      </c>
      <c r="B11628" s="11" t="str">
        <f>"00552926"</f>
        <v>00552926</v>
      </c>
    </row>
    <row r="11629" spans="1:2" x14ac:dyDescent="0.25">
      <c r="A11629" s="2">
        <v>11624</v>
      </c>
      <c r="B11629" s="11" t="str">
        <f>"00552927"</f>
        <v>00552927</v>
      </c>
    </row>
    <row r="11630" spans="1:2" x14ac:dyDescent="0.25">
      <c r="A11630" s="2">
        <v>11625</v>
      </c>
      <c r="B11630" s="11" t="str">
        <f>"00552932"</f>
        <v>00552932</v>
      </c>
    </row>
    <row r="11631" spans="1:2" x14ac:dyDescent="0.25">
      <c r="A11631" s="2">
        <v>11626</v>
      </c>
      <c r="B11631" s="11" t="str">
        <f>"00552974"</f>
        <v>00552974</v>
      </c>
    </row>
    <row r="11632" spans="1:2" x14ac:dyDescent="0.25">
      <c r="A11632" s="2">
        <v>11627</v>
      </c>
      <c r="B11632" s="11" t="str">
        <f>"00552978"</f>
        <v>00552978</v>
      </c>
    </row>
    <row r="11633" spans="1:2" x14ac:dyDescent="0.25">
      <c r="A11633" s="2">
        <v>11628</v>
      </c>
      <c r="B11633" s="11" t="str">
        <f>"00552991"</f>
        <v>00552991</v>
      </c>
    </row>
    <row r="11634" spans="1:2" x14ac:dyDescent="0.25">
      <c r="A11634" s="2">
        <v>11629</v>
      </c>
      <c r="B11634" s="11" t="str">
        <f>"00552993"</f>
        <v>00552993</v>
      </c>
    </row>
    <row r="11635" spans="1:2" x14ac:dyDescent="0.25">
      <c r="A11635" s="2">
        <v>11630</v>
      </c>
      <c r="B11635" s="11" t="str">
        <f>"00553039"</f>
        <v>00553039</v>
      </c>
    </row>
    <row r="11636" spans="1:2" x14ac:dyDescent="0.25">
      <c r="A11636" s="2">
        <v>11631</v>
      </c>
      <c r="B11636" s="11" t="str">
        <f>"00553048"</f>
        <v>00553048</v>
      </c>
    </row>
    <row r="11637" spans="1:2" x14ac:dyDescent="0.25">
      <c r="A11637" s="2">
        <v>11632</v>
      </c>
      <c r="B11637" s="11" t="str">
        <f>"00553051"</f>
        <v>00553051</v>
      </c>
    </row>
    <row r="11638" spans="1:2" x14ac:dyDescent="0.25">
      <c r="A11638" s="2">
        <v>11633</v>
      </c>
      <c r="B11638" s="11" t="str">
        <f>"00553087"</f>
        <v>00553087</v>
      </c>
    </row>
    <row r="11639" spans="1:2" x14ac:dyDescent="0.25">
      <c r="A11639" s="2">
        <v>11634</v>
      </c>
      <c r="B11639" s="11" t="str">
        <f>"00553206"</f>
        <v>00553206</v>
      </c>
    </row>
    <row r="11640" spans="1:2" x14ac:dyDescent="0.25">
      <c r="A11640" s="2">
        <v>11635</v>
      </c>
      <c r="B11640" s="11" t="str">
        <f>"00553216"</f>
        <v>00553216</v>
      </c>
    </row>
    <row r="11641" spans="1:2" x14ac:dyDescent="0.25">
      <c r="A11641" s="2">
        <v>11636</v>
      </c>
      <c r="B11641" s="11" t="str">
        <f>"00553223"</f>
        <v>00553223</v>
      </c>
    </row>
    <row r="11642" spans="1:2" x14ac:dyDescent="0.25">
      <c r="A11642" s="2">
        <v>11637</v>
      </c>
      <c r="B11642" s="11" t="str">
        <f>"00553261"</f>
        <v>00553261</v>
      </c>
    </row>
    <row r="11643" spans="1:2" x14ac:dyDescent="0.25">
      <c r="A11643" s="2">
        <v>11638</v>
      </c>
      <c r="B11643" s="11" t="str">
        <f>"00553281"</f>
        <v>00553281</v>
      </c>
    </row>
    <row r="11644" spans="1:2" x14ac:dyDescent="0.25">
      <c r="A11644" s="2">
        <v>11639</v>
      </c>
      <c r="B11644" s="11" t="str">
        <f>"00553353"</f>
        <v>00553353</v>
      </c>
    </row>
    <row r="11645" spans="1:2" x14ac:dyDescent="0.25">
      <c r="A11645" s="2">
        <v>11640</v>
      </c>
      <c r="B11645" s="11" t="str">
        <f>"00553394"</f>
        <v>00553394</v>
      </c>
    </row>
    <row r="11646" spans="1:2" x14ac:dyDescent="0.25">
      <c r="A11646" s="2">
        <v>11641</v>
      </c>
      <c r="B11646" s="11" t="str">
        <f>"00553408"</f>
        <v>00553408</v>
      </c>
    </row>
    <row r="11647" spans="1:2" x14ac:dyDescent="0.25">
      <c r="A11647" s="2">
        <v>11642</v>
      </c>
      <c r="B11647" s="11" t="str">
        <f>"00553504"</f>
        <v>00553504</v>
      </c>
    </row>
    <row r="11648" spans="1:2" x14ac:dyDescent="0.25">
      <c r="A11648" s="2">
        <v>11643</v>
      </c>
      <c r="B11648" s="11" t="str">
        <f>"00553523"</f>
        <v>00553523</v>
      </c>
    </row>
    <row r="11649" spans="1:2" x14ac:dyDescent="0.25">
      <c r="A11649" s="2">
        <v>11644</v>
      </c>
      <c r="B11649" s="11" t="str">
        <f>"00553538"</f>
        <v>00553538</v>
      </c>
    </row>
    <row r="11650" spans="1:2" x14ac:dyDescent="0.25">
      <c r="A11650" s="2">
        <v>11645</v>
      </c>
      <c r="B11650" s="11" t="str">
        <f>"00553554"</f>
        <v>00553554</v>
      </c>
    </row>
    <row r="11651" spans="1:2" x14ac:dyDescent="0.25">
      <c r="A11651" s="2">
        <v>11646</v>
      </c>
      <c r="B11651" s="11" t="str">
        <f>"00553597"</f>
        <v>00553597</v>
      </c>
    </row>
    <row r="11652" spans="1:2" x14ac:dyDescent="0.25">
      <c r="A11652" s="2">
        <v>11647</v>
      </c>
      <c r="B11652" s="11" t="str">
        <f>"00553623"</f>
        <v>00553623</v>
      </c>
    </row>
    <row r="11653" spans="1:2" x14ac:dyDescent="0.25">
      <c r="A11653" s="2">
        <v>11648</v>
      </c>
      <c r="B11653" s="11" t="str">
        <f>"00553701"</f>
        <v>00553701</v>
      </c>
    </row>
    <row r="11654" spans="1:2" x14ac:dyDescent="0.25">
      <c r="A11654" s="2">
        <v>11649</v>
      </c>
      <c r="B11654" s="11" t="str">
        <f>"00553705"</f>
        <v>00553705</v>
      </c>
    </row>
    <row r="11655" spans="1:2" x14ac:dyDescent="0.25">
      <c r="A11655" s="2">
        <v>11650</v>
      </c>
      <c r="B11655" s="11" t="str">
        <f>"00553735"</f>
        <v>00553735</v>
      </c>
    </row>
    <row r="11656" spans="1:2" x14ac:dyDescent="0.25">
      <c r="A11656" s="2">
        <v>11651</v>
      </c>
      <c r="B11656" s="11" t="str">
        <f>"00553846"</f>
        <v>00553846</v>
      </c>
    </row>
    <row r="11657" spans="1:2" x14ac:dyDescent="0.25">
      <c r="A11657" s="2">
        <v>11652</v>
      </c>
      <c r="B11657" s="11" t="str">
        <f>"00553894"</f>
        <v>00553894</v>
      </c>
    </row>
    <row r="11658" spans="1:2" x14ac:dyDescent="0.25">
      <c r="A11658" s="2">
        <v>11653</v>
      </c>
      <c r="B11658" s="11" t="str">
        <f>"00553913"</f>
        <v>00553913</v>
      </c>
    </row>
    <row r="11659" spans="1:2" x14ac:dyDescent="0.25">
      <c r="A11659" s="2">
        <v>11654</v>
      </c>
      <c r="B11659" s="11" t="str">
        <f>"00553969"</f>
        <v>00553969</v>
      </c>
    </row>
    <row r="11660" spans="1:2" x14ac:dyDescent="0.25">
      <c r="A11660" s="2">
        <v>11655</v>
      </c>
      <c r="B11660" s="11" t="str">
        <f>"00554001"</f>
        <v>00554001</v>
      </c>
    </row>
    <row r="11661" spans="1:2" x14ac:dyDescent="0.25">
      <c r="A11661" s="2">
        <v>11656</v>
      </c>
      <c r="B11661" s="11" t="str">
        <f>"00554060"</f>
        <v>00554060</v>
      </c>
    </row>
    <row r="11662" spans="1:2" x14ac:dyDescent="0.25">
      <c r="A11662" s="2">
        <v>11657</v>
      </c>
      <c r="B11662" s="11" t="str">
        <f>"00554090"</f>
        <v>00554090</v>
      </c>
    </row>
    <row r="11663" spans="1:2" x14ac:dyDescent="0.25">
      <c r="A11663" s="2">
        <v>11658</v>
      </c>
      <c r="B11663" s="11" t="str">
        <f>"00554106"</f>
        <v>00554106</v>
      </c>
    </row>
    <row r="11664" spans="1:2" x14ac:dyDescent="0.25">
      <c r="A11664" s="2">
        <v>11659</v>
      </c>
      <c r="B11664" s="11" t="str">
        <f>"00554159"</f>
        <v>00554159</v>
      </c>
    </row>
    <row r="11665" spans="1:2" x14ac:dyDescent="0.25">
      <c r="A11665" s="2">
        <v>11660</v>
      </c>
      <c r="B11665" s="11" t="str">
        <f>"00554168"</f>
        <v>00554168</v>
      </c>
    </row>
    <row r="11666" spans="1:2" x14ac:dyDescent="0.25">
      <c r="A11666" s="2">
        <v>11661</v>
      </c>
      <c r="B11666" s="11" t="str">
        <f>"00554187"</f>
        <v>00554187</v>
      </c>
    </row>
    <row r="11667" spans="1:2" x14ac:dyDescent="0.25">
      <c r="A11667" s="2">
        <v>11662</v>
      </c>
      <c r="B11667" s="11" t="str">
        <f>"00554211"</f>
        <v>00554211</v>
      </c>
    </row>
    <row r="11668" spans="1:2" x14ac:dyDescent="0.25">
      <c r="A11668" s="2">
        <v>11663</v>
      </c>
      <c r="B11668" s="11" t="str">
        <f>"00554257"</f>
        <v>00554257</v>
      </c>
    </row>
    <row r="11669" spans="1:2" x14ac:dyDescent="0.25">
      <c r="A11669" s="2">
        <v>11664</v>
      </c>
      <c r="B11669" s="11" t="str">
        <f>"00554365"</f>
        <v>00554365</v>
      </c>
    </row>
    <row r="11670" spans="1:2" x14ac:dyDescent="0.25">
      <c r="A11670" s="2">
        <v>11665</v>
      </c>
      <c r="B11670" s="11" t="str">
        <f>"00554475"</f>
        <v>00554475</v>
      </c>
    </row>
    <row r="11671" spans="1:2" x14ac:dyDescent="0.25">
      <c r="A11671" s="2">
        <v>11666</v>
      </c>
      <c r="B11671" s="11" t="str">
        <f>"00554544"</f>
        <v>00554544</v>
      </c>
    </row>
    <row r="11672" spans="1:2" x14ac:dyDescent="0.25">
      <c r="A11672" s="2">
        <v>11667</v>
      </c>
      <c r="B11672" s="11" t="str">
        <f>"00554679"</f>
        <v>00554679</v>
      </c>
    </row>
    <row r="11673" spans="1:2" x14ac:dyDescent="0.25">
      <c r="A11673" s="2">
        <v>11668</v>
      </c>
      <c r="B11673" s="11" t="str">
        <f>"00554737"</f>
        <v>00554737</v>
      </c>
    </row>
    <row r="11674" spans="1:2" x14ac:dyDescent="0.25">
      <c r="A11674" s="2">
        <v>11669</v>
      </c>
      <c r="B11674" s="11" t="str">
        <f>"00554759"</f>
        <v>00554759</v>
      </c>
    </row>
    <row r="11675" spans="1:2" x14ac:dyDescent="0.25">
      <c r="A11675" s="2">
        <v>11670</v>
      </c>
      <c r="B11675" s="11" t="str">
        <f>"00554763"</f>
        <v>00554763</v>
      </c>
    </row>
    <row r="11676" spans="1:2" x14ac:dyDescent="0.25">
      <c r="A11676" s="2">
        <v>11671</v>
      </c>
      <c r="B11676" s="11" t="str">
        <f>"00554791"</f>
        <v>00554791</v>
      </c>
    </row>
    <row r="11677" spans="1:2" x14ac:dyDescent="0.25">
      <c r="A11677" s="2">
        <v>11672</v>
      </c>
      <c r="B11677" s="11" t="str">
        <f>"00554850"</f>
        <v>00554850</v>
      </c>
    </row>
    <row r="11678" spans="1:2" x14ac:dyDescent="0.25">
      <c r="A11678" s="2">
        <v>11673</v>
      </c>
      <c r="B11678" s="11" t="str">
        <f>"00554910"</f>
        <v>00554910</v>
      </c>
    </row>
    <row r="11679" spans="1:2" x14ac:dyDescent="0.25">
      <c r="A11679" s="2">
        <v>11674</v>
      </c>
      <c r="B11679" s="11" t="str">
        <f>"00554961"</f>
        <v>00554961</v>
      </c>
    </row>
    <row r="11680" spans="1:2" x14ac:dyDescent="0.25">
      <c r="A11680" s="2">
        <v>11675</v>
      </c>
      <c r="B11680" s="11" t="str">
        <f>"00554977"</f>
        <v>00554977</v>
      </c>
    </row>
    <row r="11681" spans="1:2" x14ac:dyDescent="0.25">
      <c r="A11681" s="2">
        <v>11676</v>
      </c>
      <c r="B11681" s="11" t="str">
        <f>"00554990"</f>
        <v>00554990</v>
      </c>
    </row>
    <row r="11682" spans="1:2" x14ac:dyDescent="0.25">
      <c r="A11682" s="2">
        <v>11677</v>
      </c>
      <c r="B11682" s="11" t="str">
        <f>"00555010"</f>
        <v>00555010</v>
      </c>
    </row>
    <row r="11683" spans="1:2" x14ac:dyDescent="0.25">
      <c r="A11683" s="2">
        <v>11678</v>
      </c>
      <c r="B11683" s="11" t="str">
        <f>"00555025"</f>
        <v>00555025</v>
      </c>
    </row>
    <row r="11684" spans="1:2" x14ac:dyDescent="0.25">
      <c r="A11684" s="2">
        <v>11679</v>
      </c>
      <c r="B11684" s="11" t="str">
        <f>"00555028"</f>
        <v>00555028</v>
      </c>
    </row>
    <row r="11685" spans="1:2" x14ac:dyDescent="0.25">
      <c r="A11685" s="2">
        <v>11680</v>
      </c>
      <c r="B11685" s="11" t="str">
        <f>"00555043"</f>
        <v>00555043</v>
      </c>
    </row>
    <row r="11686" spans="1:2" x14ac:dyDescent="0.25">
      <c r="A11686" s="2">
        <v>11681</v>
      </c>
      <c r="B11686" s="11" t="str">
        <f>"00555044"</f>
        <v>00555044</v>
      </c>
    </row>
    <row r="11687" spans="1:2" x14ac:dyDescent="0.25">
      <c r="A11687" s="2">
        <v>11682</v>
      </c>
      <c r="B11687" s="11" t="str">
        <f>"00555061"</f>
        <v>00555061</v>
      </c>
    </row>
    <row r="11688" spans="1:2" x14ac:dyDescent="0.25">
      <c r="A11688" s="2">
        <v>11683</v>
      </c>
      <c r="B11688" s="11" t="str">
        <f>"00555065"</f>
        <v>00555065</v>
      </c>
    </row>
    <row r="11689" spans="1:2" x14ac:dyDescent="0.25">
      <c r="A11689" s="2">
        <v>11684</v>
      </c>
      <c r="B11689" s="11" t="str">
        <f>"00555099"</f>
        <v>00555099</v>
      </c>
    </row>
    <row r="11690" spans="1:2" x14ac:dyDescent="0.25">
      <c r="A11690" s="2">
        <v>11685</v>
      </c>
      <c r="B11690" s="11" t="str">
        <f>"00555100"</f>
        <v>00555100</v>
      </c>
    </row>
    <row r="11691" spans="1:2" x14ac:dyDescent="0.25">
      <c r="A11691" s="2">
        <v>11686</v>
      </c>
      <c r="B11691" s="11" t="str">
        <f>"00555144"</f>
        <v>00555144</v>
      </c>
    </row>
    <row r="11692" spans="1:2" x14ac:dyDescent="0.25">
      <c r="A11692" s="2">
        <v>11687</v>
      </c>
      <c r="B11692" s="11" t="str">
        <f>"00555149"</f>
        <v>00555149</v>
      </c>
    </row>
    <row r="11693" spans="1:2" x14ac:dyDescent="0.25">
      <c r="A11693" s="2">
        <v>11688</v>
      </c>
      <c r="B11693" s="11" t="str">
        <f>"00555244"</f>
        <v>00555244</v>
      </c>
    </row>
    <row r="11694" spans="1:2" x14ac:dyDescent="0.25">
      <c r="A11694" s="2">
        <v>11689</v>
      </c>
      <c r="B11694" s="11" t="str">
        <f>"00555253"</f>
        <v>00555253</v>
      </c>
    </row>
    <row r="11695" spans="1:2" x14ac:dyDescent="0.25">
      <c r="A11695" s="2">
        <v>11690</v>
      </c>
      <c r="B11695" s="11" t="str">
        <f>"00555264"</f>
        <v>00555264</v>
      </c>
    </row>
    <row r="11696" spans="1:2" x14ac:dyDescent="0.25">
      <c r="A11696" s="2">
        <v>11691</v>
      </c>
      <c r="B11696" s="11" t="str">
        <f>"00555266"</f>
        <v>00555266</v>
      </c>
    </row>
    <row r="11697" spans="1:2" x14ac:dyDescent="0.25">
      <c r="A11697" s="2">
        <v>11692</v>
      </c>
      <c r="B11697" s="11" t="str">
        <f>"00555270"</f>
        <v>00555270</v>
      </c>
    </row>
    <row r="11698" spans="1:2" x14ac:dyDescent="0.25">
      <c r="A11698" s="2">
        <v>11693</v>
      </c>
      <c r="B11698" s="11" t="str">
        <f>"00555320"</f>
        <v>00555320</v>
      </c>
    </row>
    <row r="11699" spans="1:2" x14ac:dyDescent="0.25">
      <c r="A11699" s="2">
        <v>11694</v>
      </c>
      <c r="B11699" s="11" t="str">
        <f>"00555355"</f>
        <v>00555355</v>
      </c>
    </row>
    <row r="11700" spans="1:2" x14ac:dyDescent="0.25">
      <c r="A11700" s="2">
        <v>11695</v>
      </c>
      <c r="B11700" s="11" t="str">
        <f>"00555383"</f>
        <v>00555383</v>
      </c>
    </row>
    <row r="11701" spans="1:2" x14ac:dyDescent="0.25">
      <c r="A11701" s="2">
        <v>11696</v>
      </c>
      <c r="B11701" s="11" t="str">
        <f>"00555386"</f>
        <v>00555386</v>
      </c>
    </row>
    <row r="11702" spans="1:2" x14ac:dyDescent="0.25">
      <c r="A11702" s="2">
        <v>11697</v>
      </c>
      <c r="B11702" s="11" t="str">
        <f>"00555391"</f>
        <v>00555391</v>
      </c>
    </row>
    <row r="11703" spans="1:2" x14ac:dyDescent="0.25">
      <c r="A11703" s="2">
        <v>11698</v>
      </c>
      <c r="B11703" s="11" t="str">
        <f>"00555443"</f>
        <v>00555443</v>
      </c>
    </row>
    <row r="11704" spans="1:2" x14ac:dyDescent="0.25">
      <c r="A11704" s="2">
        <v>11699</v>
      </c>
      <c r="B11704" s="11" t="str">
        <f>"00555444"</f>
        <v>00555444</v>
      </c>
    </row>
    <row r="11705" spans="1:2" x14ac:dyDescent="0.25">
      <c r="A11705" s="2">
        <v>11700</v>
      </c>
      <c r="B11705" s="11" t="str">
        <f>"00555491"</f>
        <v>00555491</v>
      </c>
    </row>
    <row r="11706" spans="1:2" x14ac:dyDescent="0.25">
      <c r="A11706" s="2">
        <v>11701</v>
      </c>
      <c r="B11706" s="11" t="str">
        <f>"00555505"</f>
        <v>00555505</v>
      </c>
    </row>
    <row r="11707" spans="1:2" x14ac:dyDescent="0.25">
      <c r="A11707" s="2">
        <v>11702</v>
      </c>
      <c r="B11707" s="11" t="str">
        <f>"00555526"</f>
        <v>00555526</v>
      </c>
    </row>
    <row r="11708" spans="1:2" x14ac:dyDescent="0.25">
      <c r="A11708" s="2">
        <v>11703</v>
      </c>
      <c r="B11708" s="11" t="str">
        <f>"00555549"</f>
        <v>00555549</v>
      </c>
    </row>
    <row r="11709" spans="1:2" x14ac:dyDescent="0.25">
      <c r="A11709" s="2">
        <v>11704</v>
      </c>
      <c r="B11709" s="11" t="str">
        <f>"00555551"</f>
        <v>00555551</v>
      </c>
    </row>
    <row r="11710" spans="1:2" x14ac:dyDescent="0.25">
      <c r="A11710" s="2">
        <v>11705</v>
      </c>
      <c r="B11710" s="11" t="str">
        <f>"00555566"</f>
        <v>00555566</v>
      </c>
    </row>
    <row r="11711" spans="1:2" x14ac:dyDescent="0.25">
      <c r="A11711" s="2">
        <v>11706</v>
      </c>
      <c r="B11711" s="11" t="str">
        <f>"00555575"</f>
        <v>00555575</v>
      </c>
    </row>
    <row r="11712" spans="1:2" x14ac:dyDescent="0.25">
      <c r="A11712" s="2">
        <v>11707</v>
      </c>
      <c r="B11712" s="11" t="str">
        <f>"00555601"</f>
        <v>00555601</v>
      </c>
    </row>
    <row r="11713" spans="1:2" x14ac:dyDescent="0.25">
      <c r="A11713" s="2">
        <v>11708</v>
      </c>
      <c r="B11713" s="11" t="str">
        <f>"00555670"</f>
        <v>00555670</v>
      </c>
    </row>
    <row r="11714" spans="1:2" x14ac:dyDescent="0.25">
      <c r="A11714" s="2">
        <v>11709</v>
      </c>
      <c r="B11714" s="11" t="str">
        <f>"00555799"</f>
        <v>00555799</v>
      </c>
    </row>
    <row r="11715" spans="1:2" x14ac:dyDescent="0.25">
      <c r="A11715" s="2">
        <v>11710</v>
      </c>
      <c r="B11715" s="11" t="str">
        <f>"00555871"</f>
        <v>00555871</v>
      </c>
    </row>
    <row r="11716" spans="1:2" x14ac:dyDescent="0.25">
      <c r="A11716" s="2">
        <v>11711</v>
      </c>
      <c r="B11716" s="11" t="str">
        <f>"00555877"</f>
        <v>00555877</v>
      </c>
    </row>
    <row r="11717" spans="1:2" x14ac:dyDescent="0.25">
      <c r="A11717" s="2">
        <v>11712</v>
      </c>
      <c r="B11717" s="11" t="str">
        <f>"00555924"</f>
        <v>00555924</v>
      </c>
    </row>
    <row r="11718" spans="1:2" x14ac:dyDescent="0.25">
      <c r="A11718" s="2">
        <v>11713</v>
      </c>
      <c r="B11718" s="11" t="str">
        <f>"00555941"</f>
        <v>00555941</v>
      </c>
    </row>
    <row r="11719" spans="1:2" x14ac:dyDescent="0.25">
      <c r="A11719" s="2">
        <v>11714</v>
      </c>
      <c r="B11719" s="11" t="str">
        <f>"00555982"</f>
        <v>00555982</v>
      </c>
    </row>
    <row r="11720" spans="1:2" x14ac:dyDescent="0.25">
      <c r="A11720" s="2">
        <v>11715</v>
      </c>
      <c r="B11720" s="11" t="str">
        <f>"00555984"</f>
        <v>00555984</v>
      </c>
    </row>
    <row r="11721" spans="1:2" x14ac:dyDescent="0.25">
      <c r="A11721" s="2">
        <v>11716</v>
      </c>
      <c r="B11721" s="11" t="str">
        <f>"00556000"</f>
        <v>00556000</v>
      </c>
    </row>
    <row r="11722" spans="1:2" x14ac:dyDescent="0.25">
      <c r="A11722" s="2">
        <v>11717</v>
      </c>
      <c r="B11722" s="11" t="str">
        <f>"00556030"</f>
        <v>00556030</v>
      </c>
    </row>
    <row r="11723" spans="1:2" x14ac:dyDescent="0.25">
      <c r="A11723" s="2">
        <v>11718</v>
      </c>
      <c r="B11723" s="11" t="str">
        <f>"00556077"</f>
        <v>00556077</v>
      </c>
    </row>
    <row r="11724" spans="1:2" x14ac:dyDescent="0.25">
      <c r="A11724" s="2">
        <v>11719</v>
      </c>
      <c r="B11724" s="11" t="str">
        <f>"00556167"</f>
        <v>00556167</v>
      </c>
    </row>
    <row r="11725" spans="1:2" x14ac:dyDescent="0.25">
      <c r="A11725" s="2">
        <v>11720</v>
      </c>
      <c r="B11725" s="11" t="str">
        <f>"00556178"</f>
        <v>00556178</v>
      </c>
    </row>
    <row r="11726" spans="1:2" x14ac:dyDescent="0.25">
      <c r="A11726" s="2">
        <v>11721</v>
      </c>
      <c r="B11726" s="11" t="str">
        <f>"00556183"</f>
        <v>00556183</v>
      </c>
    </row>
    <row r="11727" spans="1:2" x14ac:dyDescent="0.25">
      <c r="A11727" s="2">
        <v>11722</v>
      </c>
      <c r="B11727" s="11" t="str">
        <f>"00556185"</f>
        <v>00556185</v>
      </c>
    </row>
    <row r="11728" spans="1:2" x14ac:dyDescent="0.25">
      <c r="A11728" s="2">
        <v>11723</v>
      </c>
      <c r="B11728" s="11" t="str">
        <f>"00556214"</f>
        <v>00556214</v>
      </c>
    </row>
    <row r="11729" spans="1:2" x14ac:dyDescent="0.25">
      <c r="A11729" s="2">
        <v>11724</v>
      </c>
      <c r="B11729" s="11" t="str">
        <f>"00556278"</f>
        <v>00556278</v>
      </c>
    </row>
    <row r="11730" spans="1:2" x14ac:dyDescent="0.25">
      <c r="A11730" s="2">
        <v>11725</v>
      </c>
      <c r="B11730" s="11" t="str">
        <f>"00556309"</f>
        <v>00556309</v>
      </c>
    </row>
    <row r="11731" spans="1:2" x14ac:dyDescent="0.25">
      <c r="A11731" s="2">
        <v>11726</v>
      </c>
      <c r="B11731" s="11" t="str">
        <f>"00556361"</f>
        <v>00556361</v>
      </c>
    </row>
    <row r="11732" spans="1:2" x14ac:dyDescent="0.25">
      <c r="A11732" s="2">
        <v>11727</v>
      </c>
      <c r="B11732" s="11" t="str">
        <f>"00556383"</f>
        <v>00556383</v>
      </c>
    </row>
    <row r="11733" spans="1:2" x14ac:dyDescent="0.25">
      <c r="A11733" s="2">
        <v>11728</v>
      </c>
      <c r="B11733" s="11" t="str">
        <f>"00556424"</f>
        <v>00556424</v>
      </c>
    </row>
    <row r="11734" spans="1:2" x14ac:dyDescent="0.25">
      <c r="A11734" s="2">
        <v>11729</v>
      </c>
      <c r="B11734" s="11" t="str">
        <f>"00556499"</f>
        <v>00556499</v>
      </c>
    </row>
    <row r="11735" spans="1:2" x14ac:dyDescent="0.25">
      <c r="A11735" s="2">
        <v>11730</v>
      </c>
      <c r="B11735" s="11" t="str">
        <f>"00556500"</f>
        <v>00556500</v>
      </c>
    </row>
    <row r="11736" spans="1:2" x14ac:dyDescent="0.25">
      <c r="A11736" s="2">
        <v>11731</v>
      </c>
      <c r="B11736" s="11" t="str">
        <f>"00556517"</f>
        <v>00556517</v>
      </c>
    </row>
    <row r="11737" spans="1:2" x14ac:dyDescent="0.25">
      <c r="A11737" s="2">
        <v>11732</v>
      </c>
      <c r="B11737" s="11" t="str">
        <f>"00556560"</f>
        <v>00556560</v>
      </c>
    </row>
    <row r="11738" spans="1:2" x14ac:dyDescent="0.25">
      <c r="A11738" s="2">
        <v>11733</v>
      </c>
      <c r="B11738" s="11" t="str">
        <f>"00556563"</f>
        <v>00556563</v>
      </c>
    </row>
    <row r="11739" spans="1:2" x14ac:dyDescent="0.25">
      <c r="A11739" s="2">
        <v>11734</v>
      </c>
      <c r="B11739" s="11" t="str">
        <f>"00556675"</f>
        <v>00556675</v>
      </c>
    </row>
    <row r="11740" spans="1:2" x14ac:dyDescent="0.25">
      <c r="A11740" s="2">
        <v>11735</v>
      </c>
      <c r="B11740" s="11" t="str">
        <f>"00556747"</f>
        <v>00556747</v>
      </c>
    </row>
    <row r="11741" spans="1:2" x14ac:dyDescent="0.25">
      <c r="A11741" s="2">
        <v>11736</v>
      </c>
      <c r="B11741" s="11" t="str">
        <f>"00556778"</f>
        <v>00556778</v>
      </c>
    </row>
    <row r="11742" spans="1:2" x14ac:dyDescent="0.25">
      <c r="A11742" s="2">
        <v>11737</v>
      </c>
      <c r="B11742" s="11" t="str">
        <f>"00556900"</f>
        <v>00556900</v>
      </c>
    </row>
    <row r="11743" spans="1:2" x14ac:dyDescent="0.25">
      <c r="A11743" s="2">
        <v>11738</v>
      </c>
      <c r="B11743" s="11" t="str">
        <f>"00556933"</f>
        <v>00556933</v>
      </c>
    </row>
    <row r="11744" spans="1:2" x14ac:dyDescent="0.25">
      <c r="A11744" s="2">
        <v>11739</v>
      </c>
      <c r="B11744" s="11" t="str">
        <f>"00556935"</f>
        <v>00556935</v>
      </c>
    </row>
    <row r="11745" spans="1:2" x14ac:dyDescent="0.25">
      <c r="A11745" s="2">
        <v>11740</v>
      </c>
      <c r="B11745" s="11" t="str">
        <f>"00556946"</f>
        <v>00556946</v>
      </c>
    </row>
    <row r="11746" spans="1:2" x14ac:dyDescent="0.25">
      <c r="A11746" s="2">
        <v>11741</v>
      </c>
      <c r="B11746" s="11" t="str">
        <f>"00556955"</f>
        <v>00556955</v>
      </c>
    </row>
    <row r="11747" spans="1:2" x14ac:dyDescent="0.25">
      <c r="A11747" s="2">
        <v>11742</v>
      </c>
      <c r="B11747" s="11" t="str">
        <f>"00557003"</f>
        <v>00557003</v>
      </c>
    </row>
    <row r="11748" spans="1:2" x14ac:dyDescent="0.25">
      <c r="A11748" s="2">
        <v>11743</v>
      </c>
      <c r="B11748" s="11" t="str">
        <f>"00557042"</f>
        <v>00557042</v>
      </c>
    </row>
    <row r="11749" spans="1:2" x14ac:dyDescent="0.25">
      <c r="A11749" s="2">
        <v>11744</v>
      </c>
      <c r="B11749" s="11" t="str">
        <f>"00557104"</f>
        <v>00557104</v>
      </c>
    </row>
    <row r="11750" spans="1:2" x14ac:dyDescent="0.25">
      <c r="A11750" s="2">
        <v>11745</v>
      </c>
      <c r="B11750" s="11" t="str">
        <f>"00557116"</f>
        <v>00557116</v>
      </c>
    </row>
    <row r="11751" spans="1:2" x14ac:dyDescent="0.25">
      <c r="A11751" s="2">
        <v>11746</v>
      </c>
      <c r="B11751" s="11" t="str">
        <f>"00557131"</f>
        <v>00557131</v>
      </c>
    </row>
    <row r="11752" spans="1:2" x14ac:dyDescent="0.25">
      <c r="A11752" s="2">
        <v>11747</v>
      </c>
      <c r="B11752" s="11" t="str">
        <f>"00557168"</f>
        <v>00557168</v>
      </c>
    </row>
    <row r="11753" spans="1:2" x14ac:dyDescent="0.25">
      <c r="A11753" s="2">
        <v>11748</v>
      </c>
      <c r="B11753" s="11" t="str">
        <f>"00557238"</f>
        <v>00557238</v>
      </c>
    </row>
    <row r="11754" spans="1:2" x14ac:dyDescent="0.25">
      <c r="A11754" s="2">
        <v>11749</v>
      </c>
      <c r="B11754" s="11" t="str">
        <f>"00557293"</f>
        <v>00557293</v>
      </c>
    </row>
    <row r="11755" spans="1:2" x14ac:dyDescent="0.25">
      <c r="A11755" s="2">
        <v>11750</v>
      </c>
      <c r="B11755" s="11" t="str">
        <f>"00557308"</f>
        <v>00557308</v>
      </c>
    </row>
    <row r="11756" spans="1:2" x14ac:dyDescent="0.25">
      <c r="A11756" s="2">
        <v>11751</v>
      </c>
      <c r="B11756" s="11" t="str">
        <f>"00557413"</f>
        <v>00557413</v>
      </c>
    </row>
    <row r="11757" spans="1:2" x14ac:dyDescent="0.25">
      <c r="A11757" s="2">
        <v>11752</v>
      </c>
      <c r="B11757" s="11" t="str">
        <f>"00557414"</f>
        <v>00557414</v>
      </c>
    </row>
    <row r="11758" spans="1:2" x14ac:dyDescent="0.25">
      <c r="A11758" s="2">
        <v>11753</v>
      </c>
      <c r="B11758" s="11" t="str">
        <f>"00557432"</f>
        <v>00557432</v>
      </c>
    </row>
    <row r="11759" spans="1:2" x14ac:dyDescent="0.25">
      <c r="A11759" s="2">
        <v>11754</v>
      </c>
      <c r="B11759" s="11" t="str">
        <f>"00557445"</f>
        <v>00557445</v>
      </c>
    </row>
    <row r="11760" spans="1:2" x14ac:dyDescent="0.25">
      <c r="A11760" s="2">
        <v>11755</v>
      </c>
      <c r="B11760" s="11" t="str">
        <f>"00557501"</f>
        <v>00557501</v>
      </c>
    </row>
    <row r="11761" spans="1:2" x14ac:dyDescent="0.25">
      <c r="A11761" s="2">
        <v>11756</v>
      </c>
      <c r="B11761" s="11" t="str">
        <f>"00557527"</f>
        <v>00557527</v>
      </c>
    </row>
    <row r="11762" spans="1:2" x14ac:dyDescent="0.25">
      <c r="A11762" s="2">
        <v>11757</v>
      </c>
      <c r="B11762" s="11" t="str">
        <f>"00557623"</f>
        <v>00557623</v>
      </c>
    </row>
    <row r="11763" spans="1:2" x14ac:dyDescent="0.25">
      <c r="A11763" s="2">
        <v>11758</v>
      </c>
      <c r="B11763" s="11" t="str">
        <f>"00557709"</f>
        <v>00557709</v>
      </c>
    </row>
    <row r="11764" spans="1:2" x14ac:dyDescent="0.25">
      <c r="A11764" s="2">
        <v>11759</v>
      </c>
      <c r="B11764" s="11" t="str">
        <f>"00557731"</f>
        <v>00557731</v>
      </c>
    </row>
    <row r="11765" spans="1:2" x14ac:dyDescent="0.25">
      <c r="A11765" s="2">
        <v>11760</v>
      </c>
      <c r="B11765" s="11" t="str">
        <f>"00557734"</f>
        <v>00557734</v>
      </c>
    </row>
    <row r="11766" spans="1:2" x14ac:dyDescent="0.25">
      <c r="A11766" s="2">
        <v>11761</v>
      </c>
      <c r="B11766" s="11" t="str">
        <f>"00557738"</f>
        <v>00557738</v>
      </c>
    </row>
    <row r="11767" spans="1:2" x14ac:dyDescent="0.25">
      <c r="A11767" s="2">
        <v>11762</v>
      </c>
      <c r="B11767" s="11" t="str">
        <f>"00557778"</f>
        <v>00557778</v>
      </c>
    </row>
    <row r="11768" spans="1:2" x14ac:dyDescent="0.25">
      <c r="A11768" s="2">
        <v>11763</v>
      </c>
      <c r="B11768" s="11" t="str">
        <f>"00557821"</f>
        <v>00557821</v>
      </c>
    </row>
    <row r="11769" spans="1:2" x14ac:dyDescent="0.25">
      <c r="A11769" s="2">
        <v>11764</v>
      </c>
      <c r="B11769" s="11" t="str">
        <f>"00557939"</f>
        <v>00557939</v>
      </c>
    </row>
    <row r="11770" spans="1:2" x14ac:dyDescent="0.25">
      <c r="A11770" s="2">
        <v>11765</v>
      </c>
      <c r="B11770" s="11" t="str">
        <f>"00557973"</f>
        <v>00557973</v>
      </c>
    </row>
    <row r="11771" spans="1:2" x14ac:dyDescent="0.25">
      <c r="A11771" s="2">
        <v>11766</v>
      </c>
      <c r="B11771" s="11" t="str">
        <f>"00558016"</f>
        <v>00558016</v>
      </c>
    </row>
    <row r="11772" spans="1:2" x14ac:dyDescent="0.25">
      <c r="A11772" s="2">
        <v>11767</v>
      </c>
      <c r="B11772" s="11" t="str">
        <f>"00558079"</f>
        <v>00558079</v>
      </c>
    </row>
    <row r="11773" spans="1:2" x14ac:dyDescent="0.25">
      <c r="A11773" s="2">
        <v>11768</v>
      </c>
      <c r="B11773" s="11" t="str">
        <f>"00558183"</f>
        <v>00558183</v>
      </c>
    </row>
    <row r="11774" spans="1:2" x14ac:dyDescent="0.25">
      <c r="A11774" s="2">
        <v>11769</v>
      </c>
      <c r="B11774" s="11" t="str">
        <f>"00558198"</f>
        <v>00558198</v>
      </c>
    </row>
    <row r="11775" spans="1:2" x14ac:dyDescent="0.25">
      <c r="A11775" s="2">
        <v>11770</v>
      </c>
      <c r="B11775" s="11" t="str">
        <f>"00558225"</f>
        <v>00558225</v>
      </c>
    </row>
    <row r="11776" spans="1:2" x14ac:dyDescent="0.25">
      <c r="A11776" s="2">
        <v>11771</v>
      </c>
      <c r="B11776" s="11" t="str">
        <f>"00558390"</f>
        <v>00558390</v>
      </c>
    </row>
    <row r="11777" spans="1:2" x14ac:dyDescent="0.25">
      <c r="A11777" s="2">
        <v>11772</v>
      </c>
      <c r="B11777" s="11" t="str">
        <f>"00558446"</f>
        <v>00558446</v>
      </c>
    </row>
    <row r="11778" spans="1:2" x14ac:dyDescent="0.25">
      <c r="A11778" s="2">
        <v>11773</v>
      </c>
      <c r="B11778" s="11" t="str">
        <f>"00558552"</f>
        <v>00558552</v>
      </c>
    </row>
    <row r="11779" spans="1:2" x14ac:dyDescent="0.25">
      <c r="A11779" s="2">
        <v>11774</v>
      </c>
      <c r="B11779" s="11" t="str">
        <f>"00558563"</f>
        <v>00558563</v>
      </c>
    </row>
    <row r="11780" spans="1:2" x14ac:dyDescent="0.25">
      <c r="A11780" s="2">
        <v>11775</v>
      </c>
      <c r="B11780" s="11" t="str">
        <f>"00558567"</f>
        <v>00558567</v>
      </c>
    </row>
    <row r="11781" spans="1:2" x14ac:dyDescent="0.25">
      <c r="A11781" s="2">
        <v>11776</v>
      </c>
      <c r="B11781" s="11" t="str">
        <f>"00558783"</f>
        <v>00558783</v>
      </c>
    </row>
    <row r="11782" spans="1:2" x14ac:dyDescent="0.25">
      <c r="A11782" s="2">
        <v>11777</v>
      </c>
      <c r="B11782" s="11" t="str">
        <f>"00558792"</f>
        <v>00558792</v>
      </c>
    </row>
    <row r="11783" spans="1:2" x14ac:dyDescent="0.25">
      <c r="A11783" s="2">
        <v>11778</v>
      </c>
      <c r="B11783" s="11" t="str">
        <f>"00558801"</f>
        <v>00558801</v>
      </c>
    </row>
    <row r="11784" spans="1:2" x14ac:dyDescent="0.25">
      <c r="A11784" s="2">
        <v>11779</v>
      </c>
      <c r="B11784" s="11" t="str">
        <f>"00558891"</f>
        <v>00558891</v>
      </c>
    </row>
    <row r="11785" spans="1:2" x14ac:dyDescent="0.25">
      <c r="A11785" s="2">
        <v>11780</v>
      </c>
      <c r="B11785" s="11" t="str">
        <f>"00558938"</f>
        <v>00558938</v>
      </c>
    </row>
    <row r="11786" spans="1:2" x14ac:dyDescent="0.25">
      <c r="A11786" s="2">
        <v>11781</v>
      </c>
      <c r="B11786" s="11" t="str">
        <f>"00558987"</f>
        <v>00558987</v>
      </c>
    </row>
    <row r="11787" spans="1:2" x14ac:dyDescent="0.25">
      <c r="A11787" s="2">
        <v>11782</v>
      </c>
      <c r="B11787" s="11" t="str">
        <f>"00558998"</f>
        <v>00558998</v>
      </c>
    </row>
    <row r="11788" spans="1:2" x14ac:dyDescent="0.25">
      <c r="A11788" s="2">
        <v>11783</v>
      </c>
      <c r="B11788" s="11" t="str">
        <f>"00559022"</f>
        <v>00559022</v>
      </c>
    </row>
    <row r="11789" spans="1:2" x14ac:dyDescent="0.25">
      <c r="A11789" s="2">
        <v>11784</v>
      </c>
      <c r="B11789" s="11" t="str">
        <f>"00559024"</f>
        <v>00559024</v>
      </c>
    </row>
    <row r="11790" spans="1:2" x14ac:dyDescent="0.25">
      <c r="A11790" s="2">
        <v>11785</v>
      </c>
      <c r="B11790" s="11" t="str">
        <f>"00559056"</f>
        <v>00559056</v>
      </c>
    </row>
    <row r="11791" spans="1:2" x14ac:dyDescent="0.25">
      <c r="A11791" s="2">
        <v>11786</v>
      </c>
      <c r="B11791" s="11" t="str">
        <f>"00559062"</f>
        <v>00559062</v>
      </c>
    </row>
    <row r="11792" spans="1:2" x14ac:dyDescent="0.25">
      <c r="A11792" s="2">
        <v>11787</v>
      </c>
      <c r="B11792" s="11" t="str">
        <f>"00559069"</f>
        <v>00559069</v>
      </c>
    </row>
    <row r="11793" spans="1:2" x14ac:dyDescent="0.25">
      <c r="A11793" s="2">
        <v>11788</v>
      </c>
      <c r="B11793" s="11" t="str">
        <f>"00559158"</f>
        <v>00559158</v>
      </c>
    </row>
    <row r="11794" spans="1:2" x14ac:dyDescent="0.25">
      <c r="A11794" s="2">
        <v>11789</v>
      </c>
      <c r="B11794" s="11" t="str">
        <f>"00559250"</f>
        <v>00559250</v>
      </c>
    </row>
    <row r="11795" spans="1:2" x14ac:dyDescent="0.25">
      <c r="A11795" s="2">
        <v>11790</v>
      </c>
      <c r="B11795" s="11" t="str">
        <f>"00559273"</f>
        <v>00559273</v>
      </c>
    </row>
    <row r="11796" spans="1:2" x14ac:dyDescent="0.25">
      <c r="A11796" s="2">
        <v>11791</v>
      </c>
      <c r="B11796" s="11" t="str">
        <f>"00559352"</f>
        <v>00559352</v>
      </c>
    </row>
    <row r="11797" spans="1:2" x14ac:dyDescent="0.25">
      <c r="A11797" s="2">
        <v>11792</v>
      </c>
      <c r="B11797" s="11" t="str">
        <f>"00559419"</f>
        <v>00559419</v>
      </c>
    </row>
    <row r="11798" spans="1:2" x14ac:dyDescent="0.25">
      <c r="A11798" s="2">
        <v>11793</v>
      </c>
      <c r="B11798" s="11" t="str">
        <f>"00559503"</f>
        <v>00559503</v>
      </c>
    </row>
    <row r="11799" spans="1:2" x14ac:dyDescent="0.25">
      <c r="A11799" s="2">
        <v>11794</v>
      </c>
      <c r="B11799" s="11" t="str">
        <f>"00559543"</f>
        <v>00559543</v>
      </c>
    </row>
    <row r="11800" spans="1:2" x14ac:dyDescent="0.25">
      <c r="A11800" s="2">
        <v>11795</v>
      </c>
      <c r="B11800" s="11" t="str">
        <f>"00559583"</f>
        <v>00559583</v>
      </c>
    </row>
    <row r="11801" spans="1:2" x14ac:dyDescent="0.25">
      <c r="A11801" s="2">
        <v>11796</v>
      </c>
      <c r="B11801" s="11" t="str">
        <f>"00559631"</f>
        <v>00559631</v>
      </c>
    </row>
    <row r="11802" spans="1:2" x14ac:dyDescent="0.25">
      <c r="A11802" s="2">
        <v>11797</v>
      </c>
      <c r="B11802" s="11" t="str">
        <f>"00559632"</f>
        <v>00559632</v>
      </c>
    </row>
    <row r="11803" spans="1:2" x14ac:dyDescent="0.25">
      <c r="A11803" s="2">
        <v>11798</v>
      </c>
      <c r="B11803" s="11" t="str">
        <f>"00559640"</f>
        <v>00559640</v>
      </c>
    </row>
    <row r="11804" spans="1:2" x14ac:dyDescent="0.25">
      <c r="A11804" s="2">
        <v>11799</v>
      </c>
      <c r="B11804" s="11" t="str">
        <f>"00559671"</f>
        <v>00559671</v>
      </c>
    </row>
    <row r="11805" spans="1:2" x14ac:dyDescent="0.25">
      <c r="A11805" s="2">
        <v>11800</v>
      </c>
      <c r="B11805" s="11" t="str">
        <f>"00559710"</f>
        <v>00559710</v>
      </c>
    </row>
    <row r="11806" spans="1:2" x14ac:dyDescent="0.25">
      <c r="A11806" s="2">
        <v>11801</v>
      </c>
      <c r="B11806" s="11" t="str">
        <f>"00559716"</f>
        <v>00559716</v>
      </c>
    </row>
    <row r="11807" spans="1:2" x14ac:dyDescent="0.25">
      <c r="A11807" s="2">
        <v>11802</v>
      </c>
      <c r="B11807" s="11" t="str">
        <f>"00559779"</f>
        <v>00559779</v>
      </c>
    </row>
    <row r="11808" spans="1:2" x14ac:dyDescent="0.25">
      <c r="A11808" s="2">
        <v>11803</v>
      </c>
      <c r="B11808" s="11" t="str">
        <f>"00559862"</f>
        <v>00559862</v>
      </c>
    </row>
    <row r="11809" spans="1:2" x14ac:dyDescent="0.25">
      <c r="A11809" s="2">
        <v>11804</v>
      </c>
      <c r="B11809" s="11" t="str">
        <f>"00559894"</f>
        <v>00559894</v>
      </c>
    </row>
    <row r="11810" spans="1:2" x14ac:dyDescent="0.25">
      <c r="A11810" s="2">
        <v>11805</v>
      </c>
      <c r="B11810" s="11" t="str">
        <f>"00559911"</f>
        <v>00559911</v>
      </c>
    </row>
    <row r="11811" spans="1:2" x14ac:dyDescent="0.25">
      <c r="A11811" s="2">
        <v>11806</v>
      </c>
      <c r="B11811" s="11" t="str">
        <f>"00559947"</f>
        <v>00559947</v>
      </c>
    </row>
    <row r="11812" spans="1:2" x14ac:dyDescent="0.25">
      <c r="A11812" s="2">
        <v>11807</v>
      </c>
      <c r="B11812" s="11" t="str">
        <f>"00560040"</f>
        <v>00560040</v>
      </c>
    </row>
    <row r="11813" spans="1:2" x14ac:dyDescent="0.25">
      <c r="A11813" s="2">
        <v>11808</v>
      </c>
      <c r="B11813" s="11" t="str">
        <f>"00560150"</f>
        <v>00560150</v>
      </c>
    </row>
    <row r="11814" spans="1:2" x14ac:dyDescent="0.25">
      <c r="A11814" s="2">
        <v>11809</v>
      </c>
      <c r="B11814" s="11" t="str">
        <f>"00560281"</f>
        <v>00560281</v>
      </c>
    </row>
    <row r="11815" spans="1:2" x14ac:dyDescent="0.25">
      <c r="A11815" s="2">
        <v>11810</v>
      </c>
      <c r="B11815" s="11" t="str">
        <f>"00560401"</f>
        <v>00560401</v>
      </c>
    </row>
    <row r="11816" spans="1:2" x14ac:dyDescent="0.25">
      <c r="A11816" s="2">
        <v>11811</v>
      </c>
      <c r="B11816" s="11" t="str">
        <f>"00560418"</f>
        <v>00560418</v>
      </c>
    </row>
    <row r="11817" spans="1:2" x14ac:dyDescent="0.25">
      <c r="A11817" s="2">
        <v>11812</v>
      </c>
      <c r="B11817" s="11" t="str">
        <f>"00560424"</f>
        <v>00560424</v>
      </c>
    </row>
    <row r="11818" spans="1:2" x14ac:dyDescent="0.25">
      <c r="A11818" s="2">
        <v>11813</v>
      </c>
      <c r="B11818" s="11" t="str">
        <f>"00560470"</f>
        <v>00560470</v>
      </c>
    </row>
    <row r="11819" spans="1:2" x14ac:dyDescent="0.25">
      <c r="A11819" s="2">
        <v>11814</v>
      </c>
      <c r="B11819" s="11" t="str">
        <f>"00560502"</f>
        <v>00560502</v>
      </c>
    </row>
    <row r="11820" spans="1:2" x14ac:dyDescent="0.25">
      <c r="A11820" s="2">
        <v>11815</v>
      </c>
      <c r="B11820" s="11" t="str">
        <f>"00560561"</f>
        <v>00560561</v>
      </c>
    </row>
    <row r="11821" spans="1:2" x14ac:dyDescent="0.25">
      <c r="A11821" s="2">
        <v>11816</v>
      </c>
      <c r="B11821" s="11" t="str">
        <f>"00560619"</f>
        <v>00560619</v>
      </c>
    </row>
    <row r="11822" spans="1:2" x14ac:dyDescent="0.25">
      <c r="A11822" s="2">
        <v>11817</v>
      </c>
      <c r="B11822" s="11" t="str">
        <f>"00560623"</f>
        <v>00560623</v>
      </c>
    </row>
    <row r="11823" spans="1:2" x14ac:dyDescent="0.25">
      <c r="A11823" s="2">
        <v>11818</v>
      </c>
      <c r="B11823" s="11" t="str">
        <f>"00560642"</f>
        <v>00560642</v>
      </c>
    </row>
    <row r="11824" spans="1:2" x14ac:dyDescent="0.25">
      <c r="A11824" s="2">
        <v>11819</v>
      </c>
      <c r="B11824" s="11" t="str">
        <f>"00560652"</f>
        <v>00560652</v>
      </c>
    </row>
    <row r="11825" spans="1:2" x14ac:dyDescent="0.25">
      <c r="A11825" s="2">
        <v>11820</v>
      </c>
      <c r="B11825" s="11" t="str">
        <f>"00560687"</f>
        <v>00560687</v>
      </c>
    </row>
    <row r="11826" spans="1:2" x14ac:dyDescent="0.25">
      <c r="A11826" s="2">
        <v>11821</v>
      </c>
      <c r="B11826" s="11" t="str">
        <f>"00560690"</f>
        <v>00560690</v>
      </c>
    </row>
    <row r="11827" spans="1:2" x14ac:dyDescent="0.25">
      <c r="A11827" s="2">
        <v>11822</v>
      </c>
      <c r="B11827" s="11" t="str">
        <f>"00560741"</f>
        <v>00560741</v>
      </c>
    </row>
    <row r="11828" spans="1:2" x14ac:dyDescent="0.25">
      <c r="A11828" s="2">
        <v>11823</v>
      </c>
      <c r="B11828" s="11" t="str">
        <f>"00560838"</f>
        <v>00560838</v>
      </c>
    </row>
    <row r="11829" spans="1:2" x14ac:dyDescent="0.25">
      <c r="A11829" s="2">
        <v>11824</v>
      </c>
      <c r="B11829" s="11" t="str">
        <f>"00560846"</f>
        <v>00560846</v>
      </c>
    </row>
    <row r="11830" spans="1:2" x14ac:dyDescent="0.25">
      <c r="A11830" s="2">
        <v>11825</v>
      </c>
      <c r="B11830" s="11" t="str">
        <f>"00560873"</f>
        <v>00560873</v>
      </c>
    </row>
    <row r="11831" spans="1:2" x14ac:dyDescent="0.25">
      <c r="A11831" s="2">
        <v>11826</v>
      </c>
      <c r="B11831" s="11" t="str">
        <f>"00560910"</f>
        <v>00560910</v>
      </c>
    </row>
    <row r="11832" spans="1:2" x14ac:dyDescent="0.25">
      <c r="A11832" s="2">
        <v>11827</v>
      </c>
      <c r="B11832" s="11" t="str">
        <f>"00561008"</f>
        <v>00561008</v>
      </c>
    </row>
    <row r="11833" spans="1:2" x14ac:dyDescent="0.25">
      <c r="A11833" s="2">
        <v>11828</v>
      </c>
      <c r="B11833" s="11" t="str">
        <f>"00561042"</f>
        <v>00561042</v>
      </c>
    </row>
    <row r="11834" spans="1:2" x14ac:dyDescent="0.25">
      <c r="A11834" s="2">
        <v>11829</v>
      </c>
      <c r="B11834" s="11" t="str">
        <f>"00561087"</f>
        <v>00561087</v>
      </c>
    </row>
    <row r="11835" spans="1:2" x14ac:dyDescent="0.25">
      <c r="A11835" s="2">
        <v>11830</v>
      </c>
      <c r="B11835" s="11" t="str">
        <f>"00561112"</f>
        <v>00561112</v>
      </c>
    </row>
    <row r="11836" spans="1:2" x14ac:dyDescent="0.25">
      <c r="A11836" s="2">
        <v>11831</v>
      </c>
      <c r="B11836" s="11" t="str">
        <f>"00561126"</f>
        <v>00561126</v>
      </c>
    </row>
    <row r="11837" spans="1:2" x14ac:dyDescent="0.25">
      <c r="A11837" s="2">
        <v>11832</v>
      </c>
      <c r="B11837" s="11" t="str">
        <f>"00561141"</f>
        <v>00561141</v>
      </c>
    </row>
    <row r="11838" spans="1:2" x14ac:dyDescent="0.25">
      <c r="A11838" s="2">
        <v>11833</v>
      </c>
      <c r="B11838" s="11" t="str">
        <f>"00561223"</f>
        <v>00561223</v>
      </c>
    </row>
    <row r="11839" spans="1:2" x14ac:dyDescent="0.25">
      <c r="A11839" s="2">
        <v>11834</v>
      </c>
      <c r="B11839" s="11" t="str">
        <f>"00561309"</f>
        <v>00561309</v>
      </c>
    </row>
    <row r="11840" spans="1:2" x14ac:dyDescent="0.25">
      <c r="A11840" s="2">
        <v>11835</v>
      </c>
      <c r="B11840" s="11" t="str">
        <f>"00561349"</f>
        <v>00561349</v>
      </c>
    </row>
    <row r="11841" spans="1:2" x14ac:dyDescent="0.25">
      <c r="A11841" s="2">
        <v>11836</v>
      </c>
      <c r="B11841" s="11" t="str">
        <f>"00561407"</f>
        <v>00561407</v>
      </c>
    </row>
    <row r="11842" spans="1:2" x14ac:dyDescent="0.25">
      <c r="A11842" s="2">
        <v>11837</v>
      </c>
      <c r="B11842" s="11" t="str">
        <f>"00561413"</f>
        <v>00561413</v>
      </c>
    </row>
    <row r="11843" spans="1:2" x14ac:dyDescent="0.25">
      <c r="A11843" s="2">
        <v>11838</v>
      </c>
      <c r="B11843" s="11" t="str">
        <f>"00561446"</f>
        <v>00561446</v>
      </c>
    </row>
    <row r="11844" spans="1:2" x14ac:dyDescent="0.25">
      <c r="A11844" s="2">
        <v>11839</v>
      </c>
      <c r="B11844" s="11" t="str">
        <f>"00561532"</f>
        <v>00561532</v>
      </c>
    </row>
    <row r="11845" spans="1:2" x14ac:dyDescent="0.25">
      <c r="A11845" s="2">
        <v>11840</v>
      </c>
      <c r="B11845" s="11" t="str">
        <f>"00561576"</f>
        <v>00561576</v>
      </c>
    </row>
    <row r="11846" spans="1:2" x14ac:dyDescent="0.25">
      <c r="A11846" s="2">
        <v>11841</v>
      </c>
      <c r="B11846" s="11" t="str">
        <f>"00561580"</f>
        <v>00561580</v>
      </c>
    </row>
    <row r="11847" spans="1:2" x14ac:dyDescent="0.25">
      <c r="A11847" s="2">
        <v>11842</v>
      </c>
      <c r="B11847" s="11" t="str">
        <f>"00561584"</f>
        <v>00561584</v>
      </c>
    </row>
    <row r="11848" spans="1:2" x14ac:dyDescent="0.25">
      <c r="A11848" s="2">
        <v>11843</v>
      </c>
      <c r="B11848" s="11" t="str">
        <f>"00561600"</f>
        <v>00561600</v>
      </c>
    </row>
    <row r="11849" spans="1:2" x14ac:dyDescent="0.25">
      <c r="A11849" s="2">
        <v>11844</v>
      </c>
      <c r="B11849" s="11" t="str">
        <f>"00561656"</f>
        <v>00561656</v>
      </c>
    </row>
    <row r="11850" spans="1:2" x14ac:dyDescent="0.25">
      <c r="A11850" s="2">
        <v>11845</v>
      </c>
      <c r="B11850" s="11" t="str">
        <f>"00561675"</f>
        <v>00561675</v>
      </c>
    </row>
    <row r="11851" spans="1:2" x14ac:dyDescent="0.25">
      <c r="A11851" s="2">
        <v>11846</v>
      </c>
      <c r="B11851" s="11" t="str">
        <f>"00561677"</f>
        <v>00561677</v>
      </c>
    </row>
    <row r="11852" spans="1:2" x14ac:dyDescent="0.25">
      <c r="A11852" s="2">
        <v>11847</v>
      </c>
      <c r="B11852" s="11" t="str">
        <f>"00561689"</f>
        <v>00561689</v>
      </c>
    </row>
    <row r="11853" spans="1:2" x14ac:dyDescent="0.25">
      <c r="A11853" s="2">
        <v>11848</v>
      </c>
      <c r="B11853" s="11" t="str">
        <f>"00561697"</f>
        <v>00561697</v>
      </c>
    </row>
    <row r="11854" spans="1:2" x14ac:dyDescent="0.25">
      <c r="A11854" s="2">
        <v>11849</v>
      </c>
      <c r="B11854" s="11" t="str">
        <f>"00561713"</f>
        <v>00561713</v>
      </c>
    </row>
    <row r="11855" spans="1:2" x14ac:dyDescent="0.25">
      <c r="A11855" s="2">
        <v>11850</v>
      </c>
      <c r="B11855" s="11" t="str">
        <f>"00561748"</f>
        <v>00561748</v>
      </c>
    </row>
    <row r="11856" spans="1:2" x14ac:dyDescent="0.25">
      <c r="A11856" s="2">
        <v>11851</v>
      </c>
      <c r="B11856" s="11" t="str">
        <f>"00561752"</f>
        <v>00561752</v>
      </c>
    </row>
    <row r="11857" spans="1:2" x14ac:dyDescent="0.25">
      <c r="A11857" s="2">
        <v>11852</v>
      </c>
      <c r="B11857" s="11" t="str">
        <f>"00561785"</f>
        <v>00561785</v>
      </c>
    </row>
    <row r="11858" spans="1:2" x14ac:dyDescent="0.25">
      <c r="A11858" s="2">
        <v>11853</v>
      </c>
      <c r="B11858" s="11" t="str">
        <f>"00561795"</f>
        <v>00561795</v>
      </c>
    </row>
    <row r="11859" spans="1:2" x14ac:dyDescent="0.25">
      <c r="A11859" s="2">
        <v>11854</v>
      </c>
      <c r="B11859" s="11" t="str">
        <f>"00561851"</f>
        <v>00561851</v>
      </c>
    </row>
    <row r="11860" spans="1:2" x14ac:dyDescent="0.25">
      <c r="A11860" s="2">
        <v>11855</v>
      </c>
      <c r="B11860" s="11" t="str">
        <f>"00561869"</f>
        <v>00561869</v>
      </c>
    </row>
    <row r="11861" spans="1:2" x14ac:dyDescent="0.25">
      <c r="A11861" s="2">
        <v>11856</v>
      </c>
      <c r="B11861" s="11" t="str">
        <f>"00561917"</f>
        <v>00561917</v>
      </c>
    </row>
    <row r="11862" spans="1:2" x14ac:dyDescent="0.25">
      <c r="A11862" s="2">
        <v>11857</v>
      </c>
      <c r="B11862" s="11" t="str">
        <f>"00561952"</f>
        <v>00561952</v>
      </c>
    </row>
    <row r="11863" spans="1:2" x14ac:dyDescent="0.25">
      <c r="A11863" s="2">
        <v>11858</v>
      </c>
      <c r="B11863" s="11" t="str">
        <f>"00561968"</f>
        <v>00561968</v>
      </c>
    </row>
    <row r="11864" spans="1:2" x14ac:dyDescent="0.25">
      <c r="A11864" s="2">
        <v>11859</v>
      </c>
      <c r="B11864" s="11" t="str">
        <f>"00561986"</f>
        <v>00561986</v>
      </c>
    </row>
    <row r="11865" spans="1:2" x14ac:dyDescent="0.25">
      <c r="A11865" s="2">
        <v>11860</v>
      </c>
      <c r="B11865" s="11" t="str">
        <f>"00562020"</f>
        <v>00562020</v>
      </c>
    </row>
    <row r="11866" spans="1:2" x14ac:dyDescent="0.25">
      <c r="A11866" s="2">
        <v>11861</v>
      </c>
      <c r="B11866" s="11" t="str">
        <f>"00562036"</f>
        <v>00562036</v>
      </c>
    </row>
    <row r="11867" spans="1:2" x14ac:dyDescent="0.25">
      <c r="A11867" s="2">
        <v>11862</v>
      </c>
      <c r="B11867" s="11" t="str">
        <f>"00562054"</f>
        <v>00562054</v>
      </c>
    </row>
    <row r="11868" spans="1:2" x14ac:dyDescent="0.25">
      <c r="A11868" s="2">
        <v>11863</v>
      </c>
      <c r="B11868" s="11" t="str">
        <f>"00562075"</f>
        <v>00562075</v>
      </c>
    </row>
    <row r="11869" spans="1:2" x14ac:dyDescent="0.25">
      <c r="A11869" s="2">
        <v>11864</v>
      </c>
      <c r="B11869" s="11" t="str">
        <f>"00562081"</f>
        <v>00562081</v>
      </c>
    </row>
    <row r="11870" spans="1:2" x14ac:dyDescent="0.25">
      <c r="A11870" s="2">
        <v>11865</v>
      </c>
      <c r="B11870" s="11" t="str">
        <f>"00562089"</f>
        <v>00562089</v>
      </c>
    </row>
    <row r="11871" spans="1:2" x14ac:dyDescent="0.25">
      <c r="A11871" s="2">
        <v>11866</v>
      </c>
      <c r="B11871" s="11" t="str">
        <f>"00562110"</f>
        <v>00562110</v>
      </c>
    </row>
    <row r="11872" spans="1:2" x14ac:dyDescent="0.25">
      <c r="A11872" s="2">
        <v>11867</v>
      </c>
      <c r="B11872" s="11" t="str">
        <f>"00562126"</f>
        <v>00562126</v>
      </c>
    </row>
    <row r="11873" spans="1:2" x14ac:dyDescent="0.25">
      <c r="A11873" s="2">
        <v>11868</v>
      </c>
      <c r="B11873" s="11" t="str">
        <f>"00562140"</f>
        <v>00562140</v>
      </c>
    </row>
    <row r="11874" spans="1:2" x14ac:dyDescent="0.25">
      <c r="A11874" s="2">
        <v>11869</v>
      </c>
      <c r="B11874" s="11" t="str">
        <f>"00562175"</f>
        <v>00562175</v>
      </c>
    </row>
    <row r="11875" spans="1:2" x14ac:dyDescent="0.25">
      <c r="A11875" s="2">
        <v>11870</v>
      </c>
      <c r="B11875" s="11" t="str">
        <f>"00562181"</f>
        <v>00562181</v>
      </c>
    </row>
    <row r="11876" spans="1:2" x14ac:dyDescent="0.25">
      <c r="A11876" s="2">
        <v>11871</v>
      </c>
      <c r="B11876" s="11" t="str">
        <f>"00562199"</f>
        <v>00562199</v>
      </c>
    </row>
    <row r="11877" spans="1:2" x14ac:dyDescent="0.25">
      <c r="A11877" s="2">
        <v>11872</v>
      </c>
      <c r="B11877" s="11" t="str">
        <f>"00562246"</f>
        <v>00562246</v>
      </c>
    </row>
    <row r="11878" spans="1:2" x14ac:dyDescent="0.25">
      <c r="A11878" s="2">
        <v>11873</v>
      </c>
      <c r="B11878" s="11" t="str">
        <f>"00562356"</f>
        <v>00562356</v>
      </c>
    </row>
    <row r="11879" spans="1:2" x14ac:dyDescent="0.25">
      <c r="A11879" s="2">
        <v>11874</v>
      </c>
      <c r="B11879" s="11" t="str">
        <f>"00562361"</f>
        <v>00562361</v>
      </c>
    </row>
    <row r="11880" spans="1:2" x14ac:dyDescent="0.25">
      <c r="A11880" s="2">
        <v>11875</v>
      </c>
      <c r="B11880" s="11" t="str">
        <f>"00562375"</f>
        <v>00562375</v>
      </c>
    </row>
    <row r="11881" spans="1:2" x14ac:dyDescent="0.25">
      <c r="A11881" s="2">
        <v>11876</v>
      </c>
      <c r="B11881" s="11" t="str">
        <f>"00562392"</f>
        <v>00562392</v>
      </c>
    </row>
    <row r="11882" spans="1:2" x14ac:dyDescent="0.25">
      <c r="A11882" s="2">
        <v>11877</v>
      </c>
      <c r="B11882" s="11" t="str">
        <f>"00562430"</f>
        <v>00562430</v>
      </c>
    </row>
    <row r="11883" spans="1:2" x14ac:dyDescent="0.25">
      <c r="A11883" s="2">
        <v>11878</v>
      </c>
      <c r="B11883" s="11" t="str">
        <f>"00562433"</f>
        <v>00562433</v>
      </c>
    </row>
    <row r="11884" spans="1:2" x14ac:dyDescent="0.25">
      <c r="A11884" s="2">
        <v>11879</v>
      </c>
      <c r="B11884" s="11" t="str">
        <f>"00562454"</f>
        <v>00562454</v>
      </c>
    </row>
    <row r="11885" spans="1:2" x14ac:dyDescent="0.25">
      <c r="A11885" s="2">
        <v>11880</v>
      </c>
      <c r="B11885" s="11" t="str">
        <f>"00562480"</f>
        <v>00562480</v>
      </c>
    </row>
    <row r="11886" spans="1:2" x14ac:dyDescent="0.25">
      <c r="A11886" s="2">
        <v>11881</v>
      </c>
      <c r="B11886" s="11" t="str">
        <f>"00562499"</f>
        <v>00562499</v>
      </c>
    </row>
    <row r="11887" spans="1:2" x14ac:dyDescent="0.25">
      <c r="A11887" s="2">
        <v>11882</v>
      </c>
      <c r="B11887" s="11" t="str">
        <f>"00562526"</f>
        <v>00562526</v>
      </c>
    </row>
    <row r="11888" spans="1:2" x14ac:dyDescent="0.25">
      <c r="A11888" s="2">
        <v>11883</v>
      </c>
      <c r="B11888" s="11" t="str">
        <f>"00562550"</f>
        <v>00562550</v>
      </c>
    </row>
    <row r="11889" spans="1:2" x14ac:dyDescent="0.25">
      <c r="A11889" s="2">
        <v>11884</v>
      </c>
      <c r="B11889" s="11" t="str">
        <f>"00562568"</f>
        <v>00562568</v>
      </c>
    </row>
    <row r="11890" spans="1:2" x14ac:dyDescent="0.25">
      <c r="A11890" s="2">
        <v>11885</v>
      </c>
      <c r="B11890" s="11" t="str">
        <f>"00562627"</f>
        <v>00562627</v>
      </c>
    </row>
    <row r="11891" spans="1:2" x14ac:dyDescent="0.25">
      <c r="A11891" s="2">
        <v>11886</v>
      </c>
      <c r="B11891" s="11" t="str">
        <f>"00562628"</f>
        <v>00562628</v>
      </c>
    </row>
    <row r="11892" spans="1:2" x14ac:dyDescent="0.25">
      <c r="A11892" s="2">
        <v>11887</v>
      </c>
      <c r="B11892" s="11" t="str">
        <f>"00562652"</f>
        <v>00562652</v>
      </c>
    </row>
    <row r="11893" spans="1:2" x14ac:dyDescent="0.25">
      <c r="A11893" s="2">
        <v>11888</v>
      </c>
      <c r="B11893" s="11" t="str">
        <f>"00562691"</f>
        <v>00562691</v>
      </c>
    </row>
    <row r="11894" spans="1:2" x14ac:dyDescent="0.25">
      <c r="A11894" s="2">
        <v>11889</v>
      </c>
      <c r="B11894" s="11" t="str">
        <f>"00562729"</f>
        <v>00562729</v>
      </c>
    </row>
    <row r="11895" spans="1:2" x14ac:dyDescent="0.25">
      <c r="A11895" s="2">
        <v>11890</v>
      </c>
      <c r="B11895" s="11" t="str">
        <f>"00562742"</f>
        <v>00562742</v>
      </c>
    </row>
    <row r="11896" spans="1:2" x14ac:dyDescent="0.25">
      <c r="A11896" s="2">
        <v>11891</v>
      </c>
      <c r="B11896" s="11" t="str">
        <f>"00562787"</f>
        <v>00562787</v>
      </c>
    </row>
    <row r="11897" spans="1:2" x14ac:dyDescent="0.25">
      <c r="A11897" s="2">
        <v>11892</v>
      </c>
      <c r="B11897" s="11" t="str">
        <f>"00562825"</f>
        <v>00562825</v>
      </c>
    </row>
    <row r="11898" spans="1:2" x14ac:dyDescent="0.25">
      <c r="A11898" s="2">
        <v>11893</v>
      </c>
      <c r="B11898" s="11" t="str">
        <f>"00562841"</f>
        <v>00562841</v>
      </c>
    </row>
    <row r="11899" spans="1:2" x14ac:dyDescent="0.25">
      <c r="A11899" s="2">
        <v>11894</v>
      </c>
      <c r="B11899" s="11" t="str">
        <f>"00562875"</f>
        <v>00562875</v>
      </c>
    </row>
    <row r="11900" spans="1:2" x14ac:dyDescent="0.25">
      <c r="A11900" s="2">
        <v>11895</v>
      </c>
      <c r="B11900" s="11" t="str">
        <f>"00562912"</f>
        <v>00562912</v>
      </c>
    </row>
    <row r="11901" spans="1:2" x14ac:dyDescent="0.25">
      <c r="A11901" s="2">
        <v>11896</v>
      </c>
      <c r="B11901" s="11" t="str">
        <f>"00562923"</f>
        <v>00562923</v>
      </c>
    </row>
    <row r="11902" spans="1:2" x14ac:dyDescent="0.25">
      <c r="A11902" s="2">
        <v>11897</v>
      </c>
      <c r="B11902" s="11" t="str">
        <f>"00562963"</f>
        <v>00562963</v>
      </c>
    </row>
    <row r="11903" spans="1:2" x14ac:dyDescent="0.25">
      <c r="A11903" s="2">
        <v>11898</v>
      </c>
      <c r="B11903" s="11" t="str">
        <f>"00562981"</f>
        <v>00562981</v>
      </c>
    </row>
    <row r="11904" spans="1:2" x14ac:dyDescent="0.25">
      <c r="A11904" s="2">
        <v>11899</v>
      </c>
      <c r="B11904" s="11" t="str">
        <f>"00563084"</f>
        <v>00563084</v>
      </c>
    </row>
    <row r="11905" spans="1:2" x14ac:dyDescent="0.25">
      <c r="A11905" s="2">
        <v>11900</v>
      </c>
      <c r="B11905" s="11" t="str">
        <f>"00563115"</f>
        <v>00563115</v>
      </c>
    </row>
    <row r="11906" spans="1:2" x14ac:dyDescent="0.25">
      <c r="A11906" s="2">
        <v>11901</v>
      </c>
      <c r="B11906" s="11" t="str">
        <f>"00563397"</f>
        <v>00563397</v>
      </c>
    </row>
    <row r="11907" spans="1:2" x14ac:dyDescent="0.25">
      <c r="A11907" s="2">
        <v>11902</v>
      </c>
      <c r="B11907" s="11" t="str">
        <f>"00563504"</f>
        <v>00563504</v>
      </c>
    </row>
    <row r="11908" spans="1:2" x14ac:dyDescent="0.25">
      <c r="A11908" s="2">
        <v>11903</v>
      </c>
      <c r="B11908" s="11" t="str">
        <f>"00563524"</f>
        <v>00563524</v>
      </c>
    </row>
    <row r="11909" spans="1:2" x14ac:dyDescent="0.25">
      <c r="A11909" s="2">
        <v>11904</v>
      </c>
      <c r="B11909" s="11" t="str">
        <f>"00563728"</f>
        <v>00563728</v>
      </c>
    </row>
    <row r="11910" spans="1:2" x14ac:dyDescent="0.25">
      <c r="A11910" s="2">
        <v>11905</v>
      </c>
      <c r="B11910" s="11" t="str">
        <f>"00563806"</f>
        <v>00563806</v>
      </c>
    </row>
    <row r="11911" spans="1:2" x14ac:dyDescent="0.25">
      <c r="A11911" s="2">
        <v>11906</v>
      </c>
      <c r="B11911" s="11" t="str">
        <f>"00563915"</f>
        <v>00563915</v>
      </c>
    </row>
    <row r="11912" spans="1:2" x14ac:dyDescent="0.25">
      <c r="A11912" s="2">
        <v>11907</v>
      </c>
      <c r="B11912" s="11" t="str">
        <f>"00563928"</f>
        <v>00563928</v>
      </c>
    </row>
    <row r="11913" spans="1:2" x14ac:dyDescent="0.25">
      <c r="A11913" s="2">
        <v>11908</v>
      </c>
      <c r="B11913" s="11" t="str">
        <f>"00563947"</f>
        <v>00563947</v>
      </c>
    </row>
    <row r="11914" spans="1:2" x14ac:dyDescent="0.25">
      <c r="A11914" s="2">
        <v>11909</v>
      </c>
      <c r="B11914" s="11" t="str">
        <f>"00563951"</f>
        <v>00563951</v>
      </c>
    </row>
    <row r="11915" spans="1:2" x14ac:dyDescent="0.25">
      <c r="A11915" s="2">
        <v>11910</v>
      </c>
      <c r="B11915" s="11" t="str">
        <f>"00564041"</f>
        <v>00564041</v>
      </c>
    </row>
    <row r="11916" spans="1:2" x14ac:dyDescent="0.25">
      <c r="A11916" s="2">
        <v>11911</v>
      </c>
      <c r="B11916" s="11" t="str">
        <f>"00564169"</f>
        <v>00564169</v>
      </c>
    </row>
    <row r="11917" spans="1:2" x14ac:dyDescent="0.25">
      <c r="A11917" s="2">
        <v>11912</v>
      </c>
      <c r="B11917" s="11" t="str">
        <f>"00564223"</f>
        <v>00564223</v>
      </c>
    </row>
    <row r="11918" spans="1:2" x14ac:dyDescent="0.25">
      <c r="A11918" s="2">
        <v>11913</v>
      </c>
      <c r="B11918" s="11" t="str">
        <f>"00564448"</f>
        <v>00564448</v>
      </c>
    </row>
    <row r="11919" spans="1:2" x14ac:dyDescent="0.25">
      <c r="A11919" s="2">
        <v>11914</v>
      </c>
      <c r="B11919" s="11" t="str">
        <f>"00564536"</f>
        <v>00564536</v>
      </c>
    </row>
    <row r="11920" spans="1:2" x14ac:dyDescent="0.25">
      <c r="A11920" s="2">
        <v>11915</v>
      </c>
      <c r="B11920" s="11" t="str">
        <f>"00564539"</f>
        <v>00564539</v>
      </c>
    </row>
    <row r="11921" spans="1:2" x14ac:dyDescent="0.25">
      <c r="A11921" s="2">
        <v>11916</v>
      </c>
      <c r="B11921" s="11" t="str">
        <f>"00564726"</f>
        <v>00564726</v>
      </c>
    </row>
    <row r="11922" spans="1:2" x14ac:dyDescent="0.25">
      <c r="A11922" s="2">
        <v>11917</v>
      </c>
      <c r="B11922" s="11" t="str">
        <f>"00564787"</f>
        <v>00564787</v>
      </c>
    </row>
    <row r="11923" spans="1:2" x14ac:dyDescent="0.25">
      <c r="A11923" s="2">
        <v>11918</v>
      </c>
      <c r="B11923" s="11" t="str">
        <f>"00564847"</f>
        <v>00564847</v>
      </c>
    </row>
    <row r="11924" spans="1:2" x14ac:dyDescent="0.25">
      <c r="A11924" s="2">
        <v>11919</v>
      </c>
      <c r="B11924" s="11" t="str">
        <f>"00564895"</f>
        <v>00564895</v>
      </c>
    </row>
    <row r="11925" spans="1:2" x14ac:dyDescent="0.25">
      <c r="A11925" s="2">
        <v>11920</v>
      </c>
      <c r="B11925" s="11" t="str">
        <f>"00564960"</f>
        <v>00564960</v>
      </c>
    </row>
    <row r="11926" spans="1:2" x14ac:dyDescent="0.25">
      <c r="A11926" s="2">
        <v>11921</v>
      </c>
      <c r="B11926" s="11" t="str">
        <f>"00565200"</f>
        <v>00565200</v>
      </c>
    </row>
    <row r="11927" spans="1:2" x14ac:dyDescent="0.25">
      <c r="A11927" s="2">
        <v>11922</v>
      </c>
      <c r="B11927" s="11" t="str">
        <f>"00565265"</f>
        <v>00565265</v>
      </c>
    </row>
    <row r="11928" spans="1:2" x14ac:dyDescent="0.25">
      <c r="A11928" s="2">
        <v>11923</v>
      </c>
      <c r="B11928" s="11" t="str">
        <f>"00565270"</f>
        <v>00565270</v>
      </c>
    </row>
    <row r="11929" spans="1:2" x14ac:dyDescent="0.25">
      <c r="A11929" s="2">
        <v>11924</v>
      </c>
      <c r="B11929" s="11" t="str">
        <f>"00565416"</f>
        <v>00565416</v>
      </c>
    </row>
    <row r="11930" spans="1:2" x14ac:dyDescent="0.25">
      <c r="A11930" s="2">
        <v>11925</v>
      </c>
      <c r="B11930" s="11" t="str">
        <f>"00565443"</f>
        <v>00565443</v>
      </c>
    </row>
    <row r="11931" spans="1:2" x14ac:dyDescent="0.25">
      <c r="A11931" s="2">
        <v>11926</v>
      </c>
      <c r="B11931" s="11" t="str">
        <f>"00565570"</f>
        <v>00565570</v>
      </c>
    </row>
    <row r="11932" spans="1:2" x14ac:dyDescent="0.25">
      <c r="A11932" s="2">
        <v>11927</v>
      </c>
      <c r="B11932" s="11" t="str">
        <f>"00565604"</f>
        <v>00565604</v>
      </c>
    </row>
    <row r="11933" spans="1:2" x14ac:dyDescent="0.25">
      <c r="A11933" s="2">
        <v>11928</v>
      </c>
      <c r="B11933" s="11" t="str">
        <f>"00565688"</f>
        <v>00565688</v>
      </c>
    </row>
    <row r="11934" spans="1:2" x14ac:dyDescent="0.25">
      <c r="A11934" s="2">
        <v>11929</v>
      </c>
      <c r="B11934" s="11" t="str">
        <f>"00565839"</f>
        <v>00565839</v>
      </c>
    </row>
    <row r="11935" spans="1:2" x14ac:dyDescent="0.25">
      <c r="A11935" s="2">
        <v>11930</v>
      </c>
      <c r="B11935" s="11" t="str">
        <f>"00565848"</f>
        <v>00565848</v>
      </c>
    </row>
    <row r="11936" spans="1:2" x14ac:dyDescent="0.25">
      <c r="A11936" s="2">
        <v>11931</v>
      </c>
      <c r="B11936" s="11" t="str">
        <f>"00565858"</f>
        <v>00565858</v>
      </c>
    </row>
    <row r="11937" spans="1:2" x14ac:dyDescent="0.25">
      <c r="A11937" s="2">
        <v>11932</v>
      </c>
      <c r="B11937" s="11" t="str">
        <f>"00566155"</f>
        <v>00566155</v>
      </c>
    </row>
    <row r="11938" spans="1:2" x14ac:dyDescent="0.25">
      <c r="A11938" s="2">
        <v>11933</v>
      </c>
      <c r="B11938" s="11" t="str">
        <f>"00566263"</f>
        <v>00566263</v>
      </c>
    </row>
    <row r="11939" spans="1:2" x14ac:dyDescent="0.25">
      <c r="A11939" s="2">
        <v>11934</v>
      </c>
      <c r="B11939" s="11" t="str">
        <f>"00566345"</f>
        <v>00566345</v>
      </c>
    </row>
    <row r="11940" spans="1:2" x14ac:dyDescent="0.25">
      <c r="A11940" s="2">
        <v>11935</v>
      </c>
      <c r="B11940" s="11" t="str">
        <f>"00566482"</f>
        <v>00566482</v>
      </c>
    </row>
    <row r="11941" spans="1:2" x14ac:dyDescent="0.25">
      <c r="A11941" s="2">
        <v>11936</v>
      </c>
      <c r="B11941" s="11" t="str">
        <f>"00566543"</f>
        <v>00566543</v>
      </c>
    </row>
    <row r="11942" spans="1:2" x14ac:dyDescent="0.25">
      <c r="A11942" s="2">
        <v>11937</v>
      </c>
      <c r="B11942" s="11" t="str">
        <f>"00566612"</f>
        <v>00566612</v>
      </c>
    </row>
    <row r="11943" spans="1:2" x14ac:dyDescent="0.25">
      <c r="A11943" s="2">
        <v>11938</v>
      </c>
      <c r="B11943" s="11" t="str">
        <f>"00566779"</f>
        <v>00566779</v>
      </c>
    </row>
    <row r="11944" spans="1:2" x14ac:dyDescent="0.25">
      <c r="A11944" s="2">
        <v>11939</v>
      </c>
      <c r="B11944" s="11" t="str">
        <f>"00566881"</f>
        <v>00566881</v>
      </c>
    </row>
    <row r="11945" spans="1:2" x14ac:dyDescent="0.25">
      <c r="A11945" s="2">
        <v>11940</v>
      </c>
      <c r="B11945" s="11" t="str">
        <f>"00566898"</f>
        <v>00566898</v>
      </c>
    </row>
    <row r="11946" spans="1:2" x14ac:dyDescent="0.25">
      <c r="A11946" s="2">
        <v>11941</v>
      </c>
      <c r="B11946" s="11" t="str">
        <f>"00566900"</f>
        <v>00566900</v>
      </c>
    </row>
    <row r="11947" spans="1:2" x14ac:dyDescent="0.25">
      <c r="A11947" s="2">
        <v>11942</v>
      </c>
      <c r="B11947" s="11" t="str">
        <f>"00566945"</f>
        <v>00566945</v>
      </c>
    </row>
    <row r="11948" spans="1:2" x14ac:dyDescent="0.25">
      <c r="A11948" s="2">
        <v>11943</v>
      </c>
      <c r="B11948" s="11" t="str">
        <f>"00566989"</f>
        <v>00566989</v>
      </c>
    </row>
    <row r="11949" spans="1:2" x14ac:dyDescent="0.25">
      <c r="A11949" s="2">
        <v>11944</v>
      </c>
      <c r="B11949" s="11" t="str">
        <f>"00567019"</f>
        <v>00567019</v>
      </c>
    </row>
    <row r="11950" spans="1:2" x14ac:dyDescent="0.25">
      <c r="A11950" s="2">
        <v>11945</v>
      </c>
      <c r="B11950" s="11" t="str">
        <f>"00567060"</f>
        <v>00567060</v>
      </c>
    </row>
    <row r="11951" spans="1:2" x14ac:dyDescent="0.25">
      <c r="A11951" s="2">
        <v>11946</v>
      </c>
      <c r="B11951" s="11" t="str">
        <f>"00567088"</f>
        <v>00567088</v>
      </c>
    </row>
    <row r="11952" spans="1:2" x14ac:dyDescent="0.25">
      <c r="A11952" s="2">
        <v>11947</v>
      </c>
      <c r="B11952" s="11" t="str">
        <f>"00567104"</f>
        <v>00567104</v>
      </c>
    </row>
    <row r="11953" spans="1:2" x14ac:dyDescent="0.25">
      <c r="A11953" s="2">
        <v>11948</v>
      </c>
      <c r="B11953" s="11" t="str">
        <f>"00567108"</f>
        <v>00567108</v>
      </c>
    </row>
    <row r="11954" spans="1:2" x14ac:dyDescent="0.25">
      <c r="A11954" s="2">
        <v>11949</v>
      </c>
      <c r="B11954" s="11" t="str">
        <f>"00567362"</f>
        <v>00567362</v>
      </c>
    </row>
    <row r="11955" spans="1:2" x14ac:dyDescent="0.25">
      <c r="A11955" s="2">
        <v>11950</v>
      </c>
      <c r="B11955" s="11" t="str">
        <f>"00567474"</f>
        <v>00567474</v>
      </c>
    </row>
    <row r="11956" spans="1:2" x14ac:dyDescent="0.25">
      <c r="A11956" s="2">
        <v>11951</v>
      </c>
      <c r="B11956" s="11" t="str">
        <f>"00567497"</f>
        <v>00567497</v>
      </c>
    </row>
    <row r="11957" spans="1:2" x14ac:dyDescent="0.25">
      <c r="A11957" s="2">
        <v>11952</v>
      </c>
      <c r="B11957" s="11" t="str">
        <f>"00567501"</f>
        <v>00567501</v>
      </c>
    </row>
    <row r="11958" spans="1:2" x14ac:dyDescent="0.25">
      <c r="A11958" s="2">
        <v>11953</v>
      </c>
      <c r="B11958" s="11" t="str">
        <f>"00567554"</f>
        <v>00567554</v>
      </c>
    </row>
    <row r="11959" spans="1:2" x14ac:dyDescent="0.25">
      <c r="A11959" s="2">
        <v>11954</v>
      </c>
      <c r="B11959" s="11" t="str">
        <f>"00567624"</f>
        <v>00567624</v>
      </c>
    </row>
    <row r="11960" spans="1:2" x14ac:dyDescent="0.25">
      <c r="A11960" s="2">
        <v>11955</v>
      </c>
      <c r="B11960" s="11" t="str">
        <f>"00567683"</f>
        <v>00567683</v>
      </c>
    </row>
    <row r="11961" spans="1:2" x14ac:dyDescent="0.25">
      <c r="A11961" s="2">
        <v>11956</v>
      </c>
      <c r="B11961" s="11" t="str">
        <f>"00567901"</f>
        <v>00567901</v>
      </c>
    </row>
    <row r="11962" spans="1:2" x14ac:dyDescent="0.25">
      <c r="A11962" s="2">
        <v>11957</v>
      </c>
      <c r="B11962" s="11" t="str">
        <f>"00568175"</f>
        <v>00568175</v>
      </c>
    </row>
    <row r="11963" spans="1:2" x14ac:dyDescent="0.25">
      <c r="A11963" s="2">
        <v>11958</v>
      </c>
      <c r="B11963" s="11" t="str">
        <f>"00568244"</f>
        <v>00568244</v>
      </c>
    </row>
    <row r="11964" spans="1:2" x14ac:dyDescent="0.25">
      <c r="A11964" s="2">
        <v>11959</v>
      </c>
      <c r="B11964" s="11" t="str">
        <f>"00568292"</f>
        <v>00568292</v>
      </c>
    </row>
    <row r="11965" spans="1:2" x14ac:dyDescent="0.25">
      <c r="A11965" s="2">
        <v>11960</v>
      </c>
      <c r="B11965" s="11" t="str">
        <f>"00568295"</f>
        <v>00568295</v>
      </c>
    </row>
    <row r="11966" spans="1:2" x14ac:dyDescent="0.25">
      <c r="A11966" s="2">
        <v>11961</v>
      </c>
      <c r="B11966" s="11" t="str">
        <f>"00568432"</f>
        <v>00568432</v>
      </c>
    </row>
    <row r="11967" spans="1:2" x14ac:dyDescent="0.25">
      <c r="A11967" s="2">
        <v>11962</v>
      </c>
      <c r="B11967" s="11" t="str">
        <f>"00568522"</f>
        <v>00568522</v>
      </c>
    </row>
    <row r="11968" spans="1:2" x14ac:dyDescent="0.25">
      <c r="A11968" s="2">
        <v>11963</v>
      </c>
      <c r="B11968" s="11" t="str">
        <f>"00568560"</f>
        <v>00568560</v>
      </c>
    </row>
    <row r="11969" spans="1:2" x14ac:dyDescent="0.25">
      <c r="A11969" s="2">
        <v>11964</v>
      </c>
      <c r="B11969" s="11" t="str">
        <f>"00568568"</f>
        <v>00568568</v>
      </c>
    </row>
    <row r="11970" spans="1:2" x14ac:dyDescent="0.25">
      <c r="A11970" s="2">
        <v>11965</v>
      </c>
      <c r="B11970" s="11" t="str">
        <f>"00568601"</f>
        <v>00568601</v>
      </c>
    </row>
    <row r="11971" spans="1:2" x14ac:dyDescent="0.25">
      <c r="A11971" s="2">
        <v>11966</v>
      </c>
      <c r="B11971" s="11" t="str">
        <f>"00568646"</f>
        <v>00568646</v>
      </c>
    </row>
    <row r="11972" spans="1:2" x14ac:dyDescent="0.25">
      <c r="A11972" s="2">
        <v>11967</v>
      </c>
      <c r="B11972" s="11" t="str">
        <f>"00568664"</f>
        <v>00568664</v>
      </c>
    </row>
    <row r="11973" spans="1:2" x14ac:dyDescent="0.25">
      <c r="A11973" s="2">
        <v>11968</v>
      </c>
      <c r="B11973" s="11" t="str">
        <f>"00568771"</f>
        <v>00568771</v>
      </c>
    </row>
    <row r="11974" spans="1:2" x14ac:dyDescent="0.25">
      <c r="A11974" s="2">
        <v>11969</v>
      </c>
      <c r="B11974" s="11" t="str">
        <f>"00568912"</f>
        <v>00568912</v>
      </c>
    </row>
    <row r="11975" spans="1:2" x14ac:dyDescent="0.25">
      <c r="A11975" s="2">
        <v>11970</v>
      </c>
      <c r="B11975" s="11" t="str">
        <f>"00568922"</f>
        <v>00568922</v>
      </c>
    </row>
    <row r="11976" spans="1:2" x14ac:dyDescent="0.25">
      <c r="A11976" s="2">
        <v>11971</v>
      </c>
      <c r="B11976" s="11" t="str">
        <f>"00568990"</f>
        <v>00568990</v>
      </c>
    </row>
    <row r="11977" spans="1:2" x14ac:dyDescent="0.25">
      <c r="A11977" s="2">
        <v>11972</v>
      </c>
      <c r="B11977" s="11" t="str">
        <f>"00569047"</f>
        <v>00569047</v>
      </c>
    </row>
    <row r="11978" spans="1:2" x14ac:dyDescent="0.25">
      <c r="A11978" s="2">
        <v>11973</v>
      </c>
      <c r="B11978" s="11" t="str">
        <f>"00569084"</f>
        <v>00569084</v>
      </c>
    </row>
    <row r="11979" spans="1:2" x14ac:dyDescent="0.25">
      <c r="A11979" s="2">
        <v>11974</v>
      </c>
      <c r="B11979" s="11" t="str">
        <f>"00569130"</f>
        <v>00569130</v>
      </c>
    </row>
    <row r="11980" spans="1:2" x14ac:dyDescent="0.25">
      <c r="A11980" s="2">
        <v>11975</v>
      </c>
      <c r="B11980" s="11" t="str">
        <f>"00569246"</f>
        <v>00569246</v>
      </c>
    </row>
    <row r="11981" spans="1:2" x14ac:dyDescent="0.25">
      <c r="A11981" s="2">
        <v>11976</v>
      </c>
      <c r="B11981" s="11" t="str">
        <f>"00569291"</f>
        <v>00569291</v>
      </c>
    </row>
    <row r="11982" spans="1:2" x14ac:dyDescent="0.25">
      <c r="A11982" s="2">
        <v>11977</v>
      </c>
      <c r="B11982" s="11" t="str">
        <f>"00569315"</f>
        <v>00569315</v>
      </c>
    </row>
    <row r="11983" spans="1:2" x14ac:dyDescent="0.25">
      <c r="A11983" s="2">
        <v>11978</v>
      </c>
      <c r="B11983" s="11" t="str">
        <f>"00569343"</f>
        <v>00569343</v>
      </c>
    </row>
    <row r="11984" spans="1:2" x14ac:dyDescent="0.25">
      <c r="A11984" s="2">
        <v>11979</v>
      </c>
      <c r="B11984" s="11" t="str">
        <f>"00569353"</f>
        <v>00569353</v>
      </c>
    </row>
    <row r="11985" spans="1:2" x14ac:dyDescent="0.25">
      <c r="A11985" s="2">
        <v>11980</v>
      </c>
      <c r="B11985" s="11" t="str">
        <f>"00569477"</f>
        <v>00569477</v>
      </c>
    </row>
    <row r="11986" spans="1:2" x14ac:dyDescent="0.25">
      <c r="A11986" s="2">
        <v>11981</v>
      </c>
      <c r="B11986" s="11" t="str">
        <f>"00569530"</f>
        <v>00569530</v>
      </c>
    </row>
    <row r="11987" spans="1:2" x14ac:dyDescent="0.25">
      <c r="A11987" s="2">
        <v>11982</v>
      </c>
      <c r="B11987" s="11" t="str">
        <f>"00569776"</f>
        <v>00569776</v>
      </c>
    </row>
    <row r="11988" spans="1:2" x14ac:dyDescent="0.25">
      <c r="A11988" s="2">
        <v>11983</v>
      </c>
      <c r="B11988" s="11" t="str">
        <f>"00569834"</f>
        <v>00569834</v>
      </c>
    </row>
    <row r="11989" spans="1:2" x14ac:dyDescent="0.25">
      <c r="A11989" s="2">
        <v>11984</v>
      </c>
      <c r="B11989" s="11" t="str">
        <f>"00569847"</f>
        <v>00569847</v>
      </c>
    </row>
    <row r="11990" spans="1:2" x14ac:dyDescent="0.25">
      <c r="A11990" s="2">
        <v>11985</v>
      </c>
      <c r="B11990" s="11" t="str">
        <f>"00569883"</f>
        <v>00569883</v>
      </c>
    </row>
    <row r="11991" spans="1:2" x14ac:dyDescent="0.25">
      <c r="A11991" s="2">
        <v>11986</v>
      </c>
      <c r="B11991" s="11" t="str">
        <f>"00569907"</f>
        <v>00569907</v>
      </c>
    </row>
    <row r="11992" spans="1:2" x14ac:dyDescent="0.25">
      <c r="A11992" s="2">
        <v>11987</v>
      </c>
      <c r="B11992" s="11" t="str">
        <f>"00569913"</f>
        <v>00569913</v>
      </c>
    </row>
    <row r="11993" spans="1:2" x14ac:dyDescent="0.25">
      <c r="A11993" s="2">
        <v>11988</v>
      </c>
      <c r="B11993" s="11" t="str">
        <f>"00569932"</f>
        <v>00569932</v>
      </c>
    </row>
    <row r="11994" spans="1:2" x14ac:dyDescent="0.25">
      <c r="A11994" s="2">
        <v>11989</v>
      </c>
      <c r="B11994" s="11" t="str">
        <f>"00569971"</f>
        <v>00569971</v>
      </c>
    </row>
    <row r="11995" spans="1:2" x14ac:dyDescent="0.25">
      <c r="A11995" s="2">
        <v>11990</v>
      </c>
      <c r="B11995" s="11" t="str">
        <f>"00570050"</f>
        <v>00570050</v>
      </c>
    </row>
    <row r="11996" spans="1:2" x14ac:dyDescent="0.25">
      <c r="A11996" s="2">
        <v>11991</v>
      </c>
      <c r="B11996" s="11" t="str">
        <f>"00570085"</f>
        <v>00570085</v>
      </c>
    </row>
    <row r="11997" spans="1:2" x14ac:dyDescent="0.25">
      <c r="A11997" s="2">
        <v>11992</v>
      </c>
      <c r="B11997" s="11" t="str">
        <f>"00570166"</f>
        <v>00570166</v>
      </c>
    </row>
    <row r="11998" spans="1:2" x14ac:dyDescent="0.25">
      <c r="A11998" s="2">
        <v>11993</v>
      </c>
      <c r="B11998" s="11" t="str">
        <f>"00570183"</f>
        <v>00570183</v>
      </c>
    </row>
    <row r="11999" spans="1:2" x14ac:dyDescent="0.25">
      <c r="A11999" s="2">
        <v>11994</v>
      </c>
      <c r="B11999" s="11" t="str">
        <f>"00570184"</f>
        <v>00570184</v>
      </c>
    </row>
    <row r="12000" spans="1:2" x14ac:dyDescent="0.25">
      <c r="A12000" s="2">
        <v>11995</v>
      </c>
      <c r="B12000" s="11" t="str">
        <f>"00570237"</f>
        <v>00570237</v>
      </c>
    </row>
    <row r="12001" spans="1:2" x14ac:dyDescent="0.25">
      <c r="A12001" s="2">
        <v>11996</v>
      </c>
      <c r="B12001" s="11" t="str">
        <f>"00570279"</f>
        <v>00570279</v>
      </c>
    </row>
    <row r="12002" spans="1:2" x14ac:dyDescent="0.25">
      <c r="A12002" s="2">
        <v>11997</v>
      </c>
      <c r="B12002" s="11" t="str">
        <f>"00570375"</f>
        <v>00570375</v>
      </c>
    </row>
    <row r="12003" spans="1:2" x14ac:dyDescent="0.25">
      <c r="A12003" s="2">
        <v>11998</v>
      </c>
      <c r="B12003" s="11" t="str">
        <f>"00570422"</f>
        <v>00570422</v>
      </c>
    </row>
    <row r="12004" spans="1:2" x14ac:dyDescent="0.25">
      <c r="A12004" s="2">
        <v>11999</v>
      </c>
      <c r="B12004" s="11" t="str">
        <f>"00570553"</f>
        <v>00570553</v>
      </c>
    </row>
    <row r="12005" spans="1:2" x14ac:dyDescent="0.25">
      <c r="A12005" s="2">
        <v>12000</v>
      </c>
      <c r="B12005" s="11" t="str">
        <f>"00570656"</f>
        <v>00570656</v>
      </c>
    </row>
    <row r="12006" spans="1:2" x14ac:dyDescent="0.25">
      <c r="A12006" s="2">
        <v>12001</v>
      </c>
      <c r="B12006" s="11" t="str">
        <f>"00570733"</f>
        <v>00570733</v>
      </c>
    </row>
    <row r="12007" spans="1:2" x14ac:dyDescent="0.25">
      <c r="A12007" s="2">
        <v>12002</v>
      </c>
      <c r="B12007" s="11" t="str">
        <f>"00570787"</f>
        <v>00570787</v>
      </c>
    </row>
    <row r="12008" spans="1:2" x14ac:dyDescent="0.25">
      <c r="A12008" s="2">
        <v>12003</v>
      </c>
      <c r="B12008" s="11" t="str">
        <f>"00570820"</f>
        <v>00570820</v>
      </c>
    </row>
    <row r="12009" spans="1:2" x14ac:dyDescent="0.25">
      <c r="A12009" s="2">
        <v>12004</v>
      </c>
      <c r="B12009" s="11" t="str">
        <f>"00570999"</f>
        <v>00570999</v>
      </c>
    </row>
    <row r="12010" spans="1:2" x14ac:dyDescent="0.25">
      <c r="A12010" s="2">
        <v>12005</v>
      </c>
      <c r="B12010" s="11" t="str">
        <f>"00571000"</f>
        <v>00571000</v>
      </c>
    </row>
    <row r="12011" spans="1:2" x14ac:dyDescent="0.25">
      <c r="A12011" s="2">
        <v>12006</v>
      </c>
      <c r="B12011" s="11" t="str">
        <f>"00571045"</f>
        <v>00571045</v>
      </c>
    </row>
    <row r="12012" spans="1:2" x14ac:dyDescent="0.25">
      <c r="A12012" s="2">
        <v>12007</v>
      </c>
      <c r="B12012" s="11" t="str">
        <f>"00571110"</f>
        <v>00571110</v>
      </c>
    </row>
    <row r="12013" spans="1:2" x14ac:dyDescent="0.25">
      <c r="A12013" s="2">
        <v>12008</v>
      </c>
      <c r="B12013" s="11" t="str">
        <f>"00571124"</f>
        <v>00571124</v>
      </c>
    </row>
    <row r="12014" spans="1:2" x14ac:dyDescent="0.25">
      <c r="A12014" s="2">
        <v>12009</v>
      </c>
      <c r="B12014" s="11" t="str">
        <f>"00571132"</f>
        <v>00571132</v>
      </c>
    </row>
    <row r="12015" spans="1:2" x14ac:dyDescent="0.25">
      <c r="A12015" s="2">
        <v>12010</v>
      </c>
      <c r="B12015" s="11" t="str">
        <f>"00571159"</f>
        <v>00571159</v>
      </c>
    </row>
    <row r="12016" spans="1:2" x14ac:dyDescent="0.25">
      <c r="A12016" s="2">
        <v>12011</v>
      </c>
      <c r="B12016" s="11" t="str">
        <f>"00571233"</f>
        <v>00571233</v>
      </c>
    </row>
    <row r="12017" spans="1:2" x14ac:dyDescent="0.25">
      <c r="A12017" s="2">
        <v>12012</v>
      </c>
      <c r="B12017" s="11" t="str">
        <f>"00571242"</f>
        <v>00571242</v>
      </c>
    </row>
    <row r="12018" spans="1:2" x14ac:dyDescent="0.25">
      <c r="A12018" s="2">
        <v>12013</v>
      </c>
      <c r="B12018" s="11" t="str">
        <f>"00571320"</f>
        <v>00571320</v>
      </c>
    </row>
    <row r="12019" spans="1:2" x14ac:dyDescent="0.25">
      <c r="A12019" s="2">
        <v>12014</v>
      </c>
      <c r="B12019" s="11" t="str">
        <f>"00571542"</f>
        <v>00571542</v>
      </c>
    </row>
    <row r="12020" spans="1:2" x14ac:dyDescent="0.25">
      <c r="A12020" s="2">
        <v>12015</v>
      </c>
      <c r="B12020" s="11" t="str">
        <f>"00571575"</f>
        <v>00571575</v>
      </c>
    </row>
    <row r="12021" spans="1:2" x14ac:dyDescent="0.25">
      <c r="A12021" s="2">
        <v>12016</v>
      </c>
      <c r="B12021" s="11" t="str">
        <f>"00571791"</f>
        <v>00571791</v>
      </c>
    </row>
    <row r="12022" spans="1:2" x14ac:dyDescent="0.25">
      <c r="A12022" s="2">
        <v>12017</v>
      </c>
      <c r="B12022" s="11" t="str">
        <f>"00571807"</f>
        <v>00571807</v>
      </c>
    </row>
    <row r="12023" spans="1:2" x14ac:dyDescent="0.25">
      <c r="A12023" s="2">
        <v>12018</v>
      </c>
      <c r="B12023" s="11" t="str">
        <f>"00572098"</f>
        <v>00572098</v>
      </c>
    </row>
    <row r="12024" spans="1:2" x14ac:dyDescent="0.25">
      <c r="A12024" s="2">
        <v>12019</v>
      </c>
      <c r="B12024" s="11" t="str">
        <f>"00572118"</f>
        <v>00572118</v>
      </c>
    </row>
    <row r="12025" spans="1:2" x14ac:dyDescent="0.25">
      <c r="A12025" s="2">
        <v>12020</v>
      </c>
      <c r="B12025" s="11" t="str">
        <f>"00572142"</f>
        <v>00572142</v>
      </c>
    </row>
    <row r="12026" spans="1:2" x14ac:dyDescent="0.25">
      <c r="A12026" s="2">
        <v>12021</v>
      </c>
      <c r="B12026" s="11" t="str">
        <f>"00572160"</f>
        <v>00572160</v>
      </c>
    </row>
    <row r="12027" spans="1:2" x14ac:dyDescent="0.25">
      <c r="A12027" s="2">
        <v>12022</v>
      </c>
      <c r="B12027" s="11" t="str">
        <f>"00572236"</f>
        <v>00572236</v>
      </c>
    </row>
    <row r="12028" spans="1:2" x14ac:dyDescent="0.25">
      <c r="A12028" s="2">
        <v>12023</v>
      </c>
      <c r="B12028" s="11" t="str">
        <f>"00572256"</f>
        <v>00572256</v>
      </c>
    </row>
    <row r="12029" spans="1:2" x14ac:dyDescent="0.25">
      <c r="A12029" s="2">
        <v>12024</v>
      </c>
      <c r="B12029" s="11" t="str">
        <f>"00572280"</f>
        <v>00572280</v>
      </c>
    </row>
    <row r="12030" spans="1:2" x14ac:dyDescent="0.25">
      <c r="A12030" s="2">
        <v>12025</v>
      </c>
      <c r="B12030" s="11" t="str">
        <f>"00572388"</f>
        <v>00572388</v>
      </c>
    </row>
    <row r="12031" spans="1:2" x14ac:dyDescent="0.25">
      <c r="A12031" s="2">
        <v>12026</v>
      </c>
      <c r="B12031" s="11" t="str">
        <f>"00572465"</f>
        <v>00572465</v>
      </c>
    </row>
    <row r="12032" spans="1:2" x14ac:dyDescent="0.25">
      <c r="A12032" s="2">
        <v>12027</v>
      </c>
      <c r="B12032" s="11" t="str">
        <f>"00572493"</f>
        <v>00572493</v>
      </c>
    </row>
    <row r="12033" spans="1:2" x14ac:dyDescent="0.25">
      <c r="A12033" s="2">
        <v>12028</v>
      </c>
      <c r="B12033" s="11" t="str">
        <f>"00572571"</f>
        <v>00572571</v>
      </c>
    </row>
    <row r="12034" spans="1:2" x14ac:dyDescent="0.25">
      <c r="A12034" s="2">
        <v>12029</v>
      </c>
      <c r="B12034" s="11" t="str">
        <f>"00572648"</f>
        <v>00572648</v>
      </c>
    </row>
    <row r="12035" spans="1:2" x14ac:dyDescent="0.25">
      <c r="A12035" s="2">
        <v>12030</v>
      </c>
      <c r="B12035" s="11" t="str">
        <f>"00572670"</f>
        <v>00572670</v>
      </c>
    </row>
    <row r="12036" spans="1:2" x14ac:dyDescent="0.25">
      <c r="A12036" s="2">
        <v>12031</v>
      </c>
      <c r="B12036" s="11" t="str">
        <f>"00572731"</f>
        <v>00572731</v>
      </c>
    </row>
    <row r="12037" spans="1:2" x14ac:dyDescent="0.25">
      <c r="A12037" s="2">
        <v>12032</v>
      </c>
      <c r="B12037" s="11" t="str">
        <f>"00572737"</f>
        <v>00572737</v>
      </c>
    </row>
    <row r="12038" spans="1:2" x14ac:dyDescent="0.25">
      <c r="A12038" s="2">
        <v>12033</v>
      </c>
      <c r="B12038" s="11" t="str">
        <f>"00572986"</f>
        <v>00572986</v>
      </c>
    </row>
    <row r="12039" spans="1:2" x14ac:dyDescent="0.25">
      <c r="A12039" s="2">
        <v>12034</v>
      </c>
      <c r="B12039" s="11" t="str">
        <f>"00573120"</f>
        <v>00573120</v>
      </c>
    </row>
    <row r="12040" spans="1:2" x14ac:dyDescent="0.25">
      <c r="A12040" s="2">
        <v>12035</v>
      </c>
      <c r="B12040" s="11" t="str">
        <f>"00573295"</f>
        <v>00573295</v>
      </c>
    </row>
    <row r="12041" spans="1:2" x14ac:dyDescent="0.25">
      <c r="A12041" s="2">
        <v>12036</v>
      </c>
      <c r="B12041" s="11" t="str">
        <f>"00573420"</f>
        <v>00573420</v>
      </c>
    </row>
    <row r="12042" spans="1:2" x14ac:dyDescent="0.25">
      <c r="A12042" s="2">
        <v>12037</v>
      </c>
      <c r="B12042" s="11" t="str">
        <f>"00573531"</f>
        <v>00573531</v>
      </c>
    </row>
    <row r="12043" spans="1:2" x14ac:dyDescent="0.25">
      <c r="A12043" s="2">
        <v>12038</v>
      </c>
      <c r="B12043" s="11" t="str">
        <f>"00573535"</f>
        <v>00573535</v>
      </c>
    </row>
    <row r="12044" spans="1:2" x14ac:dyDescent="0.25">
      <c r="A12044" s="2">
        <v>12039</v>
      </c>
      <c r="B12044" s="11" t="str">
        <f>"00573579"</f>
        <v>00573579</v>
      </c>
    </row>
    <row r="12045" spans="1:2" x14ac:dyDescent="0.25">
      <c r="A12045" s="2">
        <v>12040</v>
      </c>
      <c r="B12045" s="11" t="str">
        <f>"00573585"</f>
        <v>00573585</v>
      </c>
    </row>
    <row r="12046" spans="1:2" x14ac:dyDescent="0.25">
      <c r="A12046" s="2">
        <v>12041</v>
      </c>
      <c r="B12046" s="11" t="str">
        <f>"00573618"</f>
        <v>00573618</v>
      </c>
    </row>
    <row r="12047" spans="1:2" x14ac:dyDescent="0.25">
      <c r="A12047" s="2">
        <v>12042</v>
      </c>
      <c r="B12047" s="11" t="str">
        <f>"00573631"</f>
        <v>00573631</v>
      </c>
    </row>
    <row r="12048" spans="1:2" x14ac:dyDescent="0.25">
      <c r="A12048" s="2">
        <v>12043</v>
      </c>
      <c r="B12048" s="11" t="str">
        <f>"00574100"</f>
        <v>00574100</v>
      </c>
    </row>
    <row r="12049" spans="1:2" x14ac:dyDescent="0.25">
      <c r="A12049" s="2">
        <v>12044</v>
      </c>
      <c r="B12049" s="11" t="str">
        <f>"00574238"</f>
        <v>00574238</v>
      </c>
    </row>
    <row r="12050" spans="1:2" x14ac:dyDescent="0.25">
      <c r="A12050" s="2">
        <v>12045</v>
      </c>
      <c r="B12050" s="11" t="str">
        <f>"00574285"</f>
        <v>00574285</v>
      </c>
    </row>
    <row r="12051" spans="1:2" x14ac:dyDescent="0.25">
      <c r="A12051" s="2">
        <v>12046</v>
      </c>
      <c r="B12051" s="11" t="str">
        <f>"00574621"</f>
        <v>00574621</v>
      </c>
    </row>
    <row r="12052" spans="1:2" x14ac:dyDescent="0.25">
      <c r="A12052" s="2">
        <v>12047</v>
      </c>
      <c r="B12052" s="11" t="str">
        <f>"00574816"</f>
        <v>00574816</v>
      </c>
    </row>
    <row r="12053" spans="1:2" x14ac:dyDescent="0.25">
      <c r="A12053" s="2">
        <v>12048</v>
      </c>
      <c r="B12053" s="11" t="str">
        <f>"00574899"</f>
        <v>00574899</v>
      </c>
    </row>
    <row r="12054" spans="1:2" x14ac:dyDescent="0.25">
      <c r="A12054" s="2">
        <v>12049</v>
      </c>
      <c r="B12054" s="11" t="str">
        <f>"00574918"</f>
        <v>00574918</v>
      </c>
    </row>
    <row r="12055" spans="1:2" x14ac:dyDescent="0.25">
      <c r="A12055" s="2">
        <v>12050</v>
      </c>
      <c r="B12055" s="11" t="str">
        <f>"00575052"</f>
        <v>00575052</v>
      </c>
    </row>
    <row r="12056" spans="1:2" x14ac:dyDescent="0.25">
      <c r="A12056" s="2">
        <v>12051</v>
      </c>
      <c r="B12056" s="11" t="str">
        <f>"00575069"</f>
        <v>00575069</v>
      </c>
    </row>
    <row r="12057" spans="1:2" x14ac:dyDescent="0.25">
      <c r="A12057" s="2">
        <v>12052</v>
      </c>
      <c r="B12057" s="11" t="str">
        <f>"00575144"</f>
        <v>00575144</v>
      </c>
    </row>
    <row r="12058" spans="1:2" x14ac:dyDescent="0.25">
      <c r="A12058" s="2">
        <v>12053</v>
      </c>
      <c r="B12058" s="11" t="str">
        <f>"00575146"</f>
        <v>00575146</v>
      </c>
    </row>
    <row r="12059" spans="1:2" x14ac:dyDescent="0.25">
      <c r="A12059" s="2">
        <v>12054</v>
      </c>
      <c r="B12059" s="11" t="str">
        <f>"00575223"</f>
        <v>00575223</v>
      </c>
    </row>
    <row r="12060" spans="1:2" x14ac:dyDescent="0.25">
      <c r="A12060" s="2">
        <v>12055</v>
      </c>
      <c r="B12060" s="11" t="str">
        <f>"00575351"</f>
        <v>00575351</v>
      </c>
    </row>
    <row r="12061" spans="1:2" x14ac:dyDescent="0.25">
      <c r="A12061" s="2">
        <v>12056</v>
      </c>
      <c r="B12061" s="11" t="str">
        <f>"00575436"</f>
        <v>00575436</v>
      </c>
    </row>
    <row r="12062" spans="1:2" x14ac:dyDescent="0.25">
      <c r="A12062" s="2">
        <v>12057</v>
      </c>
      <c r="B12062" s="11" t="str">
        <f>"00575564"</f>
        <v>00575564</v>
      </c>
    </row>
    <row r="12063" spans="1:2" x14ac:dyDescent="0.25">
      <c r="A12063" s="2">
        <v>12058</v>
      </c>
      <c r="B12063" s="11" t="str">
        <f>"00575616"</f>
        <v>00575616</v>
      </c>
    </row>
    <row r="12064" spans="1:2" x14ac:dyDescent="0.25">
      <c r="A12064" s="2">
        <v>12059</v>
      </c>
      <c r="B12064" s="11" t="str">
        <f>"00575744"</f>
        <v>00575744</v>
      </c>
    </row>
    <row r="12065" spans="1:2" x14ac:dyDescent="0.25">
      <c r="A12065" s="2">
        <v>12060</v>
      </c>
      <c r="B12065" s="11" t="str">
        <f>"00575938"</f>
        <v>00575938</v>
      </c>
    </row>
    <row r="12066" spans="1:2" x14ac:dyDescent="0.25">
      <c r="A12066" s="2">
        <v>12061</v>
      </c>
      <c r="B12066" s="11" t="str">
        <f>"00576052"</f>
        <v>00576052</v>
      </c>
    </row>
    <row r="12067" spans="1:2" x14ac:dyDescent="0.25">
      <c r="A12067" s="2">
        <v>12062</v>
      </c>
      <c r="B12067" s="11" t="str">
        <f>"00576058"</f>
        <v>00576058</v>
      </c>
    </row>
    <row r="12068" spans="1:2" x14ac:dyDescent="0.25">
      <c r="A12068" s="2">
        <v>12063</v>
      </c>
      <c r="B12068" s="11" t="str">
        <f>"00576155"</f>
        <v>00576155</v>
      </c>
    </row>
    <row r="12069" spans="1:2" x14ac:dyDescent="0.25">
      <c r="A12069" s="2">
        <v>12064</v>
      </c>
      <c r="B12069" s="11" t="str">
        <f>"00576252"</f>
        <v>00576252</v>
      </c>
    </row>
    <row r="12070" spans="1:2" x14ac:dyDescent="0.25">
      <c r="A12070" s="2">
        <v>12065</v>
      </c>
      <c r="B12070" s="11" t="str">
        <f>"00576319"</f>
        <v>00576319</v>
      </c>
    </row>
    <row r="12071" spans="1:2" x14ac:dyDescent="0.25">
      <c r="A12071" s="2">
        <v>12066</v>
      </c>
      <c r="B12071" s="11" t="str">
        <f>"00576393"</f>
        <v>00576393</v>
      </c>
    </row>
    <row r="12072" spans="1:2" x14ac:dyDescent="0.25">
      <c r="A12072" s="2">
        <v>12067</v>
      </c>
      <c r="B12072" s="11" t="str">
        <f>"00576417"</f>
        <v>00576417</v>
      </c>
    </row>
    <row r="12073" spans="1:2" x14ac:dyDescent="0.25">
      <c r="A12073" s="2">
        <v>12068</v>
      </c>
      <c r="B12073" s="11" t="str">
        <f>"00576497"</f>
        <v>00576497</v>
      </c>
    </row>
    <row r="12074" spans="1:2" x14ac:dyDescent="0.25">
      <c r="A12074" s="2">
        <v>12069</v>
      </c>
      <c r="B12074" s="11" t="str">
        <f>"00576506"</f>
        <v>00576506</v>
      </c>
    </row>
    <row r="12075" spans="1:2" x14ac:dyDescent="0.25">
      <c r="A12075" s="2">
        <v>12070</v>
      </c>
      <c r="B12075" s="11" t="str">
        <f>"00576529"</f>
        <v>00576529</v>
      </c>
    </row>
    <row r="12076" spans="1:2" x14ac:dyDescent="0.25">
      <c r="A12076" s="2">
        <v>12071</v>
      </c>
      <c r="B12076" s="11" t="str">
        <f>"00576611"</f>
        <v>00576611</v>
      </c>
    </row>
    <row r="12077" spans="1:2" x14ac:dyDescent="0.25">
      <c r="A12077" s="2">
        <v>12072</v>
      </c>
      <c r="B12077" s="11" t="str">
        <f>"00576614"</f>
        <v>00576614</v>
      </c>
    </row>
    <row r="12078" spans="1:2" x14ac:dyDescent="0.25">
      <c r="A12078" s="2">
        <v>12073</v>
      </c>
      <c r="B12078" s="11" t="str">
        <f>"00576755"</f>
        <v>00576755</v>
      </c>
    </row>
    <row r="12079" spans="1:2" x14ac:dyDescent="0.25">
      <c r="A12079" s="2">
        <v>12074</v>
      </c>
      <c r="B12079" s="11" t="str">
        <f>"00577035"</f>
        <v>00577035</v>
      </c>
    </row>
    <row r="12080" spans="1:2" x14ac:dyDescent="0.25">
      <c r="A12080" s="2">
        <v>12075</v>
      </c>
      <c r="B12080" s="11" t="str">
        <f>"00577103"</f>
        <v>00577103</v>
      </c>
    </row>
    <row r="12081" spans="1:2" x14ac:dyDescent="0.25">
      <c r="A12081" s="2">
        <v>12076</v>
      </c>
      <c r="B12081" s="11" t="str">
        <f>"00577140"</f>
        <v>00577140</v>
      </c>
    </row>
    <row r="12082" spans="1:2" x14ac:dyDescent="0.25">
      <c r="A12082" s="2">
        <v>12077</v>
      </c>
      <c r="B12082" s="11" t="str">
        <f>"00577178"</f>
        <v>00577178</v>
      </c>
    </row>
    <row r="12083" spans="1:2" x14ac:dyDescent="0.25">
      <c r="A12083" s="2">
        <v>12078</v>
      </c>
      <c r="B12083" s="11" t="str">
        <f>"00577302"</f>
        <v>00577302</v>
      </c>
    </row>
    <row r="12084" spans="1:2" x14ac:dyDescent="0.25">
      <c r="A12084" s="2">
        <v>12079</v>
      </c>
      <c r="B12084" s="11" t="str">
        <f>"00577503"</f>
        <v>00577503</v>
      </c>
    </row>
    <row r="12085" spans="1:2" x14ac:dyDescent="0.25">
      <c r="A12085" s="2">
        <v>12080</v>
      </c>
      <c r="B12085" s="11" t="str">
        <f>"00577600"</f>
        <v>00577600</v>
      </c>
    </row>
    <row r="12086" spans="1:2" x14ac:dyDescent="0.25">
      <c r="A12086" s="2">
        <v>12081</v>
      </c>
      <c r="B12086" s="11" t="str">
        <f>"00577674"</f>
        <v>00577674</v>
      </c>
    </row>
    <row r="12087" spans="1:2" x14ac:dyDescent="0.25">
      <c r="A12087" s="2">
        <v>12082</v>
      </c>
      <c r="B12087" s="11" t="str">
        <f>"00577737"</f>
        <v>00577737</v>
      </c>
    </row>
    <row r="12088" spans="1:2" x14ac:dyDescent="0.25">
      <c r="A12088" s="2">
        <v>12083</v>
      </c>
      <c r="B12088" s="11" t="str">
        <f>"00577770"</f>
        <v>00577770</v>
      </c>
    </row>
    <row r="12089" spans="1:2" x14ac:dyDescent="0.25">
      <c r="A12089" s="2">
        <v>12084</v>
      </c>
      <c r="B12089" s="11" t="str">
        <f>"00577808"</f>
        <v>00577808</v>
      </c>
    </row>
    <row r="12090" spans="1:2" x14ac:dyDescent="0.25">
      <c r="A12090" s="2">
        <v>12085</v>
      </c>
      <c r="B12090" s="11" t="str">
        <f>"00577872"</f>
        <v>00577872</v>
      </c>
    </row>
    <row r="12091" spans="1:2" x14ac:dyDescent="0.25">
      <c r="A12091" s="2">
        <v>12086</v>
      </c>
      <c r="B12091" s="11" t="str">
        <f>"00577923"</f>
        <v>00577923</v>
      </c>
    </row>
    <row r="12092" spans="1:2" x14ac:dyDescent="0.25">
      <c r="A12092" s="2">
        <v>12087</v>
      </c>
      <c r="B12092" s="11" t="str">
        <f>"00577989"</f>
        <v>00577989</v>
      </c>
    </row>
    <row r="12093" spans="1:2" x14ac:dyDescent="0.25">
      <c r="A12093" s="2">
        <v>12088</v>
      </c>
      <c r="B12093" s="11" t="str">
        <f>"00578179"</f>
        <v>00578179</v>
      </c>
    </row>
    <row r="12094" spans="1:2" x14ac:dyDescent="0.25">
      <c r="A12094" s="2">
        <v>12089</v>
      </c>
      <c r="B12094" s="11" t="str">
        <f>"00578253"</f>
        <v>00578253</v>
      </c>
    </row>
    <row r="12095" spans="1:2" x14ac:dyDescent="0.25">
      <c r="A12095" s="2">
        <v>12090</v>
      </c>
      <c r="B12095" s="11" t="str">
        <f>"00578295"</f>
        <v>00578295</v>
      </c>
    </row>
    <row r="12096" spans="1:2" x14ac:dyDescent="0.25">
      <c r="A12096" s="2">
        <v>12091</v>
      </c>
      <c r="B12096" s="11" t="str">
        <f>"00578314"</f>
        <v>00578314</v>
      </c>
    </row>
    <row r="12097" spans="1:2" x14ac:dyDescent="0.25">
      <c r="A12097" s="2">
        <v>12092</v>
      </c>
      <c r="B12097" s="11" t="str">
        <f>"00578455"</f>
        <v>00578455</v>
      </c>
    </row>
    <row r="12098" spans="1:2" x14ac:dyDescent="0.25">
      <c r="A12098" s="2">
        <v>12093</v>
      </c>
      <c r="B12098" s="11" t="str">
        <f>"00578501"</f>
        <v>00578501</v>
      </c>
    </row>
    <row r="12099" spans="1:2" x14ac:dyDescent="0.25">
      <c r="A12099" s="2">
        <v>12094</v>
      </c>
      <c r="B12099" s="11" t="str">
        <f>"00578606"</f>
        <v>00578606</v>
      </c>
    </row>
    <row r="12100" spans="1:2" x14ac:dyDescent="0.25">
      <c r="A12100" s="2">
        <v>12095</v>
      </c>
      <c r="B12100" s="11" t="str">
        <f>"00578659"</f>
        <v>00578659</v>
      </c>
    </row>
    <row r="12101" spans="1:2" x14ac:dyDescent="0.25">
      <c r="A12101" s="2">
        <v>12096</v>
      </c>
      <c r="B12101" s="11" t="str">
        <f>"00578719"</f>
        <v>00578719</v>
      </c>
    </row>
    <row r="12102" spans="1:2" x14ac:dyDescent="0.25">
      <c r="A12102" s="2">
        <v>12097</v>
      </c>
      <c r="B12102" s="11" t="str">
        <f>"00578791"</f>
        <v>00578791</v>
      </c>
    </row>
    <row r="12103" spans="1:2" x14ac:dyDescent="0.25">
      <c r="A12103" s="2">
        <v>12098</v>
      </c>
      <c r="B12103" s="11" t="str">
        <f>"00578862"</f>
        <v>00578862</v>
      </c>
    </row>
    <row r="12104" spans="1:2" x14ac:dyDescent="0.25">
      <c r="A12104" s="2">
        <v>12099</v>
      </c>
      <c r="B12104" s="11" t="str">
        <f>"00578982"</f>
        <v>00578982</v>
      </c>
    </row>
    <row r="12105" spans="1:2" x14ac:dyDescent="0.25">
      <c r="A12105" s="2">
        <v>12100</v>
      </c>
      <c r="B12105" s="11" t="str">
        <f>"00579019"</f>
        <v>00579019</v>
      </c>
    </row>
    <row r="12106" spans="1:2" x14ac:dyDescent="0.25">
      <c r="A12106" s="2">
        <v>12101</v>
      </c>
      <c r="B12106" s="11" t="str">
        <f>"00579068"</f>
        <v>00579068</v>
      </c>
    </row>
    <row r="12107" spans="1:2" x14ac:dyDescent="0.25">
      <c r="A12107" s="2">
        <v>12102</v>
      </c>
      <c r="B12107" s="11" t="str">
        <f>"00579073"</f>
        <v>00579073</v>
      </c>
    </row>
    <row r="12108" spans="1:2" x14ac:dyDescent="0.25">
      <c r="A12108" s="2">
        <v>12103</v>
      </c>
      <c r="B12108" s="11" t="str">
        <f>"00579201"</f>
        <v>00579201</v>
      </c>
    </row>
    <row r="12109" spans="1:2" x14ac:dyDescent="0.25">
      <c r="A12109" s="2">
        <v>12104</v>
      </c>
      <c r="B12109" s="11" t="str">
        <f>"00579255"</f>
        <v>00579255</v>
      </c>
    </row>
    <row r="12110" spans="1:2" x14ac:dyDescent="0.25">
      <c r="A12110" s="2">
        <v>12105</v>
      </c>
      <c r="B12110" s="11" t="str">
        <f>"00579290"</f>
        <v>00579290</v>
      </c>
    </row>
    <row r="12111" spans="1:2" x14ac:dyDescent="0.25">
      <c r="A12111" s="2">
        <v>12106</v>
      </c>
      <c r="B12111" s="11" t="str">
        <f>"00579366"</f>
        <v>00579366</v>
      </c>
    </row>
    <row r="12112" spans="1:2" x14ac:dyDescent="0.25">
      <c r="A12112" s="2">
        <v>12107</v>
      </c>
      <c r="B12112" s="11" t="str">
        <f>"00579406"</f>
        <v>00579406</v>
      </c>
    </row>
    <row r="12113" spans="1:2" x14ac:dyDescent="0.25">
      <c r="A12113" s="2">
        <v>12108</v>
      </c>
      <c r="B12113" s="11" t="str">
        <f>"00579614"</f>
        <v>00579614</v>
      </c>
    </row>
    <row r="12114" spans="1:2" x14ac:dyDescent="0.25">
      <c r="A12114" s="2">
        <v>12109</v>
      </c>
      <c r="B12114" s="11" t="str">
        <f>"00579670"</f>
        <v>00579670</v>
      </c>
    </row>
    <row r="12115" spans="1:2" x14ac:dyDescent="0.25">
      <c r="A12115" s="2">
        <v>12110</v>
      </c>
      <c r="B12115" s="11" t="str">
        <f>"00579997"</f>
        <v>00579997</v>
      </c>
    </row>
    <row r="12116" spans="1:2" x14ac:dyDescent="0.25">
      <c r="A12116" s="2">
        <v>12111</v>
      </c>
      <c r="B12116" s="11" t="str">
        <f>"00580096"</f>
        <v>00580096</v>
      </c>
    </row>
    <row r="12117" spans="1:2" x14ac:dyDescent="0.25">
      <c r="A12117" s="2">
        <v>12112</v>
      </c>
      <c r="B12117" s="11" t="str">
        <f>"00580109"</f>
        <v>00580109</v>
      </c>
    </row>
    <row r="12118" spans="1:2" x14ac:dyDescent="0.25">
      <c r="A12118" s="2">
        <v>12113</v>
      </c>
      <c r="B12118" s="11" t="str">
        <f>"00580138"</f>
        <v>00580138</v>
      </c>
    </row>
    <row r="12119" spans="1:2" x14ac:dyDescent="0.25">
      <c r="A12119" s="2">
        <v>12114</v>
      </c>
      <c r="B12119" s="11" t="str">
        <f>"00580229"</f>
        <v>00580229</v>
      </c>
    </row>
    <row r="12120" spans="1:2" x14ac:dyDescent="0.25">
      <c r="A12120" s="2">
        <v>12115</v>
      </c>
      <c r="B12120" s="11" t="str">
        <f>"00580254"</f>
        <v>00580254</v>
      </c>
    </row>
    <row r="12121" spans="1:2" x14ac:dyDescent="0.25">
      <c r="A12121" s="2">
        <v>12116</v>
      </c>
      <c r="B12121" s="11" t="str">
        <f>"00580261"</f>
        <v>00580261</v>
      </c>
    </row>
    <row r="12122" spans="1:2" x14ac:dyDescent="0.25">
      <c r="A12122" s="2">
        <v>12117</v>
      </c>
      <c r="B12122" s="11" t="str">
        <f>"00580343"</f>
        <v>00580343</v>
      </c>
    </row>
    <row r="12123" spans="1:2" x14ac:dyDescent="0.25">
      <c r="A12123" s="2">
        <v>12118</v>
      </c>
      <c r="B12123" s="11" t="str">
        <f>"00580381"</f>
        <v>00580381</v>
      </c>
    </row>
    <row r="12124" spans="1:2" x14ac:dyDescent="0.25">
      <c r="A12124" s="2">
        <v>12119</v>
      </c>
      <c r="B12124" s="11" t="str">
        <f>"00580496"</f>
        <v>00580496</v>
      </c>
    </row>
    <row r="12125" spans="1:2" x14ac:dyDescent="0.25">
      <c r="A12125" s="2">
        <v>12120</v>
      </c>
      <c r="B12125" s="11" t="str">
        <f>"00580547"</f>
        <v>00580547</v>
      </c>
    </row>
    <row r="12126" spans="1:2" x14ac:dyDescent="0.25">
      <c r="A12126" s="2">
        <v>12121</v>
      </c>
      <c r="B12126" s="11" t="str">
        <f>"00580566"</f>
        <v>00580566</v>
      </c>
    </row>
    <row r="12127" spans="1:2" x14ac:dyDescent="0.25">
      <c r="A12127" s="2">
        <v>12122</v>
      </c>
      <c r="B12127" s="11" t="str">
        <f>"00580693"</f>
        <v>00580693</v>
      </c>
    </row>
    <row r="12128" spans="1:2" x14ac:dyDescent="0.25">
      <c r="A12128" s="2">
        <v>12123</v>
      </c>
      <c r="B12128" s="11" t="str">
        <f>"00580725"</f>
        <v>00580725</v>
      </c>
    </row>
    <row r="12129" spans="1:2" x14ac:dyDescent="0.25">
      <c r="A12129" s="2">
        <v>12124</v>
      </c>
      <c r="B12129" s="11" t="str">
        <f>"00580776"</f>
        <v>00580776</v>
      </c>
    </row>
    <row r="12130" spans="1:2" x14ac:dyDescent="0.25">
      <c r="A12130" s="2">
        <v>12125</v>
      </c>
      <c r="B12130" s="11" t="str">
        <f>"00580885"</f>
        <v>00580885</v>
      </c>
    </row>
    <row r="12131" spans="1:2" x14ac:dyDescent="0.25">
      <c r="A12131" s="2">
        <v>12126</v>
      </c>
      <c r="B12131" s="11" t="str">
        <f>"00581127"</f>
        <v>00581127</v>
      </c>
    </row>
    <row r="12132" spans="1:2" x14ac:dyDescent="0.25">
      <c r="A12132" s="2">
        <v>12127</v>
      </c>
      <c r="B12132" s="11" t="str">
        <f>"00581151"</f>
        <v>00581151</v>
      </c>
    </row>
    <row r="12133" spans="1:2" x14ac:dyDescent="0.25">
      <c r="A12133" s="2">
        <v>12128</v>
      </c>
      <c r="B12133" s="11" t="str">
        <f>"00581202"</f>
        <v>00581202</v>
      </c>
    </row>
    <row r="12134" spans="1:2" x14ac:dyDescent="0.25">
      <c r="A12134" s="2">
        <v>12129</v>
      </c>
      <c r="B12134" s="11" t="str">
        <f>"00581512"</f>
        <v>00581512</v>
      </c>
    </row>
    <row r="12135" spans="1:2" x14ac:dyDescent="0.25">
      <c r="A12135" s="2">
        <v>12130</v>
      </c>
      <c r="B12135" s="11" t="str">
        <f>"00581521"</f>
        <v>00581521</v>
      </c>
    </row>
    <row r="12136" spans="1:2" x14ac:dyDescent="0.25">
      <c r="A12136" s="2">
        <v>12131</v>
      </c>
      <c r="B12136" s="11" t="str">
        <f>"00581678"</f>
        <v>00581678</v>
      </c>
    </row>
    <row r="12137" spans="1:2" x14ac:dyDescent="0.25">
      <c r="A12137" s="2">
        <v>12132</v>
      </c>
      <c r="B12137" s="11" t="str">
        <f>"00581700"</f>
        <v>00581700</v>
      </c>
    </row>
    <row r="12138" spans="1:2" x14ac:dyDescent="0.25">
      <c r="A12138" s="2">
        <v>12133</v>
      </c>
      <c r="B12138" s="11" t="str">
        <f>"00581740"</f>
        <v>00581740</v>
      </c>
    </row>
    <row r="12139" spans="1:2" x14ac:dyDescent="0.25">
      <c r="A12139" s="2">
        <v>12134</v>
      </c>
      <c r="B12139" s="11" t="str">
        <f>"00581811"</f>
        <v>00581811</v>
      </c>
    </row>
    <row r="12140" spans="1:2" x14ac:dyDescent="0.25">
      <c r="A12140" s="2">
        <v>12135</v>
      </c>
      <c r="B12140" s="11" t="str">
        <f>"00581944"</f>
        <v>00581944</v>
      </c>
    </row>
    <row r="12141" spans="1:2" x14ac:dyDescent="0.25">
      <c r="A12141" s="2">
        <v>12136</v>
      </c>
      <c r="B12141" s="11" t="str">
        <f>"00582049"</f>
        <v>00582049</v>
      </c>
    </row>
    <row r="12142" spans="1:2" x14ac:dyDescent="0.25">
      <c r="A12142" s="2">
        <v>12137</v>
      </c>
      <c r="B12142" s="11" t="str">
        <f>"00582144"</f>
        <v>00582144</v>
      </c>
    </row>
    <row r="12143" spans="1:2" x14ac:dyDescent="0.25">
      <c r="A12143" s="2">
        <v>12138</v>
      </c>
      <c r="B12143" s="11" t="str">
        <f>"00582210"</f>
        <v>00582210</v>
      </c>
    </row>
    <row r="12144" spans="1:2" x14ac:dyDescent="0.25">
      <c r="A12144" s="2">
        <v>12139</v>
      </c>
      <c r="B12144" s="11" t="str">
        <f>"00582240"</f>
        <v>00582240</v>
      </c>
    </row>
    <row r="12145" spans="1:2" x14ac:dyDescent="0.25">
      <c r="A12145" s="2">
        <v>12140</v>
      </c>
      <c r="B12145" s="11" t="str">
        <f>"00582245"</f>
        <v>00582245</v>
      </c>
    </row>
    <row r="12146" spans="1:2" x14ac:dyDescent="0.25">
      <c r="A12146" s="2">
        <v>12141</v>
      </c>
      <c r="B12146" s="11" t="str">
        <f>"00582367"</f>
        <v>00582367</v>
      </c>
    </row>
    <row r="12147" spans="1:2" x14ac:dyDescent="0.25">
      <c r="A12147" s="2">
        <v>12142</v>
      </c>
      <c r="B12147" s="11" t="str">
        <f>"00582435"</f>
        <v>00582435</v>
      </c>
    </row>
    <row r="12148" spans="1:2" x14ac:dyDescent="0.25">
      <c r="A12148" s="2">
        <v>12143</v>
      </c>
      <c r="B12148" s="11" t="str">
        <f>"00582473"</f>
        <v>00582473</v>
      </c>
    </row>
    <row r="12149" spans="1:2" x14ac:dyDescent="0.25">
      <c r="A12149" s="2">
        <v>12144</v>
      </c>
      <c r="B12149" s="11" t="str">
        <f>"00582486"</f>
        <v>00582486</v>
      </c>
    </row>
    <row r="12150" spans="1:2" x14ac:dyDescent="0.25">
      <c r="A12150" s="2">
        <v>12145</v>
      </c>
      <c r="B12150" s="11" t="str">
        <f>"00582585"</f>
        <v>00582585</v>
      </c>
    </row>
    <row r="12151" spans="1:2" x14ac:dyDescent="0.25">
      <c r="A12151" s="2">
        <v>12146</v>
      </c>
      <c r="B12151" s="11" t="str">
        <f>"00582614"</f>
        <v>00582614</v>
      </c>
    </row>
    <row r="12152" spans="1:2" x14ac:dyDescent="0.25">
      <c r="A12152" s="2">
        <v>12147</v>
      </c>
      <c r="B12152" s="11" t="str">
        <f>"00582616"</f>
        <v>00582616</v>
      </c>
    </row>
    <row r="12153" spans="1:2" x14ac:dyDescent="0.25">
      <c r="A12153" s="2">
        <v>12148</v>
      </c>
      <c r="B12153" s="11" t="str">
        <f>"00582628"</f>
        <v>00582628</v>
      </c>
    </row>
    <row r="12154" spans="1:2" x14ac:dyDescent="0.25">
      <c r="A12154" s="2">
        <v>12149</v>
      </c>
      <c r="B12154" s="11" t="str">
        <f>"00582670"</f>
        <v>00582670</v>
      </c>
    </row>
    <row r="12155" spans="1:2" x14ac:dyDescent="0.25">
      <c r="A12155" s="2">
        <v>12150</v>
      </c>
      <c r="B12155" s="11" t="str">
        <f>"00582730"</f>
        <v>00582730</v>
      </c>
    </row>
    <row r="12156" spans="1:2" x14ac:dyDescent="0.25">
      <c r="A12156" s="2">
        <v>12151</v>
      </c>
      <c r="B12156" s="11" t="str">
        <f>"00582868"</f>
        <v>00582868</v>
      </c>
    </row>
    <row r="12157" spans="1:2" x14ac:dyDescent="0.25">
      <c r="A12157" s="2">
        <v>12152</v>
      </c>
      <c r="B12157" s="11" t="str">
        <f>"00582904"</f>
        <v>00582904</v>
      </c>
    </row>
    <row r="12158" spans="1:2" x14ac:dyDescent="0.25">
      <c r="A12158" s="2">
        <v>12153</v>
      </c>
      <c r="B12158" s="11" t="str">
        <f>"00582980"</f>
        <v>00582980</v>
      </c>
    </row>
    <row r="12159" spans="1:2" x14ac:dyDescent="0.25">
      <c r="A12159" s="2">
        <v>12154</v>
      </c>
      <c r="B12159" s="11" t="str">
        <f>"00583011"</f>
        <v>00583011</v>
      </c>
    </row>
    <row r="12160" spans="1:2" x14ac:dyDescent="0.25">
      <c r="A12160" s="2">
        <v>12155</v>
      </c>
      <c r="B12160" s="11" t="str">
        <f>"00583182"</f>
        <v>00583182</v>
      </c>
    </row>
    <row r="12161" spans="1:2" x14ac:dyDescent="0.25">
      <c r="A12161" s="2">
        <v>12156</v>
      </c>
      <c r="B12161" s="11" t="str">
        <f>"00583212"</f>
        <v>00583212</v>
      </c>
    </row>
    <row r="12162" spans="1:2" x14ac:dyDescent="0.25">
      <c r="A12162" s="2">
        <v>12157</v>
      </c>
      <c r="B12162" s="11" t="str">
        <f>"00583214"</f>
        <v>00583214</v>
      </c>
    </row>
    <row r="12163" spans="1:2" x14ac:dyDescent="0.25">
      <c r="A12163" s="2">
        <v>12158</v>
      </c>
      <c r="B12163" s="11" t="str">
        <f>"00583219"</f>
        <v>00583219</v>
      </c>
    </row>
    <row r="12164" spans="1:2" x14ac:dyDescent="0.25">
      <c r="A12164" s="2">
        <v>12159</v>
      </c>
      <c r="B12164" s="11" t="str">
        <f>"00583375"</f>
        <v>00583375</v>
      </c>
    </row>
    <row r="12165" spans="1:2" x14ac:dyDescent="0.25">
      <c r="A12165" s="2">
        <v>12160</v>
      </c>
      <c r="B12165" s="11" t="str">
        <f>"00583399"</f>
        <v>00583399</v>
      </c>
    </row>
    <row r="12166" spans="1:2" x14ac:dyDescent="0.25">
      <c r="A12166" s="2">
        <v>12161</v>
      </c>
      <c r="B12166" s="11" t="str">
        <f>"00583416"</f>
        <v>00583416</v>
      </c>
    </row>
    <row r="12167" spans="1:2" x14ac:dyDescent="0.25">
      <c r="A12167" s="2">
        <v>12162</v>
      </c>
      <c r="B12167" s="11" t="str">
        <f>"00583553"</f>
        <v>00583553</v>
      </c>
    </row>
    <row r="12168" spans="1:2" x14ac:dyDescent="0.25">
      <c r="A12168" s="2">
        <v>12163</v>
      </c>
      <c r="B12168" s="11" t="str">
        <f>"00583618"</f>
        <v>00583618</v>
      </c>
    </row>
    <row r="12169" spans="1:2" x14ac:dyDescent="0.25">
      <c r="A12169" s="2">
        <v>12164</v>
      </c>
      <c r="B12169" s="11" t="str">
        <f>"00583697"</f>
        <v>00583697</v>
      </c>
    </row>
    <row r="12170" spans="1:2" x14ac:dyDescent="0.25">
      <c r="A12170" s="2">
        <v>12165</v>
      </c>
      <c r="B12170" s="11" t="str">
        <f>"00583723"</f>
        <v>00583723</v>
      </c>
    </row>
    <row r="12171" spans="1:2" x14ac:dyDescent="0.25">
      <c r="A12171" s="2">
        <v>12166</v>
      </c>
      <c r="B12171" s="11" t="str">
        <f>"00583898"</f>
        <v>00583898</v>
      </c>
    </row>
    <row r="12172" spans="1:2" x14ac:dyDescent="0.25">
      <c r="A12172" s="2">
        <v>12167</v>
      </c>
      <c r="B12172" s="11" t="str">
        <f>"00584068"</f>
        <v>00584068</v>
      </c>
    </row>
    <row r="12173" spans="1:2" x14ac:dyDescent="0.25">
      <c r="A12173" s="2">
        <v>12168</v>
      </c>
      <c r="B12173" s="11" t="str">
        <f>"00584191"</f>
        <v>00584191</v>
      </c>
    </row>
    <row r="12174" spans="1:2" x14ac:dyDescent="0.25">
      <c r="A12174" s="2">
        <v>12169</v>
      </c>
      <c r="B12174" s="11" t="str">
        <f>"00584232"</f>
        <v>00584232</v>
      </c>
    </row>
    <row r="12175" spans="1:2" x14ac:dyDescent="0.25">
      <c r="A12175" s="2">
        <v>12170</v>
      </c>
      <c r="B12175" s="11" t="str">
        <f>"00584265"</f>
        <v>00584265</v>
      </c>
    </row>
    <row r="12176" spans="1:2" x14ac:dyDescent="0.25">
      <c r="A12176" s="2">
        <v>12171</v>
      </c>
      <c r="B12176" s="11" t="str">
        <f>"00584268"</f>
        <v>00584268</v>
      </c>
    </row>
    <row r="12177" spans="1:2" x14ac:dyDescent="0.25">
      <c r="A12177" s="2">
        <v>12172</v>
      </c>
      <c r="B12177" s="11" t="str">
        <f>"00584375"</f>
        <v>00584375</v>
      </c>
    </row>
    <row r="12178" spans="1:2" x14ac:dyDescent="0.25">
      <c r="A12178" s="2">
        <v>12173</v>
      </c>
      <c r="B12178" s="11" t="str">
        <f>"00584406"</f>
        <v>00584406</v>
      </c>
    </row>
    <row r="12179" spans="1:2" x14ac:dyDescent="0.25">
      <c r="A12179" s="2">
        <v>12174</v>
      </c>
      <c r="B12179" s="11" t="str">
        <f>"00584653"</f>
        <v>00584653</v>
      </c>
    </row>
    <row r="12180" spans="1:2" x14ac:dyDescent="0.25">
      <c r="A12180" s="2">
        <v>12175</v>
      </c>
      <c r="B12180" s="11" t="str">
        <f>"00584693"</f>
        <v>00584693</v>
      </c>
    </row>
    <row r="12181" spans="1:2" x14ac:dyDescent="0.25">
      <c r="A12181" s="2">
        <v>12176</v>
      </c>
      <c r="B12181" s="11" t="str">
        <f>"00584768"</f>
        <v>00584768</v>
      </c>
    </row>
    <row r="12182" spans="1:2" x14ac:dyDescent="0.25">
      <c r="A12182" s="2">
        <v>12177</v>
      </c>
      <c r="B12182" s="11" t="str">
        <f>"00584844"</f>
        <v>00584844</v>
      </c>
    </row>
    <row r="12183" spans="1:2" x14ac:dyDescent="0.25">
      <c r="A12183" s="2">
        <v>12178</v>
      </c>
      <c r="B12183" s="11" t="str">
        <f>"00584862"</f>
        <v>00584862</v>
      </c>
    </row>
    <row r="12184" spans="1:2" x14ac:dyDescent="0.25">
      <c r="A12184" s="2">
        <v>12179</v>
      </c>
      <c r="B12184" s="11" t="str">
        <f>"00585044"</f>
        <v>00585044</v>
      </c>
    </row>
    <row r="12185" spans="1:2" x14ac:dyDescent="0.25">
      <c r="A12185" s="2">
        <v>12180</v>
      </c>
      <c r="B12185" s="11" t="str">
        <f>"00585133"</f>
        <v>00585133</v>
      </c>
    </row>
    <row r="12186" spans="1:2" x14ac:dyDescent="0.25">
      <c r="A12186" s="2">
        <v>12181</v>
      </c>
      <c r="B12186" s="11" t="str">
        <f>"00585148"</f>
        <v>00585148</v>
      </c>
    </row>
    <row r="12187" spans="1:2" x14ac:dyDescent="0.25">
      <c r="A12187" s="2">
        <v>12182</v>
      </c>
      <c r="B12187" s="11" t="str">
        <f>"00585210"</f>
        <v>00585210</v>
      </c>
    </row>
    <row r="12188" spans="1:2" x14ac:dyDescent="0.25">
      <c r="A12188" s="2">
        <v>12183</v>
      </c>
      <c r="B12188" s="11" t="str">
        <f>"00585226"</f>
        <v>00585226</v>
      </c>
    </row>
    <row r="12189" spans="1:2" x14ac:dyDescent="0.25">
      <c r="A12189" s="2">
        <v>12184</v>
      </c>
      <c r="B12189" s="11" t="str">
        <f>"00585245"</f>
        <v>00585245</v>
      </c>
    </row>
    <row r="12190" spans="1:2" x14ac:dyDescent="0.25">
      <c r="A12190" s="2">
        <v>12185</v>
      </c>
      <c r="B12190" s="11" t="str">
        <f>"00585392"</f>
        <v>00585392</v>
      </c>
    </row>
    <row r="12191" spans="1:2" x14ac:dyDescent="0.25">
      <c r="A12191" s="2">
        <v>12186</v>
      </c>
      <c r="B12191" s="11" t="str">
        <f>"00585477"</f>
        <v>00585477</v>
      </c>
    </row>
    <row r="12192" spans="1:2" x14ac:dyDescent="0.25">
      <c r="A12192" s="2">
        <v>12187</v>
      </c>
      <c r="B12192" s="11" t="str">
        <f>"00585497"</f>
        <v>00585497</v>
      </c>
    </row>
    <row r="12193" spans="1:2" x14ac:dyDescent="0.25">
      <c r="A12193" s="2">
        <v>12188</v>
      </c>
      <c r="B12193" s="11" t="str">
        <f>"00585515"</f>
        <v>00585515</v>
      </c>
    </row>
    <row r="12194" spans="1:2" x14ac:dyDescent="0.25">
      <c r="A12194" s="2">
        <v>12189</v>
      </c>
      <c r="B12194" s="11" t="str">
        <f>"00585574"</f>
        <v>00585574</v>
      </c>
    </row>
    <row r="12195" spans="1:2" x14ac:dyDescent="0.25">
      <c r="A12195" s="2">
        <v>12190</v>
      </c>
      <c r="B12195" s="11" t="str">
        <f>"00585822"</f>
        <v>00585822</v>
      </c>
    </row>
    <row r="12196" spans="1:2" x14ac:dyDescent="0.25">
      <c r="A12196" s="2">
        <v>12191</v>
      </c>
      <c r="B12196" s="11" t="str">
        <f>"00586004"</f>
        <v>00586004</v>
      </c>
    </row>
    <row r="12197" spans="1:2" x14ac:dyDescent="0.25">
      <c r="A12197" s="2">
        <v>12192</v>
      </c>
      <c r="B12197" s="11" t="str">
        <f>"00586025"</f>
        <v>00586025</v>
      </c>
    </row>
    <row r="12198" spans="1:2" x14ac:dyDescent="0.25">
      <c r="A12198" s="2">
        <v>12193</v>
      </c>
      <c r="B12198" s="11" t="str">
        <f>"00586052"</f>
        <v>00586052</v>
      </c>
    </row>
    <row r="12199" spans="1:2" x14ac:dyDescent="0.25">
      <c r="A12199" s="2">
        <v>12194</v>
      </c>
      <c r="B12199" s="11" t="str">
        <f>"00586055"</f>
        <v>00586055</v>
      </c>
    </row>
    <row r="12200" spans="1:2" x14ac:dyDescent="0.25">
      <c r="A12200" s="2">
        <v>12195</v>
      </c>
      <c r="B12200" s="11" t="str">
        <f>"00586078"</f>
        <v>00586078</v>
      </c>
    </row>
    <row r="12201" spans="1:2" x14ac:dyDescent="0.25">
      <c r="A12201" s="2">
        <v>12196</v>
      </c>
      <c r="B12201" s="11" t="str">
        <f>"00586120"</f>
        <v>00586120</v>
      </c>
    </row>
    <row r="12202" spans="1:2" x14ac:dyDescent="0.25">
      <c r="A12202" s="2">
        <v>12197</v>
      </c>
      <c r="B12202" s="11" t="str">
        <f>"00586171"</f>
        <v>00586171</v>
      </c>
    </row>
    <row r="12203" spans="1:2" x14ac:dyDescent="0.25">
      <c r="A12203" s="2">
        <v>12198</v>
      </c>
      <c r="B12203" s="11" t="str">
        <f>"00586180"</f>
        <v>00586180</v>
      </c>
    </row>
    <row r="12204" spans="1:2" x14ac:dyDescent="0.25">
      <c r="A12204" s="2">
        <v>12199</v>
      </c>
      <c r="B12204" s="11" t="str">
        <f>"00586184"</f>
        <v>00586184</v>
      </c>
    </row>
    <row r="12205" spans="1:2" x14ac:dyDescent="0.25">
      <c r="A12205" s="2">
        <v>12200</v>
      </c>
      <c r="B12205" s="11" t="str">
        <f>"00586188"</f>
        <v>00586188</v>
      </c>
    </row>
    <row r="12206" spans="1:2" x14ac:dyDescent="0.25">
      <c r="A12206" s="2">
        <v>12201</v>
      </c>
      <c r="B12206" s="11" t="str">
        <f>"00586236"</f>
        <v>00586236</v>
      </c>
    </row>
    <row r="12207" spans="1:2" x14ac:dyDescent="0.25">
      <c r="A12207" s="2">
        <v>12202</v>
      </c>
      <c r="B12207" s="11" t="str">
        <f>"00586303"</f>
        <v>00586303</v>
      </c>
    </row>
    <row r="12208" spans="1:2" x14ac:dyDescent="0.25">
      <c r="A12208" s="2">
        <v>12203</v>
      </c>
      <c r="B12208" s="11" t="str">
        <f>"00586312"</f>
        <v>00586312</v>
      </c>
    </row>
    <row r="12209" spans="1:2" x14ac:dyDescent="0.25">
      <c r="A12209" s="2">
        <v>12204</v>
      </c>
      <c r="B12209" s="11" t="str">
        <f>"00586347"</f>
        <v>00586347</v>
      </c>
    </row>
    <row r="12210" spans="1:2" x14ac:dyDescent="0.25">
      <c r="A12210" s="2">
        <v>12205</v>
      </c>
      <c r="B12210" s="11" t="str">
        <f>"00586370"</f>
        <v>00586370</v>
      </c>
    </row>
    <row r="12211" spans="1:2" x14ac:dyDescent="0.25">
      <c r="A12211" s="2">
        <v>12206</v>
      </c>
      <c r="B12211" s="11" t="str">
        <f>"00586388"</f>
        <v>00586388</v>
      </c>
    </row>
    <row r="12212" spans="1:2" x14ac:dyDescent="0.25">
      <c r="A12212" s="2">
        <v>12207</v>
      </c>
      <c r="B12212" s="11" t="str">
        <f>"00586390"</f>
        <v>00586390</v>
      </c>
    </row>
    <row r="12213" spans="1:2" x14ac:dyDescent="0.25">
      <c r="A12213" s="2">
        <v>12208</v>
      </c>
      <c r="B12213" s="11" t="str">
        <f>"00586419"</f>
        <v>00586419</v>
      </c>
    </row>
    <row r="12214" spans="1:2" x14ac:dyDescent="0.25">
      <c r="A12214" s="2">
        <v>12209</v>
      </c>
      <c r="B12214" s="11" t="str">
        <f>"00586468"</f>
        <v>00586468</v>
      </c>
    </row>
    <row r="12215" spans="1:2" x14ac:dyDescent="0.25">
      <c r="A12215" s="2">
        <v>12210</v>
      </c>
      <c r="B12215" s="11" t="str">
        <f>"00586510"</f>
        <v>00586510</v>
      </c>
    </row>
    <row r="12216" spans="1:2" x14ac:dyDescent="0.25">
      <c r="A12216" s="2">
        <v>12211</v>
      </c>
      <c r="B12216" s="11" t="str">
        <f>"00586532"</f>
        <v>00586532</v>
      </c>
    </row>
    <row r="12217" spans="1:2" x14ac:dyDescent="0.25">
      <c r="A12217" s="2">
        <v>12212</v>
      </c>
      <c r="B12217" s="11" t="str">
        <f>"00586634"</f>
        <v>00586634</v>
      </c>
    </row>
    <row r="12218" spans="1:2" x14ac:dyDescent="0.25">
      <c r="A12218" s="2">
        <v>12213</v>
      </c>
      <c r="B12218" s="11" t="str">
        <f>"00586781"</f>
        <v>00586781</v>
      </c>
    </row>
    <row r="12219" spans="1:2" x14ac:dyDescent="0.25">
      <c r="A12219" s="2">
        <v>12214</v>
      </c>
      <c r="B12219" s="11" t="str">
        <f>"00586902"</f>
        <v>00586902</v>
      </c>
    </row>
    <row r="12220" spans="1:2" x14ac:dyDescent="0.25">
      <c r="A12220" s="2">
        <v>12215</v>
      </c>
      <c r="B12220" s="11" t="str">
        <f>"00586938"</f>
        <v>00586938</v>
      </c>
    </row>
    <row r="12221" spans="1:2" x14ac:dyDescent="0.25">
      <c r="A12221" s="2">
        <v>12216</v>
      </c>
      <c r="B12221" s="11" t="str">
        <f>"00587048"</f>
        <v>00587048</v>
      </c>
    </row>
    <row r="12222" spans="1:2" x14ac:dyDescent="0.25">
      <c r="A12222" s="2">
        <v>12217</v>
      </c>
      <c r="B12222" s="11" t="str">
        <f>"00587077"</f>
        <v>00587077</v>
      </c>
    </row>
    <row r="12223" spans="1:2" x14ac:dyDescent="0.25">
      <c r="A12223" s="2">
        <v>12218</v>
      </c>
      <c r="B12223" s="11" t="str">
        <f>"00587118"</f>
        <v>00587118</v>
      </c>
    </row>
    <row r="12224" spans="1:2" x14ac:dyDescent="0.25">
      <c r="A12224" s="2">
        <v>12219</v>
      </c>
      <c r="B12224" s="11" t="str">
        <f>"00587179"</f>
        <v>00587179</v>
      </c>
    </row>
    <row r="12225" spans="1:2" x14ac:dyDescent="0.25">
      <c r="A12225" s="2">
        <v>12220</v>
      </c>
      <c r="B12225" s="11" t="str">
        <f>"00587263"</f>
        <v>00587263</v>
      </c>
    </row>
    <row r="12226" spans="1:2" x14ac:dyDescent="0.25">
      <c r="A12226" s="2">
        <v>12221</v>
      </c>
      <c r="B12226" s="11" t="str">
        <f>"00587293"</f>
        <v>00587293</v>
      </c>
    </row>
    <row r="12227" spans="1:2" x14ac:dyDescent="0.25">
      <c r="A12227" s="2">
        <v>12222</v>
      </c>
      <c r="B12227" s="11" t="str">
        <f>"00587392"</f>
        <v>00587392</v>
      </c>
    </row>
    <row r="12228" spans="1:2" x14ac:dyDescent="0.25">
      <c r="A12228" s="2">
        <v>12223</v>
      </c>
      <c r="B12228" s="11" t="str">
        <f>"00587491"</f>
        <v>00587491</v>
      </c>
    </row>
    <row r="12229" spans="1:2" x14ac:dyDescent="0.25">
      <c r="A12229" s="2">
        <v>12224</v>
      </c>
      <c r="B12229" s="11" t="str">
        <f>"00587524"</f>
        <v>00587524</v>
      </c>
    </row>
    <row r="12230" spans="1:2" x14ac:dyDescent="0.25">
      <c r="A12230" s="2">
        <v>12225</v>
      </c>
      <c r="B12230" s="11" t="str">
        <f>"00587695"</f>
        <v>00587695</v>
      </c>
    </row>
    <row r="12231" spans="1:2" x14ac:dyDescent="0.25">
      <c r="A12231" s="2">
        <v>12226</v>
      </c>
      <c r="B12231" s="11" t="str">
        <f>"00587928"</f>
        <v>00587928</v>
      </c>
    </row>
    <row r="12232" spans="1:2" x14ac:dyDescent="0.25">
      <c r="A12232" s="2">
        <v>12227</v>
      </c>
      <c r="B12232" s="11" t="str">
        <f>"00587933"</f>
        <v>00587933</v>
      </c>
    </row>
    <row r="12233" spans="1:2" x14ac:dyDescent="0.25">
      <c r="A12233" s="2">
        <v>12228</v>
      </c>
      <c r="B12233" s="11" t="str">
        <f>"00588067"</f>
        <v>00588067</v>
      </c>
    </row>
    <row r="12234" spans="1:2" x14ac:dyDescent="0.25">
      <c r="A12234" s="2">
        <v>12229</v>
      </c>
      <c r="B12234" s="11" t="str">
        <f>"00588069"</f>
        <v>00588069</v>
      </c>
    </row>
    <row r="12235" spans="1:2" x14ac:dyDescent="0.25">
      <c r="A12235" s="2">
        <v>12230</v>
      </c>
      <c r="B12235" s="11" t="str">
        <f>"00588396"</f>
        <v>00588396</v>
      </c>
    </row>
    <row r="12236" spans="1:2" x14ac:dyDescent="0.25">
      <c r="A12236" s="2">
        <v>12231</v>
      </c>
      <c r="B12236" s="11" t="str">
        <f>"00588486"</f>
        <v>00588486</v>
      </c>
    </row>
    <row r="12237" spans="1:2" x14ac:dyDescent="0.25">
      <c r="A12237" s="2">
        <v>12232</v>
      </c>
      <c r="B12237" s="11" t="str">
        <f>"00588500"</f>
        <v>00588500</v>
      </c>
    </row>
    <row r="12238" spans="1:2" x14ac:dyDescent="0.25">
      <c r="A12238" s="2">
        <v>12233</v>
      </c>
      <c r="B12238" s="11" t="str">
        <f>"00588528"</f>
        <v>00588528</v>
      </c>
    </row>
    <row r="12239" spans="1:2" x14ac:dyDescent="0.25">
      <c r="A12239" s="2">
        <v>12234</v>
      </c>
      <c r="B12239" s="11" t="str">
        <f>"00588592"</f>
        <v>00588592</v>
      </c>
    </row>
    <row r="12240" spans="1:2" x14ac:dyDescent="0.25">
      <c r="A12240" s="2">
        <v>12235</v>
      </c>
      <c r="B12240" s="11" t="str">
        <f>"00588746"</f>
        <v>00588746</v>
      </c>
    </row>
    <row r="12241" spans="1:2" x14ac:dyDescent="0.25">
      <c r="A12241" s="2">
        <v>12236</v>
      </c>
      <c r="B12241" s="11" t="str">
        <f>"00588822"</f>
        <v>00588822</v>
      </c>
    </row>
    <row r="12242" spans="1:2" x14ac:dyDescent="0.25">
      <c r="A12242" s="2">
        <v>12237</v>
      </c>
      <c r="B12242" s="11" t="str">
        <f>"00588903"</f>
        <v>00588903</v>
      </c>
    </row>
    <row r="12243" spans="1:2" x14ac:dyDescent="0.25">
      <c r="A12243" s="2">
        <v>12238</v>
      </c>
      <c r="B12243" s="11" t="str">
        <f>"00589080"</f>
        <v>00589080</v>
      </c>
    </row>
    <row r="12244" spans="1:2" x14ac:dyDescent="0.25">
      <c r="A12244" s="2">
        <v>12239</v>
      </c>
      <c r="B12244" s="11" t="str">
        <f>"00589135"</f>
        <v>00589135</v>
      </c>
    </row>
    <row r="12245" spans="1:2" x14ac:dyDescent="0.25">
      <c r="A12245" s="2">
        <v>12240</v>
      </c>
      <c r="B12245" s="11" t="str">
        <f>"00589235"</f>
        <v>00589235</v>
      </c>
    </row>
    <row r="12246" spans="1:2" x14ac:dyDescent="0.25">
      <c r="A12246" s="2">
        <v>12241</v>
      </c>
      <c r="B12246" s="11" t="str">
        <f>"00589570"</f>
        <v>00589570</v>
      </c>
    </row>
    <row r="12247" spans="1:2" x14ac:dyDescent="0.25">
      <c r="A12247" s="2">
        <v>12242</v>
      </c>
      <c r="B12247" s="11" t="str">
        <f>"00589591"</f>
        <v>00589591</v>
      </c>
    </row>
    <row r="12248" spans="1:2" x14ac:dyDescent="0.25">
      <c r="A12248" s="2">
        <v>12243</v>
      </c>
      <c r="B12248" s="11" t="str">
        <f>"00590151"</f>
        <v>00590151</v>
      </c>
    </row>
    <row r="12249" spans="1:2" x14ac:dyDescent="0.25">
      <c r="A12249" s="2">
        <v>12244</v>
      </c>
      <c r="B12249" s="11" t="str">
        <f>"00590295"</f>
        <v>00590295</v>
      </c>
    </row>
    <row r="12250" spans="1:2" x14ac:dyDescent="0.25">
      <c r="A12250" s="2">
        <v>12245</v>
      </c>
      <c r="B12250" s="11" t="str">
        <f>"00590329"</f>
        <v>00590329</v>
      </c>
    </row>
    <row r="12251" spans="1:2" x14ac:dyDescent="0.25">
      <c r="A12251" s="2">
        <v>12246</v>
      </c>
      <c r="B12251" s="11" t="str">
        <f>"00590341"</f>
        <v>00590341</v>
      </c>
    </row>
    <row r="12252" spans="1:2" x14ac:dyDescent="0.25">
      <c r="A12252" s="2">
        <v>12247</v>
      </c>
      <c r="B12252" s="11" t="str">
        <f>"00590431"</f>
        <v>00590431</v>
      </c>
    </row>
    <row r="12253" spans="1:2" x14ac:dyDescent="0.25">
      <c r="A12253" s="2">
        <v>12248</v>
      </c>
      <c r="B12253" s="11" t="str">
        <f>"00590444"</f>
        <v>00590444</v>
      </c>
    </row>
    <row r="12254" spans="1:2" x14ac:dyDescent="0.25">
      <c r="A12254" s="2">
        <v>12249</v>
      </c>
      <c r="B12254" s="11" t="str">
        <f>"00590536"</f>
        <v>00590536</v>
      </c>
    </row>
    <row r="12255" spans="1:2" x14ac:dyDescent="0.25">
      <c r="A12255" s="2">
        <v>12250</v>
      </c>
      <c r="B12255" s="11" t="str">
        <f>"00590538"</f>
        <v>00590538</v>
      </c>
    </row>
    <row r="12256" spans="1:2" x14ac:dyDescent="0.25">
      <c r="A12256" s="2">
        <v>12251</v>
      </c>
      <c r="B12256" s="11" t="str">
        <f>"00590541"</f>
        <v>00590541</v>
      </c>
    </row>
    <row r="12257" spans="1:2" x14ac:dyDescent="0.25">
      <c r="A12257" s="2">
        <v>12252</v>
      </c>
      <c r="B12257" s="11" t="str">
        <f>"00590584"</f>
        <v>00590584</v>
      </c>
    </row>
    <row r="12258" spans="1:2" x14ac:dyDescent="0.25">
      <c r="A12258" s="2">
        <v>12253</v>
      </c>
      <c r="B12258" s="11" t="str">
        <f>"00590667"</f>
        <v>00590667</v>
      </c>
    </row>
    <row r="12259" spans="1:2" x14ac:dyDescent="0.25">
      <c r="A12259" s="2">
        <v>12254</v>
      </c>
      <c r="B12259" s="11" t="str">
        <f>"00590707"</f>
        <v>00590707</v>
      </c>
    </row>
    <row r="12260" spans="1:2" x14ac:dyDescent="0.25">
      <c r="A12260" s="2">
        <v>12255</v>
      </c>
      <c r="B12260" s="11" t="str">
        <f>"00590772"</f>
        <v>00590772</v>
      </c>
    </row>
    <row r="12261" spans="1:2" x14ac:dyDescent="0.25">
      <c r="A12261" s="2">
        <v>12256</v>
      </c>
      <c r="B12261" s="11" t="str">
        <f>"00590776"</f>
        <v>00590776</v>
      </c>
    </row>
    <row r="12262" spans="1:2" x14ac:dyDescent="0.25">
      <c r="A12262" s="2">
        <v>12257</v>
      </c>
      <c r="B12262" s="11" t="str">
        <f>"00590818"</f>
        <v>00590818</v>
      </c>
    </row>
    <row r="12263" spans="1:2" x14ac:dyDescent="0.25">
      <c r="A12263" s="2">
        <v>12258</v>
      </c>
      <c r="B12263" s="11" t="str">
        <f>"00590926"</f>
        <v>00590926</v>
      </c>
    </row>
    <row r="12264" spans="1:2" x14ac:dyDescent="0.25">
      <c r="A12264" s="2">
        <v>12259</v>
      </c>
      <c r="B12264" s="11" t="str">
        <f>"00590944"</f>
        <v>00590944</v>
      </c>
    </row>
    <row r="12265" spans="1:2" x14ac:dyDescent="0.25">
      <c r="A12265" s="2">
        <v>12260</v>
      </c>
      <c r="B12265" s="11" t="str">
        <f>"00591036"</f>
        <v>00591036</v>
      </c>
    </row>
    <row r="12266" spans="1:2" x14ac:dyDescent="0.25">
      <c r="A12266" s="2">
        <v>12261</v>
      </c>
      <c r="B12266" s="11" t="str">
        <f>"00591066"</f>
        <v>00591066</v>
      </c>
    </row>
    <row r="12267" spans="1:2" x14ac:dyDescent="0.25">
      <c r="A12267" s="2">
        <v>12262</v>
      </c>
      <c r="B12267" s="11" t="str">
        <f>"00591164"</f>
        <v>00591164</v>
      </c>
    </row>
    <row r="12268" spans="1:2" x14ac:dyDescent="0.25">
      <c r="A12268" s="2">
        <v>12263</v>
      </c>
      <c r="B12268" s="11" t="str">
        <f>"00591170"</f>
        <v>00591170</v>
      </c>
    </row>
    <row r="12269" spans="1:2" x14ac:dyDescent="0.25">
      <c r="A12269" s="2">
        <v>12264</v>
      </c>
      <c r="B12269" s="11" t="str">
        <f>"00591214"</f>
        <v>00591214</v>
      </c>
    </row>
    <row r="12270" spans="1:2" x14ac:dyDescent="0.25">
      <c r="A12270" s="2">
        <v>12265</v>
      </c>
      <c r="B12270" s="11" t="str">
        <f>"00591370"</f>
        <v>00591370</v>
      </c>
    </row>
    <row r="12271" spans="1:2" x14ac:dyDescent="0.25">
      <c r="A12271" s="2">
        <v>12266</v>
      </c>
      <c r="B12271" s="11" t="str">
        <f>"00591371"</f>
        <v>00591371</v>
      </c>
    </row>
    <row r="12272" spans="1:2" x14ac:dyDescent="0.25">
      <c r="A12272" s="2">
        <v>12267</v>
      </c>
      <c r="B12272" s="11" t="str">
        <f>"00591418"</f>
        <v>00591418</v>
      </c>
    </row>
    <row r="12273" spans="1:2" x14ac:dyDescent="0.25">
      <c r="A12273" s="2">
        <v>12268</v>
      </c>
      <c r="B12273" s="11" t="str">
        <f>"00591470"</f>
        <v>00591470</v>
      </c>
    </row>
    <row r="12274" spans="1:2" x14ac:dyDescent="0.25">
      <c r="A12274" s="2">
        <v>12269</v>
      </c>
      <c r="B12274" s="11" t="str">
        <f>"00591573"</f>
        <v>00591573</v>
      </c>
    </row>
    <row r="12275" spans="1:2" x14ac:dyDescent="0.25">
      <c r="A12275" s="2">
        <v>12270</v>
      </c>
      <c r="B12275" s="11" t="str">
        <f>"00591603"</f>
        <v>00591603</v>
      </c>
    </row>
    <row r="12276" spans="1:2" x14ac:dyDescent="0.25">
      <c r="A12276" s="2">
        <v>12271</v>
      </c>
      <c r="B12276" s="11" t="str">
        <f>"00591787"</f>
        <v>00591787</v>
      </c>
    </row>
    <row r="12277" spans="1:2" x14ac:dyDescent="0.25">
      <c r="A12277" s="2">
        <v>12272</v>
      </c>
      <c r="B12277" s="11" t="str">
        <f>"00591838"</f>
        <v>00591838</v>
      </c>
    </row>
    <row r="12278" spans="1:2" x14ac:dyDescent="0.25">
      <c r="A12278" s="2">
        <v>12273</v>
      </c>
      <c r="B12278" s="11" t="str">
        <f>"00591846"</f>
        <v>00591846</v>
      </c>
    </row>
    <row r="12279" spans="1:2" x14ac:dyDescent="0.25">
      <c r="A12279" s="2">
        <v>12274</v>
      </c>
      <c r="B12279" s="11" t="str">
        <f>"00591913"</f>
        <v>00591913</v>
      </c>
    </row>
    <row r="12280" spans="1:2" x14ac:dyDescent="0.25">
      <c r="A12280" s="2">
        <v>12275</v>
      </c>
      <c r="B12280" s="11" t="str">
        <f>"00592053"</f>
        <v>00592053</v>
      </c>
    </row>
    <row r="12281" spans="1:2" x14ac:dyDescent="0.25">
      <c r="A12281" s="2">
        <v>12276</v>
      </c>
      <c r="B12281" s="11" t="str">
        <f>"00592071"</f>
        <v>00592071</v>
      </c>
    </row>
    <row r="12282" spans="1:2" x14ac:dyDescent="0.25">
      <c r="A12282" s="2">
        <v>12277</v>
      </c>
      <c r="B12282" s="11" t="str">
        <f>"00592133"</f>
        <v>00592133</v>
      </c>
    </row>
    <row r="12283" spans="1:2" x14ac:dyDescent="0.25">
      <c r="A12283" s="2">
        <v>12278</v>
      </c>
      <c r="B12283" s="11" t="str">
        <f>"00592196"</f>
        <v>00592196</v>
      </c>
    </row>
    <row r="12284" spans="1:2" x14ac:dyDescent="0.25">
      <c r="A12284" s="2">
        <v>12279</v>
      </c>
      <c r="B12284" s="11" t="str">
        <f>"00592303"</f>
        <v>00592303</v>
      </c>
    </row>
    <row r="12285" spans="1:2" x14ac:dyDescent="0.25">
      <c r="A12285" s="2">
        <v>12280</v>
      </c>
      <c r="B12285" s="11" t="str">
        <f>"00592325"</f>
        <v>00592325</v>
      </c>
    </row>
    <row r="12286" spans="1:2" x14ac:dyDescent="0.25">
      <c r="A12286" s="2">
        <v>12281</v>
      </c>
      <c r="B12286" s="11" t="str">
        <f>"00592436"</f>
        <v>00592436</v>
      </c>
    </row>
    <row r="12287" spans="1:2" x14ac:dyDescent="0.25">
      <c r="A12287" s="2">
        <v>12282</v>
      </c>
      <c r="B12287" s="11" t="str">
        <f>"00592495"</f>
        <v>00592495</v>
      </c>
    </row>
    <row r="12288" spans="1:2" x14ac:dyDescent="0.25">
      <c r="A12288" s="2">
        <v>12283</v>
      </c>
      <c r="B12288" s="11" t="str">
        <f>"00592558"</f>
        <v>00592558</v>
      </c>
    </row>
    <row r="12289" spans="1:2" x14ac:dyDescent="0.25">
      <c r="A12289" s="2">
        <v>12284</v>
      </c>
      <c r="B12289" s="11" t="str">
        <f>"00592569"</f>
        <v>00592569</v>
      </c>
    </row>
    <row r="12290" spans="1:2" x14ac:dyDescent="0.25">
      <c r="A12290" s="2">
        <v>12285</v>
      </c>
      <c r="B12290" s="11" t="str">
        <f>"00592572"</f>
        <v>00592572</v>
      </c>
    </row>
    <row r="12291" spans="1:2" x14ac:dyDescent="0.25">
      <c r="A12291" s="2">
        <v>12286</v>
      </c>
      <c r="B12291" s="11" t="str">
        <f>"00592613"</f>
        <v>00592613</v>
      </c>
    </row>
    <row r="12292" spans="1:2" x14ac:dyDescent="0.25">
      <c r="A12292" s="2">
        <v>12287</v>
      </c>
      <c r="B12292" s="11" t="str">
        <f>"00592731"</f>
        <v>00592731</v>
      </c>
    </row>
    <row r="12293" spans="1:2" x14ac:dyDescent="0.25">
      <c r="A12293" s="2">
        <v>12288</v>
      </c>
      <c r="B12293" s="11" t="str">
        <f>"00592754"</f>
        <v>00592754</v>
      </c>
    </row>
    <row r="12294" spans="1:2" x14ac:dyDescent="0.25">
      <c r="A12294" s="2">
        <v>12289</v>
      </c>
      <c r="B12294" s="11" t="str">
        <f>"00592756"</f>
        <v>00592756</v>
      </c>
    </row>
    <row r="12295" spans="1:2" x14ac:dyDescent="0.25">
      <c r="A12295" s="2">
        <v>12290</v>
      </c>
      <c r="B12295" s="11" t="str">
        <f>"00592759"</f>
        <v>00592759</v>
      </c>
    </row>
    <row r="12296" spans="1:2" x14ac:dyDescent="0.25">
      <c r="A12296" s="2">
        <v>12291</v>
      </c>
      <c r="B12296" s="11" t="str">
        <f>"00593061"</f>
        <v>00593061</v>
      </c>
    </row>
    <row r="12297" spans="1:2" x14ac:dyDescent="0.25">
      <c r="A12297" s="2">
        <v>12292</v>
      </c>
      <c r="B12297" s="11" t="str">
        <f>"00593067"</f>
        <v>00593067</v>
      </c>
    </row>
    <row r="12298" spans="1:2" x14ac:dyDescent="0.25">
      <c r="A12298" s="2">
        <v>12293</v>
      </c>
      <c r="B12298" s="11" t="str">
        <f>"00593071"</f>
        <v>00593071</v>
      </c>
    </row>
    <row r="12299" spans="1:2" x14ac:dyDescent="0.25">
      <c r="A12299" s="2">
        <v>12294</v>
      </c>
      <c r="B12299" s="11" t="str">
        <f>"00593235"</f>
        <v>00593235</v>
      </c>
    </row>
    <row r="12300" spans="1:2" x14ac:dyDescent="0.25">
      <c r="A12300" s="2">
        <v>12295</v>
      </c>
      <c r="B12300" s="11" t="str">
        <f>"00593623"</f>
        <v>00593623</v>
      </c>
    </row>
    <row r="12301" spans="1:2" x14ac:dyDescent="0.25">
      <c r="A12301" s="2">
        <v>12296</v>
      </c>
      <c r="B12301" s="11" t="str">
        <f>"00593645"</f>
        <v>00593645</v>
      </c>
    </row>
    <row r="12302" spans="1:2" x14ac:dyDescent="0.25">
      <c r="A12302" s="2">
        <v>12297</v>
      </c>
      <c r="B12302" s="11" t="str">
        <f>"00593685"</f>
        <v>00593685</v>
      </c>
    </row>
    <row r="12303" spans="1:2" x14ac:dyDescent="0.25">
      <c r="A12303" s="2">
        <v>12298</v>
      </c>
      <c r="B12303" s="11" t="str">
        <f>"00593731"</f>
        <v>00593731</v>
      </c>
    </row>
    <row r="12304" spans="1:2" x14ac:dyDescent="0.25">
      <c r="A12304" s="2">
        <v>12299</v>
      </c>
      <c r="B12304" s="11" t="str">
        <f>"00593770"</f>
        <v>00593770</v>
      </c>
    </row>
    <row r="12305" spans="1:2" x14ac:dyDescent="0.25">
      <c r="A12305" s="2">
        <v>12300</v>
      </c>
      <c r="B12305" s="11" t="str">
        <f>"00593842"</f>
        <v>00593842</v>
      </c>
    </row>
    <row r="12306" spans="1:2" x14ac:dyDescent="0.25">
      <c r="A12306" s="2">
        <v>12301</v>
      </c>
      <c r="B12306" s="11" t="str">
        <f>"00593913"</f>
        <v>00593913</v>
      </c>
    </row>
    <row r="12307" spans="1:2" x14ac:dyDescent="0.25">
      <c r="A12307" s="2">
        <v>12302</v>
      </c>
      <c r="B12307" s="11" t="str">
        <f>"00594080"</f>
        <v>00594080</v>
      </c>
    </row>
    <row r="12308" spans="1:2" x14ac:dyDescent="0.25">
      <c r="A12308" s="2">
        <v>12303</v>
      </c>
      <c r="B12308" s="11" t="str">
        <f>"00594156"</f>
        <v>00594156</v>
      </c>
    </row>
    <row r="12309" spans="1:2" x14ac:dyDescent="0.25">
      <c r="A12309" s="2">
        <v>12304</v>
      </c>
      <c r="B12309" s="11" t="str">
        <f>"00594246"</f>
        <v>00594246</v>
      </c>
    </row>
    <row r="12310" spans="1:2" x14ac:dyDescent="0.25">
      <c r="A12310" s="2">
        <v>12305</v>
      </c>
      <c r="B12310" s="11" t="str">
        <f>"00594342"</f>
        <v>00594342</v>
      </c>
    </row>
    <row r="12311" spans="1:2" x14ac:dyDescent="0.25">
      <c r="A12311" s="2">
        <v>12306</v>
      </c>
      <c r="B12311" s="11" t="str">
        <f>"00594386"</f>
        <v>00594386</v>
      </c>
    </row>
    <row r="12312" spans="1:2" x14ac:dyDescent="0.25">
      <c r="A12312" s="2">
        <v>12307</v>
      </c>
      <c r="B12312" s="11" t="str">
        <f>"00594418"</f>
        <v>00594418</v>
      </c>
    </row>
    <row r="12313" spans="1:2" x14ac:dyDescent="0.25">
      <c r="A12313" s="2">
        <v>12308</v>
      </c>
      <c r="B12313" s="11" t="str">
        <f>"00594485"</f>
        <v>00594485</v>
      </c>
    </row>
    <row r="12314" spans="1:2" x14ac:dyDescent="0.25">
      <c r="A12314" s="2">
        <v>12309</v>
      </c>
      <c r="B12314" s="11" t="str">
        <f>"00594544"</f>
        <v>00594544</v>
      </c>
    </row>
    <row r="12315" spans="1:2" x14ac:dyDescent="0.25">
      <c r="A12315" s="2">
        <v>12310</v>
      </c>
      <c r="B12315" s="11" t="str">
        <f>"00594680"</f>
        <v>00594680</v>
      </c>
    </row>
    <row r="12316" spans="1:2" x14ac:dyDescent="0.25">
      <c r="A12316" s="2">
        <v>12311</v>
      </c>
      <c r="B12316" s="11" t="str">
        <f>"00594736"</f>
        <v>00594736</v>
      </c>
    </row>
    <row r="12317" spans="1:2" x14ac:dyDescent="0.25">
      <c r="A12317" s="2">
        <v>12312</v>
      </c>
      <c r="B12317" s="11" t="str">
        <f>"00594779"</f>
        <v>00594779</v>
      </c>
    </row>
    <row r="12318" spans="1:2" x14ac:dyDescent="0.25">
      <c r="A12318" s="2">
        <v>12313</v>
      </c>
      <c r="B12318" s="11" t="str">
        <f>"00594854"</f>
        <v>00594854</v>
      </c>
    </row>
    <row r="12319" spans="1:2" x14ac:dyDescent="0.25">
      <c r="A12319" s="2">
        <v>12314</v>
      </c>
      <c r="B12319" s="11" t="str">
        <f>"00594855"</f>
        <v>00594855</v>
      </c>
    </row>
    <row r="12320" spans="1:2" x14ac:dyDescent="0.25">
      <c r="A12320" s="2">
        <v>12315</v>
      </c>
      <c r="B12320" s="11" t="str">
        <f>"00594885"</f>
        <v>00594885</v>
      </c>
    </row>
    <row r="12321" spans="1:2" x14ac:dyDescent="0.25">
      <c r="A12321" s="2">
        <v>12316</v>
      </c>
      <c r="B12321" s="11" t="str">
        <f>"00594952"</f>
        <v>00594952</v>
      </c>
    </row>
    <row r="12322" spans="1:2" x14ac:dyDescent="0.25">
      <c r="A12322" s="2">
        <v>12317</v>
      </c>
      <c r="B12322" s="11" t="str">
        <f>"00594968"</f>
        <v>00594968</v>
      </c>
    </row>
    <row r="12323" spans="1:2" x14ac:dyDescent="0.25">
      <c r="A12323" s="2">
        <v>12318</v>
      </c>
      <c r="B12323" s="11" t="str">
        <f>"00595267"</f>
        <v>00595267</v>
      </c>
    </row>
    <row r="12324" spans="1:2" x14ac:dyDescent="0.25">
      <c r="A12324" s="2">
        <v>12319</v>
      </c>
      <c r="B12324" s="11" t="str">
        <f>"00595290"</f>
        <v>00595290</v>
      </c>
    </row>
    <row r="12325" spans="1:2" x14ac:dyDescent="0.25">
      <c r="A12325" s="2">
        <v>12320</v>
      </c>
      <c r="B12325" s="11" t="str">
        <f>"00595677"</f>
        <v>00595677</v>
      </c>
    </row>
    <row r="12326" spans="1:2" x14ac:dyDescent="0.25">
      <c r="A12326" s="2">
        <v>12321</v>
      </c>
      <c r="B12326" s="11" t="str">
        <f>"00595729"</f>
        <v>00595729</v>
      </c>
    </row>
    <row r="12327" spans="1:2" x14ac:dyDescent="0.25">
      <c r="A12327" s="2">
        <v>12322</v>
      </c>
      <c r="B12327" s="11" t="str">
        <f>"00595749"</f>
        <v>00595749</v>
      </c>
    </row>
    <row r="12328" spans="1:2" x14ac:dyDescent="0.25">
      <c r="A12328" s="2">
        <v>12323</v>
      </c>
      <c r="B12328" s="11" t="str">
        <f>"00595799"</f>
        <v>00595799</v>
      </c>
    </row>
    <row r="12329" spans="1:2" x14ac:dyDescent="0.25">
      <c r="A12329" s="2">
        <v>12324</v>
      </c>
      <c r="B12329" s="11" t="str">
        <f>"00596060"</f>
        <v>00596060</v>
      </c>
    </row>
    <row r="12330" spans="1:2" x14ac:dyDescent="0.25">
      <c r="A12330" s="2">
        <v>12325</v>
      </c>
      <c r="B12330" s="11" t="str">
        <f>"00596149"</f>
        <v>00596149</v>
      </c>
    </row>
    <row r="12331" spans="1:2" x14ac:dyDescent="0.25">
      <c r="A12331" s="2">
        <v>12326</v>
      </c>
      <c r="B12331" s="11" t="str">
        <f>"00596199"</f>
        <v>00596199</v>
      </c>
    </row>
    <row r="12332" spans="1:2" x14ac:dyDescent="0.25">
      <c r="A12332" s="2">
        <v>12327</v>
      </c>
      <c r="B12332" s="11" t="str">
        <f>"00596287"</f>
        <v>00596287</v>
      </c>
    </row>
    <row r="12333" spans="1:2" x14ac:dyDescent="0.25">
      <c r="A12333" s="2">
        <v>12328</v>
      </c>
      <c r="B12333" s="11" t="str">
        <f>"00596347"</f>
        <v>00596347</v>
      </c>
    </row>
    <row r="12334" spans="1:2" x14ac:dyDescent="0.25">
      <c r="A12334" s="2">
        <v>12329</v>
      </c>
      <c r="B12334" s="11" t="str">
        <f>"00596366"</f>
        <v>00596366</v>
      </c>
    </row>
    <row r="12335" spans="1:2" x14ac:dyDescent="0.25">
      <c r="A12335" s="2">
        <v>12330</v>
      </c>
      <c r="B12335" s="11" t="str">
        <f>"00596416"</f>
        <v>00596416</v>
      </c>
    </row>
    <row r="12336" spans="1:2" x14ac:dyDescent="0.25">
      <c r="A12336" s="2">
        <v>12331</v>
      </c>
      <c r="B12336" s="11" t="str">
        <f>"00596430"</f>
        <v>00596430</v>
      </c>
    </row>
    <row r="12337" spans="1:2" x14ac:dyDescent="0.25">
      <c r="A12337" s="2">
        <v>12332</v>
      </c>
      <c r="B12337" s="11" t="str">
        <f>"00596503"</f>
        <v>00596503</v>
      </c>
    </row>
    <row r="12338" spans="1:2" x14ac:dyDescent="0.25">
      <c r="A12338" s="2">
        <v>12333</v>
      </c>
      <c r="B12338" s="11" t="str">
        <f>"00596650"</f>
        <v>00596650</v>
      </c>
    </row>
    <row r="12339" spans="1:2" x14ac:dyDescent="0.25">
      <c r="A12339" s="2">
        <v>12334</v>
      </c>
      <c r="B12339" s="11" t="str">
        <f>"00596667"</f>
        <v>00596667</v>
      </c>
    </row>
    <row r="12340" spans="1:2" x14ac:dyDescent="0.25">
      <c r="A12340" s="2">
        <v>12335</v>
      </c>
      <c r="B12340" s="11" t="str">
        <f>"00596805"</f>
        <v>00596805</v>
      </c>
    </row>
    <row r="12341" spans="1:2" x14ac:dyDescent="0.25">
      <c r="A12341" s="2">
        <v>12336</v>
      </c>
      <c r="B12341" s="11" t="str">
        <f>"00596991"</f>
        <v>00596991</v>
      </c>
    </row>
    <row r="12342" spans="1:2" x14ac:dyDescent="0.25">
      <c r="A12342" s="2">
        <v>12337</v>
      </c>
      <c r="B12342" s="11" t="str">
        <f>"00597108"</f>
        <v>00597108</v>
      </c>
    </row>
    <row r="12343" spans="1:2" x14ac:dyDescent="0.25">
      <c r="A12343" s="2">
        <v>12338</v>
      </c>
      <c r="B12343" s="11" t="str">
        <f>"00597131"</f>
        <v>00597131</v>
      </c>
    </row>
    <row r="12344" spans="1:2" x14ac:dyDescent="0.25">
      <c r="A12344" s="2">
        <v>12339</v>
      </c>
      <c r="B12344" s="11" t="str">
        <f>"00597161"</f>
        <v>00597161</v>
      </c>
    </row>
    <row r="12345" spans="1:2" x14ac:dyDescent="0.25">
      <c r="A12345" s="2">
        <v>12340</v>
      </c>
      <c r="B12345" s="11" t="str">
        <f>"00597175"</f>
        <v>00597175</v>
      </c>
    </row>
    <row r="12346" spans="1:2" x14ac:dyDescent="0.25">
      <c r="A12346" s="2">
        <v>12341</v>
      </c>
      <c r="B12346" s="11" t="str">
        <f>"00597309"</f>
        <v>00597309</v>
      </c>
    </row>
    <row r="12347" spans="1:2" x14ac:dyDescent="0.25">
      <c r="A12347" s="2">
        <v>12342</v>
      </c>
      <c r="B12347" s="11" t="str">
        <f>"00597396"</f>
        <v>00597396</v>
      </c>
    </row>
    <row r="12348" spans="1:2" x14ac:dyDescent="0.25">
      <c r="A12348" s="2">
        <v>12343</v>
      </c>
      <c r="B12348" s="11" t="str">
        <f>"00597436"</f>
        <v>00597436</v>
      </c>
    </row>
    <row r="12349" spans="1:2" x14ac:dyDescent="0.25">
      <c r="A12349" s="2">
        <v>12344</v>
      </c>
      <c r="B12349" s="11" t="str">
        <f>"00597581"</f>
        <v>00597581</v>
      </c>
    </row>
    <row r="12350" spans="1:2" x14ac:dyDescent="0.25">
      <c r="A12350" s="2">
        <v>12345</v>
      </c>
      <c r="B12350" s="11" t="str">
        <f>"00597684"</f>
        <v>00597684</v>
      </c>
    </row>
    <row r="12351" spans="1:2" x14ac:dyDescent="0.25">
      <c r="A12351" s="2">
        <v>12346</v>
      </c>
      <c r="B12351" s="11" t="str">
        <f>"00597728"</f>
        <v>00597728</v>
      </c>
    </row>
    <row r="12352" spans="1:2" x14ac:dyDescent="0.25">
      <c r="A12352" s="2">
        <v>12347</v>
      </c>
      <c r="B12352" s="11" t="str">
        <f>"00597769"</f>
        <v>00597769</v>
      </c>
    </row>
    <row r="12353" spans="1:2" x14ac:dyDescent="0.25">
      <c r="A12353" s="2">
        <v>12348</v>
      </c>
      <c r="B12353" s="11" t="str">
        <f>"00597826"</f>
        <v>00597826</v>
      </c>
    </row>
    <row r="12354" spans="1:2" x14ac:dyDescent="0.25">
      <c r="A12354" s="2">
        <v>12349</v>
      </c>
      <c r="B12354" s="11" t="str">
        <f>"00597878"</f>
        <v>00597878</v>
      </c>
    </row>
    <row r="12355" spans="1:2" x14ac:dyDescent="0.25">
      <c r="A12355" s="2">
        <v>12350</v>
      </c>
      <c r="B12355" s="11" t="str">
        <f>"00597902"</f>
        <v>00597902</v>
      </c>
    </row>
    <row r="12356" spans="1:2" x14ac:dyDescent="0.25">
      <c r="A12356" s="2">
        <v>12351</v>
      </c>
      <c r="B12356" s="11" t="str">
        <f>"00597926"</f>
        <v>00597926</v>
      </c>
    </row>
    <row r="12357" spans="1:2" x14ac:dyDescent="0.25">
      <c r="A12357" s="2">
        <v>12352</v>
      </c>
      <c r="B12357" s="11" t="str">
        <f>"00597943"</f>
        <v>00597943</v>
      </c>
    </row>
    <row r="12358" spans="1:2" x14ac:dyDescent="0.25">
      <c r="A12358" s="2">
        <v>12353</v>
      </c>
      <c r="B12358" s="11" t="str">
        <f>"00597961"</f>
        <v>00597961</v>
      </c>
    </row>
    <row r="12359" spans="1:2" x14ac:dyDescent="0.25">
      <c r="A12359" s="2">
        <v>12354</v>
      </c>
      <c r="B12359" s="11" t="str">
        <f>"00598070"</f>
        <v>00598070</v>
      </c>
    </row>
    <row r="12360" spans="1:2" x14ac:dyDescent="0.25">
      <c r="A12360" s="2">
        <v>12355</v>
      </c>
      <c r="B12360" s="11" t="str">
        <f>"00598160"</f>
        <v>00598160</v>
      </c>
    </row>
    <row r="12361" spans="1:2" x14ac:dyDescent="0.25">
      <c r="A12361" s="2">
        <v>12356</v>
      </c>
      <c r="B12361" s="11" t="str">
        <f>"00598163"</f>
        <v>00598163</v>
      </c>
    </row>
    <row r="12362" spans="1:2" x14ac:dyDescent="0.25">
      <c r="A12362" s="2">
        <v>12357</v>
      </c>
      <c r="B12362" s="11" t="str">
        <f>"00598165"</f>
        <v>00598165</v>
      </c>
    </row>
    <row r="12363" spans="1:2" x14ac:dyDescent="0.25">
      <c r="A12363" s="2">
        <v>12358</v>
      </c>
      <c r="B12363" s="11" t="str">
        <f>"00598223"</f>
        <v>00598223</v>
      </c>
    </row>
    <row r="12364" spans="1:2" x14ac:dyDescent="0.25">
      <c r="A12364" s="2">
        <v>12359</v>
      </c>
      <c r="B12364" s="11" t="str">
        <f>"00598307"</f>
        <v>00598307</v>
      </c>
    </row>
    <row r="12365" spans="1:2" x14ac:dyDescent="0.25">
      <c r="A12365" s="2">
        <v>12360</v>
      </c>
      <c r="B12365" s="11" t="str">
        <f>"00598358"</f>
        <v>00598358</v>
      </c>
    </row>
    <row r="12366" spans="1:2" x14ac:dyDescent="0.25">
      <c r="A12366" s="2">
        <v>12361</v>
      </c>
      <c r="B12366" s="11" t="str">
        <f>"00598359"</f>
        <v>00598359</v>
      </c>
    </row>
    <row r="12367" spans="1:2" x14ac:dyDescent="0.25">
      <c r="A12367" s="2">
        <v>12362</v>
      </c>
      <c r="B12367" s="11" t="str">
        <f>"00598386"</f>
        <v>00598386</v>
      </c>
    </row>
    <row r="12368" spans="1:2" x14ac:dyDescent="0.25">
      <c r="A12368" s="2">
        <v>12363</v>
      </c>
      <c r="B12368" s="11" t="str">
        <f>"00598551"</f>
        <v>00598551</v>
      </c>
    </row>
    <row r="12369" spans="1:2" x14ac:dyDescent="0.25">
      <c r="A12369" s="2">
        <v>12364</v>
      </c>
      <c r="B12369" s="11" t="str">
        <f>"00598641"</f>
        <v>00598641</v>
      </c>
    </row>
    <row r="12370" spans="1:2" x14ac:dyDescent="0.25">
      <c r="A12370" s="2">
        <v>12365</v>
      </c>
      <c r="B12370" s="11" t="str">
        <f>"00598647"</f>
        <v>00598647</v>
      </c>
    </row>
    <row r="12371" spans="1:2" x14ac:dyDescent="0.25">
      <c r="A12371" s="2">
        <v>12366</v>
      </c>
      <c r="B12371" s="11" t="str">
        <f>"00598713"</f>
        <v>00598713</v>
      </c>
    </row>
    <row r="12372" spans="1:2" x14ac:dyDescent="0.25">
      <c r="A12372" s="2">
        <v>12367</v>
      </c>
      <c r="B12372" s="11" t="str">
        <f>"00598756"</f>
        <v>00598756</v>
      </c>
    </row>
    <row r="12373" spans="1:2" x14ac:dyDescent="0.25">
      <c r="A12373" s="2">
        <v>12368</v>
      </c>
      <c r="B12373" s="11" t="str">
        <f>"00598900"</f>
        <v>00598900</v>
      </c>
    </row>
    <row r="12374" spans="1:2" x14ac:dyDescent="0.25">
      <c r="A12374" s="2">
        <v>12369</v>
      </c>
      <c r="B12374" s="11" t="str">
        <f>"00598932"</f>
        <v>00598932</v>
      </c>
    </row>
    <row r="12375" spans="1:2" x14ac:dyDescent="0.25">
      <c r="A12375" s="2">
        <v>12370</v>
      </c>
      <c r="B12375" s="11" t="str">
        <f>"00598948"</f>
        <v>00598948</v>
      </c>
    </row>
    <row r="12376" spans="1:2" x14ac:dyDescent="0.25">
      <c r="A12376" s="2">
        <v>12371</v>
      </c>
      <c r="B12376" s="11" t="str">
        <f>"00598980"</f>
        <v>00598980</v>
      </c>
    </row>
    <row r="12377" spans="1:2" x14ac:dyDescent="0.25">
      <c r="A12377" s="2">
        <v>12372</v>
      </c>
      <c r="B12377" s="11" t="str">
        <f>"00599042"</f>
        <v>00599042</v>
      </c>
    </row>
    <row r="12378" spans="1:2" x14ac:dyDescent="0.25">
      <c r="A12378" s="2">
        <v>12373</v>
      </c>
      <c r="B12378" s="11" t="str">
        <f>"00599053"</f>
        <v>00599053</v>
      </c>
    </row>
    <row r="12379" spans="1:2" x14ac:dyDescent="0.25">
      <c r="A12379" s="2">
        <v>12374</v>
      </c>
      <c r="B12379" s="11" t="str">
        <f>"00599115"</f>
        <v>00599115</v>
      </c>
    </row>
    <row r="12380" spans="1:2" x14ac:dyDescent="0.25">
      <c r="A12380" s="2">
        <v>12375</v>
      </c>
      <c r="B12380" s="11" t="str">
        <f>"00599142"</f>
        <v>00599142</v>
      </c>
    </row>
    <row r="12381" spans="1:2" x14ac:dyDescent="0.25">
      <c r="A12381" s="2">
        <v>12376</v>
      </c>
      <c r="B12381" s="11" t="str">
        <f>"00599165"</f>
        <v>00599165</v>
      </c>
    </row>
    <row r="12382" spans="1:2" x14ac:dyDescent="0.25">
      <c r="A12382" s="2">
        <v>12377</v>
      </c>
      <c r="B12382" s="11" t="str">
        <f>"00599227"</f>
        <v>00599227</v>
      </c>
    </row>
    <row r="12383" spans="1:2" x14ac:dyDescent="0.25">
      <c r="A12383" s="2">
        <v>12378</v>
      </c>
      <c r="B12383" s="11" t="str">
        <f>"00599238"</f>
        <v>00599238</v>
      </c>
    </row>
    <row r="12384" spans="1:2" x14ac:dyDescent="0.25">
      <c r="A12384" s="2">
        <v>12379</v>
      </c>
      <c r="B12384" s="11" t="str">
        <f>"00599247"</f>
        <v>00599247</v>
      </c>
    </row>
    <row r="12385" spans="1:2" x14ac:dyDescent="0.25">
      <c r="A12385" s="2">
        <v>12380</v>
      </c>
      <c r="B12385" s="11" t="str">
        <f>"00599278"</f>
        <v>00599278</v>
      </c>
    </row>
    <row r="12386" spans="1:2" x14ac:dyDescent="0.25">
      <c r="A12386" s="2">
        <v>12381</v>
      </c>
      <c r="B12386" s="11" t="str">
        <f>"00599289"</f>
        <v>00599289</v>
      </c>
    </row>
    <row r="12387" spans="1:2" x14ac:dyDescent="0.25">
      <c r="A12387" s="2">
        <v>12382</v>
      </c>
      <c r="B12387" s="11" t="str">
        <f>"00599298"</f>
        <v>00599298</v>
      </c>
    </row>
    <row r="12388" spans="1:2" x14ac:dyDescent="0.25">
      <c r="A12388" s="2">
        <v>12383</v>
      </c>
      <c r="B12388" s="11" t="str">
        <f>"00599381"</f>
        <v>00599381</v>
      </c>
    </row>
    <row r="12389" spans="1:2" x14ac:dyDescent="0.25">
      <c r="A12389" s="2">
        <v>12384</v>
      </c>
      <c r="B12389" s="11" t="str">
        <f>"00599417"</f>
        <v>00599417</v>
      </c>
    </row>
    <row r="12390" spans="1:2" x14ac:dyDescent="0.25">
      <c r="A12390" s="2">
        <v>12385</v>
      </c>
      <c r="B12390" s="11" t="str">
        <f>"00599427"</f>
        <v>00599427</v>
      </c>
    </row>
    <row r="12391" spans="1:2" x14ac:dyDescent="0.25">
      <c r="A12391" s="2">
        <v>12386</v>
      </c>
      <c r="B12391" s="11" t="str">
        <f>"00599466"</f>
        <v>00599466</v>
      </c>
    </row>
    <row r="12392" spans="1:2" x14ac:dyDescent="0.25">
      <c r="A12392" s="2">
        <v>12387</v>
      </c>
      <c r="B12392" s="11" t="str">
        <f>"00599613"</f>
        <v>00599613</v>
      </c>
    </row>
    <row r="12393" spans="1:2" x14ac:dyDescent="0.25">
      <c r="A12393" s="2">
        <v>12388</v>
      </c>
      <c r="B12393" s="11" t="str">
        <f>"00599627"</f>
        <v>00599627</v>
      </c>
    </row>
    <row r="12394" spans="1:2" x14ac:dyDescent="0.25">
      <c r="A12394" s="2">
        <v>12389</v>
      </c>
      <c r="B12394" s="11" t="str">
        <f>"00599660"</f>
        <v>00599660</v>
      </c>
    </row>
    <row r="12395" spans="1:2" x14ac:dyDescent="0.25">
      <c r="A12395" s="2">
        <v>12390</v>
      </c>
      <c r="B12395" s="11" t="str">
        <f>"00599705"</f>
        <v>00599705</v>
      </c>
    </row>
    <row r="12396" spans="1:2" x14ac:dyDescent="0.25">
      <c r="A12396" s="2">
        <v>12391</v>
      </c>
      <c r="B12396" s="11" t="str">
        <f>"00599708"</f>
        <v>00599708</v>
      </c>
    </row>
    <row r="12397" spans="1:2" x14ac:dyDescent="0.25">
      <c r="A12397" s="2">
        <v>12392</v>
      </c>
      <c r="B12397" s="11" t="str">
        <f>"00599711"</f>
        <v>00599711</v>
      </c>
    </row>
    <row r="12398" spans="1:2" x14ac:dyDescent="0.25">
      <c r="A12398" s="2">
        <v>12393</v>
      </c>
      <c r="B12398" s="11" t="str">
        <f>"00599783"</f>
        <v>00599783</v>
      </c>
    </row>
    <row r="12399" spans="1:2" x14ac:dyDescent="0.25">
      <c r="A12399" s="2">
        <v>12394</v>
      </c>
      <c r="B12399" s="11" t="str">
        <f>"00599807"</f>
        <v>00599807</v>
      </c>
    </row>
    <row r="12400" spans="1:2" x14ac:dyDescent="0.25">
      <c r="A12400" s="2">
        <v>12395</v>
      </c>
      <c r="B12400" s="11" t="str">
        <f>"00599812"</f>
        <v>00599812</v>
      </c>
    </row>
    <row r="12401" spans="1:2" x14ac:dyDescent="0.25">
      <c r="A12401" s="2">
        <v>12396</v>
      </c>
      <c r="B12401" s="11" t="str">
        <f>"00599868"</f>
        <v>00599868</v>
      </c>
    </row>
    <row r="12402" spans="1:2" x14ac:dyDescent="0.25">
      <c r="A12402" s="2">
        <v>12397</v>
      </c>
      <c r="B12402" s="11" t="str">
        <f>"00599902"</f>
        <v>00599902</v>
      </c>
    </row>
    <row r="12403" spans="1:2" x14ac:dyDescent="0.25">
      <c r="A12403" s="2">
        <v>12398</v>
      </c>
      <c r="B12403" s="11" t="str">
        <f>"00599916"</f>
        <v>00599916</v>
      </c>
    </row>
    <row r="12404" spans="1:2" x14ac:dyDescent="0.25">
      <c r="A12404" s="2">
        <v>12399</v>
      </c>
      <c r="B12404" s="11" t="str">
        <f>"00599998"</f>
        <v>00599998</v>
      </c>
    </row>
    <row r="12405" spans="1:2" x14ac:dyDescent="0.25">
      <c r="A12405" s="2">
        <v>12400</v>
      </c>
      <c r="B12405" s="11" t="str">
        <f>"00600013"</f>
        <v>00600013</v>
      </c>
    </row>
    <row r="12406" spans="1:2" x14ac:dyDescent="0.25">
      <c r="A12406" s="2">
        <v>12401</v>
      </c>
      <c r="B12406" s="11" t="str">
        <f>"00600062"</f>
        <v>00600062</v>
      </c>
    </row>
    <row r="12407" spans="1:2" x14ac:dyDescent="0.25">
      <c r="A12407" s="2">
        <v>12402</v>
      </c>
      <c r="B12407" s="11" t="str">
        <f>"00600119"</f>
        <v>00600119</v>
      </c>
    </row>
    <row r="12408" spans="1:2" x14ac:dyDescent="0.25">
      <c r="A12408" s="2">
        <v>12403</v>
      </c>
      <c r="B12408" s="11" t="str">
        <f>"00600190"</f>
        <v>00600190</v>
      </c>
    </row>
    <row r="12409" spans="1:2" x14ac:dyDescent="0.25">
      <c r="A12409" s="2">
        <v>12404</v>
      </c>
      <c r="B12409" s="11" t="str">
        <f>"00600337"</f>
        <v>00600337</v>
      </c>
    </row>
    <row r="12410" spans="1:2" x14ac:dyDescent="0.25">
      <c r="A12410" s="2">
        <v>12405</v>
      </c>
      <c r="B12410" s="11" t="str">
        <f>"00600352"</f>
        <v>00600352</v>
      </c>
    </row>
    <row r="12411" spans="1:2" x14ac:dyDescent="0.25">
      <c r="A12411" s="2">
        <v>12406</v>
      </c>
      <c r="B12411" s="11" t="str">
        <f>"00600361"</f>
        <v>00600361</v>
      </c>
    </row>
    <row r="12412" spans="1:2" x14ac:dyDescent="0.25">
      <c r="A12412" s="2">
        <v>12407</v>
      </c>
      <c r="B12412" s="11" t="str">
        <f>"00600483"</f>
        <v>00600483</v>
      </c>
    </row>
    <row r="12413" spans="1:2" x14ac:dyDescent="0.25">
      <c r="A12413" s="2">
        <v>12408</v>
      </c>
      <c r="B12413" s="11" t="str">
        <f>"00600524"</f>
        <v>00600524</v>
      </c>
    </row>
    <row r="12414" spans="1:2" x14ac:dyDescent="0.25">
      <c r="A12414" s="2">
        <v>12409</v>
      </c>
      <c r="B12414" s="11" t="str">
        <f>"00600542"</f>
        <v>00600542</v>
      </c>
    </row>
    <row r="12415" spans="1:2" x14ac:dyDescent="0.25">
      <c r="A12415" s="2">
        <v>12410</v>
      </c>
      <c r="B12415" s="11" t="str">
        <f>"00600556"</f>
        <v>00600556</v>
      </c>
    </row>
    <row r="12416" spans="1:2" x14ac:dyDescent="0.25">
      <c r="A12416" s="2">
        <v>12411</v>
      </c>
      <c r="B12416" s="11" t="str">
        <f>"00600690"</f>
        <v>00600690</v>
      </c>
    </row>
    <row r="12417" spans="1:2" x14ac:dyDescent="0.25">
      <c r="A12417" s="2">
        <v>12412</v>
      </c>
      <c r="B12417" s="11" t="str">
        <f>"00600732"</f>
        <v>00600732</v>
      </c>
    </row>
    <row r="12418" spans="1:2" x14ac:dyDescent="0.25">
      <c r="A12418" s="2">
        <v>12413</v>
      </c>
      <c r="B12418" s="11" t="str">
        <f>"00600743"</f>
        <v>00600743</v>
      </c>
    </row>
    <row r="12419" spans="1:2" x14ac:dyDescent="0.25">
      <c r="A12419" s="2">
        <v>12414</v>
      </c>
      <c r="B12419" s="11" t="str">
        <f>"00600766"</f>
        <v>00600766</v>
      </c>
    </row>
    <row r="12420" spans="1:2" x14ac:dyDescent="0.25">
      <c r="A12420" s="2">
        <v>12415</v>
      </c>
      <c r="B12420" s="11" t="str">
        <f>"00600789"</f>
        <v>00600789</v>
      </c>
    </row>
    <row r="12421" spans="1:2" x14ac:dyDescent="0.25">
      <c r="A12421" s="2">
        <v>12416</v>
      </c>
      <c r="B12421" s="11" t="str">
        <f>"00600793"</f>
        <v>00600793</v>
      </c>
    </row>
    <row r="12422" spans="1:2" x14ac:dyDescent="0.25">
      <c r="A12422" s="2">
        <v>12417</v>
      </c>
      <c r="B12422" s="11" t="str">
        <f>"00600805"</f>
        <v>00600805</v>
      </c>
    </row>
    <row r="12423" spans="1:2" x14ac:dyDescent="0.25">
      <c r="A12423" s="2">
        <v>12418</v>
      </c>
      <c r="B12423" s="11" t="str">
        <f>"00600826"</f>
        <v>00600826</v>
      </c>
    </row>
    <row r="12424" spans="1:2" x14ac:dyDescent="0.25">
      <c r="A12424" s="2">
        <v>12419</v>
      </c>
      <c r="B12424" s="11" t="str">
        <f>"00600872"</f>
        <v>00600872</v>
      </c>
    </row>
    <row r="12425" spans="1:2" x14ac:dyDescent="0.25">
      <c r="A12425" s="2">
        <v>12420</v>
      </c>
      <c r="B12425" s="11" t="str">
        <f>"00600905"</f>
        <v>00600905</v>
      </c>
    </row>
    <row r="12426" spans="1:2" x14ac:dyDescent="0.25">
      <c r="A12426" s="2">
        <v>12421</v>
      </c>
      <c r="B12426" s="11" t="str">
        <f>"00600990"</f>
        <v>00600990</v>
      </c>
    </row>
    <row r="12427" spans="1:2" x14ac:dyDescent="0.25">
      <c r="A12427" s="2">
        <v>12422</v>
      </c>
      <c r="B12427" s="11" t="str">
        <f>"00601009"</f>
        <v>00601009</v>
      </c>
    </row>
    <row r="12428" spans="1:2" x14ac:dyDescent="0.25">
      <c r="A12428" s="2">
        <v>12423</v>
      </c>
      <c r="B12428" s="11" t="str">
        <f>"00601051"</f>
        <v>00601051</v>
      </c>
    </row>
    <row r="12429" spans="1:2" x14ac:dyDescent="0.25">
      <c r="A12429" s="2">
        <v>12424</v>
      </c>
      <c r="B12429" s="11" t="str">
        <f>"00601134"</f>
        <v>00601134</v>
      </c>
    </row>
    <row r="12430" spans="1:2" x14ac:dyDescent="0.25">
      <c r="A12430" s="2">
        <v>12425</v>
      </c>
      <c r="B12430" s="11" t="str">
        <f>"00601137"</f>
        <v>00601137</v>
      </c>
    </row>
    <row r="12431" spans="1:2" x14ac:dyDescent="0.25">
      <c r="A12431" s="2">
        <v>12426</v>
      </c>
      <c r="B12431" s="11" t="str">
        <f>"00601220"</f>
        <v>00601220</v>
      </c>
    </row>
    <row r="12432" spans="1:2" x14ac:dyDescent="0.25">
      <c r="A12432" s="2">
        <v>12427</v>
      </c>
      <c r="B12432" s="11" t="str">
        <f>"00601241"</f>
        <v>00601241</v>
      </c>
    </row>
    <row r="12433" spans="1:2" x14ac:dyDescent="0.25">
      <c r="A12433" s="2">
        <v>12428</v>
      </c>
      <c r="B12433" s="11" t="str">
        <f>"00601252"</f>
        <v>00601252</v>
      </c>
    </row>
    <row r="12434" spans="1:2" x14ac:dyDescent="0.25">
      <c r="A12434" s="2">
        <v>12429</v>
      </c>
      <c r="B12434" s="11" t="str">
        <f>"00601260"</f>
        <v>00601260</v>
      </c>
    </row>
    <row r="12435" spans="1:2" x14ac:dyDescent="0.25">
      <c r="A12435" s="2">
        <v>12430</v>
      </c>
      <c r="B12435" s="11" t="str">
        <f>"00601287"</f>
        <v>00601287</v>
      </c>
    </row>
    <row r="12436" spans="1:2" x14ac:dyDescent="0.25">
      <c r="A12436" s="2">
        <v>12431</v>
      </c>
      <c r="B12436" s="11" t="str">
        <f>"00601356"</f>
        <v>00601356</v>
      </c>
    </row>
    <row r="12437" spans="1:2" x14ac:dyDescent="0.25">
      <c r="A12437" s="2">
        <v>12432</v>
      </c>
      <c r="B12437" s="11" t="str">
        <f>"00601373"</f>
        <v>00601373</v>
      </c>
    </row>
    <row r="12438" spans="1:2" x14ac:dyDescent="0.25">
      <c r="A12438" s="2">
        <v>12433</v>
      </c>
      <c r="B12438" s="11" t="str">
        <f>"00601534"</f>
        <v>00601534</v>
      </c>
    </row>
    <row r="12439" spans="1:2" x14ac:dyDescent="0.25">
      <c r="A12439" s="2">
        <v>12434</v>
      </c>
      <c r="B12439" s="11" t="str">
        <f>"00601536"</f>
        <v>00601536</v>
      </c>
    </row>
    <row r="12440" spans="1:2" x14ac:dyDescent="0.25">
      <c r="A12440" s="2">
        <v>12435</v>
      </c>
      <c r="B12440" s="11" t="str">
        <f>"00601544"</f>
        <v>00601544</v>
      </c>
    </row>
    <row r="12441" spans="1:2" x14ac:dyDescent="0.25">
      <c r="A12441" s="2">
        <v>12436</v>
      </c>
      <c r="B12441" s="11" t="str">
        <f>"00601637"</f>
        <v>00601637</v>
      </c>
    </row>
    <row r="12442" spans="1:2" x14ac:dyDescent="0.25">
      <c r="A12442" s="2">
        <v>12437</v>
      </c>
      <c r="B12442" s="11" t="str">
        <f>"00601703"</f>
        <v>00601703</v>
      </c>
    </row>
    <row r="12443" spans="1:2" x14ac:dyDescent="0.25">
      <c r="A12443" s="2">
        <v>12438</v>
      </c>
      <c r="B12443" s="11" t="str">
        <f>"00601726"</f>
        <v>00601726</v>
      </c>
    </row>
    <row r="12444" spans="1:2" x14ac:dyDescent="0.25">
      <c r="A12444" s="2">
        <v>12439</v>
      </c>
      <c r="B12444" s="11" t="str">
        <f>"00601746"</f>
        <v>00601746</v>
      </c>
    </row>
    <row r="12445" spans="1:2" x14ac:dyDescent="0.25">
      <c r="A12445" s="2">
        <v>12440</v>
      </c>
      <c r="B12445" s="11" t="str">
        <f>"00601786"</f>
        <v>00601786</v>
      </c>
    </row>
    <row r="12446" spans="1:2" x14ac:dyDescent="0.25">
      <c r="A12446" s="2">
        <v>12441</v>
      </c>
      <c r="B12446" s="11" t="str">
        <f>"00601835"</f>
        <v>00601835</v>
      </c>
    </row>
    <row r="12447" spans="1:2" x14ac:dyDescent="0.25">
      <c r="A12447" s="2">
        <v>12442</v>
      </c>
      <c r="B12447" s="11" t="str">
        <f>"00601845"</f>
        <v>00601845</v>
      </c>
    </row>
    <row r="12448" spans="1:2" x14ac:dyDescent="0.25">
      <c r="A12448" s="2">
        <v>12443</v>
      </c>
      <c r="B12448" s="11" t="str">
        <f>"00601859"</f>
        <v>00601859</v>
      </c>
    </row>
    <row r="12449" spans="1:2" x14ac:dyDescent="0.25">
      <c r="A12449" s="2">
        <v>12444</v>
      </c>
      <c r="B12449" s="11" t="str">
        <f>"00601867"</f>
        <v>00601867</v>
      </c>
    </row>
    <row r="12450" spans="1:2" x14ac:dyDescent="0.25">
      <c r="A12450" s="2">
        <v>12445</v>
      </c>
      <c r="B12450" s="11" t="str">
        <f>"00601940"</f>
        <v>00601940</v>
      </c>
    </row>
    <row r="12451" spans="1:2" x14ac:dyDescent="0.25">
      <c r="A12451" s="2">
        <v>12446</v>
      </c>
      <c r="B12451" s="11" t="str">
        <f>"00602141"</f>
        <v>00602141</v>
      </c>
    </row>
    <row r="12452" spans="1:2" x14ac:dyDescent="0.25">
      <c r="A12452" s="2">
        <v>12447</v>
      </c>
      <c r="B12452" s="11" t="str">
        <f>"00602170"</f>
        <v>00602170</v>
      </c>
    </row>
    <row r="12453" spans="1:2" x14ac:dyDescent="0.25">
      <c r="A12453" s="2">
        <v>12448</v>
      </c>
      <c r="B12453" s="11" t="str">
        <f>"00602190"</f>
        <v>00602190</v>
      </c>
    </row>
    <row r="12454" spans="1:2" x14ac:dyDescent="0.25">
      <c r="A12454" s="2">
        <v>12449</v>
      </c>
      <c r="B12454" s="11" t="str">
        <f>"00602199"</f>
        <v>00602199</v>
      </c>
    </row>
    <row r="12455" spans="1:2" x14ac:dyDescent="0.25">
      <c r="A12455" s="2">
        <v>12450</v>
      </c>
      <c r="B12455" s="11" t="str">
        <f>"00602276"</f>
        <v>00602276</v>
      </c>
    </row>
    <row r="12456" spans="1:2" x14ac:dyDescent="0.25">
      <c r="A12456" s="2">
        <v>12451</v>
      </c>
      <c r="B12456" s="11" t="str">
        <f>"00602308"</f>
        <v>00602308</v>
      </c>
    </row>
    <row r="12457" spans="1:2" x14ac:dyDescent="0.25">
      <c r="A12457" s="2">
        <v>12452</v>
      </c>
      <c r="B12457" s="11" t="str">
        <f>"00602311"</f>
        <v>00602311</v>
      </c>
    </row>
    <row r="12458" spans="1:2" x14ac:dyDescent="0.25">
      <c r="A12458" s="2">
        <v>12453</v>
      </c>
      <c r="B12458" s="11" t="str">
        <f>"00602439"</f>
        <v>00602439</v>
      </c>
    </row>
    <row r="12459" spans="1:2" x14ac:dyDescent="0.25">
      <c r="A12459" s="2">
        <v>12454</v>
      </c>
      <c r="B12459" s="11" t="str">
        <f>"00602464"</f>
        <v>00602464</v>
      </c>
    </row>
    <row r="12460" spans="1:2" x14ac:dyDescent="0.25">
      <c r="A12460" s="2">
        <v>12455</v>
      </c>
      <c r="B12460" s="11" t="str">
        <f>"00602509"</f>
        <v>00602509</v>
      </c>
    </row>
    <row r="12461" spans="1:2" x14ac:dyDescent="0.25">
      <c r="A12461" s="2">
        <v>12456</v>
      </c>
      <c r="B12461" s="11" t="str">
        <f>"00602514"</f>
        <v>00602514</v>
      </c>
    </row>
    <row r="12462" spans="1:2" x14ac:dyDescent="0.25">
      <c r="A12462" s="2">
        <v>12457</v>
      </c>
      <c r="B12462" s="11" t="str">
        <f>"00602533"</f>
        <v>00602533</v>
      </c>
    </row>
    <row r="12463" spans="1:2" x14ac:dyDescent="0.25">
      <c r="A12463" s="2">
        <v>12458</v>
      </c>
      <c r="B12463" s="11" t="str">
        <f>"00602552"</f>
        <v>00602552</v>
      </c>
    </row>
    <row r="12464" spans="1:2" x14ac:dyDescent="0.25">
      <c r="A12464" s="2">
        <v>12459</v>
      </c>
      <c r="B12464" s="11" t="str">
        <f>"00602657"</f>
        <v>00602657</v>
      </c>
    </row>
    <row r="12465" spans="1:2" x14ac:dyDescent="0.25">
      <c r="A12465" s="2">
        <v>12460</v>
      </c>
      <c r="B12465" s="11" t="str">
        <f>"00602658"</f>
        <v>00602658</v>
      </c>
    </row>
    <row r="12466" spans="1:2" x14ac:dyDescent="0.25">
      <c r="A12466" s="2">
        <v>12461</v>
      </c>
      <c r="B12466" s="11" t="str">
        <f>"00602718"</f>
        <v>00602718</v>
      </c>
    </row>
    <row r="12467" spans="1:2" x14ac:dyDescent="0.25">
      <c r="A12467" s="2">
        <v>12462</v>
      </c>
      <c r="B12467" s="11" t="str">
        <f>"00602758"</f>
        <v>00602758</v>
      </c>
    </row>
    <row r="12468" spans="1:2" x14ac:dyDescent="0.25">
      <c r="A12468" s="2">
        <v>12463</v>
      </c>
      <c r="B12468" s="11" t="str">
        <f>"00602813"</f>
        <v>00602813</v>
      </c>
    </row>
    <row r="12469" spans="1:2" x14ac:dyDescent="0.25">
      <c r="A12469" s="2">
        <v>12464</v>
      </c>
      <c r="B12469" s="11" t="str">
        <f>"00602830"</f>
        <v>00602830</v>
      </c>
    </row>
    <row r="12470" spans="1:2" x14ac:dyDescent="0.25">
      <c r="A12470" s="2">
        <v>12465</v>
      </c>
      <c r="B12470" s="11" t="str">
        <f>"00602858"</f>
        <v>00602858</v>
      </c>
    </row>
    <row r="12471" spans="1:2" x14ac:dyDescent="0.25">
      <c r="A12471" s="2">
        <v>12466</v>
      </c>
      <c r="B12471" s="11" t="str">
        <f>"00602966"</f>
        <v>00602966</v>
      </c>
    </row>
    <row r="12472" spans="1:2" x14ac:dyDescent="0.25">
      <c r="A12472" s="2">
        <v>12467</v>
      </c>
      <c r="B12472" s="11" t="str">
        <f>"00602969"</f>
        <v>00602969</v>
      </c>
    </row>
    <row r="12473" spans="1:2" x14ac:dyDescent="0.25">
      <c r="A12473" s="2">
        <v>12468</v>
      </c>
      <c r="B12473" s="11" t="str">
        <f>"00603061"</f>
        <v>00603061</v>
      </c>
    </row>
    <row r="12474" spans="1:2" x14ac:dyDescent="0.25">
      <c r="A12474" s="2">
        <v>12469</v>
      </c>
      <c r="B12474" s="11" t="str">
        <f>"00603066"</f>
        <v>00603066</v>
      </c>
    </row>
    <row r="12475" spans="1:2" x14ac:dyDescent="0.25">
      <c r="A12475" s="2">
        <v>12470</v>
      </c>
      <c r="B12475" s="11" t="str">
        <f>"00603152"</f>
        <v>00603152</v>
      </c>
    </row>
    <row r="12476" spans="1:2" x14ac:dyDescent="0.25">
      <c r="A12476" s="2">
        <v>12471</v>
      </c>
      <c r="B12476" s="11" t="str">
        <f>"00603203"</f>
        <v>00603203</v>
      </c>
    </row>
    <row r="12477" spans="1:2" x14ac:dyDescent="0.25">
      <c r="A12477" s="2">
        <v>12472</v>
      </c>
      <c r="B12477" s="11" t="str">
        <f>"00603208"</f>
        <v>00603208</v>
      </c>
    </row>
    <row r="12478" spans="1:2" x14ac:dyDescent="0.25">
      <c r="A12478" s="2">
        <v>12473</v>
      </c>
      <c r="B12478" s="11" t="str">
        <f>"00603215"</f>
        <v>00603215</v>
      </c>
    </row>
    <row r="12479" spans="1:2" x14ac:dyDescent="0.25">
      <c r="A12479" s="2">
        <v>12474</v>
      </c>
      <c r="B12479" s="11" t="str">
        <f>"00603283"</f>
        <v>00603283</v>
      </c>
    </row>
    <row r="12480" spans="1:2" x14ac:dyDescent="0.25">
      <c r="A12480" s="2">
        <v>12475</v>
      </c>
      <c r="B12480" s="11" t="str">
        <f>"00603313"</f>
        <v>00603313</v>
      </c>
    </row>
    <row r="12481" spans="1:2" x14ac:dyDescent="0.25">
      <c r="A12481" s="2">
        <v>12476</v>
      </c>
      <c r="B12481" s="11" t="str">
        <f>"00603315"</f>
        <v>00603315</v>
      </c>
    </row>
    <row r="12482" spans="1:2" x14ac:dyDescent="0.25">
      <c r="A12482" s="2">
        <v>12477</v>
      </c>
      <c r="B12482" s="11" t="str">
        <f>"00603374"</f>
        <v>00603374</v>
      </c>
    </row>
    <row r="12483" spans="1:2" x14ac:dyDescent="0.25">
      <c r="A12483" s="2">
        <v>12478</v>
      </c>
      <c r="B12483" s="11" t="str">
        <f>"00603397"</f>
        <v>00603397</v>
      </c>
    </row>
    <row r="12484" spans="1:2" x14ac:dyDescent="0.25">
      <c r="A12484" s="2">
        <v>12479</v>
      </c>
      <c r="B12484" s="11" t="str">
        <f>"00603493"</f>
        <v>00603493</v>
      </c>
    </row>
    <row r="12485" spans="1:2" x14ac:dyDescent="0.25">
      <c r="A12485" s="2">
        <v>12480</v>
      </c>
      <c r="B12485" s="11" t="str">
        <f>"00603527"</f>
        <v>00603527</v>
      </c>
    </row>
    <row r="12486" spans="1:2" x14ac:dyDescent="0.25">
      <c r="A12486" s="2">
        <v>12481</v>
      </c>
      <c r="B12486" s="11" t="str">
        <f>"00603547"</f>
        <v>00603547</v>
      </c>
    </row>
    <row r="12487" spans="1:2" x14ac:dyDescent="0.25">
      <c r="A12487" s="2">
        <v>12482</v>
      </c>
      <c r="B12487" s="11" t="str">
        <f>"00603563"</f>
        <v>00603563</v>
      </c>
    </row>
    <row r="12488" spans="1:2" x14ac:dyDescent="0.25">
      <c r="A12488" s="2">
        <v>12483</v>
      </c>
      <c r="B12488" s="11" t="str">
        <f>"00603579"</f>
        <v>00603579</v>
      </c>
    </row>
    <row r="12489" spans="1:2" x14ac:dyDescent="0.25">
      <c r="A12489" s="2">
        <v>12484</v>
      </c>
      <c r="B12489" s="11" t="str">
        <f>"00603617"</f>
        <v>00603617</v>
      </c>
    </row>
    <row r="12490" spans="1:2" x14ac:dyDescent="0.25">
      <c r="A12490" s="2">
        <v>12485</v>
      </c>
      <c r="B12490" s="11" t="str">
        <f>"00603618"</f>
        <v>00603618</v>
      </c>
    </row>
    <row r="12491" spans="1:2" x14ac:dyDescent="0.25">
      <c r="A12491" s="2">
        <v>12486</v>
      </c>
      <c r="B12491" s="11" t="str">
        <f>"00603684"</f>
        <v>00603684</v>
      </c>
    </row>
    <row r="12492" spans="1:2" x14ac:dyDescent="0.25">
      <c r="A12492" s="2">
        <v>12487</v>
      </c>
      <c r="B12492" s="11" t="str">
        <f>"00603862"</f>
        <v>00603862</v>
      </c>
    </row>
    <row r="12493" spans="1:2" x14ac:dyDescent="0.25">
      <c r="A12493" s="2">
        <v>12488</v>
      </c>
      <c r="B12493" s="11" t="str">
        <f>"00603883"</f>
        <v>00603883</v>
      </c>
    </row>
    <row r="12494" spans="1:2" x14ac:dyDescent="0.25">
      <c r="A12494" s="2">
        <v>12489</v>
      </c>
      <c r="B12494" s="11" t="str">
        <f>"00603885"</f>
        <v>00603885</v>
      </c>
    </row>
    <row r="12495" spans="1:2" x14ac:dyDescent="0.25">
      <c r="A12495" s="2">
        <v>12490</v>
      </c>
      <c r="B12495" s="11" t="str">
        <f>"00603908"</f>
        <v>00603908</v>
      </c>
    </row>
    <row r="12496" spans="1:2" x14ac:dyDescent="0.25">
      <c r="A12496" s="2">
        <v>12491</v>
      </c>
      <c r="B12496" s="11" t="str">
        <f>"00603915"</f>
        <v>00603915</v>
      </c>
    </row>
    <row r="12497" spans="1:2" x14ac:dyDescent="0.25">
      <c r="A12497" s="2">
        <v>12492</v>
      </c>
      <c r="B12497" s="11" t="str">
        <f>"00603951"</f>
        <v>00603951</v>
      </c>
    </row>
    <row r="12498" spans="1:2" x14ac:dyDescent="0.25">
      <c r="A12498" s="2">
        <v>12493</v>
      </c>
      <c r="B12498" s="11" t="str">
        <f>"00604040"</f>
        <v>00604040</v>
      </c>
    </row>
    <row r="12499" spans="1:2" x14ac:dyDescent="0.25">
      <c r="A12499" s="2">
        <v>12494</v>
      </c>
      <c r="B12499" s="11" t="str">
        <f>"00604092"</f>
        <v>00604092</v>
      </c>
    </row>
    <row r="12500" spans="1:2" x14ac:dyDescent="0.25">
      <c r="A12500" s="2">
        <v>12495</v>
      </c>
      <c r="B12500" s="11" t="str">
        <f>"00604269"</f>
        <v>00604269</v>
      </c>
    </row>
    <row r="12501" spans="1:2" x14ac:dyDescent="0.25">
      <c r="A12501" s="2">
        <v>12496</v>
      </c>
      <c r="B12501" s="11" t="str">
        <f>"00604339"</f>
        <v>00604339</v>
      </c>
    </row>
    <row r="12502" spans="1:2" x14ac:dyDescent="0.25">
      <c r="A12502" s="2">
        <v>12497</v>
      </c>
      <c r="B12502" s="11" t="str">
        <f>"00604377"</f>
        <v>00604377</v>
      </c>
    </row>
    <row r="12503" spans="1:2" x14ac:dyDescent="0.25">
      <c r="A12503" s="2">
        <v>12498</v>
      </c>
      <c r="B12503" s="11" t="str">
        <f>"00604418"</f>
        <v>00604418</v>
      </c>
    </row>
    <row r="12504" spans="1:2" x14ac:dyDescent="0.25">
      <c r="A12504" s="2">
        <v>12499</v>
      </c>
      <c r="B12504" s="11" t="str">
        <f>"00604425"</f>
        <v>00604425</v>
      </c>
    </row>
    <row r="12505" spans="1:2" x14ac:dyDescent="0.25">
      <c r="A12505" s="2">
        <v>12500</v>
      </c>
      <c r="B12505" s="11" t="str">
        <f>"00604451"</f>
        <v>00604451</v>
      </c>
    </row>
    <row r="12506" spans="1:2" x14ac:dyDescent="0.25">
      <c r="A12506" s="2">
        <v>12501</v>
      </c>
      <c r="B12506" s="11" t="str">
        <f>"00604452"</f>
        <v>00604452</v>
      </c>
    </row>
    <row r="12507" spans="1:2" x14ac:dyDescent="0.25">
      <c r="A12507" s="2">
        <v>12502</v>
      </c>
      <c r="B12507" s="11" t="str">
        <f>"00604462"</f>
        <v>00604462</v>
      </c>
    </row>
    <row r="12508" spans="1:2" x14ac:dyDescent="0.25">
      <c r="A12508" s="2">
        <v>12503</v>
      </c>
      <c r="B12508" s="11" t="str">
        <f>"00604523"</f>
        <v>00604523</v>
      </c>
    </row>
    <row r="12509" spans="1:2" x14ac:dyDescent="0.25">
      <c r="A12509" s="2">
        <v>12504</v>
      </c>
      <c r="B12509" s="11" t="str">
        <f>"00604648"</f>
        <v>00604648</v>
      </c>
    </row>
    <row r="12510" spans="1:2" x14ac:dyDescent="0.25">
      <c r="A12510" s="2">
        <v>12505</v>
      </c>
      <c r="B12510" s="11" t="str">
        <f>"00604705"</f>
        <v>00604705</v>
      </c>
    </row>
    <row r="12511" spans="1:2" x14ac:dyDescent="0.25">
      <c r="A12511" s="2">
        <v>12506</v>
      </c>
      <c r="B12511" s="11" t="str">
        <f>"00604777"</f>
        <v>00604777</v>
      </c>
    </row>
    <row r="12512" spans="1:2" x14ac:dyDescent="0.25">
      <c r="A12512" s="2">
        <v>12507</v>
      </c>
      <c r="B12512" s="11" t="str">
        <f>"00604892"</f>
        <v>00604892</v>
      </c>
    </row>
    <row r="12513" spans="1:2" x14ac:dyDescent="0.25">
      <c r="A12513" s="2">
        <v>12508</v>
      </c>
      <c r="B12513" s="11" t="str">
        <f>"00604912"</f>
        <v>00604912</v>
      </c>
    </row>
    <row r="12514" spans="1:2" x14ac:dyDescent="0.25">
      <c r="A12514" s="2">
        <v>12509</v>
      </c>
      <c r="B12514" s="11" t="str">
        <f>"00604978"</f>
        <v>00604978</v>
      </c>
    </row>
    <row r="12515" spans="1:2" x14ac:dyDescent="0.25">
      <c r="A12515" s="2">
        <v>12510</v>
      </c>
      <c r="B12515" s="11" t="str">
        <f>"00604992"</f>
        <v>00604992</v>
      </c>
    </row>
    <row r="12516" spans="1:2" x14ac:dyDescent="0.25">
      <c r="A12516" s="2">
        <v>12511</v>
      </c>
      <c r="B12516" s="11" t="str">
        <f>"00605083"</f>
        <v>00605083</v>
      </c>
    </row>
    <row r="12517" spans="1:2" x14ac:dyDescent="0.25">
      <c r="A12517" s="2">
        <v>12512</v>
      </c>
      <c r="B12517" s="11" t="str">
        <f>"00605146"</f>
        <v>00605146</v>
      </c>
    </row>
    <row r="12518" spans="1:2" x14ac:dyDescent="0.25">
      <c r="A12518" s="2">
        <v>12513</v>
      </c>
      <c r="B12518" s="11" t="str">
        <f>"00605164"</f>
        <v>00605164</v>
      </c>
    </row>
    <row r="12519" spans="1:2" x14ac:dyDescent="0.25">
      <c r="A12519" s="2">
        <v>12514</v>
      </c>
      <c r="B12519" s="11" t="str">
        <f>"00605173"</f>
        <v>00605173</v>
      </c>
    </row>
    <row r="12520" spans="1:2" x14ac:dyDescent="0.25">
      <c r="A12520" s="2">
        <v>12515</v>
      </c>
      <c r="B12520" s="11" t="str">
        <f>"00605184"</f>
        <v>00605184</v>
      </c>
    </row>
    <row r="12521" spans="1:2" x14ac:dyDescent="0.25">
      <c r="A12521" s="2">
        <v>12516</v>
      </c>
      <c r="B12521" s="11" t="str">
        <f>"00605238"</f>
        <v>00605238</v>
      </c>
    </row>
    <row r="12522" spans="1:2" x14ac:dyDescent="0.25">
      <c r="A12522" s="2">
        <v>12517</v>
      </c>
      <c r="B12522" s="11" t="str">
        <f>"00605305"</f>
        <v>00605305</v>
      </c>
    </row>
    <row r="12523" spans="1:2" x14ac:dyDescent="0.25">
      <c r="A12523" s="2">
        <v>12518</v>
      </c>
      <c r="B12523" s="11" t="str">
        <f>"00605308"</f>
        <v>00605308</v>
      </c>
    </row>
    <row r="12524" spans="1:2" x14ac:dyDescent="0.25">
      <c r="A12524" s="2">
        <v>12519</v>
      </c>
      <c r="B12524" s="11" t="str">
        <f>"00605387"</f>
        <v>00605387</v>
      </c>
    </row>
    <row r="12525" spans="1:2" x14ac:dyDescent="0.25">
      <c r="A12525" s="2">
        <v>12520</v>
      </c>
      <c r="B12525" s="11" t="str">
        <f>"00605490"</f>
        <v>00605490</v>
      </c>
    </row>
    <row r="12526" spans="1:2" x14ac:dyDescent="0.25">
      <c r="A12526" s="2">
        <v>12521</v>
      </c>
      <c r="B12526" s="11" t="str">
        <f>"00605508"</f>
        <v>00605508</v>
      </c>
    </row>
    <row r="12527" spans="1:2" x14ac:dyDescent="0.25">
      <c r="A12527" s="2">
        <v>12522</v>
      </c>
      <c r="B12527" s="11" t="str">
        <f>"00605533"</f>
        <v>00605533</v>
      </c>
    </row>
    <row r="12528" spans="1:2" x14ac:dyDescent="0.25">
      <c r="A12528" s="2">
        <v>12523</v>
      </c>
      <c r="B12528" s="11" t="str">
        <f>"00605666"</f>
        <v>00605666</v>
      </c>
    </row>
    <row r="12529" spans="1:2" x14ac:dyDescent="0.25">
      <c r="A12529" s="2">
        <v>12524</v>
      </c>
      <c r="B12529" s="11" t="str">
        <f>"00605728"</f>
        <v>00605728</v>
      </c>
    </row>
    <row r="12530" spans="1:2" x14ac:dyDescent="0.25">
      <c r="A12530" s="2">
        <v>12525</v>
      </c>
      <c r="B12530" s="11" t="str">
        <f>"00605825"</f>
        <v>00605825</v>
      </c>
    </row>
    <row r="12531" spans="1:2" x14ac:dyDescent="0.25">
      <c r="A12531" s="2">
        <v>12526</v>
      </c>
      <c r="B12531" s="11" t="str">
        <f>"00605836"</f>
        <v>00605836</v>
      </c>
    </row>
    <row r="12532" spans="1:2" x14ac:dyDescent="0.25">
      <c r="A12532" s="2">
        <v>12527</v>
      </c>
      <c r="B12532" s="11" t="str">
        <f>"00605840"</f>
        <v>00605840</v>
      </c>
    </row>
    <row r="12533" spans="1:2" x14ac:dyDescent="0.25">
      <c r="A12533" s="2">
        <v>12528</v>
      </c>
      <c r="B12533" s="11" t="str">
        <f>"00605853"</f>
        <v>00605853</v>
      </c>
    </row>
    <row r="12534" spans="1:2" x14ac:dyDescent="0.25">
      <c r="A12534" s="2">
        <v>12529</v>
      </c>
      <c r="B12534" s="11" t="str">
        <f>"00605902"</f>
        <v>00605902</v>
      </c>
    </row>
    <row r="12535" spans="1:2" x14ac:dyDescent="0.25">
      <c r="A12535" s="2">
        <v>12530</v>
      </c>
      <c r="B12535" s="11" t="str">
        <f>"00605930"</f>
        <v>00605930</v>
      </c>
    </row>
    <row r="12536" spans="1:2" x14ac:dyDescent="0.25">
      <c r="A12536" s="2">
        <v>12531</v>
      </c>
      <c r="B12536" s="11" t="str">
        <f>"00605940"</f>
        <v>00605940</v>
      </c>
    </row>
    <row r="12537" spans="1:2" x14ac:dyDescent="0.25">
      <c r="A12537" s="2">
        <v>12532</v>
      </c>
      <c r="B12537" s="11" t="str">
        <f>"00605957"</f>
        <v>00605957</v>
      </c>
    </row>
    <row r="12538" spans="1:2" x14ac:dyDescent="0.25">
      <c r="A12538" s="2">
        <v>12533</v>
      </c>
      <c r="B12538" s="11" t="str">
        <f>"00605972"</f>
        <v>00605972</v>
      </c>
    </row>
    <row r="12539" spans="1:2" x14ac:dyDescent="0.25">
      <c r="A12539" s="2">
        <v>12534</v>
      </c>
      <c r="B12539" s="11" t="str">
        <f>"00606094"</f>
        <v>00606094</v>
      </c>
    </row>
    <row r="12540" spans="1:2" x14ac:dyDescent="0.25">
      <c r="A12540" s="2">
        <v>12535</v>
      </c>
      <c r="B12540" s="11" t="str">
        <f>"00606149"</f>
        <v>00606149</v>
      </c>
    </row>
    <row r="12541" spans="1:2" x14ac:dyDescent="0.25">
      <c r="A12541" s="2">
        <v>12536</v>
      </c>
      <c r="B12541" s="11" t="str">
        <f>"00606172"</f>
        <v>00606172</v>
      </c>
    </row>
    <row r="12542" spans="1:2" x14ac:dyDescent="0.25">
      <c r="A12542" s="2">
        <v>12537</v>
      </c>
      <c r="B12542" s="11" t="str">
        <f>"00606262"</f>
        <v>00606262</v>
      </c>
    </row>
    <row r="12543" spans="1:2" x14ac:dyDescent="0.25">
      <c r="A12543" s="2">
        <v>12538</v>
      </c>
      <c r="B12543" s="11" t="str">
        <f>"00606272"</f>
        <v>00606272</v>
      </c>
    </row>
    <row r="12544" spans="1:2" x14ac:dyDescent="0.25">
      <c r="A12544" s="2">
        <v>12539</v>
      </c>
      <c r="B12544" s="11" t="str">
        <f>"00606343"</f>
        <v>00606343</v>
      </c>
    </row>
    <row r="12545" spans="1:2" x14ac:dyDescent="0.25">
      <c r="A12545" s="2">
        <v>12540</v>
      </c>
      <c r="B12545" s="11" t="str">
        <f>"00606377"</f>
        <v>00606377</v>
      </c>
    </row>
    <row r="12546" spans="1:2" x14ac:dyDescent="0.25">
      <c r="A12546" s="2">
        <v>12541</v>
      </c>
      <c r="B12546" s="11" t="str">
        <f>"00606379"</f>
        <v>00606379</v>
      </c>
    </row>
    <row r="12547" spans="1:2" x14ac:dyDescent="0.25">
      <c r="A12547" s="2">
        <v>12542</v>
      </c>
      <c r="B12547" s="11" t="str">
        <f>"00606381"</f>
        <v>00606381</v>
      </c>
    </row>
    <row r="12548" spans="1:2" x14ac:dyDescent="0.25">
      <c r="A12548" s="2">
        <v>12543</v>
      </c>
      <c r="B12548" s="11" t="str">
        <f>"00606386"</f>
        <v>00606386</v>
      </c>
    </row>
    <row r="12549" spans="1:2" x14ac:dyDescent="0.25">
      <c r="A12549" s="2">
        <v>12544</v>
      </c>
      <c r="B12549" s="11" t="str">
        <f>"00606421"</f>
        <v>00606421</v>
      </c>
    </row>
    <row r="12550" spans="1:2" x14ac:dyDescent="0.25">
      <c r="A12550" s="2">
        <v>12545</v>
      </c>
      <c r="B12550" s="11" t="str">
        <f>"00606449"</f>
        <v>00606449</v>
      </c>
    </row>
    <row r="12551" spans="1:2" x14ac:dyDescent="0.25">
      <c r="A12551" s="2">
        <v>12546</v>
      </c>
      <c r="B12551" s="11" t="str">
        <f>"00606492"</f>
        <v>00606492</v>
      </c>
    </row>
    <row r="12552" spans="1:2" x14ac:dyDescent="0.25">
      <c r="A12552" s="2">
        <v>12547</v>
      </c>
      <c r="B12552" s="11" t="str">
        <f>"00606531"</f>
        <v>00606531</v>
      </c>
    </row>
    <row r="12553" spans="1:2" x14ac:dyDescent="0.25">
      <c r="A12553" s="2">
        <v>12548</v>
      </c>
      <c r="B12553" s="11" t="str">
        <f>"00606580"</f>
        <v>00606580</v>
      </c>
    </row>
    <row r="12554" spans="1:2" x14ac:dyDescent="0.25">
      <c r="A12554" s="2">
        <v>12549</v>
      </c>
      <c r="B12554" s="11" t="str">
        <f>"00606585"</f>
        <v>00606585</v>
      </c>
    </row>
    <row r="12555" spans="1:2" x14ac:dyDescent="0.25">
      <c r="A12555" s="2">
        <v>12550</v>
      </c>
      <c r="B12555" s="11" t="str">
        <f>"00606645"</f>
        <v>00606645</v>
      </c>
    </row>
    <row r="12556" spans="1:2" x14ac:dyDescent="0.25">
      <c r="A12556" s="2">
        <v>12551</v>
      </c>
      <c r="B12556" s="11" t="str">
        <f>"00606659"</f>
        <v>00606659</v>
      </c>
    </row>
    <row r="12557" spans="1:2" x14ac:dyDescent="0.25">
      <c r="A12557" s="2">
        <v>12552</v>
      </c>
      <c r="B12557" s="11" t="str">
        <f>"00606798"</f>
        <v>00606798</v>
      </c>
    </row>
    <row r="12558" spans="1:2" x14ac:dyDescent="0.25">
      <c r="A12558" s="2">
        <v>12553</v>
      </c>
      <c r="B12558" s="11" t="str">
        <f>"00606880"</f>
        <v>00606880</v>
      </c>
    </row>
    <row r="12559" spans="1:2" x14ac:dyDescent="0.25">
      <c r="A12559" s="2">
        <v>12554</v>
      </c>
      <c r="B12559" s="11" t="str">
        <f>"00606910"</f>
        <v>00606910</v>
      </c>
    </row>
    <row r="12560" spans="1:2" x14ac:dyDescent="0.25">
      <c r="A12560" s="2">
        <v>12555</v>
      </c>
      <c r="B12560" s="11" t="str">
        <f>"00607096"</f>
        <v>00607096</v>
      </c>
    </row>
    <row r="12561" spans="1:2" x14ac:dyDescent="0.25">
      <c r="A12561" s="2">
        <v>12556</v>
      </c>
      <c r="B12561" s="11" t="str">
        <f>"00607179"</f>
        <v>00607179</v>
      </c>
    </row>
    <row r="12562" spans="1:2" x14ac:dyDescent="0.25">
      <c r="A12562" s="2">
        <v>12557</v>
      </c>
      <c r="B12562" s="11" t="str">
        <f>"00607540"</f>
        <v>00607540</v>
      </c>
    </row>
    <row r="12563" spans="1:2" x14ac:dyDescent="0.25">
      <c r="A12563" s="2">
        <v>12558</v>
      </c>
      <c r="B12563" s="11" t="str">
        <f>"00607707"</f>
        <v>00607707</v>
      </c>
    </row>
    <row r="12564" spans="1:2" x14ac:dyDescent="0.25">
      <c r="A12564" s="2">
        <v>12559</v>
      </c>
      <c r="B12564" s="11" t="str">
        <f>"00607767"</f>
        <v>00607767</v>
      </c>
    </row>
    <row r="12565" spans="1:2" x14ac:dyDescent="0.25">
      <c r="A12565" s="2">
        <v>12560</v>
      </c>
      <c r="B12565" s="11" t="str">
        <f>"00607770"</f>
        <v>00607770</v>
      </c>
    </row>
    <row r="12566" spans="1:2" x14ac:dyDescent="0.25">
      <c r="A12566" s="2">
        <v>12561</v>
      </c>
      <c r="B12566" s="11" t="str">
        <f>"00607810"</f>
        <v>00607810</v>
      </c>
    </row>
    <row r="12567" spans="1:2" x14ac:dyDescent="0.25">
      <c r="A12567" s="2">
        <v>12562</v>
      </c>
      <c r="B12567" s="11" t="str">
        <f>"00607830"</f>
        <v>00607830</v>
      </c>
    </row>
    <row r="12568" spans="1:2" x14ac:dyDescent="0.25">
      <c r="A12568" s="2">
        <v>12563</v>
      </c>
      <c r="B12568" s="11" t="str">
        <f>"00607886"</f>
        <v>00607886</v>
      </c>
    </row>
    <row r="12569" spans="1:2" x14ac:dyDescent="0.25">
      <c r="A12569" s="2">
        <v>12564</v>
      </c>
      <c r="B12569" s="11" t="str">
        <f>"00607995"</f>
        <v>00607995</v>
      </c>
    </row>
    <row r="12570" spans="1:2" x14ac:dyDescent="0.25">
      <c r="A12570" s="2">
        <v>12565</v>
      </c>
      <c r="B12570" s="11" t="str">
        <f>"00608031"</f>
        <v>00608031</v>
      </c>
    </row>
    <row r="12571" spans="1:2" x14ac:dyDescent="0.25">
      <c r="A12571" s="2">
        <v>12566</v>
      </c>
      <c r="B12571" s="11" t="str">
        <f>"00608067"</f>
        <v>00608067</v>
      </c>
    </row>
    <row r="12572" spans="1:2" x14ac:dyDescent="0.25">
      <c r="A12572" s="2">
        <v>12567</v>
      </c>
      <c r="B12572" s="11" t="str">
        <f>"00608094"</f>
        <v>00608094</v>
      </c>
    </row>
    <row r="12573" spans="1:2" x14ac:dyDescent="0.25">
      <c r="A12573" s="2">
        <v>12568</v>
      </c>
      <c r="B12573" s="11" t="str">
        <f>"00608105"</f>
        <v>00608105</v>
      </c>
    </row>
    <row r="12574" spans="1:2" x14ac:dyDescent="0.25">
      <c r="A12574" s="2">
        <v>12569</v>
      </c>
      <c r="B12574" s="11" t="str">
        <f>"00608116"</f>
        <v>00608116</v>
      </c>
    </row>
    <row r="12575" spans="1:2" x14ac:dyDescent="0.25">
      <c r="A12575" s="2">
        <v>12570</v>
      </c>
      <c r="B12575" s="11" t="str">
        <f>"00608123"</f>
        <v>00608123</v>
      </c>
    </row>
    <row r="12576" spans="1:2" x14ac:dyDescent="0.25">
      <c r="A12576" s="2">
        <v>12571</v>
      </c>
      <c r="B12576" s="11" t="str">
        <f>"00608162"</f>
        <v>00608162</v>
      </c>
    </row>
    <row r="12577" spans="1:2" x14ac:dyDescent="0.25">
      <c r="A12577" s="2">
        <v>12572</v>
      </c>
      <c r="B12577" s="11" t="str">
        <f>"00608186"</f>
        <v>00608186</v>
      </c>
    </row>
    <row r="12578" spans="1:2" x14ac:dyDescent="0.25">
      <c r="A12578" s="2">
        <v>12573</v>
      </c>
      <c r="B12578" s="11" t="str">
        <f>"00608299"</f>
        <v>00608299</v>
      </c>
    </row>
    <row r="12579" spans="1:2" x14ac:dyDescent="0.25">
      <c r="A12579" s="2">
        <v>12574</v>
      </c>
      <c r="B12579" s="11" t="str">
        <f>"00608319"</f>
        <v>00608319</v>
      </c>
    </row>
    <row r="12580" spans="1:2" x14ac:dyDescent="0.25">
      <c r="A12580" s="2">
        <v>12575</v>
      </c>
      <c r="B12580" s="11" t="str">
        <f>"00608411"</f>
        <v>00608411</v>
      </c>
    </row>
    <row r="12581" spans="1:2" x14ac:dyDescent="0.25">
      <c r="A12581" s="2">
        <v>12576</v>
      </c>
      <c r="B12581" s="11" t="str">
        <f>"00608446"</f>
        <v>00608446</v>
      </c>
    </row>
    <row r="12582" spans="1:2" x14ac:dyDescent="0.25">
      <c r="A12582" s="2">
        <v>12577</v>
      </c>
      <c r="B12582" s="11" t="str">
        <f>"00608516"</f>
        <v>00608516</v>
      </c>
    </row>
    <row r="12583" spans="1:2" x14ac:dyDescent="0.25">
      <c r="A12583" s="2">
        <v>12578</v>
      </c>
      <c r="B12583" s="11" t="str">
        <f>"00608670"</f>
        <v>00608670</v>
      </c>
    </row>
    <row r="12584" spans="1:2" x14ac:dyDescent="0.25">
      <c r="A12584" s="2">
        <v>12579</v>
      </c>
      <c r="B12584" s="11" t="str">
        <f>"00608681"</f>
        <v>00608681</v>
      </c>
    </row>
    <row r="12585" spans="1:2" x14ac:dyDescent="0.25">
      <c r="A12585" s="2">
        <v>12580</v>
      </c>
      <c r="B12585" s="11" t="str">
        <f>"00608766"</f>
        <v>00608766</v>
      </c>
    </row>
    <row r="12586" spans="1:2" x14ac:dyDescent="0.25">
      <c r="A12586" s="2">
        <v>12581</v>
      </c>
      <c r="B12586" s="11" t="str">
        <f>"00608849"</f>
        <v>00608849</v>
      </c>
    </row>
    <row r="12587" spans="1:2" x14ac:dyDescent="0.25">
      <c r="A12587" s="2">
        <v>12582</v>
      </c>
      <c r="B12587" s="11" t="str">
        <f>"00608966"</f>
        <v>00608966</v>
      </c>
    </row>
    <row r="12588" spans="1:2" x14ac:dyDescent="0.25">
      <c r="A12588" s="2">
        <v>12583</v>
      </c>
      <c r="B12588" s="11" t="str">
        <f>"00608996"</f>
        <v>00608996</v>
      </c>
    </row>
    <row r="12589" spans="1:2" x14ac:dyDescent="0.25">
      <c r="A12589" s="2">
        <v>12584</v>
      </c>
      <c r="B12589" s="11" t="str">
        <f>"00609372"</f>
        <v>00609372</v>
      </c>
    </row>
    <row r="12590" spans="1:2" x14ac:dyDescent="0.25">
      <c r="A12590" s="2">
        <v>12585</v>
      </c>
      <c r="B12590" s="11" t="str">
        <f>"00609408"</f>
        <v>00609408</v>
      </c>
    </row>
    <row r="12591" spans="1:2" x14ac:dyDescent="0.25">
      <c r="A12591" s="2">
        <v>12586</v>
      </c>
      <c r="B12591" s="11" t="str">
        <f>"00609454"</f>
        <v>00609454</v>
      </c>
    </row>
    <row r="12592" spans="1:2" x14ac:dyDescent="0.25">
      <c r="A12592" s="2">
        <v>12587</v>
      </c>
      <c r="B12592" s="11" t="str">
        <f>"00609490"</f>
        <v>00609490</v>
      </c>
    </row>
    <row r="12593" spans="1:2" x14ac:dyDescent="0.25">
      <c r="A12593" s="2">
        <v>12588</v>
      </c>
      <c r="B12593" s="11" t="str">
        <f>"00609497"</f>
        <v>00609497</v>
      </c>
    </row>
    <row r="12594" spans="1:2" x14ac:dyDescent="0.25">
      <c r="A12594" s="2">
        <v>12589</v>
      </c>
      <c r="B12594" s="11" t="str">
        <f>"00609515"</f>
        <v>00609515</v>
      </c>
    </row>
    <row r="12595" spans="1:2" x14ac:dyDescent="0.25">
      <c r="A12595" s="2">
        <v>12590</v>
      </c>
      <c r="B12595" s="11" t="str">
        <f>"00609535"</f>
        <v>00609535</v>
      </c>
    </row>
    <row r="12596" spans="1:2" x14ac:dyDescent="0.25">
      <c r="A12596" s="2">
        <v>12591</v>
      </c>
      <c r="B12596" s="11" t="str">
        <f>"00609547"</f>
        <v>00609547</v>
      </c>
    </row>
    <row r="12597" spans="1:2" x14ac:dyDescent="0.25">
      <c r="A12597" s="2">
        <v>12592</v>
      </c>
      <c r="B12597" s="11" t="str">
        <f>"00609800"</f>
        <v>00609800</v>
      </c>
    </row>
    <row r="12598" spans="1:2" x14ac:dyDescent="0.25">
      <c r="A12598" s="2">
        <v>12593</v>
      </c>
      <c r="B12598" s="11" t="str">
        <f>"00609957"</f>
        <v>00609957</v>
      </c>
    </row>
    <row r="12599" spans="1:2" x14ac:dyDescent="0.25">
      <c r="A12599" s="2">
        <v>12594</v>
      </c>
      <c r="B12599" s="11" t="str">
        <f>"00610000"</f>
        <v>00610000</v>
      </c>
    </row>
    <row r="12600" spans="1:2" x14ac:dyDescent="0.25">
      <c r="A12600" s="2">
        <v>12595</v>
      </c>
      <c r="B12600" s="11" t="str">
        <f>"00610044"</f>
        <v>00610044</v>
      </c>
    </row>
    <row r="12601" spans="1:2" x14ac:dyDescent="0.25">
      <c r="A12601" s="2">
        <v>12596</v>
      </c>
      <c r="B12601" s="11" t="str">
        <f>"00610048"</f>
        <v>00610048</v>
      </c>
    </row>
    <row r="12602" spans="1:2" x14ac:dyDescent="0.25">
      <c r="A12602" s="2">
        <v>12597</v>
      </c>
      <c r="B12602" s="11" t="str">
        <f>"00610072"</f>
        <v>00610072</v>
      </c>
    </row>
    <row r="12603" spans="1:2" x14ac:dyDescent="0.25">
      <c r="A12603" s="2">
        <v>12598</v>
      </c>
      <c r="B12603" s="11" t="str">
        <f>"00610083"</f>
        <v>00610083</v>
      </c>
    </row>
    <row r="12604" spans="1:2" x14ac:dyDescent="0.25">
      <c r="A12604" s="2">
        <v>12599</v>
      </c>
      <c r="B12604" s="11" t="str">
        <f>"00610171"</f>
        <v>00610171</v>
      </c>
    </row>
    <row r="12605" spans="1:2" x14ac:dyDescent="0.25">
      <c r="A12605" s="2">
        <v>12600</v>
      </c>
      <c r="B12605" s="11" t="str">
        <f>"00610192"</f>
        <v>00610192</v>
      </c>
    </row>
    <row r="12606" spans="1:2" x14ac:dyDescent="0.25">
      <c r="A12606" s="2">
        <v>12601</v>
      </c>
      <c r="B12606" s="11" t="str">
        <f>"00610241"</f>
        <v>00610241</v>
      </c>
    </row>
    <row r="12607" spans="1:2" x14ac:dyDescent="0.25">
      <c r="A12607" s="2">
        <v>12602</v>
      </c>
      <c r="B12607" s="11" t="str">
        <f>"00610281"</f>
        <v>00610281</v>
      </c>
    </row>
    <row r="12608" spans="1:2" x14ac:dyDescent="0.25">
      <c r="A12608" s="2">
        <v>12603</v>
      </c>
      <c r="B12608" s="11" t="str">
        <f>"00610366"</f>
        <v>00610366</v>
      </c>
    </row>
    <row r="12609" spans="1:2" x14ac:dyDescent="0.25">
      <c r="A12609" s="2">
        <v>12604</v>
      </c>
      <c r="B12609" s="11" t="str">
        <f>"00610458"</f>
        <v>00610458</v>
      </c>
    </row>
    <row r="12610" spans="1:2" x14ac:dyDescent="0.25">
      <c r="A12610" s="2">
        <v>12605</v>
      </c>
      <c r="B12610" s="11" t="str">
        <f>"00610464"</f>
        <v>00610464</v>
      </c>
    </row>
    <row r="12611" spans="1:2" x14ac:dyDescent="0.25">
      <c r="A12611" s="2">
        <v>12606</v>
      </c>
      <c r="B12611" s="11" t="str">
        <f>"00610519"</f>
        <v>00610519</v>
      </c>
    </row>
    <row r="12612" spans="1:2" x14ac:dyDescent="0.25">
      <c r="A12612" s="2">
        <v>12607</v>
      </c>
      <c r="B12612" s="11" t="str">
        <f>"00610548"</f>
        <v>00610548</v>
      </c>
    </row>
    <row r="12613" spans="1:2" x14ac:dyDescent="0.25">
      <c r="A12613" s="2">
        <v>12608</v>
      </c>
      <c r="B12613" s="11" t="str">
        <f>"00610634"</f>
        <v>00610634</v>
      </c>
    </row>
    <row r="12614" spans="1:2" x14ac:dyDescent="0.25">
      <c r="A12614" s="2">
        <v>12609</v>
      </c>
      <c r="B12614" s="11" t="str">
        <f>"00610637"</f>
        <v>00610637</v>
      </c>
    </row>
    <row r="12615" spans="1:2" x14ac:dyDescent="0.25">
      <c r="A12615" s="2">
        <v>12610</v>
      </c>
      <c r="B12615" s="11" t="str">
        <f>"00610661"</f>
        <v>00610661</v>
      </c>
    </row>
    <row r="12616" spans="1:2" x14ac:dyDescent="0.25">
      <c r="A12616" s="2">
        <v>12611</v>
      </c>
      <c r="B12616" s="11" t="str">
        <f>"00610672"</f>
        <v>00610672</v>
      </c>
    </row>
    <row r="12617" spans="1:2" x14ac:dyDescent="0.25">
      <c r="A12617" s="2">
        <v>12612</v>
      </c>
      <c r="B12617" s="11" t="str">
        <f>"00610691"</f>
        <v>00610691</v>
      </c>
    </row>
    <row r="12618" spans="1:2" x14ac:dyDescent="0.25">
      <c r="A12618" s="2">
        <v>12613</v>
      </c>
      <c r="B12618" s="11" t="str">
        <f>"00610851"</f>
        <v>00610851</v>
      </c>
    </row>
    <row r="12619" spans="1:2" x14ac:dyDescent="0.25">
      <c r="A12619" s="2">
        <v>12614</v>
      </c>
      <c r="B12619" s="11" t="str">
        <f>"00610852"</f>
        <v>00610852</v>
      </c>
    </row>
    <row r="12620" spans="1:2" x14ac:dyDescent="0.25">
      <c r="A12620" s="2">
        <v>12615</v>
      </c>
      <c r="B12620" s="11" t="str">
        <f>"00610872"</f>
        <v>00610872</v>
      </c>
    </row>
    <row r="12621" spans="1:2" x14ac:dyDescent="0.25">
      <c r="A12621" s="2">
        <v>12616</v>
      </c>
      <c r="B12621" s="11" t="str">
        <f>"00610899"</f>
        <v>00610899</v>
      </c>
    </row>
    <row r="12622" spans="1:2" x14ac:dyDescent="0.25">
      <c r="A12622" s="2">
        <v>12617</v>
      </c>
      <c r="B12622" s="11" t="str">
        <f>"00610925"</f>
        <v>00610925</v>
      </c>
    </row>
    <row r="12623" spans="1:2" x14ac:dyDescent="0.25">
      <c r="A12623" s="2">
        <v>12618</v>
      </c>
      <c r="B12623" s="11" t="str">
        <f>"00610950"</f>
        <v>00610950</v>
      </c>
    </row>
    <row r="12624" spans="1:2" x14ac:dyDescent="0.25">
      <c r="A12624" s="2">
        <v>12619</v>
      </c>
      <c r="B12624" s="11" t="str">
        <f>"00610980"</f>
        <v>00610980</v>
      </c>
    </row>
    <row r="12625" spans="1:2" x14ac:dyDescent="0.25">
      <c r="A12625" s="2">
        <v>12620</v>
      </c>
      <c r="B12625" s="11" t="str">
        <f>"00611010"</f>
        <v>00611010</v>
      </c>
    </row>
    <row r="12626" spans="1:2" x14ac:dyDescent="0.25">
      <c r="A12626" s="2">
        <v>12621</v>
      </c>
      <c r="B12626" s="11" t="str">
        <f>"00611106"</f>
        <v>00611106</v>
      </c>
    </row>
    <row r="12627" spans="1:2" x14ac:dyDescent="0.25">
      <c r="A12627" s="2">
        <v>12622</v>
      </c>
      <c r="B12627" s="11" t="str">
        <f>"00611173"</f>
        <v>00611173</v>
      </c>
    </row>
    <row r="12628" spans="1:2" x14ac:dyDescent="0.25">
      <c r="A12628" s="2">
        <v>12623</v>
      </c>
      <c r="B12628" s="11" t="str">
        <f>"00611177"</f>
        <v>00611177</v>
      </c>
    </row>
    <row r="12629" spans="1:2" x14ac:dyDescent="0.25">
      <c r="A12629" s="2">
        <v>12624</v>
      </c>
      <c r="B12629" s="11" t="str">
        <f>"00611242"</f>
        <v>00611242</v>
      </c>
    </row>
    <row r="12630" spans="1:2" x14ac:dyDescent="0.25">
      <c r="A12630" s="2">
        <v>12625</v>
      </c>
      <c r="B12630" s="11" t="str">
        <f>"00611297"</f>
        <v>00611297</v>
      </c>
    </row>
    <row r="12631" spans="1:2" x14ac:dyDescent="0.25">
      <c r="A12631" s="2">
        <v>12626</v>
      </c>
      <c r="B12631" s="11" t="str">
        <f>"00611405"</f>
        <v>00611405</v>
      </c>
    </row>
    <row r="12632" spans="1:2" x14ac:dyDescent="0.25">
      <c r="A12632" s="2">
        <v>12627</v>
      </c>
      <c r="B12632" s="11" t="str">
        <f>"00611478"</f>
        <v>00611478</v>
      </c>
    </row>
    <row r="12633" spans="1:2" x14ac:dyDescent="0.25">
      <c r="A12633" s="2">
        <v>12628</v>
      </c>
      <c r="B12633" s="11" t="str">
        <f>"00611481"</f>
        <v>00611481</v>
      </c>
    </row>
    <row r="12634" spans="1:2" x14ac:dyDescent="0.25">
      <c r="A12634" s="2">
        <v>12629</v>
      </c>
      <c r="B12634" s="11" t="str">
        <f>"00611526"</f>
        <v>00611526</v>
      </c>
    </row>
    <row r="12635" spans="1:2" x14ac:dyDescent="0.25">
      <c r="A12635" s="2">
        <v>12630</v>
      </c>
      <c r="B12635" s="11" t="str">
        <f>"00611541"</f>
        <v>00611541</v>
      </c>
    </row>
    <row r="12636" spans="1:2" x14ac:dyDescent="0.25">
      <c r="A12636" s="2">
        <v>12631</v>
      </c>
      <c r="B12636" s="11" t="str">
        <f>"00611547"</f>
        <v>00611547</v>
      </c>
    </row>
    <row r="12637" spans="1:2" x14ac:dyDescent="0.25">
      <c r="A12637" s="2">
        <v>12632</v>
      </c>
      <c r="B12637" s="11" t="str">
        <f>"00611600"</f>
        <v>00611600</v>
      </c>
    </row>
    <row r="12638" spans="1:2" x14ac:dyDescent="0.25">
      <c r="A12638" s="2">
        <v>12633</v>
      </c>
      <c r="B12638" s="11" t="str">
        <f>"00611628"</f>
        <v>00611628</v>
      </c>
    </row>
    <row r="12639" spans="1:2" x14ac:dyDescent="0.25">
      <c r="A12639" s="2">
        <v>12634</v>
      </c>
      <c r="B12639" s="11" t="str">
        <f>"00611716"</f>
        <v>00611716</v>
      </c>
    </row>
    <row r="12640" spans="1:2" x14ac:dyDescent="0.25">
      <c r="A12640" s="2">
        <v>12635</v>
      </c>
      <c r="B12640" s="11" t="str">
        <f>"00611834"</f>
        <v>00611834</v>
      </c>
    </row>
    <row r="12641" spans="1:2" x14ac:dyDescent="0.25">
      <c r="A12641" s="2">
        <v>12636</v>
      </c>
      <c r="B12641" s="11" t="str">
        <f>"00611877"</f>
        <v>00611877</v>
      </c>
    </row>
    <row r="12642" spans="1:2" x14ac:dyDescent="0.25">
      <c r="A12642" s="2">
        <v>12637</v>
      </c>
      <c r="B12642" s="11" t="str">
        <f>"00611881"</f>
        <v>00611881</v>
      </c>
    </row>
    <row r="12643" spans="1:2" x14ac:dyDescent="0.25">
      <c r="A12643" s="2">
        <v>12638</v>
      </c>
      <c r="B12643" s="11" t="str">
        <f>"00611886"</f>
        <v>00611886</v>
      </c>
    </row>
    <row r="12644" spans="1:2" x14ac:dyDescent="0.25">
      <c r="A12644" s="2">
        <v>12639</v>
      </c>
      <c r="B12644" s="11" t="str">
        <f>"00611935"</f>
        <v>00611935</v>
      </c>
    </row>
    <row r="12645" spans="1:2" x14ac:dyDescent="0.25">
      <c r="A12645" s="2">
        <v>12640</v>
      </c>
      <c r="B12645" s="11" t="str">
        <f>"00611947"</f>
        <v>00611947</v>
      </c>
    </row>
    <row r="12646" spans="1:2" x14ac:dyDescent="0.25">
      <c r="A12646" s="2">
        <v>12641</v>
      </c>
      <c r="B12646" s="11" t="str">
        <f>"00611966"</f>
        <v>00611966</v>
      </c>
    </row>
    <row r="12647" spans="1:2" x14ac:dyDescent="0.25">
      <c r="A12647" s="2">
        <v>12642</v>
      </c>
      <c r="B12647" s="11" t="str">
        <f>"00611977"</f>
        <v>00611977</v>
      </c>
    </row>
    <row r="12648" spans="1:2" x14ac:dyDescent="0.25">
      <c r="A12648" s="2">
        <v>12643</v>
      </c>
      <c r="B12648" s="11" t="str">
        <f>"00612053"</f>
        <v>00612053</v>
      </c>
    </row>
    <row r="12649" spans="1:2" x14ac:dyDescent="0.25">
      <c r="A12649" s="2">
        <v>12644</v>
      </c>
      <c r="B12649" s="11" t="str">
        <f>"00612073"</f>
        <v>00612073</v>
      </c>
    </row>
    <row r="12650" spans="1:2" x14ac:dyDescent="0.25">
      <c r="A12650" s="2">
        <v>12645</v>
      </c>
      <c r="B12650" s="11" t="str">
        <f>"00612108"</f>
        <v>00612108</v>
      </c>
    </row>
    <row r="12651" spans="1:2" x14ac:dyDescent="0.25">
      <c r="A12651" s="2">
        <v>12646</v>
      </c>
      <c r="B12651" s="11" t="str">
        <f>"00612186"</f>
        <v>00612186</v>
      </c>
    </row>
    <row r="12652" spans="1:2" x14ac:dyDescent="0.25">
      <c r="A12652" s="2">
        <v>12647</v>
      </c>
      <c r="B12652" s="11" t="str">
        <f>"00612362"</f>
        <v>00612362</v>
      </c>
    </row>
    <row r="12653" spans="1:2" x14ac:dyDescent="0.25">
      <c r="A12653" s="2">
        <v>12648</v>
      </c>
      <c r="B12653" s="11" t="str">
        <f>"00612498"</f>
        <v>00612498</v>
      </c>
    </row>
    <row r="12654" spans="1:2" x14ac:dyDescent="0.25">
      <c r="A12654" s="2">
        <v>12649</v>
      </c>
      <c r="B12654" s="11" t="str">
        <f>"00612502"</f>
        <v>00612502</v>
      </c>
    </row>
    <row r="12655" spans="1:2" x14ac:dyDescent="0.25">
      <c r="A12655" s="2">
        <v>12650</v>
      </c>
      <c r="B12655" s="11" t="str">
        <f>"00612503"</f>
        <v>00612503</v>
      </c>
    </row>
    <row r="12656" spans="1:2" x14ac:dyDescent="0.25">
      <c r="A12656" s="2">
        <v>12651</v>
      </c>
      <c r="B12656" s="11" t="str">
        <f>"00612504"</f>
        <v>00612504</v>
      </c>
    </row>
    <row r="12657" spans="1:2" x14ac:dyDescent="0.25">
      <c r="A12657" s="2">
        <v>12652</v>
      </c>
      <c r="B12657" s="11" t="str">
        <f>"00612516"</f>
        <v>00612516</v>
      </c>
    </row>
    <row r="12658" spans="1:2" x14ac:dyDescent="0.25">
      <c r="A12658" s="2">
        <v>12653</v>
      </c>
      <c r="B12658" s="11" t="str">
        <f>"00612561"</f>
        <v>00612561</v>
      </c>
    </row>
    <row r="12659" spans="1:2" x14ac:dyDescent="0.25">
      <c r="A12659" s="2">
        <v>12654</v>
      </c>
      <c r="B12659" s="11" t="str">
        <f>"00612573"</f>
        <v>00612573</v>
      </c>
    </row>
    <row r="12660" spans="1:2" x14ac:dyDescent="0.25">
      <c r="A12660" s="2">
        <v>12655</v>
      </c>
      <c r="B12660" s="11" t="str">
        <f>"00612574"</f>
        <v>00612574</v>
      </c>
    </row>
    <row r="12661" spans="1:2" x14ac:dyDescent="0.25">
      <c r="A12661" s="2">
        <v>12656</v>
      </c>
      <c r="B12661" s="11" t="str">
        <f>"00612600"</f>
        <v>00612600</v>
      </c>
    </row>
    <row r="12662" spans="1:2" x14ac:dyDescent="0.25">
      <c r="A12662" s="2">
        <v>12657</v>
      </c>
      <c r="B12662" s="11" t="str">
        <f>"00612610"</f>
        <v>00612610</v>
      </c>
    </row>
    <row r="12663" spans="1:2" x14ac:dyDescent="0.25">
      <c r="A12663" s="2">
        <v>12658</v>
      </c>
      <c r="B12663" s="11" t="str">
        <f>"00612627"</f>
        <v>00612627</v>
      </c>
    </row>
    <row r="12664" spans="1:2" x14ac:dyDescent="0.25">
      <c r="A12664" s="2">
        <v>12659</v>
      </c>
      <c r="B12664" s="11" t="str">
        <f>"00612746"</f>
        <v>00612746</v>
      </c>
    </row>
    <row r="12665" spans="1:2" x14ac:dyDescent="0.25">
      <c r="A12665" s="2">
        <v>12660</v>
      </c>
      <c r="B12665" s="11" t="str">
        <f>"00612769"</f>
        <v>00612769</v>
      </c>
    </row>
    <row r="12666" spans="1:2" x14ac:dyDescent="0.25">
      <c r="A12666" s="2">
        <v>12661</v>
      </c>
      <c r="B12666" s="11" t="str">
        <f>"00612791"</f>
        <v>00612791</v>
      </c>
    </row>
    <row r="12667" spans="1:2" x14ac:dyDescent="0.25">
      <c r="A12667" s="2">
        <v>12662</v>
      </c>
      <c r="B12667" s="11" t="str">
        <f>"00612835"</f>
        <v>00612835</v>
      </c>
    </row>
    <row r="12668" spans="1:2" x14ac:dyDescent="0.25">
      <c r="A12668" s="2">
        <v>12663</v>
      </c>
      <c r="B12668" s="11" t="str">
        <f>"00612871"</f>
        <v>00612871</v>
      </c>
    </row>
    <row r="12669" spans="1:2" x14ac:dyDescent="0.25">
      <c r="A12669" s="2">
        <v>12664</v>
      </c>
      <c r="B12669" s="11" t="str">
        <f>"00612884"</f>
        <v>00612884</v>
      </c>
    </row>
    <row r="12670" spans="1:2" x14ac:dyDescent="0.25">
      <c r="A12670" s="2">
        <v>12665</v>
      </c>
      <c r="B12670" s="11" t="str">
        <f>"00612910"</f>
        <v>00612910</v>
      </c>
    </row>
    <row r="12671" spans="1:2" x14ac:dyDescent="0.25">
      <c r="A12671" s="2">
        <v>12666</v>
      </c>
      <c r="B12671" s="11" t="str">
        <f>"00612912"</f>
        <v>00612912</v>
      </c>
    </row>
    <row r="12672" spans="1:2" x14ac:dyDescent="0.25">
      <c r="A12672" s="2">
        <v>12667</v>
      </c>
      <c r="B12672" s="11" t="str">
        <f>"00612954"</f>
        <v>00612954</v>
      </c>
    </row>
    <row r="12673" spans="1:2" x14ac:dyDescent="0.25">
      <c r="A12673" s="2">
        <v>12668</v>
      </c>
      <c r="B12673" s="11" t="str">
        <f>"00613132"</f>
        <v>00613132</v>
      </c>
    </row>
    <row r="12674" spans="1:2" x14ac:dyDescent="0.25">
      <c r="A12674" s="2">
        <v>12669</v>
      </c>
      <c r="B12674" s="11" t="str">
        <f>"00613147"</f>
        <v>00613147</v>
      </c>
    </row>
    <row r="12675" spans="1:2" x14ac:dyDescent="0.25">
      <c r="A12675" s="2">
        <v>12670</v>
      </c>
      <c r="B12675" s="11" t="str">
        <f>"00613241"</f>
        <v>00613241</v>
      </c>
    </row>
    <row r="12676" spans="1:2" x14ac:dyDescent="0.25">
      <c r="A12676" s="2">
        <v>12671</v>
      </c>
      <c r="B12676" s="11" t="str">
        <f>"00613247"</f>
        <v>00613247</v>
      </c>
    </row>
    <row r="12677" spans="1:2" x14ac:dyDescent="0.25">
      <c r="A12677" s="2">
        <v>12672</v>
      </c>
      <c r="B12677" s="11" t="str">
        <f>"00613334"</f>
        <v>00613334</v>
      </c>
    </row>
    <row r="12678" spans="1:2" x14ac:dyDescent="0.25">
      <c r="A12678" s="2">
        <v>12673</v>
      </c>
      <c r="B12678" s="11" t="str">
        <f>"00613386"</f>
        <v>00613386</v>
      </c>
    </row>
    <row r="12679" spans="1:2" x14ac:dyDescent="0.25">
      <c r="A12679" s="2">
        <v>12674</v>
      </c>
      <c r="B12679" s="11" t="str">
        <f>"00613389"</f>
        <v>00613389</v>
      </c>
    </row>
    <row r="12680" spans="1:2" x14ac:dyDescent="0.25">
      <c r="A12680" s="2">
        <v>12675</v>
      </c>
      <c r="B12680" s="11" t="str">
        <f>"00613456"</f>
        <v>00613456</v>
      </c>
    </row>
    <row r="12681" spans="1:2" x14ac:dyDescent="0.25">
      <c r="A12681" s="2">
        <v>12676</v>
      </c>
      <c r="B12681" s="11" t="str">
        <f>"00613458"</f>
        <v>00613458</v>
      </c>
    </row>
    <row r="12682" spans="1:2" x14ac:dyDescent="0.25">
      <c r="A12682" s="2">
        <v>12677</v>
      </c>
      <c r="B12682" s="11" t="str">
        <f>"00613544"</f>
        <v>00613544</v>
      </c>
    </row>
    <row r="12683" spans="1:2" x14ac:dyDescent="0.25">
      <c r="A12683" s="2">
        <v>12678</v>
      </c>
      <c r="B12683" s="11" t="str">
        <f>"00613545"</f>
        <v>00613545</v>
      </c>
    </row>
    <row r="12684" spans="1:2" x14ac:dyDescent="0.25">
      <c r="A12684" s="2">
        <v>12679</v>
      </c>
      <c r="B12684" s="11" t="str">
        <f>"00613625"</f>
        <v>00613625</v>
      </c>
    </row>
    <row r="12685" spans="1:2" x14ac:dyDescent="0.25">
      <c r="A12685" s="2">
        <v>12680</v>
      </c>
      <c r="B12685" s="11" t="str">
        <f>"00613678"</f>
        <v>00613678</v>
      </c>
    </row>
    <row r="12686" spans="1:2" x14ac:dyDescent="0.25">
      <c r="A12686" s="2">
        <v>12681</v>
      </c>
      <c r="B12686" s="11" t="str">
        <f>"00613700"</f>
        <v>00613700</v>
      </c>
    </row>
    <row r="12687" spans="1:2" x14ac:dyDescent="0.25">
      <c r="A12687" s="2">
        <v>12682</v>
      </c>
      <c r="B12687" s="11" t="str">
        <f>"00613712"</f>
        <v>00613712</v>
      </c>
    </row>
    <row r="12688" spans="1:2" x14ac:dyDescent="0.25">
      <c r="A12688" s="2">
        <v>12683</v>
      </c>
      <c r="B12688" s="11" t="str">
        <f>"00613899"</f>
        <v>00613899</v>
      </c>
    </row>
    <row r="12689" spans="1:2" x14ac:dyDescent="0.25">
      <c r="A12689" s="2">
        <v>12684</v>
      </c>
      <c r="B12689" s="11" t="str">
        <f>"00613907"</f>
        <v>00613907</v>
      </c>
    </row>
    <row r="12690" spans="1:2" x14ac:dyDescent="0.25">
      <c r="A12690" s="2">
        <v>12685</v>
      </c>
      <c r="B12690" s="11" t="str">
        <f>"00613961"</f>
        <v>00613961</v>
      </c>
    </row>
    <row r="12691" spans="1:2" x14ac:dyDescent="0.25">
      <c r="A12691" s="2">
        <v>12686</v>
      </c>
      <c r="B12691" s="11" t="str">
        <f>"00614015"</f>
        <v>00614015</v>
      </c>
    </row>
    <row r="12692" spans="1:2" x14ac:dyDescent="0.25">
      <c r="A12692" s="2">
        <v>12687</v>
      </c>
      <c r="B12692" s="11" t="str">
        <f>"00614019"</f>
        <v>00614019</v>
      </c>
    </row>
    <row r="12693" spans="1:2" x14ac:dyDescent="0.25">
      <c r="A12693" s="2">
        <v>12688</v>
      </c>
      <c r="B12693" s="11" t="str">
        <f>"00614056"</f>
        <v>00614056</v>
      </c>
    </row>
    <row r="12694" spans="1:2" x14ac:dyDescent="0.25">
      <c r="A12694" s="2">
        <v>12689</v>
      </c>
      <c r="B12694" s="11" t="str">
        <f>"00614059"</f>
        <v>00614059</v>
      </c>
    </row>
    <row r="12695" spans="1:2" x14ac:dyDescent="0.25">
      <c r="A12695" s="2">
        <v>12690</v>
      </c>
      <c r="B12695" s="11" t="str">
        <f>"00614102"</f>
        <v>00614102</v>
      </c>
    </row>
    <row r="12696" spans="1:2" x14ac:dyDescent="0.25">
      <c r="A12696" s="2">
        <v>12691</v>
      </c>
      <c r="B12696" s="11" t="str">
        <f>"00614128"</f>
        <v>00614128</v>
      </c>
    </row>
    <row r="12697" spans="1:2" x14ac:dyDescent="0.25">
      <c r="A12697" s="2">
        <v>12692</v>
      </c>
      <c r="B12697" s="11" t="str">
        <f>"00614232"</f>
        <v>00614232</v>
      </c>
    </row>
    <row r="12698" spans="1:2" x14ac:dyDescent="0.25">
      <c r="A12698" s="2">
        <v>12693</v>
      </c>
      <c r="B12698" s="11" t="str">
        <f>"00614240"</f>
        <v>00614240</v>
      </c>
    </row>
    <row r="12699" spans="1:2" x14ac:dyDescent="0.25">
      <c r="A12699" s="2">
        <v>12694</v>
      </c>
      <c r="B12699" s="11" t="str">
        <f>"00614360"</f>
        <v>00614360</v>
      </c>
    </row>
    <row r="12700" spans="1:2" x14ac:dyDescent="0.25">
      <c r="A12700" s="2">
        <v>12695</v>
      </c>
      <c r="B12700" s="11" t="str">
        <f>"00614369"</f>
        <v>00614369</v>
      </c>
    </row>
    <row r="12701" spans="1:2" x14ac:dyDescent="0.25">
      <c r="A12701" s="2">
        <v>12696</v>
      </c>
      <c r="B12701" s="11" t="str">
        <f>"00614381"</f>
        <v>00614381</v>
      </c>
    </row>
    <row r="12702" spans="1:2" x14ac:dyDescent="0.25">
      <c r="A12702" s="2">
        <v>12697</v>
      </c>
      <c r="B12702" s="11" t="str">
        <f>"00614387"</f>
        <v>00614387</v>
      </c>
    </row>
    <row r="12703" spans="1:2" x14ac:dyDescent="0.25">
      <c r="A12703" s="2">
        <v>12698</v>
      </c>
      <c r="B12703" s="11" t="str">
        <f>"00614388"</f>
        <v>00614388</v>
      </c>
    </row>
    <row r="12704" spans="1:2" x14ac:dyDescent="0.25">
      <c r="A12704" s="2">
        <v>12699</v>
      </c>
      <c r="B12704" s="11" t="str">
        <f>"00614397"</f>
        <v>00614397</v>
      </c>
    </row>
    <row r="12705" spans="1:2" x14ac:dyDescent="0.25">
      <c r="A12705" s="2">
        <v>12700</v>
      </c>
      <c r="B12705" s="11" t="str">
        <f>"00614401"</f>
        <v>00614401</v>
      </c>
    </row>
    <row r="12706" spans="1:2" x14ac:dyDescent="0.25">
      <c r="A12706" s="2">
        <v>12701</v>
      </c>
      <c r="B12706" s="11" t="str">
        <f>"00614470"</f>
        <v>00614470</v>
      </c>
    </row>
    <row r="12707" spans="1:2" x14ac:dyDescent="0.25">
      <c r="A12707" s="2">
        <v>12702</v>
      </c>
      <c r="B12707" s="11" t="str">
        <f>"00614476"</f>
        <v>00614476</v>
      </c>
    </row>
    <row r="12708" spans="1:2" x14ac:dyDescent="0.25">
      <c r="A12708" s="2">
        <v>12703</v>
      </c>
      <c r="B12708" s="11" t="str">
        <f>"00614520"</f>
        <v>00614520</v>
      </c>
    </row>
    <row r="12709" spans="1:2" x14ac:dyDescent="0.25">
      <c r="A12709" s="2">
        <v>12704</v>
      </c>
      <c r="B12709" s="11" t="str">
        <f>"00614638"</f>
        <v>00614638</v>
      </c>
    </row>
    <row r="12710" spans="1:2" x14ac:dyDescent="0.25">
      <c r="A12710" s="2">
        <v>12705</v>
      </c>
      <c r="B12710" s="11" t="str">
        <f>"00614648"</f>
        <v>00614648</v>
      </c>
    </row>
    <row r="12711" spans="1:2" x14ac:dyDescent="0.25">
      <c r="A12711" s="2">
        <v>12706</v>
      </c>
      <c r="B12711" s="11" t="str">
        <f>"00614682"</f>
        <v>00614682</v>
      </c>
    </row>
    <row r="12712" spans="1:2" x14ac:dyDescent="0.25">
      <c r="A12712" s="2">
        <v>12707</v>
      </c>
      <c r="B12712" s="11" t="str">
        <f>"00614684"</f>
        <v>00614684</v>
      </c>
    </row>
    <row r="12713" spans="1:2" x14ac:dyDescent="0.25">
      <c r="A12713" s="2">
        <v>12708</v>
      </c>
      <c r="B12713" s="11" t="str">
        <f>"00614688"</f>
        <v>00614688</v>
      </c>
    </row>
    <row r="12714" spans="1:2" x14ac:dyDescent="0.25">
      <c r="A12714" s="2">
        <v>12709</v>
      </c>
      <c r="B12714" s="11" t="str">
        <f>"00614738"</f>
        <v>00614738</v>
      </c>
    </row>
    <row r="12715" spans="1:2" x14ac:dyDescent="0.25">
      <c r="A12715" s="2">
        <v>12710</v>
      </c>
      <c r="B12715" s="11" t="str">
        <f>"00614759"</f>
        <v>00614759</v>
      </c>
    </row>
    <row r="12716" spans="1:2" x14ac:dyDescent="0.25">
      <c r="A12716" s="2">
        <v>12711</v>
      </c>
      <c r="B12716" s="11" t="str">
        <f>"00614880"</f>
        <v>00614880</v>
      </c>
    </row>
    <row r="12717" spans="1:2" x14ac:dyDescent="0.25">
      <c r="A12717" s="2">
        <v>12712</v>
      </c>
      <c r="B12717" s="11" t="str">
        <f>"00614900"</f>
        <v>00614900</v>
      </c>
    </row>
    <row r="12718" spans="1:2" x14ac:dyDescent="0.25">
      <c r="A12718" s="2">
        <v>12713</v>
      </c>
      <c r="B12718" s="11" t="str">
        <f>"00615005"</f>
        <v>00615005</v>
      </c>
    </row>
    <row r="12719" spans="1:2" x14ac:dyDescent="0.25">
      <c r="A12719" s="2">
        <v>12714</v>
      </c>
      <c r="B12719" s="11" t="str">
        <f>"00615083"</f>
        <v>00615083</v>
      </c>
    </row>
    <row r="12720" spans="1:2" x14ac:dyDescent="0.25">
      <c r="A12720" s="2">
        <v>12715</v>
      </c>
      <c r="B12720" s="11" t="str">
        <f>"00615181"</f>
        <v>00615181</v>
      </c>
    </row>
    <row r="12721" spans="1:2" x14ac:dyDescent="0.25">
      <c r="A12721" s="2">
        <v>12716</v>
      </c>
      <c r="B12721" s="11" t="str">
        <f>"00615228"</f>
        <v>00615228</v>
      </c>
    </row>
    <row r="12722" spans="1:2" x14ac:dyDescent="0.25">
      <c r="A12722" s="2">
        <v>12717</v>
      </c>
      <c r="B12722" s="11" t="str">
        <f>"00615316"</f>
        <v>00615316</v>
      </c>
    </row>
    <row r="12723" spans="1:2" x14ac:dyDescent="0.25">
      <c r="A12723" s="2">
        <v>12718</v>
      </c>
      <c r="B12723" s="11" t="str">
        <f>"00615332"</f>
        <v>00615332</v>
      </c>
    </row>
    <row r="12724" spans="1:2" x14ac:dyDescent="0.25">
      <c r="A12724" s="2">
        <v>12719</v>
      </c>
      <c r="B12724" s="11" t="str">
        <f>"00615348"</f>
        <v>00615348</v>
      </c>
    </row>
    <row r="12725" spans="1:2" x14ac:dyDescent="0.25">
      <c r="A12725" s="2">
        <v>12720</v>
      </c>
      <c r="B12725" s="11" t="str">
        <f>"00615443"</f>
        <v>00615443</v>
      </c>
    </row>
    <row r="12726" spans="1:2" x14ac:dyDescent="0.25">
      <c r="A12726" s="2">
        <v>12721</v>
      </c>
      <c r="B12726" s="11" t="str">
        <f>"00615505"</f>
        <v>00615505</v>
      </c>
    </row>
    <row r="12727" spans="1:2" x14ac:dyDescent="0.25">
      <c r="A12727" s="2">
        <v>12722</v>
      </c>
      <c r="B12727" s="11" t="str">
        <f>"00615810"</f>
        <v>00615810</v>
      </c>
    </row>
    <row r="12728" spans="1:2" x14ac:dyDescent="0.25">
      <c r="A12728" s="2">
        <v>12723</v>
      </c>
      <c r="B12728" s="11" t="str">
        <f>"00615920"</f>
        <v>00615920</v>
      </c>
    </row>
    <row r="12729" spans="1:2" x14ac:dyDescent="0.25">
      <c r="A12729" s="2">
        <v>12724</v>
      </c>
      <c r="B12729" s="11" t="str">
        <f>"00615928"</f>
        <v>00615928</v>
      </c>
    </row>
    <row r="12730" spans="1:2" x14ac:dyDescent="0.25">
      <c r="A12730" s="2">
        <v>12725</v>
      </c>
      <c r="B12730" s="11" t="str">
        <f>"00615931"</f>
        <v>00615931</v>
      </c>
    </row>
    <row r="12731" spans="1:2" x14ac:dyDescent="0.25">
      <c r="A12731" s="2">
        <v>12726</v>
      </c>
      <c r="B12731" s="11" t="str">
        <f>"00615943"</f>
        <v>00615943</v>
      </c>
    </row>
    <row r="12732" spans="1:2" x14ac:dyDescent="0.25">
      <c r="A12732" s="2">
        <v>12727</v>
      </c>
      <c r="B12732" s="11" t="str">
        <f>"00615947"</f>
        <v>00615947</v>
      </c>
    </row>
    <row r="12733" spans="1:2" x14ac:dyDescent="0.25">
      <c r="A12733" s="2">
        <v>12728</v>
      </c>
      <c r="B12733" s="11" t="str">
        <f>"00615973"</f>
        <v>00615973</v>
      </c>
    </row>
    <row r="12734" spans="1:2" x14ac:dyDescent="0.25">
      <c r="A12734" s="2">
        <v>12729</v>
      </c>
      <c r="B12734" s="11" t="str">
        <f>"00615974"</f>
        <v>00615974</v>
      </c>
    </row>
    <row r="12735" spans="1:2" x14ac:dyDescent="0.25">
      <c r="A12735" s="2">
        <v>12730</v>
      </c>
      <c r="B12735" s="11" t="str">
        <f>"00616022"</f>
        <v>00616022</v>
      </c>
    </row>
    <row r="12736" spans="1:2" x14ac:dyDescent="0.25">
      <c r="A12736" s="2">
        <v>12731</v>
      </c>
      <c r="B12736" s="11" t="str">
        <f>"00616024"</f>
        <v>00616024</v>
      </c>
    </row>
    <row r="12737" spans="1:2" x14ac:dyDescent="0.25">
      <c r="A12737" s="2">
        <v>12732</v>
      </c>
      <c r="B12737" s="11" t="str">
        <f>"00616060"</f>
        <v>00616060</v>
      </c>
    </row>
    <row r="12738" spans="1:2" x14ac:dyDescent="0.25">
      <c r="A12738" s="2">
        <v>12733</v>
      </c>
      <c r="B12738" s="11" t="str">
        <f>"00616078"</f>
        <v>00616078</v>
      </c>
    </row>
    <row r="12739" spans="1:2" x14ac:dyDescent="0.25">
      <c r="A12739" s="2">
        <v>12734</v>
      </c>
      <c r="B12739" s="11" t="str">
        <f>"00616084"</f>
        <v>00616084</v>
      </c>
    </row>
    <row r="12740" spans="1:2" x14ac:dyDescent="0.25">
      <c r="A12740" s="2">
        <v>12735</v>
      </c>
      <c r="B12740" s="11" t="str">
        <f>"00616096"</f>
        <v>00616096</v>
      </c>
    </row>
    <row r="12741" spans="1:2" x14ac:dyDescent="0.25">
      <c r="A12741" s="2">
        <v>12736</v>
      </c>
      <c r="B12741" s="11" t="str">
        <f>"00616177"</f>
        <v>00616177</v>
      </c>
    </row>
    <row r="12742" spans="1:2" x14ac:dyDescent="0.25">
      <c r="A12742" s="2">
        <v>12737</v>
      </c>
      <c r="B12742" s="11" t="str">
        <f>"00616211"</f>
        <v>00616211</v>
      </c>
    </row>
    <row r="12743" spans="1:2" x14ac:dyDescent="0.25">
      <c r="A12743" s="2">
        <v>12738</v>
      </c>
      <c r="B12743" s="11" t="str">
        <f>"00616269"</f>
        <v>00616269</v>
      </c>
    </row>
    <row r="12744" spans="1:2" x14ac:dyDescent="0.25">
      <c r="A12744" s="2">
        <v>12739</v>
      </c>
      <c r="B12744" s="11" t="str">
        <f>"00616284"</f>
        <v>00616284</v>
      </c>
    </row>
    <row r="12745" spans="1:2" x14ac:dyDescent="0.25">
      <c r="A12745" s="2">
        <v>12740</v>
      </c>
      <c r="B12745" s="11" t="str">
        <f>"00616328"</f>
        <v>00616328</v>
      </c>
    </row>
    <row r="12746" spans="1:2" x14ac:dyDescent="0.25">
      <c r="A12746" s="2">
        <v>12741</v>
      </c>
      <c r="B12746" s="11" t="str">
        <f>"00616339"</f>
        <v>00616339</v>
      </c>
    </row>
    <row r="12747" spans="1:2" x14ac:dyDescent="0.25">
      <c r="A12747" s="2">
        <v>12742</v>
      </c>
      <c r="B12747" s="11" t="str">
        <f>"00616384"</f>
        <v>00616384</v>
      </c>
    </row>
    <row r="12748" spans="1:2" x14ac:dyDescent="0.25">
      <c r="A12748" s="2">
        <v>12743</v>
      </c>
      <c r="B12748" s="11" t="str">
        <f>"00616408"</f>
        <v>00616408</v>
      </c>
    </row>
    <row r="12749" spans="1:2" x14ac:dyDescent="0.25">
      <c r="A12749" s="2">
        <v>12744</v>
      </c>
      <c r="B12749" s="11" t="str">
        <f>"00616414"</f>
        <v>00616414</v>
      </c>
    </row>
    <row r="12750" spans="1:2" x14ac:dyDescent="0.25">
      <c r="A12750" s="2">
        <v>12745</v>
      </c>
      <c r="B12750" s="11" t="str">
        <f>"00616525"</f>
        <v>00616525</v>
      </c>
    </row>
    <row r="12751" spans="1:2" x14ac:dyDescent="0.25">
      <c r="A12751" s="2">
        <v>12746</v>
      </c>
      <c r="B12751" s="11" t="str">
        <f>"00616575"</f>
        <v>00616575</v>
      </c>
    </row>
    <row r="12752" spans="1:2" x14ac:dyDescent="0.25">
      <c r="A12752" s="2">
        <v>12747</v>
      </c>
      <c r="B12752" s="11" t="str">
        <f>"00616690"</f>
        <v>00616690</v>
      </c>
    </row>
    <row r="12753" spans="1:2" x14ac:dyDescent="0.25">
      <c r="A12753" s="2">
        <v>12748</v>
      </c>
      <c r="B12753" s="11" t="str">
        <f>"00616720"</f>
        <v>00616720</v>
      </c>
    </row>
    <row r="12754" spans="1:2" x14ac:dyDescent="0.25">
      <c r="A12754" s="2">
        <v>12749</v>
      </c>
      <c r="B12754" s="11" t="str">
        <f>"00616759"</f>
        <v>00616759</v>
      </c>
    </row>
    <row r="12755" spans="1:2" x14ac:dyDescent="0.25">
      <c r="A12755" s="2">
        <v>12750</v>
      </c>
      <c r="B12755" s="11" t="str">
        <f>"00616803"</f>
        <v>00616803</v>
      </c>
    </row>
    <row r="12756" spans="1:2" x14ac:dyDescent="0.25">
      <c r="A12756" s="2">
        <v>12751</v>
      </c>
      <c r="B12756" s="11" t="str">
        <f>"00616840"</f>
        <v>00616840</v>
      </c>
    </row>
    <row r="12757" spans="1:2" x14ac:dyDescent="0.25">
      <c r="A12757" s="2">
        <v>12752</v>
      </c>
      <c r="B12757" s="11" t="str">
        <f>"00616905"</f>
        <v>00616905</v>
      </c>
    </row>
    <row r="12758" spans="1:2" x14ac:dyDescent="0.25">
      <c r="A12758" s="2">
        <v>12753</v>
      </c>
      <c r="B12758" s="11" t="str">
        <f>"00616976"</f>
        <v>00616976</v>
      </c>
    </row>
    <row r="12759" spans="1:2" x14ac:dyDescent="0.25">
      <c r="A12759" s="2">
        <v>12754</v>
      </c>
      <c r="B12759" s="11" t="str">
        <f>"00617053"</f>
        <v>00617053</v>
      </c>
    </row>
    <row r="12760" spans="1:2" x14ac:dyDescent="0.25">
      <c r="A12760" s="2">
        <v>12755</v>
      </c>
      <c r="B12760" s="11" t="str">
        <f>"00617105"</f>
        <v>00617105</v>
      </c>
    </row>
    <row r="12761" spans="1:2" x14ac:dyDescent="0.25">
      <c r="A12761" s="2">
        <v>12756</v>
      </c>
      <c r="B12761" s="11" t="str">
        <f>"00617114"</f>
        <v>00617114</v>
      </c>
    </row>
    <row r="12762" spans="1:2" x14ac:dyDescent="0.25">
      <c r="A12762" s="2">
        <v>12757</v>
      </c>
      <c r="B12762" s="11" t="str">
        <f>"00617237"</f>
        <v>00617237</v>
      </c>
    </row>
    <row r="12763" spans="1:2" x14ac:dyDescent="0.25">
      <c r="A12763" s="2">
        <v>12758</v>
      </c>
      <c r="B12763" s="11" t="str">
        <f>"00617591"</f>
        <v>00617591</v>
      </c>
    </row>
    <row r="12764" spans="1:2" x14ac:dyDescent="0.25">
      <c r="A12764" s="2">
        <v>12759</v>
      </c>
      <c r="B12764" s="11" t="str">
        <f>"00617613"</f>
        <v>00617613</v>
      </c>
    </row>
    <row r="12765" spans="1:2" x14ac:dyDescent="0.25">
      <c r="A12765" s="2">
        <v>12760</v>
      </c>
      <c r="B12765" s="11" t="str">
        <f>"00617648"</f>
        <v>00617648</v>
      </c>
    </row>
    <row r="12766" spans="1:2" x14ac:dyDescent="0.25">
      <c r="A12766" s="2">
        <v>12761</v>
      </c>
      <c r="B12766" s="11" t="str">
        <f>"00617662"</f>
        <v>00617662</v>
      </c>
    </row>
    <row r="12767" spans="1:2" x14ac:dyDescent="0.25">
      <c r="A12767" s="2">
        <v>12762</v>
      </c>
      <c r="B12767" s="11" t="str">
        <f>"00617665"</f>
        <v>00617665</v>
      </c>
    </row>
    <row r="12768" spans="1:2" x14ac:dyDescent="0.25">
      <c r="A12768" s="2">
        <v>12763</v>
      </c>
      <c r="B12768" s="11" t="str">
        <f>"00617788"</f>
        <v>00617788</v>
      </c>
    </row>
    <row r="12769" spans="1:2" x14ac:dyDescent="0.25">
      <c r="A12769" s="2">
        <v>12764</v>
      </c>
      <c r="B12769" s="11" t="str">
        <f>"00617845"</f>
        <v>00617845</v>
      </c>
    </row>
    <row r="12770" spans="1:2" x14ac:dyDescent="0.25">
      <c r="A12770" s="2">
        <v>12765</v>
      </c>
      <c r="B12770" s="11" t="str">
        <f>"00617869"</f>
        <v>00617869</v>
      </c>
    </row>
    <row r="12771" spans="1:2" x14ac:dyDescent="0.25">
      <c r="A12771" s="2">
        <v>12766</v>
      </c>
      <c r="B12771" s="11" t="str">
        <f>"00617937"</f>
        <v>00617937</v>
      </c>
    </row>
    <row r="12772" spans="1:2" x14ac:dyDescent="0.25">
      <c r="A12772" s="2">
        <v>12767</v>
      </c>
      <c r="B12772" s="11" t="str">
        <f>"00617949"</f>
        <v>00617949</v>
      </c>
    </row>
    <row r="12773" spans="1:2" x14ac:dyDescent="0.25">
      <c r="A12773" s="2">
        <v>12768</v>
      </c>
      <c r="B12773" s="11" t="str">
        <f>"00617972"</f>
        <v>00617972</v>
      </c>
    </row>
    <row r="12774" spans="1:2" x14ac:dyDescent="0.25">
      <c r="A12774" s="2">
        <v>12769</v>
      </c>
      <c r="B12774" s="11" t="str">
        <f>"00618012"</f>
        <v>00618012</v>
      </c>
    </row>
    <row r="12775" spans="1:2" x14ac:dyDescent="0.25">
      <c r="A12775" s="2">
        <v>12770</v>
      </c>
      <c r="B12775" s="11" t="str">
        <f>"00618025"</f>
        <v>00618025</v>
      </c>
    </row>
    <row r="12776" spans="1:2" x14ac:dyDescent="0.25">
      <c r="A12776" s="2">
        <v>12771</v>
      </c>
      <c r="B12776" s="11" t="str">
        <f>"00618319"</f>
        <v>00618319</v>
      </c>
    </row>
    <row r="12777" spans="1:2" x14ac:dyDescent="0.25">
      <c r="A12777" s="2">
        <v>12772</v>
      </c>
      <c r="B12777" s="11" t="str">
        <f>"00618322"</f>
        <v>00618322</v>
      </c>
    </row>
    <row r="12778" spans="1:2" x14ac:dyDescent="0.25">
      <c r="A12778" s="2">
        <v>12773</v>
      </c>
      <c r="B12778" s="11" t="str">
        <f>"00618345"</f>
        <v>00618345</v>
      </c>
    </row>
    <row r="12779" spans="1:2" x14ac:dyDescent="0.25">
      <c r="A12779" s="2">
        <v>12774</v>
      </c>
      <c r="B12779" s="11" t="str">
        <f>"00618356"</f>
        <v>00618356</v>
      </c>
    </row>
    <row r="12780" spans="1:2" x14ac:dyDescent="0.25">
      <c r="A12780" s="2">
        <v>12775</v>
      </c>
      <c r="B12780" s="11" t="str">
        <f>"00618361"</f>
        <v>00618361</v>
      </c>
    </row>
    <row r="12781" spans="1:2" x14ac:dyDescent="0.25">
      <c r="A12781" s="2">
        <v>12776</v>
      </c>
      <c r="B12781" s="11" t="str">
        <f>"00618409"</f>
        <v>00618409</v>
      </c>
    </row>
    <row r="12782" spans="1:2" x14ac:dyDescent="0.25">
      <c r="A12782" s="2">
        <v>12777</v>
      </c>
      <c r="B12782" s="11" t="str">
        <f>"00618656"</f>
        <v>00618656</v>
      </c>
    </row>
    <row r="12783" spans="1:2" x14ac:dyDescent="0.25">
      <c r="A12783" s="2">
        <v>12778</v>
      </c>
      <c r="B12783" s="11" t="str">
        <f>"00618724"</f>
        <v>00618724</v>
      </c>
    </row>
    <row r="12784" spans="1:2" x14ac:dyDescent="0.25">
      <c r="A12784" s="2">
        <v>12779</v>
      </c>
      <c r="B12784" s="11" t="str">
        <f>"00618760"</f>
        <v>00618760</v>
      </c>
    </row>
    <row r="12785" spans="1:2" x14ac:dyDescent="0.25">
      <c r="A12785" s="2">
        <v>12780</v>
      </c>
      <c r="B12785" s="11" t="str">
        <f>"00618779"</f>
        <v>00618779</v>
      </c>
    </row>
    <row r="12786" spans="1:2" x14ac:dyDescent="0.25">
      <c r="A12786" s="2">
        <v>12781</v>
      </c>
      <c r="B12786" s="11" t="str">
        <f>"00618783"</f>
        <v>00618783</v>
      </c>
    </row>
    <row r="12787" spans="1:2" x14ac:dyDescent="0.25">
      <c r="A12787" s="2">
        <v>12782</v>
      </c>
      <c r="B12787" s="11" t="str">
        <f>"00618806"</f>
        <v>00618806</v>
      </c>
    </row>
    <row r="12788" spans="1:2" x14ac:dyDescent="0.25">
      <c r="A12788" s="2">
        <v>12783</v>
      </c>
      <c r="B12788" s="11" t="str">
        <f>"00618840"</f>
        <v>00618840</v>
      </c>
    </row>
    <row r="12789" spans="1:2" x14ac:dyDescent="0.25">
      <c r="A12789" s="2">
        <v>12784</v>
      </c>
      <c r="B12789" s="11" t="str">
        <f>"00618844"</f>
        <v>00618844</v>
      </c>
    </row>
    <row r="12790" spans="1:2" x14ac:dyDescent="0.25">
      <c r="A12790" s="2">
        <v>12785</v>
      </c>
      <c r="B12790" s="11" t="str">
        <f>"00618931"</f>
        <v>00618931</v>
      </c>
    </row>
    <row r="12791" spans="1:2" x14ac:dyDescent="0.25">
      <c r="A12791" s="2">
        <v>12786</v>
      </c>
      <c r="B12791" s="11" t="str">
        <f>"00618936"</f>
        <v>00618936</v>
      </c>
    </row>
    <row r="12792" spans="1:2" x14ac:dyDescent="0.25">
      <c r="A12792" s="2">
        <v>12787</v>
      </c>
      <c r="B12792" s="11" t="str">
        <f>"00619013"</f>
        <v>00619013</v>
      </c>
    </row>
    <row r="12793" spans="1:2" x14ac:dyDescent="0.25">
      <c r="A12793" s="2">
        <v>12788</v>
      </c>
      <c r="B12793" s="11" t="str">
        <f>"00619021"</f>
        <v>00619021</v>
      </c>
    </row>
    <row r="12794" spans="1:2" x14ac:dyDescent="0.25">
      <c r="A12794" s="2">
        <v>12789</v>
      </c>
      <c r="B12794" s="11" t="str">
        <f>"00619042"</f>
        <v>00619042</v>
      </c>
    </row>
    <row r="12795" spans="1:2" x14ac:dyDescent="0.25">
      <c r="A12795" s="2">
        <v>12790</v>
      </c>
      <c r="B12795" s="11" t="str">
        <f>"00619070"</f>
        <v>00619070</v>
      </c>
    </row>
    <row r="12796" spans="1:2" x14ac:dyDescent="0.25">
      <c r="A12796" s="2">
        <v>12791</v>
      </c>
      <c r="B12796" s="11" t="str">
        <f>"00619113"</f>
        <v>00619113</v>
      </c>
    </row>
    <row r="12797" spans="1:2" x14ac:dyDescent="0.25">
      <c r="A12797" s="2">
        <v>12792</v>
      </c>
      <c r="B12797" s="11" t="str">
        <f>"00619210"</f>
        <v>00619210</v>
      </c>
    </row>
    <row r="12798" spans="1:2" x14ac:dyDescent="0.25">
      <c r="A12798" s="2">
        <v>12793</v>
      </c>
      <c r="B12798" s="11" t="str">
        <f>"00619232"</f>
        <v>00619232</v>
      </c>
    </row>
    <row r="12799" spans="1:2" x14ac:dyDescent="0.25">
      <c r="A12799" s="2">
        <v>12794</v>
      </c>
      <c r="B12799" s="11" t="str">
        <f>"00619268"</f>
        <v>00619268</v>
      </c>
    </row>
    <row r="12800" spans="1:2" x14ac:dyDescent="0.25">
      <c r="A12800" s="2">
        <v>12795</v>
      </c>
      <c r="B12800" s="11" t="str">
        <f>"00619275"</f>
        <v>00619275</v>
      </c>
    </row>
    <row r="12801" spans="1:2" x14ac:dyDescent="0.25">
      <c r="A12801" s="2">
        <v>12796</v>
      </c>
      <c r="B12801" s="11" t="str">
        <f>"00619291"</f>
        <v>00619291</v>
      </c>
    </row>
    <row r="12802" spans="1:2" x14ac:dyDescent="0.25">
      <c r="A12802" s="2">
        <v>12797</v>
      </c>
      <c r="B12802" s="11" t="str">
        <f>"00619345"</f>
        <v>00619345</v>
      </c>
    </row>
    <row r="12803" spans="1:2" x14ac:dyDescent="0.25">
      <c r="A12803" s="2">
        <v>12798</v>
      </c>
      <c r="B12803" s="11" t="str">
        <f>"00619354"</f>
        <v>00619354</v>
      </c>
    </row>
    <row r="12804" spans="1:2" x14ac:dyDescent="0.25">
      <c r="A12804" s="2">
        <v>12799</v>
      </c>
      <c r="B12804" s="11" t="str">
        <f>"00619452"</f>
        <v>00619452</v>
      </c>
    </row>
    <row r="12805" spans="1:2" x14ac:dyDescent="0.25">
      <c r="A12805" s="2">
        <v>12800</v>
      </c>
      <c r="B12805" s="11" t="str">
        <f>"00619468"</f>
        <v>00619468</v>
      </c>
    </row>
    <row r="12806" spans="1:2" x14ac:dyDescent="0.25">
      <c r="A12806" s="2">
        <v>12801</v>
      </c>
      <c r="B12806" s="11" t="str">
        <f>"00619577"</f>
        <v>00619577</v>
      </c>
    </row>
    <row r="12807" spans="1:2" x14ac:dyDescent="0.25">
      <c r="A12807" s="2">
        <v>12802</v>
      </c>
      <c r="B12807" s="11" t="str">
        <f>"00619601"</f>
        <v>00619601</v>
      </c>
    </row>
    <row r="12808" spans="1:2" x14ac:dyDescent="0.25">
      <c r="A12808" s="2">
        <v>12803</v>
      </c>
      <c r="B12808" s="11" t="str">
        <f>"00619696"</f>
        <v>00619696</v>
      </c>
    </row>
    <row r="12809" spans="1:2" x14ac:dyDescent="0.25">
      <c r="A12809" s="2">
        <v>12804</v>
      </c>
      <c r="B12809" s="11" t="str">
        <f>"00619698"</f>
        <v>00619698</v>
      </c>
    </row>
    <row r="12810" spans="1:2" x14ac:dyDescent="0.25">
      <c r="A12810" s="2">
        <v>12805</v>
      </c>
      <c r="B12810" s="11" t="str">
        <f>"00619708"</f>
        <v>00619708</v>
      </c>
    </row>
    <row r="12811" spans="1:2" x14ac:dyDescent="0.25">
      <c r="A12811" s="2">
        <v>12806</v>
      </c>
      <c r="B12811" s="11" t="str">
        <f>"00619713"</f>
        <v>00619713</v>
      </c>
    </row>
    <row r="12812" spans="1:2" x14ac:dyDescent="0.25">
      <c r="A12812" s="2">
        <v>12807</v>
      </c>
      <c r="B12812" s="11" t="str">
        <f>"00619870"</f>
        <v>00619870</v>
      </c>
    </row>
    <row r="12813" spans="1:2" x14ac:dyDescent="0.25">
      <c r="A12813" s="2">
        <v>12808</v>
      </c>
      <c r="B12813" s="11" t="str">
        <f>"00620005"</f>
        <v>00620005</v>
      </c>
    </row>
    <row r="12814" spans="1:2" x14ac:dyDescent="0.25">
      <c r="A12814" s="2">
        <v>12809</v>
      </c>
      <c r="B12814" s="11" t="str">
        <f>"00620024"</f>
        <v>00620024</v>
      </c>
    </row>
    <row r="12815" spans="1:2" x14ac:dyDescent="0.25">
      <c r="A12815" s="2">
        <v>12810</v>
      </c>
      <c r="B12815" s="11" t="str">
        <f>"00620150"</f>
        <v>00620150</v>
      </c>
    </row>
    <row r="12816" spans="1:2" x14ac:dyDescent="0.25">
      <c r="A12816" s="2">
        <v>12811</v>
      </c>
      <c r="B12816" s="11" t="str">
        <f>"00620215"</f>
        <v>00620215</v>
      </c>
    </row>
    <row r="12817" spans="1:2" x14ac:dyDescent="0.25">
      <c r="A12817" s="2">
        <v>12812</v>
      </c>
      <c r="B12817" s="11" t="str">
        <f>"00620353"</f>
        <v>00620353</v>
      </c>
    </row>
    <row r="12818" spans="1:2" x14ac:dyDescent="0.25">
      <c r="A12818" s="2">
        <v>12813</v>
      </c>
      <c r="B12818" s="11" t="str">
        <f>"00620385"</f>
        <v>00620385</v>
      </c>
    </row>
    <row r="12819" spans="1:2" x14ac:dyDescent="0.25">
      <c r="A12819" s="2">
        <v>12814</v>
      </c>
      <c r="B12819" s="11" t="str">
        <f>"00620386"</f>
        <v>00620386</v>
      </c>
    </row>
    <row r="12820" spans="1:2" x14ac:dyDescent="0.25">
      <c r="A12820" s="2">
        <v>12815</v>
      </c>
      <c r="B12820" s="11" t="str">
        <f>"00620443"</f>
        <v>00620443</v>
      </c>
    </row>
    <row r="12821" spans="1:2" x14ac:dyDescent="0.25">
      <c r="A12821" s="2">
        <v>12816</v>
      </c>
      <c r="B12821" s="11" t="str">
        <f>"00620447"</f>
        <v>00620447</v>
      </c>
    </row>
    <row r="12822" spans="1:2" x14ac:dyDescent="0.25">
      <c r="A12822" s="2">
        <v>12817</v>
      </c>
      <c r="B12822" s="11" t="str">
        <f>"00620457"</f>
        <v>00620457</v>
      </c>
    </row>
    <row r="12823" spans="1:2" x14ac:dyDescent="0.25">
      <c r="A12823" s="2">
        <v>12818</v>
      </c>
      <c r="B12823" s="11" t="str">
        <f>"00620489"</f>
        <v>00620489</v>
      </c>
    </row>
    <row r="12824" spans="1:2" x14ac:dyDescent="0.25">
      <c r="A12824" s="2">
        <v>12819</v>
      </c>
      <c r="B12824" s="11" t="str">
        <f>"00620698"</f>
        <v>00620698</v>
      </c>
    </row>
    <row r="12825" spans="1:2" x14ac:dyDescent="0.25">
      <c r="A12825" s="2">
        <v>12820</v>
      </c>
      <c r="B12825" s="11" t="str">
        <f>"00620735"</f>
        <v>00620735</v>
      </c>
    </row>
    <row r="12826" spans="1:2" x14ac:dyDescent="0.25">
      <c r="A12826" s="2">
        <v>12821</v>
      </c>
      <c r="B12826" s="11" t="str">
        <f>"00620782"</f>
        <v>00620782</v>
      </c>
    </row>
    <row r="12827" spans="1:2" x14ac:dyDescent="0.25">
      <c r="A12827" s="2">
        <v>12822</v>
      </c>
      <c r="B12827" s="11" t="str">
        <f>"00621105"</f>
        <v>00621105</v>
      </c>
    </row>
    <row r="12828" spans="1:2" x14ac:dyDescent="0.25">
      <c r="A12828" s="2">
        <v>12823</v>
      </c>
      <c r="B12828" s="11" t="str">
        <f>"00621276"</f>
        <v>00621276</v>
      </c>
    </row>
    <row r="12829" spans="1:2" x14ac:dyDescent="0.25">
      <c r="A12829" s="2">
        <v>12824</v>
      </c>
      <c r="B12829" s="11" t="str">
        <f>"00621281"</f>
        <v>00621281</v>
      </c>
    </row>
    <row r="12830" spans="1:2" x14ac:dyDescent="0.25">
      <c r="A12830" s="2">
        <v>12825</v>
      </c>
      <c r="B12830" s="11" t="str">
        <f>"00621448"</f>
        <v>00621448</v>
      </c>
    </row>
    <row r="12831" spans="1:2" x14ac:dyDescent="0.25">
      <c r="A12831" s="2">
        <v>12826</v>
      </c>
      <c r="B12831" s="11" t="str">
        <f>"00621513"</f>
        <v>00621513</v>
      </c>
    </row>
    <row r="12832" spans="1:2" x14ac:dyDescent="0.25">
      <c r="A12832" s="2">
        <v>12827</v>
      </c>
      <c r="B12832" s="11" t="str">
        <f>"00621527"</f>
        <v>00621527</v>
      </c>
    </row>
    <row r="12833" spans="1:2" x14ac:dyDescent="0.25">
      <c r="A12833" s="2">
        <v>12828</v>
      </c>
      <c r="B12833" s="11" t="str">
        <f>"00621632"</f>
        <v>00621632</v>
      </c>
    </row>
    <row r="12834" spans="1:2" x14ac:dyDescent="0.25">
      <c r="A12834" s="2">
        <v>12829</v>
      </c>
      <c r="B12834" s="11" t="str">
        <f>"00621665"</f>
        <v>00621665</v>
      </c>
    </row>
    <row r="12835" spans="1:2" x14ac:dyDescent="0.25">
      <c r="A12835" s="2">
        <v>12830</v>
      </c>
      <c r="B12835" s="11" t="str">
        <f>"00621742"</f>
        <v>00621742</v>
      </c>
    </row>
    <row r="12836" spans="1:2" x14ac:dyDescent="0.25">
      <c r="A12836" s="2">
        <v>12831</v>
      </c>
      <c r="B12836" s="11" t="str">
        <f>"00621812"</f>
        <v>00621812</v>
      </c>
    </row>
    <row r="12837" spans="1:2" x14ac:dyDescent="0.25">
      <c r="A12837" s="2">
        <v>12832</v>
      </c>
      <c r="B12837" s="11" t="str">
        <f>"00621860"</f>
        <v>00621860</v>
      </c>
    </row>
    <row r="12838" spans="1:2" x14ac:dyDescent="0.25">
      <c r="A12838" s="2">
        <v>12833</v>
      </c>
      <c r="B12838" s="11" t="str">
        <f>"00621938"</f>
        <v>00621938</v>
      </c>
    </row>
    <row r="12839" spans="1:2" x14ac:dyDescent="0.25">
      <c r="A12839" s="2">
        <v>12834</v>
      </c>
      <c r="B12839" s="11" t="str">
        <f>"00621970"</f>
        <v>00621970</v>
      </c>
    </row>
    <row r="12840" spans="1:2" x14ac:dyDescent="0.25">
      <c r="A12840" s="2">
        <v>12835</v>
      </c>
      <c r="B12840" s="11" t="str">
        <f>"00622001"</f>
        <v>00622001</v>
      </c>
    </row>
    <row r="12841" spans="1:2" x14ac:dyDescent="0.25">
      <c r="A12841" s="2">
        <v>12836</v>
      </c>
      <c r="B12841" s="11" t="str">
        <f>"00622062"</f>
        <v>00622062</v>
      </c>
    </row>
    <row r="12842" spans="1:2" x14ac:dyDescent="0.25">
      <c r="A12842" s="2">
        <v>12837</v>
      </c>
      <c r="B12842" s="11" t="str">
        <f>"00622073"</f>
        <v>00622073</v>
      </c>
    </row>
    <row r="12843" spans="1:2" x14ac:dyDescent="0.25">
      <c r="A12843" s="2">
        <v>12838</v>
      </c>
      <c r="B12843" s="11" t="str">
        <f>"00622104"</f>
        <v>00622104</v>
      </c>
    </row>
    <row r="12844" spans="1:2" x14ac:dyDescent="0.25">
      <c r="A12844" s="2">
        <v>12839</v>
      </c>
      <c r="B12844" s="11" t="str">
        <f>"00622161"</f>
        <v>00622161</v>
      </c>
    </row>
    <row r="12845" spans="1:2" x14ac:dyDescent="0.25">
      <c r="A12845" s="2">
        <v>12840</v>
      </c>
      <c r="B12845" s="11" t="str">
        <f>"00622163"</f>
        <v>00622163</v>
      </c>
    </row>
    <row r="12846" spans="1:2" x14ac:dyDescent="0.25">
      <c r="A12846" s="2">
        <v>12841</v>
      </c>
      <c r="B12846" s="11" t="str">
        <f>"00622178"</f>
        <v>00622178</v>
      </c>
    </row>
    <row r="12847" spans="1:2" x14ac:dyDescent="0.25">
      <c r="A12847" s="2">
        <v>12842</v>
      </c>
      <c r="B12847" s="11" t="str">
        <f>"00622455"</f>
        <v>00622455</v>
      </c>
    </row>
    <row r="12848" spans="1:2" x14ac:dyDescent="0.25">
      <c r="A12848" s="2">
        <v>12843</v>
      </c>
      <c r="B12848" s="11" t="str">
        <f>"00622526"</f>
        <v>00622526</v>
      </c>
    </row>
    <row r="12849" spans="1:2" x14ac:dyDescent="0.25">
      <c r="A12849" s="2">
        <v>12844</v>
      </c>
      <c r="B12849" s="11" t="str">
        <f>"00622604"</f>
        <v>00622604</v>
      </c>
    </row>
    <row r="12850" spans="1:2" x14ac:dyDescent="0.25">
      <c r="A12850" s="2">
        <v>12845</v>
      </c>
      <c r="B12850" s="11" t="str">
        <f>"00622614"</f>
        <v>00622614</v>
      </c>
    </row>
    <row r="12851" spans="1:2" x14ac:dyDescent="0.25">
      <c r="A12851" s="2">
        <v>12846</v>
      </c>
      <c r="B12851" s="11" t="str">
        <f>"00622629"</f>
        <v>00622629</v>
      </c>
    </row>
    <row r="12852" spans="1:2" x14ac:dyDescent="0.25">
      <c r="A12852" s="2">
        <v>12847</v>
      </c>
      <c r="B12852" s="11" t="str">
        <f>"00622683"</f>
        <v>00622683</v>
      </c>
    </row>
    <row r="12853" spans="1:2" x14ac:dyDescent="0.25">
      <c r="A12853" s="2">
        <v>12848</v>
      </c>
      <c r="B12853" s="11" t="str">
        <f>"00622704"</f>
        <v>00622704</v>
      </c>
    </row>
    <row r="12854" spans="1:2" x14ac:dyDescent="0.25">
      <c r="A12854" s="2">
        <v>12849</v>
      </c>
      <c r="B12854" s="11" t="str">
        <f>"00622756"</f>
        <v>00622756</v>
      </c>
    </row>
    <row r="12855" spans="1:2" x14ac:dyDescent="0.25">
      <c r="A12855" s="2">
        <v>12850</v>
      </c>
      <c r="B12855" s="11" t="str">
        <f>"00622781"</f>
        <v>00622781</v>
      </c>
    </row>
    <row r="12856" spans="1:2" x14ac:dyDescent="0.25">
      <c r="A12856" s="2">
        <v>12851</v>
      </c>
      <c r="B12856" s="11" t="str">
        <f>"00622887"</f>
        <v>00622887</v>
      </c>
    </row>
    <row r="12857" spans="1:2" x14ac:dyDescent="0.25">
      <c r="A12857" s="2">
        <v>12852</v>
      </c>
      <c r="B12857" s="11" t="str">
        <f>"00622917"</f>
        <v>00622917</v>
      </c>
    </row>
    <row r="12858" spans="1:2" x14ac:dyDescent="0.25">
      <c r="A12858" s="2">
        <v>12853</v>
      </c>
      <c r="B12858" s="11" t="str">
        <f>"00622944"</f>
        <v>00622944</v>
      </c>
    </row>
    <row r="12859" spans="1:2" x14ac:dyDescent="0.25">
      <c r="A12859" s="2">
        <v>12854</v>
      </c>
      <c r="B12859" s="11" t="str">
        <f>"00623051"</f>
        <v>00623051</v>
      </c>
    </row>
    <row r="12860" spans="1:2" x14ac:dyDescent="0.25">
      <c r="A12860" s="2">
        <v>12855</v>
      </c>
      <c r="B12860" s="11" t="str">
        <f>"00623079"</f>
        <v>00623079</v>
      </c>
    </row>
    <row r="12861" spans="1:2" x14ac:dyDescent="0.25">
      <c r="A12861" s="2">
        <v>12856</v>
      </c>
      <c r="B12861" s="11" t="str">
        <f>"00623120"</f>
        <v>00623120</v>
      </c>
    </row>
    <row r="12862" spans="1:2" x14ac:dyDescent="0.25">
      <c r="A12862" s="2">
        <v>12857</v>
      </c>
      <c r="B12862" s="11" t="str">
        <f>"00623220"</f>
        <v>00623220</v>
      </c>
    </row>
    <row r="12863" spans="1:2" x14ac:dyDescent="0.25">
      <c r="A12863" s="2">
        <v>12858</v>
      </c>
      <c r="B12863" s="11" t="str">
        <f>"00623231"</f>
        <v>00623231</v>
      </c>
    </row>
    <row r="12864" spans="1:2" x14ac:dyDescent="0.25">
      <c r="A12864" s="2">
        <v>12859</v>
      </c>
      <c r="B12864" s="11" t="str">
        <f>"00623294"</f>
        <v>00623294</v>
      </c>
    </row>
    <row r="12865" spans="1:2" x14ac:dyDescent="0.25">
      <c r="A12865" s="2">
        <v>12860</v>
      </c>
      <c r="B12865" s="11" t="str">
        <f>"00623353"</f>
        <v>00623353</v>
      </c>
    </row>
    <row r="12866" spans="1:2" x14ac:dyDescent="0.25">
      <c r="A12866" s="2">
        <v>12861</v>
      </c>
      <c r="B12866" s="11" t="str">
        <f>"00623412"</f>
        <v>00623412</v>
      </c>
    </row>
    <row r="12867" spans="1:2" x14ac:dyDescent="0.25">
      <c r="A12867" s="2">
        <v>12862</v>
      </c>
      <c r="B12867" s="11" t="str">
        <f>"00623480"</f>
        <v>00623480</v>
      </c>
    </row>
    <row r="12868" spans="1:2" x14ac:dyDescent="0.25">
      <c r="A12868" s="2">
        <v>12863</v>
      </c>
      <c r="B12868" s="11" t="str">
        <f>"00623502"</f>
        <v>00623502</v>
      </c>
    </row>
    <row r="12869" spans="1:2" x14ac:dyDescent="0.25">
      <c r="A12869" s="2">
        <v>12864</v>
      </c>
      <c r="B12869" s="11" t="str">
        <f>"00623551"</f>
        <v>00623551</v>
      </c>
    </row>
    <row r="12870" spans="1:2" x14ac:dyDescent="0.25">
      <c r="A12870" s="2">
        <v>12865</v>
      </c>
      <c r="B12870" s="11" t="str">
        <f>"00623685"</f>
        <v>00623685</v>
      </c>
    </row>
    <row r="12871" spans="1:2" x14ac:dyDescent="0.25">
      <c r="A12871" s="2">
        <v>12866</v>
      </c>
      <c r="B12871" s="11" t="str">
        <f>"00623723"</f>
        <v>00623723</v>
      </c>
    </row>
    <row r="12872" spans="1:2" x14ac:dyDescent="0.25">
      <c r="A12872" s="2">
        <v>12867</v>
      </c>
      <c r="B12872" s="11" t="str">
        <f>"00623753"</f>
        <v>00623753</v>
      </c>
    </row>
    <row r="12873" spans="1:2" x14ac:dyDescent="0.25">
      <c r="A12873" s="2">
        <v>12868</v>
      </c>
      <c r="B12873" s="11" t="str">
        <f>"00623809"</f>
        <v>00623809</v>
      </c>
    </row>
    <row r="12874" spans="1:2" x14ac:dyDescent="0.25">
      <c r="A12874" s="2">
        <v>12869</v>
      </c>
      <c r="B12874" s="11" t="str">
        <f>"00623918"</f>
        <v>00623918</v>
      </c>
    </row>
    <row r="12875" spans="1:2" x14ac:dyDescent="0.25">
      <c r="A12875" s="2">
        <v>12870</v>
      </c>
      <c r="B12875" s="11" t="str">
        <f>"00623927"</f>
        <v>00623927</v>
      </c>
    </row>
    <row r="12876" spans="1:2" x14ac:dyDescent="0.25">
      <c r="A12876" s="2">
        <v>12871</v>
      </c>
      <c r="B12876" s="11" t="str">
        <f>"00623976"</f>
        <v>00623976</v>
      </c>
    </row>
    <row r="12877" spans="1:2" x14ac:dyDescent="0.25">
      <c r="A12877" s="2">
        <v>12872</v>
      </c>
      <c r="B12877" s="11" t="str">
        <f>"00624018"</f>
        <v>00624018</v>
      </c>
    </row>
    <row r="12878" spans="1:2" x14ac:dyDescent="0.25">
      <c r="A12878" s="2">
        <v>12873</v>
      </c>
      <c r="B12878" s="11" t="str">
        <f>"00624077"</f>
        <v>00624077</v>
      </c>
    </row>
    <row r="12879" spans="1:2" x14ac:dyDescent="0.25">
      <c r="A12879" s="2">
        <v>12874</v>
      </c>
      <c r="B12879" s="11" t="str">
        <f>"00624095"</f>
        <v>00624095</v>
      </c>
    </row>
    <row r="12880" spans="1:2" x14ac:dyDescent="0.25">
      <c r="A12880" s="2">
        <v>12875</v>
      </c>
      <c r="B12880" s="11" t="str">
        <f>"00624174"</f>
        <v>00624174</v>
      </c>
    </row>
    <row r="12881" spans="1:2" x14ac:dyDescent="0.25">
      <c r="A12881" s="2">
        <v>12876</v>
      </c>
      <c r="B12881" s="11" t="str">
        <f>"00624329"</f>
        <v>00624329</v>
      </c>
    </row>
    <row r="12882" spans="1:2" x14ac:dyDescent="0.25">
      <c r="A12882" s="2">
        <v>12877</v>
      </c>
      <c r="B12882" s="11" t="str">
        <f>"00624363"</f>
        <v>00624363</v>
      </c>
    </row>
    <row r="12883" spans="1:2" x14ac:dyDescent="0.25">
      <c r="A12883" s="2">
        <v>12878</v>
      </c>
      <c r="B12883" s="11" t="str">
        <f>"00624366"</f>
        <v>00624366</v>
      </c>
    </row>
    <row r="12884" spans="1:2" x14ac:dyDescent="0.25">
      <c r="A12884" s="2">
        <v>12879</v>
      </c>
      <c r="B12884" s="11" t="str">
        <f>"00624381"</f>
        <v>00624381</v>
      </c>
    </row>
    <row r="12885" spans="1:2" x14ac:dyDescent="0.25">
      <c r="A12885" s="2">
        <v>12880</v>
      </c>
      <c r="B12885" s="11" t="str">
        <f>"00624418"</f>
        <v>00624418</v>
      </c>
    </row>
    <row r="12886" spans="1:2" x14ac:dyDescent="0.25">
      <c r="A12886" s="2">
        <v>12881</v>
      </c>
      <c r="B12886" s="11" t="str">
        <f>"00624432"</f>
        <v>00624432</v>
      </c>
    </row>
    <row r="12887" spans="1:2" x14ac:dyDescent="0.25">
      <c r="A12887" s="2">
        <v>12882</v>
      </c>
      <c r="B12887" s="11" t="str">
        <f>"00624487"</f>
        <v>00624487</v>
      </c>
    </row>
    <row r="12888" spans="1:2" x14ac:dyDescent="0.25">
      <c r="A12888" s="2">
        <v>12883</v>
      </c>
      <c r="B12888" s="11" t="str">
        <f>"00624629"</f>
        <v>00624629</v>
      </c>
    </row>
    <row r="12889" spans="1:2" x14ac:dyDescent="0.25">
      <c r="A12889" s="2">
        <v>12884</v>
      </c>
      <c r="B12889" s="11" t="str">
        <f>"00624638"</f>
        <v>00624638</v>
      </c>
    </row>
    <row r="12890" spans="1:2" x14ac:dyDescent="0.25">
      <c r="A12890" s="2">
        <v>12885</v>
      </c>
      <c r="B12890" s="11" t="str">
        <f>"00624703"</f>
        <v>00624703</v>
      </c>
    </row>
    <row r="12891" spans="1:2" x14ac:dyDescent="0.25">
      <c r="A12891" s="2">
        <v>12886</v>
      </c>
      <c r="B12891" s="11" t="str">
        <f>"00624731"</f>
        <v>00624731</v>
      </c>
    </row>
    <row r="12892" spans="1:2" x14ac:dyDescent="0.25">
      <c r="A12892" s="2">
        <v>12887</v>
      </c>
      <c r="B12892" s="11" t="str">
        <f>"00624800"</f>
        <v>00624800</v>
      </c>
    </row>
    <row r="12893" spans="1:2" x14ac:dyDescent="0.25">
      <c r="A12893" s="2">
        <v>12888</v>
      </c>
      <c r="B12893" s="11" t="str">
        <f>"00624866"</f>
        <v>00624866</v>
      </c>
    </row>
    <row r="12894" spans="1:2" x14ac:dyDescent="0.25">
      <c r="A12894" s="2">
        <v>12889</v>
      </c>
      <c r="B12894" s="11" t="str">
        <f>"00624913"</f>
        <v>00624913</v>
      </c>
    </row>
    <row r="12895" spans="1:2" x14ac:dyDescent="0.25">
      <c r="A12895" s="2">
        <v>12890</v>
      </c>
      <c r="B12895" s="11" t="str">
        <f>"00625236"</f>
        <v>00625236</v>
      </c>
    </row>
    <row r="12896" spans="1:2" x14ac:dyDescent="0.25">
      <c r="A12896" s="2">
        <v>12891</v>
      </c>
      <c r="B12896" s="11" t="str">
        <f>"00625328"</f>
        <v>00625328</v>
      </c>
    </row>
    <row r="12897" spans="1:2" x14ac:dyDescent="0.25">
      <c r="A12897" s="2">
        <v>12892</v>
      </c>
      <c r="B12897" s="11" t="str">
        <f>"00625347"</f>
        <v>00625347</v>
      </c>
    </row>
    <row r="12898" spans="1:2" x14ac:dyDescent="0.25">
      <c r="A12898" s="2">
        <v>12893</v>
      </c>
      <c r="B12898" s="11" t="str">
        <f>"00625399"</f>
        <v>00625399</v>
      </c>
    </row>
    <row r="12899" spans="1:2" x14ac:dyDescent="0.25">
      <c r="A12899" s="2">
        <v>12894</v>
      </c>
      <c r="B12899" s="11" t="str">
        <f>"00625400"</f>
        <v>00625400</v>
      </c>
    </row>
    <row r="12900" spans="1:2" x14ac:dyDescent="0.25">
      <c r="A12900" s="2">
        <v>12895</v>
      </c>
      <c r="B12900" s="11" t="str">
        <f>"00625476"</f>
        <v>00625476</v>
      </c>
    </row>
    <row r="12901" spans="1:2" x14ac:dyDescent="0.25">
      <c r="A12901" s="2">
        <v>12896</v>
      </c>
      <c r="B12901" s="11" t="str">
        <f>"00625563"</f>
        <v>00625563</v>
      </c>
    </row>
    <row r="12902" spans="1:2" x14ac:dyDescent="0.25">
      <c r="A12902" s="2">
        <v>12897</v>
      </c>
      <c r="B12902" s="11" t="str">
        <f>"00625631"</f>
        <v>00625631</v>
      </c>
    </row>
    <row r="12903" spans="1:2" x14ac:dyDescent="0.25">
      <c r="A12903" s="2">
        <v>12898</v>
      </c>
      <c r="B12903" s="11" t="str">
        <f>"00625678"</f>
        <v>00625678</v>
      </c>
    </row>
    <row r="12904" spans="1:2" x14ac:dyDescent="0.25">
      <c r="A12904" s="2">
        <v>12899</v>
      </c>
      <c r="B12904" s="11" t="str">
        <f>"00625706"</f>
        <v>00625706</v>
      </c>
    </row>
    <row r="12905" spans="1:2" x14ac:dyDescent="0.25">
      <c r="A12905" s="2">
        <v>12900</v>
      </c>
      <c r="B12905" s="11" t="str">
        <f>"00625729"</f>
        <v>00625729</v>
      </c>
    </row>
    <row r="12906" spans="1:2" x14ac:dyDescent="0.25">
      <c r="A12906" s="2">
        <v>12901</v>
      </c>
      <c r="B12906" s="11" t="str">
        <f>"00625732"</f>
        <v>00625732</v>
      </c>
    </row>
    <row r="12907" spans="1:2" x14ac:dyDescent="0.25">
      <c r="A12907" s="2">
        <v>12902</v>
      </c>
      <c r="B12907" s="11" t="str">
        <f>"00625755"</f>
        <v>00625755</v>
      </c>
    </row>
    <row r="12908" spans="1:2" x14ac:dyDescent="0.25">
      <c r="A12908" s="2">
        <v>12903</v>
      </c>
      <c r="B12908" s="11" t="str">
        <f>"00625767"</f>
        <v>00625767</v>
      </c>
    </row>
    <row r="12909" spans="1:2" x14ac:dyDescent="0.25">
      <c r="A12909" s="2">
        <v>12904</v>
      </c>
      <c r="B12909" s="11" t="str">
        <f>"00625809"</f>
        <v>00625809</v>
      </c>
    </row>
    <row r="12910" spans="1:2" x14ac:dyDescent="0.25">
      <c r="A12910" s="2">
        <v>12905</v>
      </c>
      <c r="B12910" s="11" t="str">
        <f>"00625854"</f>
        <v>00625854</v>
      </c>
    </row>
    <row r="12911" spans="1:2" x14ac:dyDescent="0.25">
      <c r="A12911" s="2">
        <v>12906</v>
      </c>
      <c r="B12911" s="11" t="str">
        <f>"00625861"</f>
        <v>00625861</v>
      </c>
    </row>
    <row r="12912" spans="1:2" x14ac:dyDescent="0.25">
      <c r="A12912" s="2">
        <v>12907</v>
      </c>
      <c r="B12912" s="11" t="str">
        <f>"00625896"</f>
        <v>00625896</v>
      </c>
    </row>
    <row r="12913" spans="1:2" x14ac:dyDescent="0.25">
      <c r="A12913" s="2">
        <v>12908</v>
      </c>
      <c r="B12913" s="11" t="str">
        <f>"00625916"</f>
        <v>00625916</v>
      </c>
    </row>
    <row r="12914" spans="1:2" x14ac:dyDescent="0.25">
      <c r="A12914" s="2">
        <v>12909</v>
      </c>
      <c r="B12914" s="11" t="str">
        <f>"00625921"</f>
        <v>00625921</v>
      </c>
    </row>
    <row r="12915" spans="1:2" x14ac:dyDescent="0.25">
      <c r="A12915" s="2">
        <v>12910</v>
      </c>
      <c r="B12915" s="11" t="str">
        <f>"00625922"</f>
        <v>00625922</v>
      </c>
    </row>
    <row r="12916" spans="1:2" x14ac:dyDescent="0.25">
      <c r="A12916" s="2">
        <v>12911</v>
      </c>
      <c r="B12916" s="11" t="str">
        <f>"00625962"</f>
        <v>00625962</v>
      </c>
    </row>
    <row r="12917" spans="1:2" x14ac:dyDescent="0.25">
      <c r="A12917" s="2">
        <v>12912</v>
      </c>
      <c r="B12917" s="11" t="str">
        <f>"00625968"</f>
        <v>00625968</v>
      </c>
    </row>
    <row r="12918" spans="1:2" x14ac:dyDescent="0.25">
      <c r="A12918" s="2">
        <v>12913</v>
      </c>
      <c r="B12918" s="11" t="str">
        <f>"00625990"</f>
        <v>00625990</v>
      </c>
    </row>
    <row r="12919" spans="1:2" x14ac:dyDescent="0.25">
      <c r="A12919" s="2">
        <v>12914</v>
      </c>
      <c r="B12919" s="11" t="str">
        <f>"00626133"</f>
        <v>00626133</v>
      </c>
    </row>
    <row r="12920" spans="1:2" x14ac:dyDescent="0.25">
      <c r="A12920" s="2">
        <v>12915</v>
      </c>
      <c r="B12920" s="11" t="str">
        <f>"00626168"</f>
        <v>00626168</v>
      </c>
    </row>
    <row r="12921" spans="1:2" x14ac:dyDescent="0.25">
      <c r="A12921" s="2">
        <v>12916</v>
      </c>
      <c r="B12921" s="11" t="str">
        <f>"00626192"</f>
        <v>00626192</v>
      </c>
    </row>
    <row r="12922" spans="1:2" x14ac:dyDescent="0.25">
      <c r="A12922" s="2">
        <v>12917</v>
      </c>
      <c r="B12922" s="11" t="str">
        <f>"00626268"</f>
        <v>00626268</v>
      </c>
    </row>
    <row r="12923" spans="1:2" x14ac:dyDescent="0.25">
      <c r="A12923" s="2">
        <v>12918</v>
      </c>
      <c r="B12923" s="11" t="str">
        <f>"00626269"</f>
        <v>00626269</v>
      </c>
    </row>
    <row r="12924" spans="1:2" x14ac:dyDescent="0.25">
      <c r="A12924" s="2">
        <v>12919</v>
      </c>
      <c r="B12924" s="11" t="str">
        <f>"00626274"</f>
        <v>00626274</v>
      </c>
    </row>
    <row r="12925" spans="1:2" x14ac:dyDescent="0.25">
      <c r="A12925" s="2">
        <v>12920</v>
      </c>
      <c r="B12925" s="11" t="str">
        <f>"00626346"</f>
        <v>00626346</v>
      </c>
    </row>
    <row r="12926" spans="1:2" x14ac:dyDescent="0.25">
      <c r="A12926" s="2">
        <v>12921</v>
      </c>
      <c r="B12926" s="11" t="str">
        <f>"00626351"</f>
        <v>00626351</v>
      </c>
    </row>
    <row r="12927" spans="1:2" x14ac:dyDescent="0.25">
      <c r="A12927" s="2">
        <v>12922</v>
      </c>
      <c r="B12927" s="11" t="str">
        <f>"00626396"</f>
        <v>00626396</v>
      </c>
    </row>
    <row r="12928" spans="1:2" x14ac:dyDescent="0.25">
      <c r="A12928" s="2">
        <v>12923</v>
      </c>
      <c r="B12928" s="11" t="str">
        <f>"00626424"</f>
        <v>00626424</v>
      </c>
    </row>
    <row r="12929" spans="1:2" x14ac:dyDescent="0.25">
      <c r="A12929" s="2">
        <v>12924</v>
      </c>
      <c r="B12929" s="11" t="str">
        <f>"00626433"</f>
        <v>00626433</v>
      </c>
    </row>
    <row r="12930" spans="1:2" x14ac:dyDescent="0.25">
      <c r="A12930" s="2">
        <v>12925</v>
      </c>
      <c r="B12930" s="11" t="str">
        <f>"00626533"</f>
        <v>00626533</v>
      </c>
    </row>
    <row r="12931" spans="1:2" x14ac:dyDescent="0.25">
      <c r="A12931" s="2">
        <v>12926</v>
      </c>
      <c r="B12931" s="11" t="str">
        <f>"00626555"</f>
        <v>00626555</v>
      </c>
    </row>
    <row r="12932" spans="1:2" x14ac:dyDescent="0.25">
      <c r="A12932" s="2">
        <v>12927</v>
      </c>
      <c r="B12932" s="11" t="str">
        <f>"00626580"</f>
        <v>00626580</v>
      </c>
    </row>
    <row r="12933" spans="1:2" x14ac:dyDescent="0.25">
      <c r="A12933" s="2">
        <v>12928</v>
      </c>
      <c r="B12933" s="11" t="str">
        <f>"00626595"</f>
        <v>00626595</v>
      </c>
    </row>
    <row r="12934" spans="1:2" x14ac:dyDescent="0.25">
      <c r="A12934" s="2">
        <v>12929</v>
      </c>
      <c r="B12934" s="11" t="str">
        <f>"00626635"</f>
        <v>00626635</v>
      </c>
    </row>
    <row r="12935" spans="1:2" x14ac:dyDescent="0.25">
      <c r="A12935" s="2">
        <v>12930</v>
      </c>
      <c r="B12935" s="11" t="str">
        <f>"00626650"</f>
        <v>00626650</v>
      </c>
    </row>
    <row r="12936" spans="1:2" x14ac:dyDescent="0.25">
      <c r="A12936" s="2">
        <v>12931</v>
      </c>
      <c r="B12936" s="11" t="str">
        <f>"00626657"</f>
        <v>00626657</v>
      </c>
    </row>
    <row r="12937" spans="1:2" x14ac:dyDescent="0.25">
      <c r="A12937" s="2">
        <v>12932</v>
      </c>
      <c r="B12937" s="11" t="str">
        <f>"00626695"</f>
        <v>00626695</v>
      </c>
    </row>
    <row r="12938" spans="1:2" x14ac:dyDescent="0.25">
      <c r="A12938" s="2">
        <v>12933</v>
      </c>
      <c r="B12938" s="11" t="str">
        <f>"00626764"</f>
        <v>00626764</v>
      </c>
    </row>
    <row r="12939" spans="1:2" x14ac:dyDescent="0.25">
      <c r="A12939" s="2">
        <v>12934</v>
      </c>
      <c r="B12939" s="11" t="str">
        <f>"00626766"</f>
        <v>00626766</v>
      </c>
    </row>
    <row r="12940" spans="1:2" x14ac:dyDescent="0.25">
      <c r="A12940" s="2">
        <v>12935</v>
      </c>
      <c r="B12940" s="11" t="str">
        <f>"00626794"</f>
        <v>00626794</v>
      </c>
    </row>
    <row r="12941" spans="1:2" x14ac:dyDescent="0.25">
      <c r="A12941" s="2">
        <v>12936</v>
      </c>
      <c r="B12941" s="11" t="str">
        <f>"00626839"</f>
        <v>00626839</v>
      </c>
    </row>
    <row r="12942" spans="1:2" x14ac:dyDescent="0.25">
      <c r="A12942" s="2">
        <v>12937</v>
      </c>
      <c r="B12942" s="11" t="str">
        <f>"00626887"</f>
        <v>00626887</v>
      </c>
    </row>
    <row r="12943" spans="1:2" x14ac:dyDescent="0.25">
      <c r="A12943" s="2">
        <v>12938</v>
      </c>
      <c r="B12943" s="11" t="str">
        <f>"00626892"</f>
        <v>00626892</v>
      </c>
    </row>
    <row r="12944" spans="1:2" x14ac:dyDescent="0.25">
      <c r="A12944" s="2">
        <v>12939</v>
      </c>
      <c r="B12944" s="11" t="str">
        <f>"00626898"</f>
        <v>00626898</v>
      </c>
    </row>
    <row r="12945" spans="1:2" x14ac:dyDescent="0.25">
      <c r="A12945" s="2">
        <v>12940</v>
      </c>
      <c r="B12945" s="11" t="str">
        <f>"00626923"</f>
        <v>00626923</v>
      </c>
    </row>
    <row r="12946" spans="1:2" x14ac:dyDescent="0.25">
      <c r="A12946" s="2">
        <v>12941</v>
      </c>
      <c r="B12946" s="11" t="str">
        <f>"00626954"</f>
        <v>00626954</v>
      </c>
    </row>
    <row r="12947" spans="1:2" x14ac:dyDescent="0.25">
      <c r="A12947" s="2">
        <v>12942</v>
      </c>
      <c r="B12947" s="11" t="str">
        <f>"00626965"</f>
        <v>00626965</v>
      </c>
    </row>
    <row r="12948" spans="1:2" x14ac:dyDescent="0.25">
      <c r="A12948" s="2">
        <v>12943</v>
      </c>
      <c r="B12948" s="11" t="str">
        <f>"00627006"</f>
        <v>00627006</v>
      </c>
    </row>
    <row r="12949" spans="1:2" x14ac:dyDescent="0.25">
      <c r="A12949" s="2">
        <v>12944</v>
      </c>
      <c r="B12949" s="11" t="str">
        <f>"00627024"</f>
        <v>00627024</v>
      </c>
    </row>
    <row r="12950" spans="1:2" x14ac:dyDescent="0.25">
      <c r="A12950" s="2">
        <v>12945</v>
      </c>
      <c r="B12950" s="11" t="str">
        <f>"00627034"</f>
        <v>00627034</v>
      </c>
    </row>
    <row r="12951" spans="1:2" x14ac:dyDescent="0.25">
      <c r="A12951" s="2">
        <v>12946</v>
      </c>
      <c r="B12951" s="11" t="str">
        <f>"00627139"</f>
        <v>00627139</v>
      </c>
    </row>
    <row r="12952" spans="1:2" x14ac:dyDescent="0.25">
      <c r="A12952" s="2">
        <v>12947</v>
      </c>
      <c r="B12952" s="11" t="str">
        <f>"00627245"</f>
        <v>00627245</v>
      </c>
    </row>
    <row r="12953" spans="1:2" x14ac:dyDescent="0.25">
      <c r="A12953" s="2">
        <v>12948</v>
      </c>
      <c r="B12953" s="11" t="str">
        <f>"00627302"</f>
        <v>00627302</v>
      </c>
    </row>
    <row r="12954" spans="1:2" x14ac:dyDescent="0.25">
      <c r="A12954" s="2">
        <v>12949</v>
      </c>
      <c r="B12954" s="11" t="str">
        <f>"00627326"</f>
        <v>00627326</v>
      </c>
    </row>
    <row r="12955" spans="1:2" x14ac:dyDescent="0.25">
      <c r="A12955" s="2">
        <v>12950</v>
      </c>
      <c r="B12955" s="11" t="str">
        <f>"00627398"</f>
        <v>00627398</v>
      </c>
    </row>
    <row r="12956" spans="1:2" x14ac:dyDescent="0.25">
      <c r="A12956" s="2">
        <v>12951</v>
      </c>
      <c r="B12956" s="11" t="str">
        <f>"00627420"</f>
        <v>00627420</v>
      </c>
    </row>
    <row r="12957" spans="1:2" x14ac:dyDescent="0.25">
      <c r="A12957" s="2">
        <v>12952</v>
      </c>
      <c r="B12957" s="11" t="str">
        <f>"00627453"</f>
        <v>00627453</v>
      </c>
    </row>
    <row r="12958" spans="1:2" x14ac:dyDescent="0.25">
      <c r="A12958" s="2">
        <v>12953</v>
      </c>
      <c r="B12958" s="11" t="str">
        <f>"00627487"</f>
        <v>00627487</v>
      </c>
    </row>
    <row r="12959" spans="1:2" x14ac:dyDescent="0.25">
      <c r="A12959" s="2">
        <v>12954</v>
      </c>
      <c r="B12959" s="11" t="str">
        <f>"00627556"</f>
        <v>00627556</v>
      </c>
    </row>
    <row r="12960" spans="1:2" x14ac:dyDescent="0.25">
      <c r="A12960" s="2">
        <v>12955</v>
      </c>
      <c r="B12960" s="11" t="str">
        <f>"00627732"</f>
        <v>00627732</v>
      </c>
    </row>
    <row r="12961" spans="1:2" x14ac:dyDescent="0.25">
      <c r="A12961" s="2">
        <v>12956</v>
      </c>
      <c r="B12961" s="11" t="str">
        <f>"00627818"</f>
        <v>00627818</v>
      </c>
    </row>
    <row r="12962" spans="1:2" x14ac:dyDescent="0.25">
      <c r="A12962" s="2">
        <v>12957</v>
      </c>
      <c r="B12962" s="11" t="str">
        <f>"00627878"</f>
        <v>00627878</v>
      </c>
    </row>
    <row r="12963" spans="1:2" x14ac:dyDescent="0.25">
      <c r="A12963" s="2">
        <v>12958</v>
      </c>
      <c r="B12963" s="11" t="str">
        <f>"00627944"</f>
        <v>00627944</v>
      </c>
    </row>
    <row r="12964" spans="1:2" x14ac:dyDescent="0.25">
      <c r="A12964" s="2">
        <v>12959</v>
      </c>
      <c r="B12964" s="11" t="str">
        <f>"00627952"</f>
        <v>00627952</v>
      </c>
    </row>
    <row r="12965" spans="1:2" x14ac:dyDescent="0.25">
      <c r="A12965" s="2">
        <v>12960</v>
      </c>
      <c r="B12965" s="11" t="str">
        <f>"00627984"</f>
        <v>00627984</v>
      </c>
    </row>
    <row r="12966" spans="1:2" x14ac:dyDescent="0.25">
      <c r="A12966" s="2">
        <v>12961</v>
      </c>
      <c r="B12966" s="11" t="str">
        <f>"00627989"</f>
        <v>00627989</v>
      </c>
    </row>
    <row r="12967" spans="1:2" x14ac:dyDescent="0.25">
      <c r="A12967" s="2">
        <v>12962</v>
      </c>
      <c r="B12967" s="11" t="str">
        <f>"00628017"</f>
        <v>00628017</v>
      </c>
    </row>
    <row r="12968" spans="1:2" x14ac:dyDescent="0.25">
      <c r="A12968" s="2">
        <v>12963</v>
      </c>
      <c r="B12968" s="11" t="str">
        <f>"00628038"</f>
        <v>00628038</v>
      </c>
    </row>
    <row r="12969" spans="1:2" x14ac:dyDescent="0.25">
      <c r="A12969" s="2">
        <v>12964</v>
      </c>
      <c r="B12969" s="11" t="str">
        <f>"00628066"</f>
        <v>00628066</v>
      </c>
    </row>
    <row r="12970" spans="1:2" x14ac:dyDescent="0.25">
      <c r="A12970" s="2">
        <v>12965</v>
      </c>
      <c r="B12970" s="11" t="str">
        <f>"00628113"</f>
        <v>00628113</v>
      </c>
    </row>
    <row r="12971" spans="1:2" x14ac:dyDescent="0.25">
      <c r="A12971" s="2">
        <v>12966</v>
      </c>
      <c r="B12971" s="11" t="str">
        <f>"00628151"</f>
        <v>00628151</v>
      </c>
    </row>
    <row r="12972" spans="1:2" x14ac:dyDescent="0.25">
      <c r="A12972" s="2">
        <v>12967</v>
      </c>
      <c r="B12972" s="11" t="str">
        <f>"00628168"</f>
        <v>00628168</v>
      </c>
    </row>
    <row r="12973" spans="1:2" x14ac:dyDescent="0.25">
      <c r="A12973" s="2">
        <v>12968</v>
      </c>
      <c r="B12973" s="11" t="str">
        <f>"00628208"</f>
        <v>00628208</v>
      </c>
    </row>
    <row r="12974" spans="1:2" x14ac:dyDescent="0.25">
      <c r="A12974" s="2">
        <v>12969</v>
      </c>
      <c r="B12974" s="11" t="str">
        <f>"00628285"</f>
        <v>00628285</v>
      </c>
    </row>
    <row r="12975" spans="1:2" x14ac:dyDescent="0.25">
      <c r="A12975" s="2">
        <v>12970</v>
      </c>
      <c r="B12975" s="11" t="str">
        <f>"00628300"</f>
        <v>00628300</v>
      </c>
    </row>
    <row r="12976" spans="1:2" x14ac:dyDescent="0.25">
      <c r="A12976" s="2">
        <v>12971</v>
      </c>
      <c r="B12976" s="11" t="str">
        <f>"00628361"</f>
        <v>00628361</v>
      </c>
    </row>
    <row r="12977" spans="1:2" x14ac:dyDescent="0.25">
      <c r="A12977" s="2">
        <v>12972</v>
      </c>
      <c r="B12977" s="11" t="str">
        <f>"00628559"</f>
        <v>00628559</v>
      </c>
    </row>
    <row r="12978" spans="1:2" x14ac:dyDescent="0.25">
      <c r="A12978" s="2">
        <v>12973</v>
      </c>
      <c r="B12978" s="11" t="str">
        <f>"00628585"</f>
        <v>00628585</v>
      </c>
    </row>
    <row r="12979" spans="1:2" x14ac:dyDescent="0.25">
      <c r="A12979" s="2">
        <v>12974</v>
      </c>
      <c r="B12979" s="11" t="str">
        <f>"00628724"</f>
        <v>00628724</v>
      </c>
    </row>
    <row r="12980" spans="1:2" x14ac:dyDescent="0.25">
      <c r="A12980" s="2">
        <v>12975</v>
      </c>
      <c r="B12980" s="11" t="str">
        <f>"00628887"</f>
        <v>00628887</v>
      </c>
    </row>
    <row r="12981" spans="1:2" x14ac:dyDescent="0.25">
      <c r="A12981" s="2">
        <v>12976</v>
      </c>
      <c r="B12981" s="11" t="str">
        <f>"00628948"</f>
        <v>00628948</v>
      </c>
    </row>
    <row r="12982" spans="1:2" x14ac:dyDescent="0.25">
      <c r="A12982" s="2">
        <v>12977</v>
      </c>
      <c r="B12982" s="11" t="str">
        <f>"00629002"</f>
        <v>00629002</v>
      </c>
    </row>
    <row r="12983" spans="1:2" x14ac:dyDescent="0.25">
      <c r="A12983" s="2">
        <v>12978</v>
      </c>
      <c r="B12983" s="11" t="str">
        <f>"00629038"</f>
        <v>00629038</v>
      </c>
    </row>
    <row r="12984" spans="1:2" x14ac:dyDescent="0.25">
      <c r="A12984" s="2">
        <v>12979</v>
      </c>
      <c r="B12984" s="11" t="str">
        <f>"00629176"</f>
        <v>00629176</v>
      </c>
    </row>
    <row r="12985" spans="1:2" x14ac:dyDescent="0.25">
      <c r="A12985" s="2">
        <v>12980</v>
      </c>
      <c r="B12985" s="11" t="str">
        <f>"00629186"</f>
        <v>00629186</v>
      </c>
    </row>
    <row r="12986" spans="1:2" x14ac:dyDescent="0.25">
      <c r="A12986" s="2">
        <v>12981</v>
      </c>
      <c r="B12986" s="11" t="str">
        <f>"00629315"</f>
        <v>00629315</v>
      </c>
    </row>
    <row r="12987" spans="1:2" x14ac:dyDescent="0.25">
      <c r="A12987" s="2">
        <v>12982</v>
      </c>
      <c r="B12987" s="11" t="str">
        <f>"00629345"</f>
        <v>00629345</v>
      </c>
    </row>
    <row r="12988" spans="1:2" x14ac:dyDescent="0.25">
      <c r="A12988" s="2">
        <v>12983</v>
      </c>
      <c r="B12988" s="11" t="str">
        <f>"00629392"</f>
        <v>00629392</v>
      </c>
    </row>
    <row r="12989" spans="1:2" x14ac:dyDescent="0.25">
      <c r="A12989" s="2">
        <v>12984</v>
      </c>
      <c r="B12989" s="11" t="str">
        <f>"00629438"</f>
        <v>00629438</v>
      </c>
    </row>
    <row r="12990" spans="1:2" x14ac:dyDescent="0.25">
      <c r="A12990" s="2">
        <v>12985</v>
      </c>
      <c r="B12990" s="11" t="str">
        <f>"00629513"</f>
        <v>00629513</v>
      </c>
    </row>
    <row r="12991" spans="1:2" x14ac:dyDescent="0.25">
      <c r="A12991" s="2">
        <v>12986</v>
      </c>
      <c r="B12991" s="11" t="str">
        <f>"00629519"</f>
        <v>00629519</v>
      </c>
    </row>
    <row r="12992" spans="1:2" x14ac:dyDescent="0.25">
      <c r="A12992" s="2">
        <v>12987</v>
      </c>
      <c r="B12992" s="11" t="str">
        <f>"00629529"</f>
        <v>00629529</v>
      </c>
    </row>
    <row r="12993" spans="1:2" x14ac:dyDescent="0.25">
      <c r="A12993" s="2">
        <v>12988</v>
      </c>
      <c r="B12993" s="11" t="str">
        <f>"00629576"</f>
        <v>00629576</v>
      </c>
    </row>
    <row r="12994" spans="1:2" x14ac:dyDescent="0.25">
      <c r="A12994" s="2">
        <v>12989</v>
      </c>
      <c r="B12994" s="11" t="str">
        <f>"00629601"</f>
        <v>00629601</v>
      </c>
    </row>
    <row r="12995" spans="1:2" x14ac:dyDescent="0.25">
      <c r="A12995" s="2">
        <v>12990</v>
      </c>
      <c r="B12995" s="11" t="str">
        <f>"00629617"</f>
        <v>00629617</v>
      </c>
    </row>
    <row r="12996" spans="1:2" x14ac:dyDescent="0.25">
      <c r="A12996" s="2">
        <v>12991</v>
      </c>
      <c r="B12996" s="11" t="str">
        <f>"00629674"</f>
        <v>00629674</v>
      </c>
    </row>
    <row r="12997" spans="1:2" x14ac:dyDescent="0.25">
      <c r="A12997" s="2">
        <v>12992</v>
      </c>
      <c r="B12997" s="11" t="str">
        <f>"00629884"</f>
        <v>00629884</v>
      </c>
    </row>
    <row r="12998" spans="1:2" x14ac:dyDescent="0.25">
      <c r="A12998" s="2">
        <v>12993</v>
      </c>
      <c r="B12998" s="11" t="str">
        <f>"00629933"</f>
        <v>00629933</v>
      </c>
    </row>
    <row r="12999" spans="1:2" x14ac:dyDescent="0.25">
      <c r="A12999" s="2">
        <v>12994</v>
      </c>
      <c r="B12999" s="11" t="str">
        <f>"00629952"</f>
        <v>00629952</v>
      </c>
    </row>
    <row r="13000" spans="1:2" x14ac:dyDescent="0.25">
      <c r="A13000" s="2">
        <v>12995</v>
      </c>
      <c r="B13000" s="11" t="str">
        <f>"00630007"</f>
        <v>00630007</v>
      </c>
    </row>
    <row r="13001" spans="1:2" x14ac:dyDescent="0.25">
      <c r="A13001" s="2">
        <v>12996</v>
      </c>
      <c r="B13001" s="11" t="str">
        <f>"00630101"</f>
        <v>00630101</v>
      </c>
    </row>
    <row r="13002" spans="1:2" x14ac:dyDescent="0.25">
      <c r="A13002" s="2">
        <v>12997</v>
      </c>
      <c r="B13002" s="11" t="str">
        <f>"00630118"</f>
        <v>00630118</v>
      </c>
    </row>
    <row r="13003" spans="1:2" x14ac:dyDescent="0.25">
      <c r="A13003" s="2">
        <v>12998</v>
      </c>
      <c r="B13003" s="11" t="str">
        <f>"00630139"</f>
        <v>00630139</v>
      </c>
    </row>
    <row r="13004" spans="1:2" x14ac:dyDescent="0.25">
      <c r="A13004" s="2">
        <v>12999</v>
      </c>
      <c r="B13004" s="11" t="str">
        <f>"00630143"</f>
        <v>00630143</v>
      </c>
    </row>
    <row r="13005" spans="1:2" x14ac:dyDescent="0.25">
      <c r="A13005" s="2">
        <v>13000</v>
      </c>
      <c r="B13005" s="11" t="str">
        <f>"00630149"</f>
        <v>00630149</v>
      </c>
    </row>
    <row r="13006" spans="1:2" x14ac:dyDescent="0.25">
      <c r="A13006" s="2">
        <v>13001</v>
      </c>
      <c r="B13006" s="11" t="str">
        <f>"00630208"</f>
        <v>00630208</v>
      </c>
    </row>
    <row r="13007" spans="1:2" x14ac:dyDescent="0.25">
      <c r="A13007" s="2">
        <v>13002</v>
      </c>
      <c r="B13007" s="11" t="str">
        <f>"00630267"</f>
        <v>00630267</v>
      </c>
    </row>
    <row r="13008" spans="1:2" x14ac:dyDescent="0.25">
      <c r="A13008" s="2">
        <v>13003</v>
      </c>
      <c r="B13008" s="11" t="str">
        <f>"00630381"</f>
        <v>00630381</v>
      </c>
    </row>
    <row r="13009" spans="1:2" x14ac:dyDescent="0.25">
      <c r="A13009" s="2">
        <v>13004</v>
      </c>
      <c r="B13009" s="11" t="str">
        <f>"00630452"</f>
        <v>00630452</v>
      </c>
    </row>
    <row r="13010" spans="1:2" x14ac:dyDescent="0.25">
      <c r="A13010" s="2">
        <v>13005</v>
      </c>
      <c r="B13010" s="11" t="str">
        <f>"00630473"</f>
        <v>00630473</v>
      </c>
    </row>
    <row r="13011" spans="1:2" x14ac:dyDescent="0.25">
      <c r="A13011" s="2">
        <v>13006</v>
      </c>
      <c r="B13011" s="11" t="str">
        <f>"00630567"</f>
        <v>00630567</v>
      </c>
    </row>
    <row r="13012" spans="1:2" x14ac:dyDescent="0.25">
      <c r="A13012" s="2">
        <v>13007</v>
      </c>
      <c r="B13012" s="11" t="str">
        <f>"00630588"</f>
        <v>00630588</v>
      </c>
    </row>
    <row r="13013" spans="1:2" x14ac:dyDescent="0.25">
      <c r="A13013" s="2">
        <v>13008</v>
      </c>
      <c r="B13013" s="11" t="str">
        <f>"00630700"</f>
        <v>00630700</v>
      </c>
    </row>
    <row r="13014" spans="1:2" x14ac:dyDescent="0.25">
      <c r="A13014" s="2">
        <v>13009</v>
      </c>
      <c r="B13014" s="11" t="str">
        <f>"00630743"</f>
        <v>00630743</v>
      </c>
    </row>
    <row r="13015" spans="1:2" x14ac:dyDescent="0.25">
      <c r="A13015" s="2">
        <v>13010</v>
      </c>
      <c r="B13015" s="11" t="str">
        <f>"00630787"</f>
        <v>00630787</v>
      </c>
    </row>
    <row r="13016" spans="1:2" x14ac:dyDescent="0.25">
      <c r="A13016" s="2">
        <v>13011</v>
      </c>
      <c r="B13016" s="11" t="str">
        <f>"00630829"</f>
        <v>00630829</v>
      </c>
    </row>
    <row r="13017" spans="1:2" x14ac:dyDescent="0.25">
      <c r="A13017" s="2">
        <v>13012</v>
      </c>
      <c r="B13017" s="11" t="str">
        <f>"00630878"</f>
        <v>00630878</v>
      </c>
    </row>
    <row r="13018" spans="1:2" x14ac:dyDescent="0.25">
      <c r="A13018" s="2">
        <v>13013</v>
      </c>
      <c r="B13018" s="11" t="str">
        <f>"00630891"</f>
        <v>00630891</v>
      </c>
    </row>
    <row r="13019" spans="1:2" x14ac:dyDescent="0.25">
      <c r="A13019" s="2">
        <v>13014</v>
      </c>
      <c r="B13019" s="11" t="str">
        <f>"00630912"</f>
        <v>00630912</v>
      </c>
    </row>
    <row r="13020" spans="1:2" x14ac:dyDescent="0.25">
      <c r="A13020" s="2">
        <v>13015</v>
      </c>
      <c r="B13020" s="11" t="str">
        <f>"00630941"</f>
        <v>00630941</v>
      </c>
    </row>
    <row r="13021" spans="1:2" x14ac:dyDescent="0.25">
      <c r="A13021" s="2">
        <v>13016</v>
      </c>
      <c r="B13021" s="11" t="str">
        <f>"00630963"</f>
        <v>00630963</v>
      </c>
    </row>
    <row r="13022" spans="1:2" x14ac:dyDescent="0.25">
      <c r="A13022" s="2">
        <v>13017</v>
      </c>
      <c r="B13022" s="11" t="str">
        <f>"00630979"</f>
        <v>00630979</v>
      </c>
    </row>
    <row r="13023" spans="1:2" x14ac:dyDescent="0.25">
      <c r="A13023" s="2">
        <v>13018</v>
      </c>
      <c r="B13023" s="11" t="str">
        <f>"00631053"</f>
        <v>00631053</v>
      </c>
    </row>
    <row r="13024" spans="1:2" x14ac:dyDescent="0.25">
      <c r="A13024" s="2">
        <v>13019</v>
      </c>
      <c r="B13024" s="11" t="str">
        <f>"00631102"</f>
        <v>00631102</v>
      </c>
    </row>
    <row r="13025" spans="1:2" x14ac:dyDescent="0.25">
      <c r="A13025" s="2">
        <v>13020</v>
      </c>
      <c r="B13025" s="11" t="str">
        <f>"00631104"</f>
        <v>00631104</v>
      </c>
    </row>
    <row r="13026" spans="1:2" x14ac:dyDescent="0.25">
      <c r="A13026" s="2">
        <v>13021</v>
      </c>
      <c r="B13026" s="11" t="str">
        <f>"00631120"</f>
        <v>00631120</v>
      </c>
    </row>
    <row r="13027" spans="1:2" x14ac:dyDescent="0.25">
      <c r="A13027" s="2">
        <v>13022</v>
      </c>
      <c r="B13027" s="11" t="str">
        <f>"00631145"</f>
        <v>00631145</v>
      </c>
    </row>
    <row r="13028" spans="1:2" x14ac:dyDescent="0.25">
      <c r="A13028" s="2">
        <v>13023</v>
      </c>
      <c r="B13028" s="11" t="str">
        <f>"00631178"</f>
        <v>00631178</v>
      </c>
    </row>
    <row r="13029" spans="1:2" x14ac:dyDescent="0.25">
      <c r="A13029" s="2">
        <v>13024</v>
      </c>
      <c r="B13029" s="11" t="str">
        <f>"00631182"</f>
        <v>00631182</v>
      </c>
    </row>
    <row r="13030" spans="1:2" x14ac:dyDescent="0.25">
      <c r="A13030" s="2">
        <v>13025</v>
      </c>
      <c r="B13030" s="11" t="str">
        <f>"00631220"</f>
        <v>00631220</v>
      </c>
    </row>
    <row r="13031" spans="1:2" x14ac:dyDescent="0.25">
      <c r="A13031" s="2">
        <v>13026</v>
      </c>
      <c r="B13031" s="11" t="str">
        <f>"00631239"</f>
        <v>00631239</v>
      </c>
    </row>
    <row r="13032" spans="1:2" x14ac:dyDescent="0.25">
      <c r="A13032" s="2">
        <v>13027</v>
      </c>
      <c r="B13032" s="11" t="str">
        <f>"00631344"</f>
        <v>00631344</v>
      </c>
    </row>
    <row r="13033" spans="1:2" x14ac:dyDescent="0.25">
      <c r="A13033" s="2">
        <v>13028</v>
      </c>
      <c r="B13033" s="11" t="str">
        <f>"00631399"</f>
        <v>00631399</v>
      </c>
    </row>
    <row r="13034" spans="1:2" x14ac:dyDescent="0.25">
      <c r="A13034" s="2">
        <v>13029</v>
      </c>
      <c r="B13034" s="11" t="str">
        <f>"00631410"</f>
        <v>00631410</v>
      </c>
    </row>
    <row r="13035" spans="1:2" x14ac:dyDescent="0.25">
      <c r="A13035" s="2">
        <v>13030</v>
      </c>
      <c r="B13035" s="11" t="str">
        <f>"00631501"</f>
        <v>00631501</v>
      </c>
    </row>
    <row r="13036" spans="1:2" x14ac:dyDescent="0.25">
      <c r="A13036" s="2">
        <v>13031</v>
      </c>
      <c r="B13036" s="11" t="str">
        <f>"00631541"</f>
        <v>00631541</v>
      </c>
    </row>
    <row r="13037" spans="1:2" x14ac:dyDescent="0.25">
      <c r="A13037" s="2">
        <v>13032</v>
      </c>
      <c r="B13037" s="11" t="str">
        <f>"00631560"</f>
        <v>00631560</v>
      </c>
    </row>
    <row r="13038" spans="1:2" x14ac:dyDescent="0.25">
      <c r="A13038" s="2">
        <v>13033</v>
      </c>
      <c r="B13038" s="11" t="str">
        <f>"00631583"</f>
        <v>00631583</v>
      </c>
    </row>
    <row r="13039" spans="1:2" x14ac:dyDescent="0.25">
      <c r="A13039" s="2">
        <v>13034</v>
      </c>
      <c r="B13039" s="11" t="str">
        <f>"00631623"</f>
        <v>00631623</v>
      </c>
    </row>
    <row r="13040" spans="1:2" x14ac:dyDescent="0.25">
      <c r="A13040" s="2">
        <v>13035</v>
      </c>
      <c r="B13040" s="11" t="str">
        <f>"00631811"</f>
        <v>00631811</v>
      </c>
    </row>
    <row r="13041" spans="1:2" x14ac:dyDescent="0.25">
      <c r="A13041" s="2">
        <v>13036</v>
      </c>
      <c r="B13041" s="11" t="str">
        <f>"00631834"</f>
        <v>00631834</v>
      </c>
    </row>
    <row r="13042" spans="1:2" x14ac:dyDescent="0.25">
      <c r="A13042" s="2">
        <v>13037</v>
      </c>
      <c r="B13042" s="11" t="str">
        <f>"00631906"</f>
        <v>00631906</v>
      </c>
    </row>
    <row r="13043" spans="1:2" x14ac:dyDescent="0.25">
      <c r="A13043" s="2">
        <v>13038</v>
      </c>
      <c r="B13043" s="11" t="str">
        <f>"00631944"</f>
        <v>00631944</v>
      </c>
    </row>
    <row r="13044" spans="1:2" x14ac:dyDescent="0.25">
      <c r="A13044" s="2">
        <v>13039</v>
      </c>
      <c r="B13044" s="11" t="str">
        <f>"00632064"</f>
        <v>00632064</v>
      </c>
    </row>
    <row r="13045" spans="1:2" x14ac:dyDescent="0.25">
      <c r="A13045" s="2">
        <v>13040</v>
      </c>
      <c r="B13045" s="11" t="str">
        <f>"00632131"</f>
        <v>00632131</v>
      </c>
    </row>
    <row r="13046" spans="1:2" x14ac:dyDescent="0.25">
      <c r="A13046" s="2">
        <v>13041</v>
      </c>
      <c r="B13046" s="11" t="str">
        <f>"00632278"</f>
        <v>00632278</v>
      </c>
    </row>
    <row r="13047" spans="1:2" x14ac:dyDescent="0.25">
      <c r="A13047" s="2">
        <v>13042</v>
      </c>
      <c r="B13047" s="11" t="str">
        <f>"00632407"</f>
        <v>00632407</v>
      </c>
    </row>
    <row r="13048" spans="1:2" x14ac:dyDescent="0.25">
      <c r="A13048" s="2">
        <v>13043</v>
      </c>
      <c r="B13048" s="11" t="str">
        <f>"00632420"</f>
        <v>00632420</v>
      </c>
    </row>
    <row r="13049" spans="1:2" x14ac:dyDescent="0.25">
      <c r="A13049" s="2">
        <v>13044</v>
      </c>
      <c r="B13049" s="11" t="str">
        <f>"00632458"</f>
        <v>00632458</v>
      </c>
    </row>
    <row r="13050" spans="1:2" x14ac:dyDescent="0.25">
      <c r="A13050" s="2">
        <v>13045</v>
      </c>
      <c r="B13050" s="11" t="str">
        <f>"00632498"</f>
        <v>00632498</v>
      </c>
    </row>
    <row r="13051" spans="1:2" x14ac:dyDescent="0.25">
      <c r="A13051" s="2">
        <v>13046</v>
      </c>
      <c r="B13051" s="11" t="str">
        <f>"00632580"</f>
        <v>00632580</v>
      </c>
    </row>
    <row r="13052" spans="1:2" x14ac:dyDescent="0.25">
      <c r="A13052" s="2">
        <v>13047</v>
      </c>
      <c r="B13052" s="11" t="str">
        <f>"00632635"</f>
        <v>00632635</v>
      </c>
    </row>
    <row r="13053" spans="1:2" x14ac:dyDescent="0.25">
      <c r="A13053" s="2">
        <v>13048</v>
      </c>
      <c r="B13053" s="11" t="str">
        <f>"00632641"</f>
        <v>00632641</v>
      </c>
    </row>
    <row r="13054" spans="1:2" x14ac:dyDescent="0.25">
      <c r="A13054" s="2">
        <v>13049</v>
      </c>
      <c r="B13054" s="11" t="str">
        <f>"00632683"</f>
        <v>00632683</v>
      </c>
    </row>
    <row r="13055" spans="1:2" x14ac:dyDescent="0.25">
      <c r="A13055" s="2">
        <v>13050</v>
      </c>
      <c r="B13055" s="11" t="str">
        <f>"00632753"</f>
        <v>00632753</v>
      </c>
    </row>
    <row r="13056" spans="1:2" x14ac:dyDescent="0.25">
      <c r="A13056" s="2">
        <v>13051</v>
      </c>
      <c r="B13056" s="11" t="str">
        <f>"00632761"</f>
        <v>00632761</v>
      </c>
    </row>
    <row r="13057" spans="1:2" x14ac:dyDescent="0.25">
      <c r="A13057" s="2">
        <v>13052</v>
      </c>
      <c r="B13057" s="11" t="str">
        <f>"00632804"</f>
        <v>00632804</v>
      </c>
    </row>
    <row r="13058" spans="1:2" x14ac:dyDescent="0.25">
      <c r="A13058" s="2">
        <v>13053</v>
      </c>
      <c r="B13058" s="11" t="str">
        <f>"00632807"</f>
        <v>00632807</v>
      </c>
    </row>
    <row r="13059" spans="1:2" x14ac:dyDescent="0.25">
      <c r="A13059" s="2">
        <v>13054</v>
      </c>
      <c r="B13059" s="11" t="str">
        <f>"00632815"</f>
        <v>00632815</v>
      </c>
    </row>
    <row r="13060" spans="1:2" x14ac:dyDescent="0.25">
      <c r="A13060" s="2">
        <v>13055</v>
      </c>
      <c r="B13060" s="11" t="str">
        <f>"00632816"</f>
        <v>00632816</v>
      </c>
    </row>
    <row r="13061" spans="1:2" x14ac:dyDescent="0.25">
      <c r="A13061" s="2">
        <v>13056</v>
      </c>
      <c r="B13061" s="11" t="str">
        <f>"00632818"</f>
        <v>00632818</v>
      </c>
    </row>
    <row r="13062" spans="1:2" x14ac:dyDescent="0.25">
      <c r="A13062" s="2">
        <v>13057</v>
      </c>
      <c r="B13062" s="11" t="str">
        <f>"00632827"</f>
        <v>00632827</v>
      </c>
    </row>
    <row r="13063" spans="1:2" x14ac:dyDescent="0.25">
      <c r="A13063" s="2">
        <v>13058</v>
      </c>
      <c r="B13063" s="11" t="str">
        <f>"00632829"</f>
        <v>00632829</v>
      </c>
    </row>
    <row r="13064" spans="1:2" x14ac:dyDescent="0.25">
      <c r="A13064" s="2">
        <v>13059</v>
      </c>
      <c r="B13064" s="11" t="str">
        <f>"00632878"</f>
        <v>00632878</v>
      </c>
    </row>
    <row r="13065" spans="1:2" x14ac:dyDescent="0.25">
      <c r="A13065" s="2">
        <v>13060</v>
      </c>
      <c r="B13065" s="11" t="str">
        <f>"00632889"</f>
        <v>00632889</v>
      </c>
    </row>
    <row r="13066" spans="1:2" x14ac:dyDescent="0.25">
      <c r="A13066" s="2">
        <v>13061</v>
      </c>
      <c r="B13066" s="11" t="str">
        <f>"00632934"</f>
        <v>00632934</v>
      </c>
    </row>
    <row r="13067" spans="1:2" x14ac:dyDescent="0.25">
      <c r="A13067" s="2">
        <v>13062</v>
      </c>
      <c r="B13067" s="11" t="str">
        <f>"00632972"</f>
        <v>00632972</v>
      </c>
    </row>
    <row r="13068" spans="1:2" x14ac:dyDescent="0.25">
      <c r="A13068" s="2">
        <v>13063</v>
      </c>
      <c r="B13068" s="11" t="str">
        <f>"00633085"</f>
        <v>00633085</v>
      </c>
    </row>
    <row r="13069" spans="1:2" x14ac:dyDescent="0.25">
      <c r="A13069" s="2">
        <v>13064</v>
      </c>
      <c r="B13069" s="11" t="str">
        <f>"00633117"</f>
        <v>00633117</v>
      </c>
    </row>
    <row r="13070" spans="1:2" x14ac:dyDescent="0.25">
      <c r="A13070" s="2">
        <v>13065</v>
      </c>
      <c r="B13070" s="11" t="str">
        <f>"00633179"</f>
        <v>00633179</v>
      </c>
    </row>
    <row r="13071" spans="1:2" x14ac:dyDescent="0.25">
      <c r="A13071" s="2">
        <v>13066</v>
      </c>
      <c r="B13071" s="11" t="str">
        <f>"00633315"</f>
        <v>00633315</v>
      </c>
    </row>
    <row r="13072" spans="1:2" x14ac:dyDescent="0.25">
      <c r="A13072" s="2">
        <v>13067</v>
      </c>
      <c r="B13072" s="11" t="str">
        <f>"00633350"</f>
        <v>00633350</v>
      </c>
    </row>
    <row r="13073" spans="1:2" x14ac:dyDescent="0.25">
      <c r="A13073" s="2">
        <v>13068</v>
      </c>
      <c r="B13073" s="11" t="str">
        <f>"00633429"</f>
        <v>00633429</v>
      </c>
    </row>
    <row r="13074" spans="1:2" x14ac:dyDescent="0.25">
      <c r="A13074" s="2">
        <v>13069</v>
      </c>
      <c r="B13074" s="11" t="str">
        <f>"00633479"</f>
        <v>00633479</v>
      </c>
    </row>
    <row r="13075" spans="1:2" x14ac:dyDescent="0.25">
      <c r="A13075" s="2">
        <v>13070</v>
      </c>
      <c r="B13075" s="11" t="str">
        <f>"00633507"</f>
        <v>00633507</v>
      </c>
    </row>
    <row r="13076" spans="1:2" x14ac:dyDescent="0.25">
      <c r="A13076" s="2">
        <v>13071</v>
      </c>
      <c r="B13076" s="11" t="str">
        <f>"00633520"</f>
        <v>00633520</v>
      </c>
    </row>
    <row r="13077" spans="1:2" x14ac:dyDescent="0.25">
      <c r="A13077" s="2">
        <v>13072</v>
      </c>
      <c r="B13077" s="11" t="str">
        <f>"00633557"</f>
        <v>00633557</v>
      </c>
    </row>
    <row r="13078" spans="1:2" x14ac:dyDescent="0.25">
      <c r="A13078" s="2">
        <v>13073</v>
      </c>
      <c r="B13078" s="11" t="str">
        <f>"00633757"</f>
        <v>00633757</v>
      </c>
    </row>
    <row r="13079" spans="1:2" x14ac:dyDescent="0.25">
      <c r="A13079" s="2">
        <v>13074</v>
      </c>
      <c r="B13079" s="11" t="str">
        <f>"00633847"</f>
        <v>00633847</v>
      </c>
    </row>
    <row r="13080" spans="1:2" x14ac:dyDescent="0.25">
      <c r="A13080" s="2">
        <v>13075</v>
      </c>
      <c r="B13080" s="11" t="str">
        <f>"00633865"</f>
        <v>00633865</v>
      </c>
    </row>
    <row r="13081" spans="1:2" x14ac:dyDescent="0.25">
      <c r="A13081" s="2">
        <v>13076</v>
      </c>
      <c r="B13081" s="11" t="str">
        <f>"00633979"</f>
        <v>00633979</v>
      </c>
    </row>
    <row r="13082" spans="1:2" x14ac:dyDescent="0.25">
      <c r="A13082" s="2">
        <v>13077</v>
      </c>
      <c r="B13082" s="11" t="str">
        <f>"00634003"</f>
        <v>00634003</v>
      </c>
    </row>
    <row r="13083" spans="1:2" x14ac:dyDescent="0.25">
      <c r="A13083" s="2">
        <v>13078</v>
      </c>
      <c r="B13083" s="11" t="str">
        <f>"00634005"</f>
        <v>00634005</v>
      </c>
    </row>
    <row r="13084" spans="1:2" x14ac:dyDescent="0.25">
      <c r="A13084" s="2">
        <v>13079</v>
      </c>
      <c r="B13084" s="11" t="str">
        <f>"00634017"</f>
        <v>00634017</v>
      </c>
    </row>
    <row r="13085" spans="1:2" x14ac:dyDescent="0.25">
      <c r="A13085" s="2">
        <v>13080</v>
      </c>
      <c r="B13085" s="11" t="str">
        <f>"00634060"</f>
        <v>00634060</v>
      </c>
    </row>
    <row r="13086" spans="1:2" x14ac:dyDescent="0.25">
      <c r="A13086" s="2">
        <v>13081</v>
      </c>
      <c r="B13086" s="11" t="str">
        <f>"00634103"</f>
        <v>00634103</v>
      </c>
    </row>
    <row r="13087" spans="1:2" x14ac:dyDescent="0.25">
      <c r="A13087" s="2">
        <v>13082</v>
      </c>
      <c r="B13087" s="11" t="str">
        <f>"00634169"</f>
        <v>00634169</v>
      </c>
    </row>
    <row r="13088" spans="1:2" x14ac:dyDescent="0.25">
      <c r="A13088" s="2">
        <v>13083</v>
      </c>
      <c r="B13088" s="11" t="str">
        <f>"00634224"</f>
        <v>00634224</v>
      </c>
    </row>
    <row r="13089" spans="1:2" x14ac:dyDescent="0.25">
      <c r="A13089" s="2">
        <v>13084</v>
      </c>
      <c r="B13089" s="11" t="str">
        <f>"00634321"</f>
        <v>00634321</v>
      </c>
    </row>
    <row r="13090" spans="1:2" x14ac:dyDescent="0.25">
      <c r="A13090" s="2">
        <v>13085</v>
      </c>
      <c r="B13090" s="11" t="str">
        <f>"00634375"</f>
        <v>00634375</v>
      </c>
    </row>
    <row r="13091" spans="1:2" x14ac:dyDescent="0.25">
      <c r="A13091" s="2">
        <v>13086</v>
      </c>
      <c r="B13091" s="11" t="str">
        <f>"00634408"</f>
        <v>00634408</v>
      </c>
    </row>
    <row r="13092" spans="1:2" x14ac:dyDescent="0.25">
      <c r="A13092" s="2">
        <v>13087</v>
      </c>
      <c r="B13092" s="11" t="str">
        <f>"00634484"</f>
        <v>00634484</v>
      </c>
    </row>
    <row r="13093" spans="1:2" x14ac:dyDescent="0.25">
      <c r="A13093" s="2">
        <v>13088</v>
      </c>
      <c r="B13093" s="11" t="str">
        <f>"00634554"</f>
        <v>00634554</v>
      </c>
    </row>
    <row r="13094" spans="1:2" x14ac:dyDescent="0.25">
      <c r="A13094" s="2">
        <v>13089</v>
      </c>
      <c r="B13094" s="11" t="str">
        <f>"00634562"</f>
        <v>00634562</v>
      </c>
    </row>
    <row r="13095" spans="1:2" x14ac:dyDescent="0.25">
      <c r="A13095" s="2">
        <v>13090</v>
      </c>
      <c r="B13095" s="11" t="str">
        <f>"00634620"</f>
        <v>00634620</v>
      </c>
    </row>
    <row r="13096" spans="1:2" x14ac:dyDescent="0.25">
      <c r="A13096" s="2">
        <v>13091</v>
      </c>
      <c r="B13096" s="11" t="str">
        <f>"00634667"</f>
        <v>00634667</v>
      </c>
    </row>
    <row r="13097" spans="1:2" x14ac:dyDescent="0.25">
      <c r="A13097" s="2">
        <v>13092</v>
      </c>
      <c r="B13097" s="11" t="str">
        <f>"00634679"</f>
        <v>00634679</v>
      </c>
    </row>
    <row r="13098" spans="1:2" x14ac:dyDescent="0.25">
      <c r="A13098" s="2">
        <v>13093</v>
      </c>
      <c r="B13098" s="11" t="str">
        <f>"00634703"</f>
        <v>00634703</v>
      </c>
    </row>
    <row r="13099" spans="1:2" x14ac:dyDescent="0.25">
      <c r="A13099" s="2">
        <v>13094</v>
      </c>
      <c r="B13099" s="11" t="str">
        <f>"00634708"</f>
        <v>00634708</v>
      </c>
    </row>
    <row r="13100" spans="1:2" x14ac:dyDescent="0.25">
      <c r="A13100" s="2">
        <v>13095</v>
      </c>
      <c r="B13100" s="11" t="str">
        <f>"00634732"</f>
        <v>00634732</v>
      </c>
    </row>
    <row r="13101" spans="1:2" x14ac:dyDescent="0.25">
      <c r="A13101" s="2">
        <v>13096</v>
      </c>
      <c r="B13101" s="11" t="str">
        <f>"00634880"</f>
        <v>00634880</v>
      </c>
    </row>
    <row r="13102" spans="1:2" x14ac:dyDescent="0.25">
      <c r="A13102" s="2">
        <v>13097</v>
      </c>
      <c r="B13102" s="11" t="str">
        <f>"00634892"</f>
        <v>00634892</v>
      </c>
    </row>
    <row r="13103" spans="1:2" x14ac:dyDescent="0.25">
      <c r="A13103" s="2">
        <v>13098</v>
      </c>
      <c r="B13103" s="11" t="str">
        <f>"00634915"</f>
        <v>00634915</v>
      </c>
    </row>
    <row r="13104" spans="1:2" x14ac:dyDescent="0.25">
      <c r="A13104" s="2">
        <v>13099</v>
      </c>
      <c r="B13104" s="11" t="str">
        <f>"00634958"</f>
        <v>00634958</v>
      </c>
    </row>
    <row r="13105" spans="1:2" x14ac:dyDescent="0.25">
      <c r="A13105" s="2">
        <v>13100</v>
      </c>
      <c r="B13105" s="11" t="str">
        <f>"00634995"</f>
        <v>00634995</v>
      </c>
    </row>
    <row r="13106" spans="1:2" x14ac:dyDescent="0.25">
      <c r="A13106" s="2">
        <v>13101</v>
      </c>
      <c r="B13106" s="11" t="str">
        <f>"00635012"</f>
        <v>00635012</v>
      </c>
    </row>
    <row r="13107" spans="1:2" x14ac:dyDescent="0.25">
      <c r="A13107" s="2">
        <v>13102</v>
      </c>
      <c r="B13107" s="11" t="str">
        <f>"00635144"</f>
        <v>00635144</v>
      </c>
    </row>
    <row r="13108" spans="1:2" x14ac:dyDescent="0.25">
      <c r="A13108" s="2">
        <v>13103</v>
      </c>
      <c r="B13108" s="11" t="str">
        <f>"00635145"</f>
        <v>00635145</v>
      </c>
    </row>
    <row r="13109" spans="1:2" x14ac:dyDescent="0.25">
      <c r="A13109" s="2">
        <v>13104</v>
      </c>
      <c r="B13109" s="11" t="str">
        <f>"00635182"</f>
        <v>00635182</v>
      </c>
    </row>
    <row r="13110" spans="1:2" x14ac:dyDescent="0.25">
      <c r="A13110" s="2">
        <v>13105</v>
      </c>
      <c r="B13110" s="11" t="str">
        <f>"00635219"</f>
        <v>00635219</v>
      </c>
    </row>
    <row r="13111" spans="1:2" x14ac:dyDescent="0.25">
      <c r="A13111" s="2">
        <v>13106</v>
      </c>
      <c r="B13111" s="11" t="str">
        <f>"00635270"</f>
        <v>00635270</v>
      </c>
    </row>
    <row r="13112" spans="1:2" x14ac:dyDescent="0.25">
      <c r="A13112" s="2">
        <v>13107</v>
      </c>
      <c r="B13112" s="11" t="str">
        <f>"00635292"</f>
        <v>00635292</v>
      </c>
    </row>
    <row r="13113" spans="1:2" x14ac:dyDescent="0.25">
      <c r="A13113" s="2">
        <v>13108</v>
      </c>
      <c r="B13113" s="11" t="str">
        <f>"00635326"</f>
        <v>00635326</v>
      </c>
    </row>
    <row r="13114" spans="1:2" x14ac:dyDescent="0.25">
      <c r="A13114" s="2">
        <v>13109</v>
      </c>
      <c r="B13114" s="11" t="str">
        <f>"00635383"</f>
        <v>00635383</v>
      </c>
    </row>
    <row r="13115" spans="1:2" x14ac:dyDescent="0.25">
      <c r="A13115" s="2">
        <v>13110</v>
      </c>
      <c r="B13115" s="11" t="str">
        <f>"00635385"</f>
        <v>00635385</v>
      </c>
    </row>
    <row r="13116" spans="1:2" x14ac:dyDescent="0.25">
      <c r="A13116" s="2">
        <v>13111</v>
      </c>
      <c r="B13116" s="11" t="str">
        <f>"00635398"</f>
        <v>00635398</v>
      </c>
    </row>
    <row r="13117" spans="1:2" x14ac:dyDescent="0.25">
      <c r="A13117" s="2">
        <v>13112</v>
      </c>
      <c r="B13117" s="11" t="str">
        <f>"00635497"</f>
        <v>00635497</v>
      </c>
    </row>
    <row r="13118" spans="1:2" x14ac:dyDescent="0.25">
      <c r="A13118" s="2">
        <v>13113</v>
      </c>
      <c r="B13118" s="11" t="str">
        <f>"00635565"</f>
        <v>00635565</v>
      </c>
    </row>
    <row r="13119" spans="1:2" x14ac:dyDescent="0.25">
      <c r="A13119" s="2">
        <v>13114</v>
      </c>
      <c r="B13119" s="11" t="str">
        <f>"00635623"</f>
        <v>00635623</v>
      </c>
    </row>
    <row r="13120" spans="1:2" x14ac:dyDescent="0.25">
      <c r="A13120" s="2">
        <v>13115</v>
      </c>
      <c r="B13120" s="11" t="str">
        <f>"00635651"</f>
        <v>00635651</v>
      </c>
    </row>
    <row r="13121" spans="1:2" x14ac:dyDescent="0.25">
      <c r="A13121" s="2">
        <v>13116</v>
      </c>
      <c r="B13121" s="11" t="str">
        <f>"00635682"</f>
        <v>00635682</v>
      </c>
    </row>
    <row r="13122" spans="1:2" x14ac:dyDescent="0.25">
      <c r="A13122" s="2">
        <v>13117</v>
      </c>
      <c r="B13122" s="11" t="str">
        <f>"00635695"</f>
        <v>00635695</v>
      </c>
    </row>
    <row r="13123" spans="1:2" x14ac:dyDescent="0.25">
      <c r="A13123" s="2">
        <v>13118</v>
      </c>
      <c r="B13123" s="11" t="str">
        <f>"00635697"</f>
        <v>00635697</v>
      </c>
    </row>
    <row r="13124" spans="1:2" x14ac:dyDescent="0.25">
      <c r="A13124" s="2">
        <v>13119</v>
      </c>
      <c r="B13124" s="11" t="str">
        <f>"00635820"</f>
        <v>00635820</v>
      </c>
    </row>
    <row r="13125" spans="1:2" x14ac:dyDescent="0.25">
      <c r="A13125" s="2">
        <v>13120</v>
      </c>
      <c r="B13125" s="11" t="str">
        <f>"00635827"</f>
        <v>00635827</v>
      </c>
    </row>
    <row r="13126" spans="1:2" x14ac:dyDescent="0.25">
      <c r="A13126" s="2">
        <v>13121</v>
      </c>
      <c r="B13126" s="11" t="str">
        <f>"00635840"</f>
        <v>00635840</v>
      </c>
    </row>
    <row r="13127" spans="1:2" x14ac:dyDescent="0.25">
      <c r="A13127" s="2">
        <v>13122</v>
      </c>
      <c r="B13127" s="11" t="str">
        <f>"00635905"</f>
        <v>00635905</v>
      </c>
    </row>
    <row r="13128" spans="1:2" x14ac:dyDescent="0.25">
      <c r="A13128" s="2">
        <v>13123</v>
      </c>
      <c r="B13128" s="11" t="str">
        <f>"00636031"</f>
        <v>00636031</v>
      </c>
    </row>
    <row r="13129" spans="1:2" x14ac:dyDescent="0.25">
      <c r="A13129" s="2">
        <v>13124</v>
      </c>
      <c r="B13129" s="11" t="str">
        <f>"00636070"</f>
        <v>00636070</v>
      </c>
    </row>
    <row r="13130" spans="1:2" x14ac:dyDescent="0.25">
      <c r="A13130" s="2">
        <v>13125</v>
      </c>
      <c r="B13130" s="11" t="str">
        <f>"00636098"</f>
        <v>00636098</v>
      </c>
    </row>
    <row r="13131" spans="1:2" x14ac:dyDescent="0.25">
      <c r="A13131" s="2">
        <v>13126</v>
      </c>
      <c r="B13131" s="11" t="str">
        <f>"00636183"</f>
        <v>00636183</v>
      </c>
    </row>
    <row r="13132" spans="1:2" x14ac:dyDescent="0.25">
      <c r="A13132" s="2">
        <v>13127</v>
      </c>
      <c r="B13132" s="11" t="str">
        <f>"00636246"</f>
        <v>00636246</v>
      </c>
    </row>
    <row r="13133" spans="1:2" x14ac:dyDescent="0.25">
      <c r="A13133" s="2">
        <v>13128</v>
      </c>
      <c r="B13133" s="11" t="str">
        <f>"00636330"</f>
        <v>00636330</v>
      </c>
    </row>
    <row r="13134" spans="1:2" x14ac:dyDescent="0.25">
      <c r="A13134" s="2">
        <v>13129</v>
      </c>
      <c r="B13134" s="11" t="str">
        <f>"00636370"</f>
        <v>00636370</v>
      </c>
    </row>
    <row r="13135" spans="1:2" x14ac:dyDescent="0.25">
      <c r="A13135" s="2">
        <v>13130</v>
      </c>
      <c r="B13135" s="11" t="str">
        <f>"00636426"</f>
        <v>00636426</v>
      </c>
    </row>
    <row r="13136" spans="1:2" x14ac:dyDescent="0.25">
      <c r="A13136" s="2">
        <v>13131</v>
      </c>
      <c r="B13136" s="11" t="str">
        <f>"00636531"</f>
        <v>00636531</v>
      </c>
    </row>
    <row r="13137" spans="1:2" x14ac:dyDescent="0.25">
      <c r="A13137" s="2">
        <v>13132</v>
      </c>
      <c r="B13137" s="11" t="str">
        <f>"00636985"</f>
        <v>00636985</v>
      </c>
    </row>
    <row r="13138" spans="1:2" x14ac:dyDescent="0.25">
      <c r="A13138" s="2">
        <v>13133</v>
      </c>
      <c r="B13138" s="11" t="str">
        <f>"00637032"</f>
        <v>00637032</v>
      </c>
    </row>
    <row r="13139" spans="1:2" x14ac:dyDescent="0.25">
      <c r="A13139" s="2">
        <v>13134</v>
      </c>
      <c r="B13139" s="11" t="str">
        <f>"00637047"</f>
        <v>00637047</v>
      </c>
    </row>
    <row r="13140" spans="1:2" x14ac:dyDescent="0.25">
      <c r="A13140" s="2">
        <v>13135</v>
      </c>
      <c r="B13140" s="11" t="str">
        <f>"00637113"</f>
        <v>00637113</v>
      </c>
    </row>
    <row r="13141" spans="1:2" x14ac:dyDescent="0.25">
      <c r="A13141" s="2">
        <v>13136</v>
      </c>
      <c r="B13141" s="11" t="str">
        <f>"00637228"</f>
        <v>00637228</v>
      </c>
    </row>
    <row r="13142" spans="1:2" x14ac:dyDescent="0.25">
      <c r="A13142" s="2">
        <v>13137</v>
      </c>
      <c r="B13142" s="11" t="str">
        <f>"00637229"</f>
        <v>00637229</v>
      </c>
    </row>
    <row r="13143" spans="1:2" x14ac:dyDescent="0.25">
      <c r="A13143" s="2">
        <v>13138</v>
      </c>
      <c r="B13143" s="11" t="str">
        <f>"00637277"</f>
        <v>00637277</v>
      </c>
    </row>
    <row r="13144" spans="1:2" x14ac:dyDescent="0.25">
      <c r="A13144" s="2">
        <v>13139</v>
      </c>
      <c r="B13144" s="11" t="str">
        <f>"00637401"</f>
        <v>00637401</v>
      </c>
    </row>
    <row r="13145" spans="1:2" x14ac:dyDescent="0.25">
      <c r="A13145" s="2">
        <v>13140</v>
      </c>
      <c r="B13145" s="11" t="str">
        <f>"00637511"</f>
        <v>00637511</v>
      </c>
    </row>
    <row r="13146" spans="1:2" x14ac:dyDescent="0.25">
      <c r="A13146" s="2">
        <v>13141</v>
      </c>
      <c r="B13146" s="11" t="str">
        <f>"00637537"</f>
        <v>00637537</v>
      </c>
    </row>
    <row r="13147" spans="1:2" x14ac:dyDescent="0.25">
      <c r="A13147" s="2">
        <v>13142</v>
      </c>
      <c r="B13147" s="11" t="str">
        <f>"00637552"</f>
        <v>00637552</v>
      </c>
    </row>
    <row r="13148" spans="1:2" x14ac:dyDescent="0.25">
      <c r="A13148" s="2">
        <v>13143</v>
      </c>
      <c r="B13148" s="11" t="str">
        <f>"00637584"</f>
        <v>00637584</v>
      </c>
    </row>
    <row r="13149" spans="1:2" x14ac:dyDescent="0.25">
      <c r="A13149" s="2">
        <v>13144</v>
      </c>
      <c r="B13149" s="11" t="str">
        <f>"00637591"</f>
        <v>00637591</v>
      </c>
    </row>
    <row r="13150" spans="1:2" x14ac:dyDescent="0.25">
      <c r="A13150" s="2">
        <v>13145</v>
      </c>
      <c r="B13150" s="11" t="str">
        <f>"00637676"</f>
        <v>00637676</v>
      </c>
    </row>
    <row r="13151" spans="1:2" x14ac:dyDescent="0.25">
      <c r="A13151" s="2">
        <v>13146</v>
      </c>
      <c r="B13151" s="11" t="str">
        <f>"00637843"</f>
        <v>00637843</v>
      </c>
    </row>
    <row r="13152" spans="1:2" x14ac:dyDescent="0.25">
      <c r="A13152" s="2">
        <v>13147</v>
      </c>
      <c r="B13152" s="11" t="str">
        <f>"00638045"</f>
        <v>00638045</v>
      </c>
    </row>
    <row r="13153" spans="1:2" x14ac:dyDescent="0.25">
      <c r="A13153" s="2">
        <v>13148</v>
      </c>
      <c r="B13153" s="11" t="str">
        <f>"00638070"</f>
        <v>00638070</v>
      </c>
    </row>
    <row r="13154" spans="1:2" x14ac:dyDescent="0.25">
      <c r="A13154" s="2">
        <v>13149</v>
      </c>
      <c r="B13154" s="11" t="str">
        <f>"00638106"</f>
        <v>00638106</v>
      </c>
    </row>
    <row r="13155" spans="1:2" x14ac:dyDescent="0.25">
      <c r="A13155" s="2">
        <v>13150</v>
      </c>
      <c r="B13155" s="11" t="str">
        <f>"00638120"</f>
        <v>00638120</v>
      </c>
    </row>
    <row r="13156" spans="1:2" x14ac:dyDescent="0.25">
      <c r="A13156" s="2">
        <v>13151</v>
      </c>
      <c r="B13156" s="11" t="str">
        <f>"00638174"</f>
        <v>00638174</v>
      </c>
    </row>
    <row r="13157" spans="1:2" x14ac:dyDescent="0.25">
      <c r="A13157" s="2">
        <v>13152</v>
      </c>
      <c r="B13157" s="11" t="str">
        <f>"00638348"</f>
        <v>00638348</v>
      </c>
    </row>
    <row r="13158" spans="1:2" x14ac:dyDescent="0.25">
      <c r="A13158" s="2">
        <v>13153</v>
      </c>
      <c r="B13158" s="11" t="str">
        <f>"00638526"</f>
        <v>00638526</v>
      </c>
    </row>
    <row r="13159" spans="1:2" x14ac:dyDescent="0.25">
      <c r="A13159" s="2">
        <v>13154</v>
      </c>
      <c r="B13159" s="11" t="str">
        <f>"00638541"</f>
        <v>00638541</v>
      </c>
    </row>
    <row r="13160" spans="1:2" x14ac:dyDescent="0.25">
      <c r="A13160" s="2">
        <v>13155</v>
      </c>
      <c r="B13160" s="11" t="str">
        <f>"00638562"</f>
        <v>00638562</v>
      </c>
    </row>
    <row r="13161" spans="1:2" x14ac:dyDescent="0.25">
      <c r="A13161" s="2">
        <v>13156</v>
      </c>
      <c r="B13161" s="11" t="str">
        <f>"00638573"</f>
        <v>00638573</v>
      </c>
    </row>
    <row r="13162" spans="1:2" x14ac:dyDescent="0.25">
      <c r="A13162" s="2">
        <v>13157</v>
      </c>
      <c r="B13162" s="11" t="str">
        <f>"00638596"</f>
        <v>00638596</v>
      </c>
    </row>
    <row r="13163" spans="1:2" x14ac:dyDescent="0.25">
      <c r="A13163" s="2">
        <v>13158</v>
      </c>
      <c r="B13163" s="11" t="str">
        <f>"00638683"</f>
        <v>00638683</v>
      </c>
    </row>
    <row r="13164" spans="1:2" x14ac:dyDescent="0.25">
      <c r="A13164" s="2">
        <v>13159</v>
      </c>
      <c r="B13164" s="11" t="str">
        <f>"00638699"</f>
        <v>00638699</v>
      </c>
    </row>
    <row r="13165" spans="1:2" x14ac:dyDescent="0.25">
      <c r="A13165" s="2">
        <v>13160</v>
      </c>
      <c r="B13165" s="11" t="str">
        <f>"00638767"</f>
        <v>00638767</v>
      </c>
    </row>
    <row r="13166" spans="1:2" x14ac:dyDescent="0.25">
      <c r="A13166" s="2">
        <v>13161</v>
      </c>
      <c r="B13166" s="11" t="str">
        <f>"00638768"</f>
        <v>00638768</v>
      </c>
    </row>
    <row r="13167" spans="1:2" x14ac:dyDescent="0.25">
      <c r="A13167" s="2">
        <v>13162</v>
      </c>
      <c r="B13167" s="11" t="str">
        <f>"00638868"</f>
        <v>00638868</v>
      </c>
    </row>
    <row r="13168" spans="1:2" x14ac:dyDescent="0.25">
      <c r="A13168" s="2">
        <v>13163</v>
      </c>
      <c r="B13168" s="11" t="str">
        <f>"00638875"</f>
        <v>00638875</v>
      </c>
    </row>
    <row r="13169" spans="1:2" x14ac:dyDescent="0.25">
      <c r="A13169" s="2">
        <v>13164</v>
      </c>
      <c r="B13169" s="11" t="str">
        <f>"00638930"</f>
        <v>00638930</v>
      </c>
    </row>
    <row r="13170" spans="1:2" x14ac:dyDescent="0.25">
      <c r="A13170" s="2">
        <v>13165</v>
      </c>
      <c r="B13170" s="11" t="str">
        <f>"00638936"</f>
        <v>00638936</v>
      </c>
    </row>
    <row r="13171" spans="1:2" x14ac:dyDescent="0.25">
      <c r="A13171" s="2">
        <v>13166</v>
      </c>
      <c r="B13171" s="11" t="str">
        <f>"00639173"</f>
        <v>00639173</v>
      </c>
    </row>
    <row r="13172" spans="1:2" x14ac:dyDescent="0.25">
      <c r="A13172" s="2">
        <v>13167</v>
      </c>
      <c r="B13172" s="11" t="str">
        <f>"00639297"</f>
        <v>00639297</v>
      </c>
    </row>
    <row r="13173" spans="1:2" x14ac:dyDescent="0.25">
      <c r="A13173" s="2">
        <v>13168</v>
      </c>
      <c r="B13173" s="11" t="str">
        <f>"00639404"</f>
        <v>00639404</v>
      </c>
    </row>
    <row r="13174" spans="1:2" x14ac:dyDescent="0.25">
      <c r="A13174" s="2">
        <v>13169</v>
      </c>
      <c r="B13174" s="11" t="str">
        <f>"00639422"</f>
        <v>00639422</v>
      </c>
    </row>
    <row r="13175" spans="1:2" x14ac:dyDescent="0.25">
      <c r="A13175" s="2">
        <v>13170</v>
      </c>
      <c r="B13175" s="11" t="str">
        <f>"00639459"</f>
        <v>00639459</v>
      </c>
    </row>
    <row r="13176" spans="1:2" x14ac:dyDescent="0.25">
      <c r="A13176" s="2">
        <v>13171</v>
      </c>
      <c r="B13176" s="11" t="str">
        <f>"00639472"</f>
        <v>00639472</v>
      </c>
    </row>
    <row r="13177" spans="1:2" x14ac:dyDescent="0.25">
      <c r="A13177" s="2">
        <v>13172</v>
      </c>
      <c r="B13177" s="11" t="str">
        <f>"00639513"</f>
        <v>00639513</v>
      </c>
    </row>
    <row r="13178" spans="1:2" x14ac:dyDescent="0.25">
      <c r="A13178" s="2">
        <v>13173</v>
      </c>
      <c r="B13178" s="11" t="str">
        <f>"00639656"</f>
        <v>00639656</v>
      </c>
    </row>
    <row r="13179" spans="1:2" x14ac:dyDescent="0.25">
      <c r="A13179" s="2">
        <v>13174</v>
      </c>
      <c r="B13179" s="11" t="str">
        <f>"00639761"</f>
        <v>00639761</v>
      </c>
    </row>
    <row r="13180" spans="1:2" x14ac:dyDescent="0.25">
      <c r="A13180" s="2">
        <v>13175</v>
      </c>
      <c r="B13180" s="11" t="str">
        <f>"00639802"</f>
        <v>00639802</v>
      </c>
    </row>
    <row r="13181" spans="1:2" x14ac:dyDescent="0.25">
      <c r="A13181" s="2">
        <v>13176</v>
      </c>
      <c r="B13181" s="11" t="str">
        <f>"00639809"</f>
        <v>00639809</v>
      </c>
    </row>
    <row r="13182" spans="1:2" x14ac:dyDescent="0.25">
      <c r="A13182" s="2">
        <v>13177</v>
      </c>
      <c r="B13182" s="11" t="str">
        <f>"00639861"</f>
        <v>00639861</v>
      </c>
    </row>
    <row r="13183" spans="1:2" x14ac:dyDescent="0.25">
      <c r="A13183" s="2">
        <v>13178</v>
      </c>
      <c r="B13183" s="11" t="str">
        <f>"00639898"</f>
        <v>00639898</v>
      </c>
    </row>
    <row r="13184" spans="1:2" x14ac:dyDescent="0.25">
      <c r="A13184" s="2">
        <v>13179</v>
      </c>
      <c r="B13184" s="11" t="str">
        <f>"00640024"</f>
        <v>00640024</v>
      </c>
    </row>
    <row r="13185" spans="1:2" x14ac:dyDescent="0.25">
      <c r="A13185" s="2">
        <v>13180</v>
      </c>
      <c r="B13185" s="11" t="str">
        <f>"00640030"</f>
        <v>00640030</v>
      </c>
    </row>
    <row r="13186" spans="1:2" x14ac:dyDescent="0.25">
      <c r="A13186" s="2">
        <v>13181</v>
      </c>
      <c r="B13186" s="11" t="str">
        <f>"00640059"</f>
        <v>00640059</v>
      </c>
    </row>
    <row r="13187" spans="1:2" x14ac:dyDescent="0.25">
      <c r="A13187" s="2">
        <v>13182</v>
      </c>
      <c r="B13187" s="11" t="str">
        <f>"00640141"</f>
        <v>00640141</v>
      </c>
    </row>
    <row r="13188" spans="1:2" x14ac:dyDescent="0.25">
      <c r="A13188" s="2">
        <v>13183</v>
      </c>
      <c r="B13188" s="11" t="str">
        <f>"00640143"</f>
        <v>00640143</v>
      </c>
    </row>
    <row r="13189" spans="1:2" x14ac:dyDescent="0.25">
      <c r="A13189" s="2">
        <v>13184</v>
      </c>
      <c r="B13189" s="11" t="str">
        <f>"00640165"</f>
        <v>00640165</v>
      </c>
    </row>
    <row r="13190" spans="1:2" x14ac:dyDescent="0.25">
      <c r="A13190" s="2">
        <v>13185</v>
      </c>
      <c r="B13190" s="11" t="str">
        <f>"00640178"</f>
        <v>00640178</v>
      </c>
    </row>
    <row r="13191" spans="1:2" x14ac:dyDescent="0.25">
      <c r="A13191" s="2">
        <v>13186</v>
      </c>
      <c r="B13191" s="11" t="str">
        <f>"00640180"</f>
        <v>00640180</v>
      </c>
    </row>
    <row r="13192" spans="1:2" x14ac:dyDescent="0.25">
      <c r="A13192" s="2">
        <v>13187</v>
      </c>
      <c r="B13192" s="11" t="str">
        <f>"00640227"</f>
        <v>00640227</v>
      </c>
    </row>
    <row r="13193" spans="1:2" x14ac:dyDescent="0.25">
      <c r="A13193" s="2">
        <v>13188</v>
      </c>
      <c r="B13193" s="11" t="str">
        <f>"00640235"</f>
        <v>00640235</v>
      </c>
    </row>
    <row r="13194" spans="1:2" x14ac:dyDescent="0.25">
      <c r="A13194" s="2">
        <v>13189</v>
      </c>
      <c r="B13194" s="11" t="str">
        <f>"00640335"</f>
        <v>00640335</v>
      </c>
    </row>
    <row r="13195" spans="1:2" x14ac:dyDescent="0.25">
      <c r="A13195" s="2">
        <v>13190</v>
      </c>
      <c r="B13195" s="11" t="str">
        <f>"00640371"</f>
        <v>00640371</v>
      </c>
    </row>
    <row r="13196" spans="1:2" x14ac:dyDescent="0.25">
      <c r="A13196" s="2">
        <v>13191</v>
      </c>
      <c r="B13196" s="11" t="str">
        <f>"00640428"</f>
        <v>00640428</v>
      </c>
    </row>
    <row r="13197" spans="1:2" x14ac:dyDescent="0.25">
      <c r="A13197" s="2">
        <v>13192</v>
      </c>
      <c r="B13197" s="11" t="str">
        <f>"00640429"</f>
        <v>00640429</v>
      </c>
    </row>
    <row r="13198" spans="1:2" x14ac:dyDescent="0.25">
      <c r="A13198" s="2">
        <v>13193</v>
      </c>
      <c r="B13198" s="11" t="str">
        <f>"00640474"</f>
        <v>00640474</v>
      </c>
    </row>
    <row r="13199" spans="1:2" x14ac:dyDescent="0.25">
      <c r="A13199" s="2">
        <v>13194</v>
      </c>
      <c r="B13199" s="11" t="str">
        <f>"00640517"</f>
        <v>00640517</v>
      </c>
    </row>
    <row r="13200" spans="1:2" x14ac:dyDescent="0.25">
      <c r="A13200" s="2">
        <v>13195</v>
      </c>
      <c r="B13200" s="11" t="str">
        <f>"00640534"</f>
        <v>00640534</v>
      </c>
    </row>
    <row r="13201" spans="1:2" x14ac:dyDescent="0.25">
      <c r="A13201" s="2">
        <v>13196</v>
      </c>
      <c r="B13201" s="11" t="str">
        <f>"00640577"</f>
        <v>00640577</v>
      </c>
    </row>
    <row r="13202" spans="1:2" x14ac:dyDescent="0.25">
      <c r="A13202" s="2">
        <v>13197</v>
      </c>
      <c r="B13202" s="11" t="str">
        <f>"00640595"</f>
        <v>00640595</v>
      </c>
    </row>
    <row r="13203" spans="1:2" x14ac:dyDescent="0.25">
      <c r="A13203" s="2">
        <v>13198</v>
      </c>
      <c r="B13203" s="11" t="str">
        <f>"00640706"</f>
        <v>00640706</v>
      </c>
    </row>
    <row r="13204" spans="1:2" x14ac:dyDescent="0.25">
      <c r="A13204" s="2">
        <v>13199</v>
      </c>
      <c r="B13204" s="11" t="str">
        <f>"00640915"</f>
        <v>00640915</v>
      </c>
    </row>
    <row r="13205" spans="1:2" x14ac:dyDescent="0.25">
      <c r="A13205" s="2">
        <v>13200</v>
      </c>
      <c r="B13205" s="11" t="str">
        <f>"00640977"</f>
        <v>00640977</v>
      </c>
    </row>
    <row r="13206" spans="1:2" x14ac:dyDescent="0.25">
      <c r="A13206" s="2">
        <v>13201</v>
      </c>
      <c r="B13206" s="11" t="str">
        <f>"00641021"</f>
        <v>00641021</v>
      </c>
    </row>
    <row r="13207" spans="1:2" x14ac:dyDescent="0.25">
      <c r="A13207" s="2">
        <v>13202</v>
      </c>
      <c r="B13207" s="11" t="str">
        <f>"00641034"</f>
        <v>00641034</v>
      </c>
    </row>
    <row r="13208" spans="1:2" x14ac:dyDescent="0.25">
      <c r="A13208" s="2">
        <v>13203</v>
      </c>
      <c r="B13208" s="11" t="str">
        <f>"00641053"</f>
        <v>00641053</v>
      </c>
    </row>
    <row r="13209" spans="1:2" x14ac:dyDescent="0.25">
      <c r="A13209" s="2">
        <v>13204</v>
      </c>
      <c r="B13209" s="11" t="str">
        <f>"00641064"</f>
        <v>00641064</v>
      </c>
    </row>
    <row r="13210" spans="1:2" x14ac:dyDescent="0.25">
      <c r="A13210" s="2">
        <v>13205</v>
      </c>
      <c r="B13210" s="11" t="str">
        <f>"00641103"</f>
        <v>00641103</v>
      </c>
    </row>
    <row r="13211" spans="1:2" x14ac:dyDescent="0.25">
      <c r="A13211" s="2">
        <v>13206</v>
      </c>
      <c r="B13211" s="11" t="str">
        <f>"00641117"</f>
        <v>00641117</v>
      </c>
    </row>
    <row r="13212" spans="1:2" x14ac:dyDescent="0.25">
      <c r="A13212" s="2">
        <v>13207</v>
      </c>
      <c r="B13212" s="11" t="str">
        <f>"00641136"</f>
        <v>00641136</v>
      </c>
    </row>
    <row r="13213" spans="1:2" x14ac:dyDescent="0.25">
      <c r="A13213" s="2">
        <v>13208</v>
      </c>
      <c r="B13213" s="11" t="str">
        <f>"00641169"</f>
        <v>00641169</v>
      </c>
    </row>
    <row r="13214" spans="1:2" x14ac:dyDescent="0.25">
      <c r="A13214" s="2">
        <v>13209</v>
      </c>
      <c r="B13214" s="11" t="str">
        <f>"00641186"</f>
        <v>00641186</v>
      </c>
    </row>
    <row r="13215" spans="1:2" x14ac:dyDescent="0.25">
      <c r="A13215" s="2">
        <v>13210</v>
      </c>
      <c r="B13215" s="11" t="str">
        <f>"00641232"</f>
        <v>00641232</v>
      </c>
    </row>
    <row r="13216" spans="1:2" x14ac:dyDescent="0.25">
      <c r="A13216" s="2">
        <v>13211</v>
      </c>
      <c r="B13216" s="11" t="str">
        <f>"00641329"</f>
        <v>00641329</v>
      </c>
    </row>
    <row r="13217" spans="1:2" x14ac:dyDescent="0.25">
      <c r="A13217" s="2">
        <v>13212</v>
      </c>
      <c r="B13217" s="11" t="str">
        <f>"00641337"</f>
        <v>00641337</v>
      </c>
    </row>
    <row r="13218" spans="1:2" x14ac:dyDescent="0.25">
      <c r="A13218" s="2">
        <v>13213</v>
      </c>
      <c r="B13218" s="11" t="str">
        <f>"00641371"</f>
        <v>00641371</v>
      </c>
    </row>
    <row r="13219" spans="1:2" x14ac:dyDescent="0.25">
      <c r="A13219" s="2">
        <v>13214</v>
      </c>
      <c r="B13219" s="11" t="str">
        <f>"00641452"</f>
        <v>00641452</v>
      </c>
    </row>
    <row r="13220" spans="1:2" x14ac:dyDescent="0.25">
      <c r="A13220" s="2">
        <v>13215</v>
      </c>
      <c r="B13220" s="11" t="str">
        <f>"00641551"</f>
        <v>00641551</v>
      </c>
    </row>
    <row r="13221" spans="1:2" x14ac:dyDescent="0.25">
      <c r="A13221" s="2">
        <v>13216</v>
      </c>
      <c r="B13221" s="11" t="str">
        <f>"00641671"</f>
        <v>00641671</v>
      </c>
    </row>
    <row r="13222" spans="1:2" x14ac:dyDescent="0.25">
      <c r="A13222" s="2">
        <v>13217</v>
      </c>
      <c r="B13222" s="11" t="str">
        <f>"00641762"</f>
        <v>00641762</v>
      </c>
    </row>
    <row r="13223" spans="1:2" x14ac:dyDescent="0.25">
      <c r="A13223" s="2">
        <v>13218</v>
      </c>
      <c r="B13223" s="11" t="str">
        <f>"00641788"</f>
        <v>00641788</v>
      </c>
    </row>
    <row r="13224" spans="1:2" x14ac:dyDescent="0.25">
      <c r="A13224" s="2">
        <v>13219</v>
      </c>
      <c r="B13224" s="11" t="str">
        <f>"00641795"</f>
        <v>00641795</v>
      </c>
    </row>
    <row r="13225" spans="1:2" x14ac:dyDescent="0.25">
      <c r="A13225" s="2">
        <v>13220</v>
      </c>
      <c r="B13225" s="11" t="str">
        <f>"00641900"</f>
        <v>00641900</v>
      </c>
    </row>
    <row r="13226" spans="1:2" x14ac:dyDescent="0.25">
      <c r="A13226" s="2">
        <v>13221</v>
      </c>
      <c r="B13226" s="11" t="str">
        <f>"00641904"</f>
        <v>00641904</v>
      </c>
    </row>
    <row r="13227" spans="1:2" x14ac:dyDescent="0.25">
      <c r="A13227" s="2">
        <v>13222</v>
      </c>
      <c r="B13227" s="11" t="str">
        <f>"00641968"</f>
        <v>00641968</v>
      </c>
    </row>
    <row r="13228" spans="1:2" x14ac:dyDescent="0.25">
      <c r="A13228" s="2">
        <v>13223</v>
      </c>
      <c r="B13228" s="11" t="str">
        <f>"00641970"</f>
        <v>00641970</v>
      </c>
    </row>
    <row r="13229" spans="1:2" x14ac:dyDescent="0.25">
      <c r="A13229" s="2">
        <v>13224</v>
      </c>
      <c r="B13229" s="11" t="str">
        <f>"00642024"</f>
        <v>00642024</v>
      </c>
    </row>
    <row r="13230" spans="1:2" x14ac:dyDescent="0.25">
      <c r="A13230" s="2">
        <v>13225</v>
      </c>
      <c r="B13230" s="11" t="str">
        <f>"00642040"</f>
        <v>00642040</v>
      </c>
    </row>
    <row r="13231" spans="1:2" x14ac:dyDescent="0.25">
      <c r="A13231" s="2">
        <v>13226</v>
      </c>
      <c r="B13231" s="11" t="str">
        <f>"00642134"</f>
        <v>00642134</v>
      </c>
    </row>
    <row r="13232" spans="1:2" x14ac:dyDescent="0.25">
      <c r="A13232" s="2">
        <v>13227</v>
      </c>
      <c r="B13232" s="11" t="str">
        <f>"00642145"</f>
        <v>00642145</v>
      </c>
    </row>
    <row r="13233" spans="1:2" x14ac:dyDescent="0.25">
      <c r="A13233" s="2">
        <v>13228</v>
      </c>
      <c r="B13233" s="11" t="str">
        <f>"00642192"</f>
        <v>00642192</v>
      </c>
    </row>
    <row r="13234" spans="1:2" x14ac:dyDescent="0.25">
      <c r="A13234" s="2">
        <v>13229</v>
      </c>
      <c r="B13234" s="11" t="str">
        <f>"00642203"</f>
        <v>00642203</v>
      </c>
    </row>
    <row r="13235" spans="1:2" x14ac:dyDescent="0.25">
      <c r="A13235" s="2">
        <v>13230</v>
      </c>
      <c r="B13235" s="11" t="str">
        <f>"00642232"</f>
        <v>00642232</v>
      </c>
    </row>
    <row r="13236" spans="1:2" x14ac:dyDescent="0.25">
      <c r="A13236" s="2">
        <v>13231</v>
      </c>
      <c r="B13236" s="11" t="str">
        <f>"00642295"</f>
        <v>00642295</v>
      </c>
    </row>
    <row r="13237" spans="1:2" x14ac:dyDescent="0.25">
      <c r="A13237" s="2">
        <v>13232</v>
      </c>
      <c r="B13237" s="11" t="str">
        <f>"00642344"</f>
        <v>00642344</v>
      </c>
    </row>
    <row r="13238" spans="1:2" x14ac:dyDescent="0.25">
      <c r="A13238" s="2">
        <v>13233</v>
      </c>
      <c r="B13238" s="11" t="str">
        <f>"00642392"</f>
        <v>00642392</v>
      </c>
    </row>
    <row r="13239" spans="1:2" x14ac:dyDescent="0.25">
      <c r="A13239" s="2">
        <v>13234</v>
      </c>
      <c r="B13239" s="11" t="str">
        <f>"00642459"</f>
        <v>00642459</v>
      </c>
    </row>
    <row r="13240" spans="1:2" x14ac:dyDescent="0.25">
      <c r="A13240" s="2">
        <v>13235</v>
      </c>
      <c r="B13240" s="11" t="str">
        <f>"00642543"</f>
        <v>00642543</v>
      </c>
    </row>
    <row r="13241" spans="1:2" x14ac:dyDescent="0.25">
      <c r="A13241" s="2">
        <v>13236</v>
      </c>
      <c r="B13241" s="11" t="str">
        <f>"00642643"</f>
        <v>00642643</v>
      </c>
    </row>
    <row r="13242" spans="1:2" x14ac:dyDescent="0.25">
      <c r="A13242" s="2">
        <v>13237</v>
      </c>
      <c r="B13242" s="11" t="str">
        <f>"00642676"</f>
        <v>00642676</v>
      </c>
    </row>
    <row r="13243" spans="1:2" x14ac:dyDescent="0.25">
      <c r="A13243" s="2">
        <v>13238</v>
      </c>
      <c r="B13243" s="11" t="str">
        <f>"00642724"</f>
        <v>00642724</v>
      </c>
    </row>
    <row r="13244" spans="1:2" x14ac:dyDescent="0.25">
      <c r="A13244" s="2">
        <v>13239</v>
      </c>
      <c r="B13244" s="11" t="str">
        <f>"00642780"</f>
        <v>00642780</v>
      </c>
    </row>
    <row r="13245" spans="1:2" x14ac:dyDescent="0.25">
      <c r="A13245" s="2">
        <v>13240</v>
      </c>
      <c r="B13245" s="11" t="str">
        <f>"00642783"</f>
        <v>00642783</v>
      </c>
    </row>
    <row r="13246" spans="1:2" x14ac:dyDescent="0.25">
      <c r="A13246" s="2">
        <v>13241</v>
      </c>
      <c r="B13246" s="11" t="str">
        <f>"00642801"</f>
        <v>00642801</v>
      </c>
    </row>
    <row r="13247" spans="1:2" x14ac:dyDescent="0.25">
      <c r="A13247" s="2">
        <v>13242</v>
      </c>
      <c r="B13247" s="11" t="str">
        <f>"00642819"</f>
        <v>00642819</v>
      </c>
    </row>
    <row r="13248" spans="1:2" x14ac:dyDescent="0.25">
      <c r="A13248" s="2">
        <v>13243</v>
      </c>
      <c r="B13248" s="11" t="str">
        <f>"00642828"</f>
        <v>00642828</v>
      </c>
    </row>
    <row r="13249" spans="1:2" x14ac:dyDescent="0.25">
      <c r="A13249" s="2">
        <v>13244</v>
      </c>
      <c r="B13249" s="11" t="str">
        <f>"00642857"</f>
        <v>00642857</v>
      </c>
    </row>
    <row r="13250" spans="1:2" x14ac:dyDescent="0.25">
      <c r="A13250" s="2">
        <v>13245</v>
      </c>
      <c r="B13250" s="11" t="str">
        <f>"00643077"</f>
        <v>00643077</v>
      </c>
    </row>
    <row r="13251" spans="1:2" x14ac:dyDescent="0.25">
      <c r="A13251" s="2">
        <v>13246</v>
      </c>
      <c r="B13251" s="11" t="str">
        <f>"00643088"</f>
        <v>00643088</v>
      </c>
    </row>
    <row r="13252" spans="1:2" x14ac:dyDescent="0.25">
      <c r="A13252" s="2">
        <v>13247</v>
      </c>
      <c r="B13252" s="11" t="str">
        <f>"00643159"</f>
        <v>00643159</v>
      </c>
    </row>
    <row r="13253" spans="1:2" x14ac:dyDescent="0.25">
      <c r="A13253" s="2">
        <v>13248</v>
      </c>
      <c r="B13253" s="11" t="str">
        <f>"00643287"</f>
        <v>00643287</v>
      </c>
    </row>
    <row r="13254" spans="1:2" x14ac:dyDescent="0.25">
      <c r="A13254" s="2">
        <v>13249</v>
      </c>
      <c r="B13254" s="11" t="str">
        <f>"00643407"</f>
        <v>00643407</v>
      </c>
    </row>
    <row r="13255" spans="1:2" x14ac:dyDescent="0.25">
      <c r="A13255" s="2">
        <v>13250</v>
      </c>
      <c r="B13255" s="11" t="str">
        <f>"00643428"</f>
        <v>00643428</v>
      </c>
    </row>
    <row r="13256" spans="1:2" x14ac:dyDescent="0.25">
      <c r="A13256" s="2">
        <v>13251</v>
      </c>
      <c r="B13256" s="11" t="str">
        <f>"00643544"</f>
        <v>00643544</v>
      </c>
    </row>
    <row r="13257" spans="1:2" x14ac:dyDescent="0.25">
      <c r="A13257" s="2">
        <v>13252</v>
      </c>
      <c r="B13257" s="11" t="str">
        <f>"00643554"</f>
        <v>00643554</v>
      </c>
    </row>
    <row r="13258" spans="1:2" x14ac:dyDescent="0.25">
      <c r="A13258" s="2">
        <v>13253</v>
      </c>
      <c r="B13258" s="11" t="str">
        <f>"00643601"</f>
        <v>00643601</v>
      </c>
    </row>
    <row r="13259" spans="1:2" x14ac:dyDescent="0.25">
      <c r="A13259" s="2">
        <v>13254</v>
      </c>
      <c r="B13259" s="11" t="str">
        <f>"00643641"</f>
        <v>00643641</v>
      </c>
    </row>
    <row r="13260" spans="1:2" x14ac:dyDescent="0.25">
      <c r="A13260" s="2">
        <v>13255</v>
      </c>
      <c r="B13260" s="11" t="str">
        <f>"00643674"</f>
        <v>00643674</v>
      </c>
    </row>
    <row r="13261" spans="1:2" x14ac:dyDescent="0.25">
      <c r="A13261" s="2">
        <v>13256</v>
      </c>
      <c r="B13261" s="11" t="str">
        <f>"00643702"</f>
        <v>00643702</v>
      </c>
    </row>
    <row r="13262" spans="1:2" x14ac:dyDescent="0.25">
      <c r="A13262" s="2">
        <v>13257</v>
      </c>
      <c r="B13262" s="11" t="str">
        <f>"00643732"</f>
        <v>00643732</v>
      </c>
    </row>
    <row r="13263" spans="1:2" x14ac:dyDescent="0.25">
      <c r="A13263" s="2">
        <v>13258</v>
      </c>
      <c r="B13263" s="11" t="str">
        <f>"00643779"</f>
        <v>00643779</v>
      </c>
    </row>
    <row r="13264" spans="1:2" x14ac:dyDescent="0.25">
      <c r="A13264" s="2">
        <v>13259</v>
      </c>
      <c r="B13264" s="11" t="str">
        <f>"00643797"</f>
        <v>00643797</v>
      </c>
    </row>
    <row r="13265" spans="1:2" x14ac:dyDescent="0.25">
      <c r="A13265" s="2">
        <v>13260</v>
      </c>
      <c r="B13265" s="11" t="str">
        <f>"00643868"</f>
        <v>00643868</v>
      </c>
    </row>
    <row r="13266" spans="1:2" x14ac:dyDescent="0.25">
      <c r="A13266" s="2">
        <v>13261</v>
      </c>
      <c r="B13266" s="11" t="str">
        <f>"00643875"</f>
        <v>00643875</v>
      </c>
    </row>
    <row r="13267" spans="1:2" x14ac:dyDescent="0.25">
      <c r="A13267" s="2">
        <v>13262</v>
      </c>
      <c r="B13267" s="11" t="str">
        <f>"00643983"</f>
        <v>00643983</v>
      </c>
    </row>
    <row r="13268" spans="1:2" x14ac:dyDescent="0.25">
      <c r="A13268" s="2">
        <v>13263</v>
      </c>
      <c r="B13268" s="11" t="str">
        <f>"00644056"</f>
        <v>00644056</v>
      </c>
    </row>
    <row r="13269" spans="1:2" x14ac:dyDescent="0.25">
      <c r="A13269" s="2">
        <v>13264</v>
      </c>
      <c r="B13269" s="11" t="str">
        <f>"00644147"</f>
        <v>00644147</v>
      </c>
    </row>
    <row r="13270" spans="1:2" x14ac:dyDescent="0.25">
      <c r="A13270" s="2">
        <v>13265</v>
      </c>
      <c r="B13270" s="11" t="str">
        <f>"00644165"</f>
        <v>00644165</v>
      </c>
    </row>
    <row r="13271" spans="1:2" x14ac:dyDescent="0.25">
      <c r="A13271" s="2">
        <v>13266</v>
      </c>
      <c r="B13271" s="11" t="str">
        <f>"00644200"</f>
        <v>00644200</v>
      </c>
    </row>
    <row r="13272" spans="1:2" x14ac:dyDescent="0.25">
      <c r="A13272" s="2">
        <v>13267</v>
      </c>
      <c r="B13272" s="11" t="str">
        <f>"00644260"</f>
        <v>00644260</v>
      </c>
    </row>
    <row r="13273" spans="1:2" x14ac:dyDescent="0.25">
      <c r="A13273" s="2">
        <v>13268</v>
      </c>
      <c r="B13273" s="11" t="str">
        <f>"00644355"</f>
        <v>00644355</v>
      </c>
    </row>
    <row r="13274" spans="1:2" x14ac:dyDescent="0.25">
      <c r="A13274" s="2">
        <v>13269</v>
      </c>
      <c r="B13274" s="11" t="str">
        <f>"00644376"</f>
        <v>00644376</v>
      </c>
    </row>
    <row r="13275" spans="1:2" x14ac:dyDescent="0.25">
      <c r="A13275" s="2">
        <v>13270</v>
      </c>
      <c r="B13275" s="11" t="str">
        <f>"00644467"</f>
        <v>00644467</v>
      </c>
    </row>
    <row r="13276" spans="1:2" x14ac:dyDescent="0.25">
      <c r="A13276" s="2">
        <v>13271</v>
      </c>
      <c r="B13276" s="11" t="str">
        <f>"00644554"</f>
        <v>00644554</v>
      </c>
    </row>
    <row r="13277" spans="1:2" x14ac:dyDescent="0.25">
      <c r="A13277" s="2">
        <v>13272</v>
      </c>
      <c r="B13277" s="11" t="str">
        <f>"00644567"</f>
        <v>00644567</v>
      </c>
    </row>
    <row r="13278" spans="1:2" x14ac:dyDescent="0.25">
      <c r="A13278" s="2">
        <v>13273</v>
      </c>
      <c r="B13278" s="11" t="str">
        <f>"00644581"</f>
        <v>00644581</v>
      </c>
    </row>
    <row r="13279" spans="1:2" x14ac:dyDescent="0.25">
      <c r="A13279" s="2">
        <v>13274</v>
      </c>
      <c r="B13279" s="11" t="str">
        <f>"00644600"</f>
        <v>00644600</v>
      </c>
    </row>
    <row r="13280" spans="1:2" x14ac:dyDescent="0.25">
      <c r="A13280" s="2">
        <v>13275</v>
      </c>
      <c r="B13280" s="11" t="str">
        <f>"00644608"</f>
        <v>00644608</v>
      </c>
    </row>
    <row r="13281" spans="1:2" x14ac:dyDescent="0.25">
      <c r="A13281" s="2">
        <v>13276</v>
      </c>
      <c r="B13281" s="11" t="str">
        <f>"00644656"</f>
        <v>00644656</v>
      </c>
    </row>
    <row r="13282" spans="1:2" x14ac:dyDescent="0.25">
      <c r="A13282" s="2">
        <v>13277</v>
      </c>
      <c r="B13282" s="11" t="str">
        <f>"00644703"</f>
        <v>00644703</v>
      </c>
    </row>
    <row r="13283" spans="1:2" x14ac:dyDescent="0.25">
      <c r="A13283" s="2">
        <v>13278</v>
      </c>
      <c r="B13283" s="11" t="str">
        <f>"00644778"</f>
        <v>00644778</v>
      </c>
    </row>
    <row r="13284" spans="1:2" x14ac:dyDescent="0.25">
      <c r="A13284" s="2">
        <v>13279</v>
      </c>
      <c r="B13284" s="11" t="str">
        <f>"00644798"</f>
        <v>00644798</v>
      </c>
    </row>
    <row r="13285" spans="1:2" x14ac:dyDescent="0.25">
      <c r="A13285" s="2">
        <v>13280</v>
      </c>
      <c r="B13285" s="11" t="str">
        <f>"00644881"</f>
        <v>00644881</v>
      </c>
    </row>
    <row r="13286" spans="1:2" x14ac:dyDescent="0.25">
      <c r="A13286" s="2">
        <v>13281</v>
      </c>
      <c r="B13286" s="11" t="str">
        <f>"00644992"</f>
        <v>00644992</v>
      </c>
    </row>
    <row r="13287" spans="1:2" x14ac:dyDescent="0.25">
      <c r="A13287" s="2">
        <v>13282</v>
      </c>
      <c r="B13287" s="11" t="str">
        <f>"00645062"</f>
        <v>00645062</v>
      </c>
    </row>
    <row r="13288" spans="1:2" x14ac:dyDescent="0.25">
      <c r="A13288" s="2">
        <v>13283</v>
      </c>
      <c r="B13288" s="11" t="str">
        <f>"00645152"</f>
        <v>00645152</v>
      </c>
    </row>
    <row r="13289" spans="1:2" x14ac:dyDescent="0.25">
      <c r="A13289" s="2">
        <v>13284</v>
      </c>
      <c r="B13289" s="11" t="str">
        <f>"00645814"</f>
        <v>00645814</v>
      </c>
    </row>
    <row r="13290" spans="1:2" x14ac:dyDescent="0.25">
      <c r="A13290" s="2">
        <v>13285</v>
      </c>
      <c r="B13290" s="11" t="str">
        <f>"00645862"</f>
        <v>00645862</v>
      </c>
    </row>
    <row r="13291" spans="1:2" x14ac:dyDescent="0.25">
      <c r="A13291" s="2">
        <v>13286</v>
      </c>
      <c r="B13291" s="11" t="str">
        <f>"00645977"</f>
        <v>00645977</v>
      </c>
    </row>
    <row r="13292" spans="1:2" x14ac:dyDescent="0.25">
      <c r="A13292" s="2">
        <v>13287</v>
      </c>
      <c r="B13292" s="11" t="str">
        <f>"00645996"</f>
        <v>00645996</v>
      </c>
    </row>
    <row r="13293" spans="1:2" x14ac:dyDescent="0.25">
      <c r="A13293" s="2">
        <v>13288</v>
      </c>
      <c r="B13293" s="11" t="str">
        <f>"00646081"</f>
        <v>00646081</v>
      </c>
    </row>
    <row r="13294" spans="1:2" x14ac:dyDescent="0.25">
      <c r="A13294" s="2">
        <v>13289</v>
      </c>
      <c r="B13294" s="11" t="str">
        <f>"00646087"</f>
        <v>00646087</v>
      </c>
    </row>
    <row r="13295" spans="1:2" x14ac:dyDescent="0.25">
      <c r="A13295" s="2">
        <v>13290</v>
      </c>
      <c r="B13295" s="11" t="str">
        <f>"00646173"</f>
        <v>00646173</v>
      </c>
    </row>
    <row r="13296" spans="1:2" x14ac:dyDescent="0.25">
      <c r="A13296" s="2">
        <v>13291</v>
      </c>
      <c r="B13296" s="11" t="str">
        <f>"00646180"</f>
        <v>00646180</v>
      </c>
    </row>
    <row r="13297" spans="1:2" x14ac:dyDescent="0.25">
      <c r="A13297" s="2">
        <v>13292</v>
      </c>
      <c r="B13297" s="11" t="str">
        <f>"00646183"</f>
        <v>00646183</v>
      </c>
    </row>
    <row r="13298" spans="1:2" x14ac:dyDescent="0.25">
      <c r="A13298" s="2">
        <v>13293</v>
      </c>
      <c r="B13298" s="11" t="str">
        <f>"00647238"</f>
        <v>00647238</v>
      </c>
    </row>
    <row r="13299" spans="1:2" x14ac:dyDescent="0.25">
      <c r="A13299" s="2">
        <v>13294</v>
      </c>
      <c r="B13299" s="11" t="str">
        <f>"00647241"</f>
        <v>00647241</v>
      </c>
    </row>
    <row r="13300" spans="1:2" x14ac:dyDescent="0.25">
      <c r="A13300" s="2">
        <v>13295</v>
      </c>
      <c r="B13300" s="11" t="str">
        <f>"00647276"</f>
        <v>00647276</v>
      </c>
    </row>
    <row r="13301" spans="1:2" x14ac:dyDescent="0.25">
      <c r="A13301" s="2">
        <v>13296</v>
      </c>
      <c r="B13301" s="11" t="str">
        <f>"00647284"</f>
        <v>00647284</v>
      </c>
    </row>
    <row r="13302" spans="1:2" x14ac:dyDescent="0.25">
      <c r="A13302" s="2">
        <v>13297</v>
      </c>
      <c r="B13302" s="11" t="str">
        <f>"00647339"</f>
        <v>00647339</v>
      </c>
    </row>
    <row r="13303" spans="1:2" x14ac:dyDescent="0.25">
      <c r="A13303" s="2">
        <v>13298</v>
      </c>
      <c r="B13303" s="11" t="str">
        <f>"00647374"</f>
        <v>00647374</v>
      </c>
    </row>
    <row r="13304" spans="1:2" x14ac:dyDescent="0.25">
      <c r="A13304" s="2">
        <v>13299</v>
      </c>
      <c r="B13304" s="11" t="str">
        <f>"00647456"</f>
        <v>00647456</v>
      </c>
    </row>
    <row r="13305" spans="1:2" x14ac:dyDescent="0.25">
      <c r="A13305" s="2">
        <v>13300</v>
      </c>
      <c r="B13305" s="11" t="str">
        <f>"00647459"</f>
        <v>00647459</v>
      </c>
    </row>
    <row r="13306" spans="1:2" x14ac:dyDescent="0.25">
      <c r="A13306" s="2">
        <v>13301</v>
      </c>
      <c r="B13306" s="11" t="str">
        <f>"00647464"</f>
        <v>00647464</v>
      </c>
    </row>
    <row r="13307" spans="1:2" x14ac:dyDescent="0.25">
      <c r="A13307" s="2">
        <v>13302</v>
      </c>
      <c r="B13307" s="11" t="str">
        <f>"00647517"</f>
        <v>00647517</v>
      </c>
    </row>
    <row r="13308" spans="1:2" x14ac:dyDescent="0.25">
      <c r="A13308" s="2">
        <v>13303</v>
      </c>
      <c r="B13308" s="11" t="str">
        <f>"00647529"</f>
        <v>00647529</v>
      </c>
    </row>
    <row r="13309" spans="1:2" x14ac:dyDescent="0.25">
      <c r="A13309" s="2">
        <v>13304</v>
      </c>
      <c r="B13309" s="11" t="str">
        <f>"00647562"</f>
        <v>00647562</v>
      </c>
    </row>
    <row r="13310" spans="1:2" x14ac:dyDescent="0.25">
      <c r="A13310" s="2">
        <v>13305</v>
      </c>
      <c r="B13310" s="11" t="str">
        <f>"00647596"</f>
        <v>00647596</v>
      </c>
    </row>
    <row r="13311" spans="1:2" x14ac:dyDescent="0.25">
      <c r="A13311" s="2">
        <v>13306</v>
      </c>
      <c r="B13311" s="11" t="str">
        <f>"00647598"</f>
        <v>00647598</v>
      </c>
    </row>
    <row r="13312" spans="1:2" x14ac:dyDescent="0.25">
      <c r="A13312" s="2">
        <v>13307</v>
      </c>
      <c r="B13312" s="11" t="str">
        <f>"00647628"</f>
        <v>00647628</v>
      </c>
    </row>
    <row r="13313" spans="1:2" x14ac:dyDescent="0.25">
      <c r="A13313" s="2">
        <v>13308</v>
      </c>
      <c r="B13313" s="11" t="str">
        <f>"00647637"</f>
        <v>00647637</v>
      </c>
    </row>
    <row r="13314" spans="1:2" x14ac:dyDescent="0.25">
      <c r="A13314" s="2">
        <v>13309</v>
      </c>
      <c r="B13314" s="11" t="str">
        <f>"00647641"</f>
        <v>00647641</v>
      </c>
    </row>
    <row r="13315" spans="1:2" x14ac:dyDescent="0.25">
      <c r="A13315" s="2">
        <v>13310</v>
      </c>
      <c r="B13315" s="11" t="str">
        <f>"00647662"</f>
        <v>00647662</v>
      </c>
    </row>
    <row r="13316" spans="1:2" x14ac:dyDescent="0.25">
      <c r="A13316" s="2">
        <v>13311</v>
      </c>
      <c r="B13316" s="11" t="str">
        <f>"00647684"</f>
        <v>00647684</v>
      </c>
    </row>
    <row r="13317" spans="1:2" x14ac:dyDescent="0.25">
      <c r="A13317" s="2">
        <v>13312</v>
      </c>
      <c r="B13317" s="11" t="str">
        <f>"00647691"</f>
        <v>00647691</v>
      </c>
    </row>
    <row r="13318" spans="1:2" x14ac:dyDescent="0.25">
      <c r="A13318" s="2">
        <v>13313</v>
      </c>
      <c r="B13318" s="11" t="str">
        <f>"00647693"</f>
        <v>00647693</v>
      </c>
    </row>
    <row r="13319" spans="1:2" x14ac:dyDescent="0.25">
      <c r="A13319" s="2">
        <v>13314</v>
      </c>
      <c r="B13319" s="11" t="str">
        <f>"00647836"</f>
        <v>00647836</v>
      </c>
    </row>
    <row r="13320" spans="1:2" x14ac:dyDescent="0.25">
      <c r="A13320" s="2">
        <v>13315</v>
      </c>
      <c r="B13320" s="11" t="str">
        <f>"00647941"</f>
        <v>00647941</v>
      </c>
    </row>
    <row r="13321" spans="1:2" x14ac:dyDescent="0.25">
      <c r="A13321" s="2">
        <v>13316</v>
      </c>
      <c r="B13321" s="11" t="str">
        <f>"00647961"</f>
        <v>00647961</v>
      </c>
    </row>
    <row r="13322" spans="1:2" x14ac:dyDescent="0.25">
      <c r="A13322" s="2">
        <v>13317</v>
      </c>
      <c r="B13322" s="11" t="str">
        <f>"00648032"</f>
        <v>00648032</v>
      </c>
    </row>
    <row r="13323" spans="1:2" x14ac:dyDescent="0.25">
      <c r="A13323" s="2">
        <v>13318</v>
      </c>
      <c r="B13323" s="11" t="str">
        <f>"00648057"</f>
        <v>00648057</v>
      </c>
    </row>
    <row r="13324" spans="1:2" x14ac:dyDescent="0.25">
      <c r="A13324" s="2">
        <v>13319</v>
      </c>
      <c r="B13324" s="11" t="str">
        <f>"00648096"</f>
        <v>00648096</v>
      </c>
    </row>
    <row r="13325" spans="1:2" x14ac:dyDescent="0.25">
      <c r="A13325" s="2">
        <v>13320</v>
      </c>
      <c r="B13325" s="11" t="str">
        <f>"00648275"</f>
        <v>00648275</v>
      </c>
    </row>
    <row r="13326" spans="1:2" x14ac:dyDescent="0.25">
      <c r="A13326" s="2">
        <v>13321</v>
      </c>
      <c r="B13326" s="11" t="str">
        <f>"00648280"</f>
        <v>00648280</v>
      </c>
    </row>
    <row r="13327" spans="1:2" x14ac:dyDescent="0.25">
      <c r="A13327" s="2">
        <v>13322</v>
      </c>
      <c r="B13327" s="11" t="str">
        <f>"00648281"</f>
        <v>00648281</v>
      </c>
    </row>
    <row r="13328" spans="1:2" x14ac:dyDescent="0.25">
      <c r="A13328" s="2">
        <v>13323</v>
      </c>
      <c r="B13328" s="11" t="str">
        <f>"00648283"</f>
        <v>00648283</v>
      </c>
    </row>
    <row r="13329" spans="1:2" x14ac:dyDescent="0.25">
      <c r="A13329" s="2">
        <v>13324</v>
      </c>
      <c r="B13329" s="11" t="str">
        <f>"00648309"</f>
        <v>00648309</v>
      </c>
    </row>
    <row r="13330" spans="1:2" x14ac:dyDescent="0.25">
      <c r="A13330" s="2">
        <v>13325</v>
      </c>
      <c r="B13330" s="11" t="str">
        <f>"00648316"</f>
        <v>00648316</v>
      </c>
    </row>
    <row r="13331" spans="1:2" x14ac:dyDescent="0.25">
      <c r="A13331" s="2">
        <v>13326</v>
      </c>
      <c r="B13331" s="11" t="str">
        <f>"00648340"</f>
        <v>00648340</v>
      </c>
    </row>
    <row r="13332" spans="1:2" x14ac:dyDescent="0.25">
      <c r="A13332" s="2">
        <v>13327</v>
      </c>
      <c r="B13332" s="11" t="str">
        <f>"00648445"</f>
        <v>00648445</v>
      </c>
    </row>
    <row r="13333" spans="1:2" x14ac:dyDescent="0.25">
      <c r="A13333" s="2">
        <v>13328</v>
      </c>
      <c r="B13333" s="11" t="str">
        <f>"00648452"</f>
        <v>00648452</v>
      </c>
    </row>
    <row r="13334" spans="1:2" x14ac:dyDescent="0.25">
      <c r="A13334" s="2">
        <v>13329</v>
      </c>
      <c r="B13334" s="11" t="str">
        <f>"00648556"</f>
        <v>00648556</v>
      </c>
    </row>
    <row r="13335" spans="1:2" x14ac:dyDescent="0.25">
      <c r="A13335" s="2">
        <v>13330</v>
      </c>
      <c r="B13335" s="11" t="str">
        <f>"00648603"</f>
        <v>00648603</v>
      </c>
    </row>
    <row r="13336" spans="1:2" x14ac:dyDescent="0.25">
      <c r="A13336" s="2">
        <v>13331</v>
      </c>
      <c r="B13336" s="11" t="str">
        <f>"00648610"</f>
        <v>00648610</v>
      </c>
    </row>
    <row r="13337" spans="1:2" x14ac:dyDescent="0.25">
      <c r="A13337" s="2">
        <v>13332</v>
      </c>
      <c r="B13337" s="11" t="str">
        <f>"00648660"</f>
        <v>00648660</v>
      </c>
    </row>
    <row r="13338" spans="1:2" x14ac:dyDescent="0.25">
      <c r="A13338" s="2">
        <v>13333</v>
      </c>
      <c r="B13338" s="11" t="str">
        <f>"00648746"</f>
        <v>00648746</v>
      </c>
    </row>
    <row r="13339" spans="1:2" x14ac:dyDescent="0.25">
      <c r="A13339" s="2">
        <v>13334</v>
      </c>
      <c r="B13339" s="11" t="str">
        <f>"00648809"</f>
        <v>00648809</v>
      </c>
    </row>
    <row r="13340" spans="1:2" x14ac:dyDescent="0.25">
      <c r="A13340" s="2">
        <v>13335</v>
      </c>
      <c r="B13340" s="11" t="str">
        <f>"00648828"</f>
        <v>00648828</v>
      </c>
    </row>
    <row r="13341" spans="1:2" x14ac:dyDescent="0.25">
      <c r="A13341" s="2">
        <v>13336</v>
      </c>
      <c r="B13341" s="11" t="str">
        <f>"00648859"</f>
        <v>00648859</v>
      </c>
    </row>
    <row r="13342" spans="1:2" x14ac:dyDescent="0.25">
      <c r="A13342" s="2">
        <v>13337</v>
      </c>
      <c r="B13342" s="11" t="str">
        <f>"00649100"</f>
        <v>00649100</v>
      </c>
    </row>
    <row r="13343" spans="1:2" x14ac:dyDescent="0.25">
      <c r="A13343" s="2">
        <v>13338</v>
      </c>
      <c r="B13343" s="11" t="str">
        <f>"00649176"</f>
        <v>00649176</v>
      </c>
    </row>
    <row r="13344" spans="1:2" x14ac:dyDescent="0.25">
      <c r="A13344" s="2">
        <v>13339</v>
      </c>
      <c r="B13344" s="11" t="str">
        <f>"00649260"</f>
        <v>00649260</v>
      </c>
    </row>
    <row r="13345" spans="1:2" x14ac:dyDescent="0.25">
      <c r="A13345" s="2">
        <v>13340</v>
      </c>
      <c r="B13345" s="11" t="str">
        <f>"00649393"</f>
        <v>00649393</v>
      </c>
    </row>
    <row r="13346" spans="1:2" x14ac:dyDescent="0.25">
      <c r="A13346" s="2">
        <v>13341</v>
      </c>
      <c r="B13346" s="11" t="str">
        <f>"00649458"</f>
        <v>00649458</v>
      </c>
    </row>
    <row r="13347" spans="1:2" x14ac:dyDescent="0.25">
      <c r="A13347" s="2">
        <v>13342</v>
      </c>
      <c r="B13347" s="11" t="str">
        <f>"00649633"</f>
        <v>00649633</v>
      </c>
    </row>
    <row r="13348" spans="1:2" x14ac:dyDescent="0.25">
      <c r="A13348" s="2">
        <v>13343</v>
      </c>
      <c r="B13348" s="11" t="str">
        <f>"00649696"</f>
        <v>00649696</v>
      </c>
    </row>
    <row r="13349" spans="1:2" x14ac:dyDescent="0.25">
      <c r="A13349" s="2">
        <v>13344</v>
      </c>
      <c r="B13349" s="11" t="str">
        <f>"00649712"</f>
        <v>00649712</v>
      </c>
    </row>
    <row r="13350" spans="1:2" x14ac:dyDescent="0.25">
      <c r="A13350" s="2">
        <v>13345</v>
      </c>
      <c r="B13350" s="11" t="str">
        <f>"00649713"</f>
        <v>00649713</v>
      </c>
    </row>
    <row r="13351" spans="1:2" x14ac:dyDescent="0.25">
      <c r="A13351" s="2">
        <v>13346</v>
      </c>
      <c r="B13351" s="11" t="str">
        <f>"00649718"</f>
        <v>00649718</v>
      </c>
    </row>
    <row r="13352" spans="1:2" x14ac:dyDescent="0.25">
      <c r="A13352" s="2">
        <v>13347</v>
      </c>
      <c r="B13352" s="11" t="str">
        <f>"00649886"</f>
        <v>00649886</v>
      </c>
    </row>
    <row r="13353" spans="1:2" x14ac:dyDescent="0.25">
      <c r="A13353" s="2">
        <v>13348</v>
      </c>
      <c r="B13353" s="11" t="str">
        <f>"00649895"</f>
        <v>00649895</v>
      </c>
    </row>
    <row r="13354" spans="1:2" x14ac:dyDescent="0.25">
      <c r="A13354" s="2">
        <v>13349</v>
      </c>
      <c r="B13354" s="11" t="str">
        <f>"00649903"</f>
        <v>00649903</v>
      </c>
    </row>
    <row r="13355" spans="1:2" x14ac:dyDescent="0.25">
      <c r="A13355" s="2">
        <v>13350</v>
      </c>
      <c r="B13355" s="11" t="str">
        <f>"00649952"</f>
        <v>00649952</v>
      </c>
    </row>
    <row r="13356" spans="1:2" x14ac:dyDescent="0.25">
      <c r="A13356" s="2">
        <v>13351</v>
      </c>
      <c r="B13356" s="11" t="str">
        <f>"00650044"</f>
        <v>00650044</v>
      </c>
    </row>
    <row r="13357" spans="1:2" x14ac:dyDescent="0.25">
      <c r="A13357" s="2">
        <v>13352</v>
      </c>
      <c r="B13357" s="11" t="str">
        <f>"00650080"</f>
        <v>00650080</v>
      </c>
    </row>
    <row r="13358" spans="1:2" x14ac:dyDescent="0.25">
      <c r="A13358" s="2">
        <v>13353</v>
      </c>
      <c r="B13358" s="11" t="str">
        <f>"00650137"</f>
        <v>00650137</v>
      </c>
    </row>
    <row r="13359" spans="1:2" x14ac:dyDescent="0.25">
      <c r="A13359" s="2">
        <v>13354</v>
      </c>
      <c r="B13359" s="11" t="str">
        <f>"00650321"</f>
        <v>00650321</v>
      </c>
    </row>
    <row r="13360" spans="1:2" x14ac:dyDescent="0.25">
      <c r="A13360" s="2">
        <v>13355</v>
      </c>
      <c r="B13360" s="11" t="str">
        <f>"00650395"</f>
        <v>00650395</v>
      </c>
    </row>
    <row r="13361" spans="1:2" x14ac:dyDescent="0.25">
      <c r="A13361" s="2">
        <v>13356</v>
      </c>
      <c r="B13361" s="11" t="str">
        <f>"00650478"</f>
        <v>00650478</v>
      </c>
    </row>
    <row r="13362" spans="1:2" x14ac:dyDescent="0.25">
      <c r="A13362" s="2">
        <v>13357</v>
      </c>
      <c r="B13362" s="11" t="str">
        <f>"00650601"</f>
        <v>00650601</v>
      </c>
    </row>
    <row r="13363" spans="1:2" x14ac:dyDescent="0.25">
      <c r="A13363" s="2">
        <v>13358</v>
      </c>
      <c r="B13363" s="11" t="str">
        <f>"00650656"</f>
        <v>00650656</v>
      </c>
    </row>
    <row r="13364" spans="1:2" x14ac:dyDescent="0.25">
      <c r="A13364" s="2">
        <v>13359</v>
      </c>
      <c r="B13364" s="11" t="str">
        <f>"00650747"</f>
        <v>00650747</v>
      </c>
    </row>
    <row r="13365" spans="1:2" x14ac:dyDescent="0.25">
      <c r="A13365" s="2">
        <v>13360</v>
      </c>
      <c r="B13365" s="11" t="str">
        <f>"00650752"</f>
        <v>00650752</v>
      </c>
    </row>
    <row r="13366" spans="1:2" x14ac:dyDescent="0.25">
      <c r="A13366" s="2">
        <v>13361</v>
      </c>
      <c r="B13366" s="11" t="str">
        <f>"00650756"</f>
        <v>00650756</v>
      </c>
    </row>
    <row r="13367" spans="1:2" x14ac:dyDescent="0.25">
      <c r="A13367" s="2">
        <v>13362</v>
      </c>
      <c r="B13367" s="11" t="str">
        <f>"00650777"</f>
        <v>00650777</v>
      </c>
    </row>
    <row r="13368" spans="1:2" x14ac:dyDescent="0.25">
      <c r="A13368" s="2">
        <v>13363</v>
      </c>
      <c r="B13368" s="11" t="str">
        <f>"00650851"</f>
        <v>00650851</v>
      </c>
    </row>
    <row r="13369" spans="1:2" x14ac:dyDescent="0.25">
      <c r="A13369" s="2">
        <v>13364</v>
      </c>
      <c r="B13369" s="11" t="str">
        <f>"00650860"</f>
        <v>00650860</v>
      </c>
    </row>
    <row r="13370" spans="1:2" x14ac:dyDescent="0.25">
      <c r="A13370" s="2">
        <v>13365</v>
      </c>
      <c r="B13370" s="11" t="str">
        <f>"00650947"</f>
        <v>00650947</v>
      </c>
    </row>
    <row r="13371" spans="1:2" x14ac:dyDescent="0.25">
      <c r="A13371" s="2">
        <v>13366</v>
      </c>
      <c r="B13371" s="11" t="str">
        <f>"00650954"</f>
        <v>00650954</v>
      </c>
    </row>
    <row r="13372" spans="1:2" x14ac:dyDescent="0.25">
      <c r="A13372" s="2">
        <v>13367</v>
      </c>
      <c r="B13372" s="11" t="str">
        <f>"00651026"</f>
        <v>00651026</v>
      </c>
    </row>
    <row r="13373" spans="1:2" x14ac:dyDescent="0.25">
      <c r="A13373" s="2">
        <v>13368</v>
      </c>
      <c r="B13373" s="11" t="str">
        <f>"00651049"</f>
        <v>00651049</v>
      </c>
    </row>
    <row r="13374" spans="1:2" x14ac:dyDescent="0.25">
      <c r="A13374" s="2">
        <v>13369</v>
      </c>
      <c r="B13374" s="11" t="str">
        <f>"00651074"</f>
        <v>00651074</v>
      </c>
    </row>
    <row r="13375" spans="1:2" x14ac:dyDescent="0.25">
      <c r="A13375" s="2">
        <v>13370</v>
      </c>
      <c r="B13375" s="11" t="str">
        <f>"00651080"</f>
        <v>00651080</v>
      </c>
    </row>
    <row r="13376" spans="1:2" x14ac:dyDescent="0.25">
      <c r="A13376" s="2">
        <v>13371</v>
      </c>
      <c r="B13376" s="11" t="str">
        <f>"00651083"</f>
        <v>00651083</v>
      </c>
    </row>
    <row r="13377" spans="1:2" x14ac:dyDescent="0.25">
      <c r="A13377" s="2">
        <v>13372</v>
      </c>
      <c r="B13377" s="11" t="str">
        <f>"00651105"</f>
        <v>00651105</v>
      </c>
    </row>
    <row r="13378" spans="1:2" x14ac:dyDescent="0.25">
      <c r="A13378" s="2">
        <v>13373</v>
      </c>
      <c r="B13378" s="11" t="str">
        <f>"00651114"</f>
        <v>00651114</v>
      </c>
    </row>
    <row r="13379" spans="1:2" x14ac:dyDescent="0.25">
      <c r="A13379" s="2">
        <v>13374</v>
      </c>
      <c r="B13379" s="11" t="str">
        <f>"00651161"</f>
        <v>00651161</v>
      </c>
    </row>
    <row r="13380" spans="1:2" x14ac:dyDescent="0.25">
      <c r="A13380" s="2">
        <v>13375</v>
      </c>
      <c r="B13380" s="11" t="str">
        <f>"00651181"</f>
        <v>00651181</v>
      </c>
    </row>
    <row r="13381" spans="1:2" x14ac:dyDescent="0.25">
      <c r="A13381" s="2">
        <v>13376</v>
      </c>
      <c r="B13381" s="11" t="str">
        <f>"00651196"</f>
        <v>00651196</v>
      </c>
    </row>
    <row r="13382" spans="1:2" x14ac:dyDescent="0.25">
      <c r="A13382" s="2">
        <v>13377</v>
      </c>
      <c r="B13382" s="11" t="str">
        <f>"00651213"</f>
        <v>00651213</v>
      </c>
    </row>
    <row r="13383" spans="1:2" x14ac:dyDescent="0.25">
      <c r="A13383" s="2">
        <v>13378</v>
      </c>
      <c r="B13383" s="11" t="str">
        <f>"00651229"</f>
        <v>00651229</v>
      </c>
    </row>
    <row r="13384" spans="1:2" x14ac:dyDescent="0.25">
      <c r="A13384" s="2">
        <v>13379</v>
      </c>
      <c r="B13384" s="11" t="str">
        <f>"00651278"</f>
        <v>00651278</v>
      </c>
    </row>
    <row r="13385" spans="1:2" x14ac:dyDescent="0.25">
      <c r="A13385" s="2">
        <v>13380</v>
      </c>
      <c r="B13385" s="11" t="str">
        <f>"00651281"</f>
        <v>00651281</v>
      </c>
    </row>
    <row r="13386" spans="1:2" x14ac:dyDescent="0.25">
      <c r="A13386" s="2">
        <v>13381</v>
      </c>
      <c r="B13386" s="11" t="str">
        <f>"00651349"</f>
        <v>00651349</v>
      </c>
    </row>
    <row r="13387" spans="1:2" x14ac:dyDescent="0.25">
      <c r="A13387" s="2">
        <v>13382</v>
      </c>
      <c r="B13387" s="11" t="str">
        <f>"00651504"</f>
        <v>00651504</v>
      </c>
    </row>
    <row r="13388" spans="1:2" x14ac:dyDescent="0.25">
      <c r="A13388" s="2">
        <v>13383</v>
      </c>
      <c r="B13388" s="11" t="str">
        <f>"00651517"</f>
        <v>00651517</v>
      </c>
    </row>
    <row r="13389" spans="1:2" x14ac:dyDescent="0.25">
      <c r="A13389" s="2">
        <v>13384</v>
      </c>
      <c r="B13389" s="11" t="str">
        <f>"00651542"</f>
        <v>00651542</v>
      </c>
    </row>
    <row r="13390" spans="1:2" x14ac:dyDescent="0.25">
      <c r="A13390" s="2">
        <v>13385</v>
      </c>
      <c r="B13390" s="11" t="str">
        <f>"00651572"</f>
        <v>00651572</v>
      </c>
    </row>
    <row r="13391" spans="1:2" x14ac:dyDescent="0.25">
      <c r="A13391" s="2">
        <v>13386</v>
      </c>
      <c r="B13391" s="11" t="str">
        <f>"00651601"</f>
        <v>00651601</v>
      </c>
    </row>
    <row r="13392" spans="1:2" x14ac:dyDescent="0.25">
      <c r="A13392" s="2">
        <v>13387</v>
      </c>
      <c r="B13392" s="11" t="str">
        <f>"00652065"</f>
        <v>00652065</v>
      </c>
    </row>
    <row r="13393" spans="1:2" x14ac:dyDescent="0.25">
      <c r="A13393" s="2">
        <v>13388</v>
      </c>
      <c r="B13393" s="11" t="str">
        <f>"00652122"</f>
        <v>00652122</v>
      </c>
    </row>
    <row r="13394" spans="1:2" x14ac:dyDescent="0.25">
      <c r="A13394" s="2">
        <v>13389</v>
      </c>
      <c r="B13394" s="11" t="str">
        <f>"00652161"</f>
        <v>00652161</v>
      </c>
    </row>
    <row r="13395" spans="1:2" x14ac:dyDescent="0.25">
      <c r="A13395" s="2">
        <v>13390</v>
      </c>
      <c r="B13395" s="11" t="str">
        <f>"00652167"</f>
        <v>00652167</v>
      </c>
    </row>
    <row r="13396" spans="1:2" x14ac:dyDescent="0.25">
      <c r="A13396" s="2">
        <v>13391</v>
      </c>
      <c r="B13396" s="11" t="str">
        <f>"00652226"</f>
        <v>00652226</v>
      </c>
    </row>
    <row r="13397" spans="1:2" x14ac:dyDescent="0.25">
      <c r="A13397" s="2">
        <v>13392</v>
      </c>
      <c r="B13397" s="11" t="str">
        <f>"00652230"</f>
        <v>00652230</v>
      </c>
    </row>
    <row r="13398" spans="1:2" x14ac:dyDescent="0.25">
      <c r="A13398" s="2">
        <v>13393</v>
      </c>
      <c r="B13398" s="11" t="str">
        <f>"00652419"</f>
        <v>00652419</v>
      </c>
    </row>
    <row r="13399" spans="1:2" x14ac:dyDescent="0.25">
      <c r="A13399" s="2">
        <v>13394</v>
      </c>
      <c r="B13399" s="11" t="str">
        <f>"00652443"</f>
        <v>00652443</v>
      </c>
    </row>
    <row r="13400" spans="1:2" x14ac:dyDescent="0.25">
      <c r="A13400" s="2">
        <v>13395</v>
      </c>
      <c r="B13400" s="11" t="str">
        <f>"00652479"</f>
        <v>00652479</v>
      </c>
    </row>
    <row r="13401" spans="1:2" x14ac:dyDescent="0.25">
      <c r="A13401" s="2">
        <v>13396</v>
      </c>
      <c r="B13401" s="11" t="str">
        <f>"00652498"</f>
        <v>00652498</v>
      </c>
    </row>
    <row r="13402" spans="1:2" x14ac:dyDescent="0.25">
      <c r="A13402" s="2">
        <v>13397</v>
      </c>
      <c r="B13402" s="11" t="str">
        <f>"00652525"</f>
        <v>00652525</v>
      </c>
    </row>
    <row r="13403" spans="1:2" x14ac:dyDescent="0.25">
      <c r="A13403" s="2">
        <v>13398</v>
      </c>
      <c r="B13403" s="11" t="str">
        <f>"00652559"</f>
        <v>00652559</v>
      </c>
    </row>
    <row r="13404" spans="1:2" x14ac:dyDescent="0.25">
      <c r="A13404" s="2">
        <v>13399</v>
      </c>
      <c r="B13404" s="11" t="str">
        <f>"00652625"</f>
        <v>00652625</v>
      </c>
    </row>
    <row r="13405" spans="1:2" x14ac:dyDescent="0.25">
      <c r="A13405" s="2">
        <v>13400</v>
      </c>
      <c r="B13405" s="11" t="str">
        <f>"00652636"</f>
        <v>00652636</v>
      </c>
    </row>
    <row r="13406" spans="1:2" x14ac:dyDescent="0.25">
      <c r="A13406" s="2">
        <v>13401</v>
      </c>
      <c r="B13406" s="11" t="str">
        <f>"00652667"</f>
        <v>00652667</v>
      </c>
    </row>
    <row r="13407" spans="1:2" x14ac:dyDescent="0.25">
      <c r="A13407" s="2">
        <v>13402</v>
      </c>
      <c r="B13407" s="11" t="str">
        <f>"00652718"</f>
        <v>00652718</v>
      </c>
    </row>
    <row r="13408" spans="1:2" x14ac:dyDescent="0.25">
      <c r="A13408" s="2">
        <v>13403</v>
      </c>
      <c r="B13408" s="11" t="str">
        <f>"00652730"</f>
        <v>00652730</v>
      </c>
    </row>
    <row r="13409" spans="1:2" x14ac:dyDescent="0.25">
      <c r="A13409" s="2">
        <v>13404</v>
      </c>
      <c r="B13409" s="11" t="str">
        <f>"00652763"</f>
        <v>00652763</v>
      </c>
    </row>
    <row r="13410" spans="1:2" x14ac:dyDescent="0.25">
      <c r="A13410" s="2">
        <v>13405</v>
      </c>
      <c r="B13410" s="11" t="str">
        <f>"00652802"</f>
        <v>00652802</v>
      </c>
    </row>
    <row r="13411" spans="1:2" x14ac:dyDescent="0.25">
      <c r="A13411" s="2">
        <v>13406</v>
      </c>
      <c r="B13411" s="11" t="str">
        <f>"00652885"</f>
        <v>00652885</v>
      </c>
    </row>
    <row r="13412" spans="1:2" x14ac:dyDescent="0.25">
      <c r="A13412" s="2">
        <v>13407</v>
      </c>
      <c r="B13412" s="11" t="str">
        <f>"00652898"</f>
        <v>00652898</v>
      </c>
    </row>
    <row r="13413" spans="1:2" x14ac:dyDescent="0.25">
      <c r="A13413" s="2">
        <v>13408</v>
      </c>
      <c r="B13413" s="11" t="str">
        <f>"00652899"</f>
        <v>00652899</v>
      </c>
    </row>
    <row r="13414" spans="1:2" x14ac:dyDescent="0.25">
      <c r="A13414" s="2">
        <v>13409</v>
      </c>
      <c r="B13414" s="11" t="str">
        <f>"00652912"</f>
        <v>00652912</v>
      </c>
    </row>
    <row r="13415" spans="1:2" x14ac:dyDescent="0.25">
      <c r="A13415" s="2">
        <v>13410</v>
      </c>
      <c r="B13415" s="11" t="str">
        <f>"00652934"</f>
        <v>00652934</v>
      </c>
    </row>
    <row r="13416" spans="1:2" x14ac:dyDescent="0.25">
      <c r="A13416" s="2">
        <v>13411</v>
      </c>
      <c r="B13416" s="11" t="str">
        <f>"00652980"</f>
        <v>00652980</v>
      </c>
    </row>
    <row r="13417" spans="1:2" x14ac:dyDescent="0.25">
      <c r="A13417" s="2">
        <v>13412</v>
      </c>
      <c r="B13417" s="11" t="str">
        <f>"00653026"</f>
        <v>00653026</v>
      </c>
    </row>
    <row r="13418" spans="1:2" x14ac:dyDescent="0.25">
      <c r="A13418" s="2">
        <v>13413</v>
      </c>
      <c r="B13418" s="11" t="str">
        <f>"00653123"</f>
        <v>00653123</v>
      </c>
    </row>
    <row r="13419" spans="1:2" x14ac:dyDescent="0.25">
      <c r="A13419" s="2">
        <v>13414</v>
      </c>
      <c r="B13419" s="11" t="str">
        <f>"00653176"</f>
        <v>00653176</v>
      </c>
    </row>
    <row r="13420" spans="1:2" x14ac:dyDescent="0.25">
      <c r="A13420" s="2">
        <v>13415</v>
      </c>
      <c r="B13420" s="11" t="str">
        <f>"00653177"</f>
        <v>00653177</v>
      </c>
    </row>
    <row r="13421" spans="1:2" x14ac:dyDescent="0.25">
      <c r="A13421" s="2">
        <v>13416</v>
      </c>
      <c r="B13421" s="11" t="str">
        <f>"00653208"</f>
        <v>00653208</v>
      </c>
    </row>
    <row r="13422" spans="1:2" x14ac:dyDescent="0.25">
      <c r="A13422" s="2">
        <v>13417</v>
      </c>
      <c r="B13422" s="11" t="str">
        <f>"00653216"</f>
        <v>00653216</v>
      </c>
    </row>
    <row r="13423" spans="1:2" x14ac:dyDescent="0.25">
      <c r="A13423" s="2">
        <v>13418</v>
      </c>
      <c r="B13423" s="11" t="str">
        <f>"00653306"</f>
        <v>00653306</v>
      </c>
    </row>
    <row r="13424" spans="1:2" x14ac:dyDescent="0.25">
      <c r="A13424" s="2">
        <v>13419</v>
      </c>
      <c r="B13424" s="11" t="str">
        <f>"00653317"</f>
        <v>00653317</v>
      </c>
    </row>
    <row r="13425" spans="1:2" x14ac:dyDescent="0.25">
      <c r="A13425" s="2">
        <v>13420</v>
      </c>
      <c r="B13425" s="11" t="str">
        <f>"00653318"</f>
        <v>00653318</v>
      </c>
    </row>
    <row r="13426" spans="1:2" x14ac:dyDescent="0.25">
      <c r="A13426" s="2">
        <v>13421</v>
      </c>
      <c r="B13426" s="11" t="str">
        <f>"00653338"</f>
        <v>00653338</v>
      </c>
    </row>
    <row r="13427" spans="1:2" x14ac:dyDescent="0.25">
      <c r="A13427" s="2">
        <v>13422</v>
      </c>
      <c r="B13427" s="11" t="str">
        <f>"00653423"</f>
        <v>00653423</v>
      </c>
    </row>
    <row r="13428" spans="1:2" x14ac:dyDescent="0.25">
      <c r="A13428" s="2">
        <v>13423</v>
      </c>
      <c r="B13428" s="11" t="str">
        <f>"00653458"</f>
        <v>00653458</v>
      </c>
    </row>
    <row r="13429" spans="1:2" x14ac:dyDescent="0.25">
      <c r="A13429" s="2">
        <v>13424</v>
      </c>
      <c r="B13429" s="11" t="str">
        <f>"00653465"</f>
        <v>00653465</v>
      </c>
    </row>
    <row r="13430" spans="1:2" x14ac:dyDescent="0.25">
      <c r="A13430" s="2">
        <v>13425</v>
      </c>
      <c r="B13430" s="11" t="str">
        <f>"00653483"</f>
        <v>00653483</v>
      </c>
    </row>
    <row r="13431" spans="1:2" x14ac:dyDescent="0.25">
      <c r="A13431" s="2">
        <v>13426</v>
      </c>
      <c r="B13431" s="11" t="str">
        <f>"00653488"</f>
        <v>00653488</v>
      </c>
    </row>
    <row r="13432" spans="1:2" x14ac:dyDescent="0.25">
      <c r="A13432" s="2">
        <v>13427</v>
      </c>
      <c r="B13432" s="11" t="str">
        <f>"00653551"</f>
        <v>00653551</v>
      </c>
    </row>
    <row r="13433" spans="1:2" x14ac:dyDescent="0.25">
      <c r="A13433" s="2">
        <v>13428</v>
      </c>
      <c r="B13433" s="11" t="str">
        <f>"00653648"</f>
        <v>00653648</v>
      </c>
    </row>
    <row r="13434" spans="1:2" x14ac:dyDescent="0.25">
      <c r="A13434" s="2">
        <v>13429</v>
      </c>
      <c r="B13434" s="11" t="str">
        <f>"00653712"</f>
        <v>00653712</v>
      </c>
    </row>
    <row r="13435" spans="1:2" x14ac:dyDescent="0.25">
      <c r="A13435" s="2">
        <v>13430</v>
      </c>
      <c r="B13435" s="11" t="str">
        <f>"00653748"</f>
        <v>00653748</v>
      </c>
    </row>
    <row r="13436" spans="1:2" x14ac:dyDescent="0.25">
      <c r="A13436" s="2">
        <v>13431</v>
      </c>
      <c r="B13436" s="11" t="str">
        <f>"00653757"</f>
        <v>00653757</v>
      </c>
    </row>
    <row r="13437" spans="1:2" x14ac:dyDescent="0.25">
      <c r="A13437" s="2">
        <v>13432</v>
      </c>
      <c r="B13437" s="11" t="str">
        <f>"00653776"</f>
        <v>00653776</v>
      </c>
    </row>
    <row r="13438" spans="1:2" x14ac:dyDescent="0.25">
      <c r="A13438" s="2">
        <v>13433</v>
      </c>
      <c r="B13438" s="11" t="str">
        <f>"00653784"</f>
        <v>00653784</v>
      </c>
    </row>
    <row r="13439" spans="1:2" x14ac:dyDescent="0.25">
      <c r="A13439" s="2">
        <v>13434</v>
      </c>
      <c r="B13439" s="11" t="str">
        <f>"00653848"</f>
        <v>00653848</v>
      </c>
    </row>
    <row r="13440" spans="1:2" x14ac:dyDescent="0.25">
      <c r="A13440" s="2">
        <v>13435</v>
      </c>
      <c r="B13440" s="11" t="str">
        <f>"00653950"</f>
        <v>00653950</v>
      </c>
    </row>
    <row r="13441" spans="1:2" x14ac:dyDescent="0.25">
      <c r="A13441" s="2">
        <v>13436</v>
      </c>
      <c r="B13441" s="11" t="str">
        <f>"00653977"</f>
        <v>00653977</v>
      </c>
    </row>
    <row r="13442" spans="1:2" x14ac:dyDescent="0.25">
      <c r="A13442" s="2">
        <v>13437</v>
      </c>
      <c r="B13442" s="11" t="str">
        <f>"00653986"</f>
        <v>00653986</v>
      </c>
    </row>
    <row r="13443" spans="1:2" x14ac:dyDescent="0.25">
      <c r="A13443" s="2">
        <v>13438</v>
      </c>
      <c r="B13443" s="11" t="str">
        <f>"00653991"</f>
        <v>00653991</v>
      </c>
    </row>
    <row r="13444" spans="1:2" x14ac:dyDescent="0.25">
      <c r="A13444" s="2">
        <v>13439</v>
      </c>
      <c r="B13444" s="11" t="str">
        <f>"00654019"</f>
        <v>00654019</v>
      </c>
    </row>
    <row r="13445" spans="1:2" x14ac:dyDescent="0.25">
      <c r="A13445" s="2">
        <v>13440</v>
      </c>
      <c r="B13445" s="11" t="str">
        <f>"00654031"</f>
        <v>00654031</v>
      </c>
    </row>
    <row r="13446" spans="1:2" x14ac:dyDescent="0.25">
      <c r="A13446" s="2">
        <v>13441</v>
      </c>
      <c r="B13446" s="11" t="str">
        <f>"00654048"</f>
        <v>00654048</v>
      </c>
    </row>
    <row r="13447" spans="1:2" x14ac:dyDescent="0.25">
      <c r="A13447" s="2">
        <v>13442</v>
      </c>
      <c r="B13447" s="11" t="str">
        <f>"00654056"</f>
        <v>00654056</v>
      </c>
    </row>
    <row r="13448" spans="1:2" x14ac:dyDescent="0.25">
      <c r="A13448" s="2">
        <v>13443</v>
      </c>
      <c r="B13448" s="11" t="str">
        <f>"00654084"</f>
        <v>00654084</v>
      </c>
    </row>
    <row r="13449" spans="1:2" x14ac:dyDescent="0.25">
      <c r="A13449" s="2">
        <v>13444</v>
      </c>
      <c r="B13449" s="11" t="str">
        <f>"00654094"</f>
        <v>00654094</v>
      </c>
    </row>
    <row r="13450" spans="1:2" x14ac:dyDescent="0.25">
      <c r="A13450" s="2">
        <v>13445</v>
      </c>
      <c r="B13450" s="11" t="str">
        <f>"00654211"</f>
        <v>00654211</v>
      </c>
    </row>
    <row r="13451" spans="1:2" x14ac:dyDescent="0.25">
      <c r="A13451" s="2">
        <v>13446</v>
      </c>
      <c r="B13451" s="11" t="str">
        <f>"00654229"</f>
        <v>00654229</v>
      </c>
    </row>
    <row r="13452" spans="1:2" x14ac:dyDescent="0.25">
      <c r="A13452" s="2">
        <v>13447</v>
      </c>
      <c r="B13452" s="11" t="str">
        <f>"00654260"</f>
        <v>00654260</v>
      </c>
    </row>
    <row r="13453" spans="1:2" x14ac:dyDescent="0.25">
      <c r="A13453" s="2">
        <v>13448</v>
      </c>
      <c r="B13453" s="11" t="str">
        <f>"00654278"</f>
        <v>00654278</v>
      </c>
    </row>
    <row r="13454" spans="1:2" x14ac:dyDescent="0.25">
      <c r="A13454" s="2">
        <v>13449</v>
      </c>
      <c r="B13454" s="11" t="str">
        <f>"00654298"</f>
        <v>00654298</v>
      </c>
    </row>
    <row r="13455" spans="1:2" x14ac:dyDescent="0.25">
      <c r="A13455" s="2">
        <v>13450</v>
      </c>
      <c r="B13455" s="11" t="str">
        <f>"00654300"</f>
        <v>00654300</v>
      </c>
    </row>
    <row r="13456" spans="1:2" x14ac:dyDescent="0.25">
      <c r="A13456" s="2">
        <v>13451</v>
      </c>
      <c r="B13456" s="11" t="str">
        <f>"00654305"</f>
        <v>00654305</v>
      </c>
    </row>
    <row r="13457" spans="1:2" x14ac:dyDescent="0.25">
      <c r="A13457" s="2">
        <v>13452</v>
      </c>
      <c r="B13457" s="11" t="str">
        <f>"00654338"</f>
        <v>00654338</v>
      </c>
    </row>
    <row r="13458" spans="1:2" x14ac:dyDescent="0.25">
      <c r="A13458" s="2">
        <v>13453</v>
      </c>
      <c r="B13458" s="11" t="str">
        <f>"00654371"</f>
        <v>00654371</v>
      </c>
    </row>
    <row r="13459" spans="1:2" x14ac:dyDescent="0.25">
      <c r="A13459" s="2">
        <v>13454</v>
      </c>
      <c r="B13459" s="11" t="str">
        <f>"00654433"</f>
        <v>00654433</v>
      </c>
    </row>
    <row r="13460" spans="1:2" x14ac:dyDescent="0.25">
      <c r="A13460" s="2">
        <v>13455</v>
      </c>
      <c r="B13460" s="11" t="str">
        <f>"00654522"</f>
        <v>00654522</v>
      </c>
    </row>
    <row r="13461" spans="1:2" x14ac:dyDescent="0.25">
      <c r="A13461" s="2">
        <v>13456</v>
      </c>
      <c r="B13461" s="11" t="str">
        <f>"00654533"</f>
        <v>00654533</v>
      </c>
    </row>
    <row r="13462" spans="1:2" x14ac:dyDescent="0.25">
      <c r="A13462" s="2">
        <v>13457</v>
      </c>
      <c r="B13462" s="11" t="str">
        <f>"00654567"</f>
        <v>00654567</v>
      </c>
    </row>
    <row r="13463" spans="1:2" x14ac:dyDescent="0.25">
      <c r="A13463" s="2">
        <v>13458</v>
      </c>
      <c r="B13463" s="11" t="str">
        <f>"00654576"</f>
        <v>00654576</v>
      </c>
    </row>
    <row r="13464" spans="1:2" x14ac:dyDescent="0.25">
      <c r="A13464" s="2">
        <v>13459</v>
      </c>
      <c r="B13464" s="11" t="str">
        <f>"00654587"</f>
        <v>00654587</v>
      </c>
    </row>
    <row r="13465" spans="1:2" x14ac:dyDescent="0.25">
      <c r="A13465" s="2">
        <v>13460</v>
      </c>
      <c r="B13465" s="11" t="str">
        <f>"00654608"</f>
        <v>00654608</v>
      </c>
    </row>
    <row r="13466" spans="1:2" x14ac:dyDescent="0.25">
      <c r="A13466" s="2">
        <v>13461</v>
      </c>
      <c r="B13466" s="11" t="str">
        <f>"00654619"</f>
        <v>00654619</v>
      </c>
    </row>
    <row r="13467" spans="1:2" x14ac:dyDescent="0.25">
      <c r="A13467" s="2">
        <v>13462</v>
      </c>
      <c r="B13467" s="11" t="str">
        <f>"00654627"</f>
        <v>00654627</v>
      </c>
    </row>
    <row r="13468" spans="1:2" x14ac:dyDescent="0.25">
      <c r="A13468" s="2">
        <v>13463</v>
      </c>
      <c r="B13468" s="11" t="str">
        <f>"00654706"</f>
        <v>00654706</v>
      </c>
    </row>
    <row r="13469" spans="1:2" x14ac:dyDescent="0.25">
      <c r="A13469" s="2">
        <v>13464</v>
      </c>
      <c r="B13469" s="11" t="str">
        <f>"00654781"</f>
        <v>00654781</v>
      </c>
    </row>
    <row r="13470" spans="1:2" x14ac:dyDescent="0.25">
      <c r="A13470" s="2">
        <v>13465</v>
      </c>
      <c r="B13470" s="11" t="str">
        <f>"00654789"</f>
        <v>00654789</v>
      </c>
    </row>
    <row r="13471" spans="1:2" x14ac:dyDescent="0.25">
      <c r="A13471" s="2">
        <v>13466</v>
      </c>
      <c r="B13471" s="11" t="str">
        <f>"00654911"</f>
        <v>00654911</v>
      </c>
    </row>
    <row r="13472" spans="1:2" x14ac:dyDescent="0.25">
      <c r="A13472" s="2">
        <v>13467</v>
      </c>
      <c r="B13472" s="11" t="str">
        <f>"00655026"</f>
        <v>00655026</v>
      </c>
    </row>
    <row r="13473" spans="1:2" x14ac:dyDescent="0.25">
      <c r="A13473" s="2">
        <v>13468</v>
      </c>
      <c r="B13473" s="11" t="str">
        <f>"00655077"</f>
        <v>00655077</v>
      </c>
    </row>
    <row r="13474" spans="1:2" x14ac:dyDescent="0.25">
      <c r="A13474" s="2">
        <v>13469</v>
      </c>
      <c r="B13474" s="11" t="str">
        <f>"00655145"</f>
        <v>00655145</v>
      </c>
    </row>
    <row r="13475" spans="1:2" x14ac:dyDescent="0.25">
      <c r="A13475" s="2">
        <v>13470</v>
      </c>
      <c r="B13475" s="11" t="str">
        <f>"00655153"</f>
        <v>00655153</v>
      </c>
    </row>
    <row r="13476" spans="1:2" x14ac:dyDescent="0.25">
      <c r="A13476" s="2">
        <v>13471</v>
      </c>
      <c r="B13476" s="11" t="str">
        <f>"00655265"</f>
        <v>00655265</v>
      </c>
    </row>
    <row r="13477" spans="1:2" x14ac:dyDescent="0.25">
      <c r="A13477" s="2">
        <v>13472</v>
      </c>
      <c r="B13477" s="11" t="str">
        <f>"00655287"</f>
        <v>00655287</v>
      </c>
    </row>
    <row r="13478" spans="1:2" x14ac:dyDescent="0.25">
      <c r="A13478" s="2">
        <v>13473</v>
      </c>
      <c r="B13478" s="11" t="str">
        <f>"00655329"</f>
        <v>00655329</v>
      </c>
    </row>
    <row r="13479" spans="1:2" x14ac:dyDescent="0.25">
      <c r="A13479" s="2">
        <v>13474</v>
      </c>
      <c r="B13479" s="11" t="str">
        <f>"00655338"</f>
        <v>00655338</v>
      </c>
    </row>
    <row r="13480" spans="1:2" x14ac:dyDescent="0.25">
      <c r="A13480" s="2">
        <v>13475</v>
      </c>
      <c r="B13480" s="11" t="str">
        <f>"00655412"</f>
        <v>00655412</v>
      </c>
    </row>
    <row r="13481" spans="1:2" x14ac:dyDescent="0.25">
      <c r="A13481" s="2">
        <v>13476</v>
      </c>
      <c r="B13481" s="11" t="str">
        <f>"00655413"</f>
        <v>00655413</v>
      </c>
    </row>
    <row r="13482" spans="1:2" x14ac:dyDescent="0.25">
      <c r="A13482" s="2">
        <v>13477</v>
      </c>
      <c r="B13482" s="11" t="str">
        <f>"00655476"</f>
        <v>00655476</v>
      </c>
    </row>
    <row r="13483" spans="1:2" x14ac:dyDescent="0.25">
      <c r="A13483" s="2">
        <v>13478</v>
      </c>
      <c r="B13483" s="11" t="str">
        <f>"00655542"</f>
        <v>00655542</v>
      </c>
    </row>
    <row r="13484" spans="1:2" x14ac:dyDescent="0.25">
      <c r="A13484" s="2">
        <v>13479</v>
      </c>
      <c r="B13484" s="11" t="str">
        <f>"00655558"</f>
        <v>00655558</v>
      </c>
    </row>
    <row r="13485" spans="1:2" x14ac:dyDescent="0.25">
      <c r="A13485" s="2">
        <v>13480</v>
      </c>
      <c r="B13485" s="11" t="str">
        <f>"00655614"</f>
        <v>00655614</v>
      </c>
    </row>
    <row r="13486" spans="1:2" x14ac:dyDescent="0.25">
      <c r="A13486" s="2">
        <v>13481</v>
      </c>
      <c r="B13486" s="11" t="str">
        <f>"00655643"</f>
        <v>00655643</v>
      </c>
    </row>
    <row r="13487" spans="1:2" x14ac:dyDescent="0.25">
      <c r="A13487" s="2">
        <v>13482</v>
      </c>
      <c r="B13487" s="11" t="str">
        <f>"00655650"</f>
        <v>00655650</v>
      </c>
    </row>
    <row r="13488" spans="1:2" x14ac:dyDescent="0.25">
      <c r="A13488" s="2">
        <v>13483</v>
      </c>
      <c r="B13488" s="11" t="str">
        <f>"00655667"</f>
        <v>00655667</v>
      </c>
    </row>
    <row r="13489" spans="1:2" x14ac:dyDescent="0.25">
      <c r="A13489" s="2">
        <v>13484</v>
      </c>
      <c r="B13489" s="11" t="str">
        <f>"00655838"</f>
        <v>00655838</v>
      </c>
    </row>
    <row r="13490" spans="1:2" x14ac:dyDescent="0.25">
      <c r="A13490" s="2">
        <v>13485</v>
      </c>
      <c r="B13490" s="11" t="str">
        <f>"00655852"</f>
        <v>00655852</v>
      </c>
    </row>
    <row r="13491" spans="1:2" x14ac:dyDescent="0.25">
      <c r="A13491" s="2">
        <v>13486</v>
      </c>
      <c r="B13491" s="11" t="str">
        <f>"00655858"</f>
        <v>00655858</v>
      </c>
    </row>
    <row r="13492" spans="1:2" x14ac:dyDescent="0.25">
      <c r="A13492" s="2">
        <v>13487</v>
      </c>
      <c r="B13492" s="11" t="str">
        <f>"00655883"</f>
        <v>00655883</v>
      </c>
    </row>
    <row r="13493" spans="1:2" x14ac:dyDescent="0.25">
      <c r="A13493" s="2">
        <v>13488</v>
      </c>
      <c r="B13493" s="11" t="str">
        <f>"00655943"</f>
        <v>00655943</v>
      </c>
    </row>
    <row r="13494" spans="1:2" x14ac:dyDescent="0.25">
      <c r="A13494" s="2">
        <v>13489</v>
      </c>
      <c r="B13494" s="11" t="str">
        <f>"00655957"</f>
        <v>00655957</v>
      </c>
    </row>
    <row r="13495" spans="1:2" x14ac:dyDescent="0.25">
      <c r="A13495" s="2">
        <v>13490</v>
      </c>
      <c r="B13495" s="11" t="str">
        <f>"00656023"</f>
        <v>00656023</v>
      </c>
    </row>
    <row r="13496" spans="1:2" x14ac:dyDescent="0.25">
      <c r="A13496" s="2">
        <v>13491</v>
      </c>
      <c r="B13496" s="11" t="str">
        <f>"00656041"</f>
        <v>00656041</v>
      </c>
    </row>
    <row r="13497" spans="1:2" x14ac:dyDescent="0.25">
      <c r="A13497" s="2">
        <v>13492</v>
      </c>
      <c r="B13497" s="11" t="str">
        <f>"00656053"</f>
        <v>00656053</v>
      </c>
    </row>
    <row r="13498" spans="1:2" x14ac:dyDescent="0.25">
      <c r="A13498" s="2">
        <v>13493</v>
      </c>
      <c r="B13498" s="11" t="str">
        <f>"00656091"</f>
        <v>00656091</v>
      </c>
    </row>
    <row r="13499" spans="1:2" x14ac:dyDescent="0.25">
      <c r="A13499" s="2">
        <v>13494</v>
      </c>
      <c r="B13499" s="11" t="str">
        <f>"00656100"</f>
        <v>00656100</v>
      </c>
    </row>
    <row r="13500" spans="1:2" x14ac:dyDescent="0.25">
      <c r="A13500" s="2">
        <v>13495</v>
      </c>
      <c r="B13500" s="11" t="str">
        <f>"00656205"</f>
        <v>00656205</v>
      </c>
    </row>
    <row r="13501" spans="1:2" x14ac:dyDescent="0.25">
      <c r="A13501" s="2">
        <v>13496</v>
      </c>
      <c r="B13501" s="11" t="str">
        <f>"00656225"</f>
        <v>00656225</v>
      </c>
    </row>
    <row r="13502" spans="1:2" x14ac:dyDescent="0.25">
      <c r="A13502" s="2">
        <v>13497</v>
      </c>
      <c r="B13502" s="11" t="str">
        <f>"00656237"</f>
        <v>00656237</v>
      </c>
    </row>
    <row r="13503" spans="1:2" x14ac:dyDescent="0.25">
      <c r="A13503" s="2">
        <v>13498</v>
      </c>
      <c r="B13503" s="11" t="str">
        <f>"00656248"</f>
        <v>00656248</v>
      </c>
    </row>
    <row r="13504" spans="1:2" x14ac:dyDescent="0.25">
      <c r="A13504" s="2">
        <v>13499</v>
      </c>
      <c r="B13504" s="11" t="str">
        <f>"00656280"</f>
        <v>00656280</v>
      </c>
    </row>
    <row r="13505" spans="1:2" x14ac:dyDescent="0.25">
      <c r="A13505" s="2">
        <v>13500</v>
      </c>
      <c r="B13505" s="11" t="str">
        <f>"00656300"</f>
        <v>00656300</v>
      </c>
    </row>
    <row r="13506" spans="1:2" x14ac:dyDescent="0.25">
      <c r="A13506" s="2">
        <v>13501</v>
      </c>
      <c r="B13506" s="11" t="str">
        <f>"00656350"</f>
        <v>00656350</v>
      </c>
    </row>
    <row r="13507" spans="1:2" x14ac:dyDescent="0.25">
      <c r="A13507" s="2">
        <v>13502</v>
      </c>
      <c r="B13507" s="11" t="str">
        <f>"00656376"</f>
        <v>00656376</v>
      </c>
    </row>
    <row r="13508" spans="1:2" x14ac:dyDescent="0.25">
      <c r="A13508" s="2">
        <v>13503</v>
      </c>
      <c r="B13508" s="11" t="str">
        <f>"00656446"</f>
        <v>00656446</v>
      </c>
    </row>
    <row r="13509" spans="1:2" x14ac:dyDescent="0.25">
      <c r="A13509" s="2">
        <v>13504</v>
      </c>
      <c r="B13509" s="11" t="str">
        <f>"00656452"</f>
        <v>00656452</v>
      </c>
    </row>
    <row r="13510" spans="1:2" x14ac:dyDescent="0.25">
      <c r="A13510" s="2">
        <v>13505</v>
      </c>
      <c r="B13510" s="11" t="str">
        <f>"00656528"</f>
        <v>00656528</v>
      </c>
    </row>
    <row r="13511" spans="1:2" x14ac:dyDescent="0.25">
      <c r="A13511" s="2">
        <v>13506</v>
      </c>
      <c r="B13511" s="11" t="str">
        <f>"00656539"</f>
        <v>00656539</v>
      </c>
    </row>
    <row r="13512" spans="1:2" x14ac:dyDescent="0.25">
      <c r="A13512" s="2">
        <v>13507</v>
      </c>
      <c r="B13512" s="11" t="str">
        <f>"00656599"</f>
        <v>00656599</v>
      </c>
    </row>
    <row r="13513" spans="1:2" x14ac:dyDescent="0.25">
      <c r="A13513" s="2">
        <v>13508</v>
      </c>
      <c r="B13513" s="11" t="str">
        <f>"00656644"</f>
        <v>00656644</v>
      </c>
    </row>
    <row r="13514" spans="1:2" x14ac:dyDescent="0.25">
      <c r="A13514" s="2">
        <v>13509</v>
      </c>
      <c r="B13514" s="11" t="str">
        <f>"00656697"</f>
        <v>00656697</v>
      </c>
    </row>
    <row r="13515" spans="1:2" x14ac:dyDescent="0.25">
      <c r="A13515" s="2">
        <v>13510</v>
      </c>
      <c r="B13515" s="11" t="str">
        <f>"00656704"</f>
        <v>00656704</v>
      </c>
    </row>
    <row r="13516" spans="1:2" x14ac:dyDescent="0.25">
      <c r="A13516" s="2">
        <v>13511</v>
      </c>
      <c r="B13516" s="11" t="str">
        <f>"00656757"</f>
        <v>00656757</v>
      </c>
    </row>
    <row r="13517" spans="1:2" x14ac:dyDescent="0.25">
      <c r="A13517" s="2">
        <v>13512</v>
      </c>
      <c r="B13517" s="11" t="str">
        <f>"00656789"</f>
        <v>00656789</v>
      </c>
    </row>
    <row r="13518" spans="1:2" x14ac:dyDescent="0.25">
      <c r="A13518" s="2">
        <v>13513</v>
      </c>
      <c r="B13518" s="11" t="str">
        <f>"00656843"</f>
        <v>00656843</v>
      </c>
    </row>
    <row r="13519" spans="1:2" x14ac:dyDescent="0.25">
      <c r="A13519" s="2">
        <v>13514</v>
      </c>
      <c r="B13519" s="11" t="str">
        <f>"00656845"</f>
        <v>00656845</v>
      </c>
    </row>
    <row r="13520" spans="1:2" x14ac:dyDescent="0.25">
      <c r="A13520" s="2">
        <v>13515</v>
      </c>
      <c r="B13520" s="11" t="str">
        <f>"00656868"</f>
        <v>00656868</v>
      </c>
    </row>
    <row r="13521" spans="1:2" x14ac:dyDescent="0.25">
      <c r="A13521" s="2">
        <v>13516</v>
      </c>
      <c r="B13521" s="11" t="str">
        <f>"00657076"</f>
        <v>00657076</v>
      </c>
    </row>
    <row r="13522" spans="1:2" x14ac:dyDescent="0.25">
      <c r="A13522" s="2">
        <v>13517</v>
      </c>
      <c r="B13522" s="11" t="str">
        <f>"00657109"</f>
        <v>00657109</v>
      </c>
    </row>
    <row r="13523" spans="1:2" x14ac:dyDescent="0.25">
      <c r="A13523" s="2">
        <v>13518</v>
      </c>
      <c r="B13523" s="11" t="str">
        <f>"00657110"</f>
        <v>00657110</v>
      </c>
    </row>
    <row r="13524" spans="1:2" x14ac:dyDescent="0.25">
      <c r="A13524" s="2">
        <v>13519</v>
      </c>
      <c r="B13524" s="11" t="str">
        <f>"00657208"</f>
        <v>00657208</v>
      </c>
    </row>
    <row r="13525" spans="1:2" x14ac:dyDescent="0.25">
      <c r="A13525" s="2">
        <v>13520</v>
      </c>
      <c r="B13525" s="11" t="str">
        <f>"00657231"</f>
        <v>00657231</v>
      </c>
    </row>
    <row r="13526" spans="1:2" x14ac:dyDescent="0.25">
      <c r="A13526" s="2">
        <v>13521</v>
      </c>
      <c r="B13526" s="11" t="str">
        <f>"00657243"</f>
        <v>00657243</v>
      </c>
    </row>
    <row r="13527" spans="1:2" x14ac:dyDescent="0.25">
      <c r="A13527" s="2">
        <v>13522</v>
      </c>
      <c r="B13527" s="11" t="str">
        <f>"00657262"</f>
        <v>00657262</v>
      </c>
    </row>
    <row r="13528" spans="1:2" x14ac:dyDescent="0.25">
      <c r="A13528" s="2">
        <v>13523</v>
      </c>
      <c r="B13528" s="11" t="str">
        <f>"00657321"</f>
        <v>00657321</v>
      </c>
    </row>
    <row r="13529" spans="1:2" x14ac:dyDescent="0.25">
      <c r="A13529" s="2">
        <v>13524</v>
      </c>
      <c r="B13529" s="11" t="str">
        <f>"00657359"</f>
        <v>00657359</v>
      </c>
    </row>
    <row r="13530" spans="1:2" x14ac:dyDescent="0.25">
      <c r="A13530" s="2">
        <v>13525</v>
      </c>
      <c r="B13530" s="11" t="str">
        <f>"00657404"</f>
        <v>00657404</v>
      </c>
    </row>
    <row r="13531" spans="1:2" x14ac:dyDescent="0.25">
      <c r="A13531" s="2">
        <v>13526</v>
      </c>
      <c r="B13531" s="11" t="str">
        <f>"00657466"</f>
        <v>00657466</v>
      </c>
    </row>
    <row r="13532" spans="1:2" x14ac:dyDescent="0.25">
      <c r="A13532" s="2">
        <v>13527</v>
      </c>
      <c r="B13532" s="11" t="str">
        <f>"00657529"</f>
        <v>00657529</v>
      </c>
    </row>
    <row r="13533" spans="1:2" x14ac:dyDescent="0.25">
      <c r="A13533" s="2">
        <v>13528</v>
      </c>
      <c r="B13533" s="11" t="str">
        <f>"00657581"</f>
        <v>00657581</v>
      </c>
    </row>
    <row r="13534" spans="1:2" x14ac:dyDescent="0.25">
      <c r="A13534" s="2">
        <v>13529</v>
      </c>
      <c r="B13534" s="11" t="str">
        <f>"00657601"</f>
        <v>00657601</v>
      </c>
    </row>
    <row r="13535" spans="1:2" x14ac:dyDescent="0.25">
      <c r="A13535" s="2">
        <v>13530</v>
      </c>
      <c r="B13535" s="11" t="str">
        <f>"00657603"</f>
        <v>00657603</v>
      </c>
    </row>
    <row r="13536" spans="1:2" x14ac:dyDescent="0.25">
      <c r="A13536" s="2">
        <v>13531</v>
      </c>
      <c r="B13536" s="11" t="str">
        <f>"00657637"</f>
        <v>00657637</v>
      </c>
    </row>
    <row r="13537" spans="1:2" x14ac:dyDescent="0.25">
      <c r="A13537" s="2">
        <v>13532</v>
      </c>
      <c r="B13537" s="11" t="str">
        <f>"00657647"</f>
        <v>00657647</v>
      </c>
    </row>
    <row r="13538" spans="1:2" x14ac:dyDescent="0.25">
      <c r="A13538" s="2">
        <v>13533</v>
      </c>
      <c r="B13538" s="11" t="str">
        <f>"00657715"</f>
        <v>00657715</v>
      </c>
    </row>
    <row r="13539" spans="1:2" x14ac:dyDescent="0.25">
      <c r="A13539" s="2">
        <v>13534</v>
      </c>
      <c r="B13539" s="11" t="str">
        <f>"00657839"</f>
        <v>00657839</v>
      </c>
    </row>
    <row r="13540" spans="1:2" x14ac:dyDescent="0.25">
      <c r="A13540" s="2">
        <v>13535</v>
      </c>
      <c r="B13540" s="11" t="str">
        <f>"00657843"</f>
        <v>00657843</v>
      </c>
    </row>
    <row r="13541" spans="1:2" x14ac:dyDescent="0.25">
      <c r="A13541" s="2">
        <v>13536</v>
      </c>
      <c r="B13541" s="11" t="str">
        <f>"00657899"</f>
        <v>00657899</v>
      </c>
    </row>
    <row r="13542" spans="1:2" x14ac:dyDescent="0.25">
      <c r="A13542" s="2">
        <v>13537</v>
      </c>
      <c r="B13542" s="11" t="str">
        <f>"00657940"</f>
        <v>00657940</v>
      </c>
    </row>
    <row r="13543" spans="1:2" x14ac:dyDescent="0.25">
      <c r="A13543" s="2">
        <v>13538</v>
      </c>
      <c r="B13543" s="11" t="str">
        <f>"00657941"</f>
        <v>00657941</v>
      </c>
    </row>
    <row r="13544" spans="1:2" x14ac:dyDescent="0.25">
      <c r="A13544" s="2">
        <v>13539</v>
      </c>
      <c r="B13544" s="11" t="str">
        <f>"00657945"</f>
        <v>00657945</v>
      </c>
    </row>
    <row r="13545" spans="1:2" x14ac:dyDescent="0.25">
      <c r="A13545" s="2">
        <v>13540</v>
      </c>
      <c r="B13545" s="11" t="str">
        <f>"00657960"</f>
        <v>00657960</v>
      </c>
    </row>
    <row r="13546" spans="1:2" x14ac:dyDescent="0.25">
      <c r="A13546" s="2">
        <v>13541</v>
      </c>
      <c r="B13546" s="11" t="str">
        <f>"00657969"</f>
        <v>00657969</v>
      </c>
    </row>
    <row r="13547" spans="1:2" x14ac:dyDescent="0.25">
      <c r="A13547" s="2">
        <v>13542</v>
      </c>
      <c r="B13547" s="11" t="str">
        <f>"00657971"</f>
        <v>00657971</v>
      </c>
    </row>
    <row r="13548" spans="1:2" x14ac:dyDescent="0.25">
      <c r="A13548" s="2">
        <v>13543</v>
      </c>
      <c r="B13548" s="11" t="str">
        <f>"00657995"</f>
        <v>00657995</v>
      </c>
    </row>
    <row r="13549" spans="1:2" x14ac:dyDescent="0.25">
      <c r="A13549" s="2">
        <v>13544</v>
      </c>
      <c r="B13549" s="11" t="str">
        <f>"00658010"</f>
        <v>00658010</v>
      </c>
    </row>
    <row r="13550" spans="1:2" x14ac:dyDescent="0.25">
      <c r="A13550" s="2">
        <v>13545</v>
      </c>
      <c r="B13550" s="11" t="str">
        <f>"00658014"</f>
        <v>00658014</v>
      </c>
    </row>
    <row r="13551" spans="1:2" x14ac:dyDescent="0.25">
      <c r="A13551" s="2">
        <v>13546</v>
      </c>
      <c r="B13551" s="11" t="str">
        <f>"00658242"</f>
        <v>00658242</v>
      </c>
    </row>
    <row r="13552" spans="1:2" x14ac:dyDescent="0.25">
      <c r="A13552" s="2">
        <v>13547</v>
      </c>
      <c r="B13552" s="11" t="str">
        <f>"00658254"</f>
        <v>00658254</v>
      </c>
    </row>
    <row r="13553" spans="1:2" x14ac:dyDescent="0.25">
      <c r="A13553" s="2">
        <v>13548</v>
      </c>
      <c r="B13553" s="11" t="str">
        <f>"00658277"</f>
        <v>00658277</v>
      </c>
    </row>
    <row r="13554" spans="1:2" x14ac:dyDescent="0.25">
      <c r="A13554" s="2">
        <v>13549</v>
      </c>
      <c r="B13554" s="11" t="str">
        <f>"00658303"</f>
        <v>00658303</v>
      </c>
    </row>
    <row r="13555" spans="1:2" x14ac:dyDescent="0.25">
      <c r="A13555" s="2">
        <v>13550</v>
      </c>
      <c r="B13555" s="11" t="str">
        <f>"00658338"</f>
        <v>00658338</v>
      </c>
    </row>
    <row r="13556" spans="1:2" x14ac:dyDescent="0.25">
      <c r="A13556" s="2">
        <v>13551</v>
      </c>
      <c r="B13556" s="11" t="str">
        <f>"00658343"</f>
        <v>00658343</v>
      </c>
    </row>
    <row r="13557" spans="1:2" x14ac:dyDescent="0.25">
      <c r="A13557" s="2">
        <v>13552</v>
      </c>
      <c r="B13557" s="11" t="str">
        <f>"00658348"</f>
        <v>00658348</v>
      </c>
    </row>
    <row r="13558" spans="1:2" x14ac:dyDescent="0.25">
      <c r="A13558" s="2">
        <v>13553</v>
      </c>
      <c r="B13558" s="11" t="str">
        <f>"00658365"</f>
        <v>00658365</v>
      </c>
    </row>
    <row r="13559" spans="1:2" x14ac:dyDescent="0.25">
      <c r="A13559" s="2">
        <v>13554</v>
      </c>
      <c r="B13559" s="11" t="str">
        <f>"00658397"</f>
        <v>00658397</v>
      </c>
    </row>
    <row r="13560" spans="1:2" x14ac:dyDescent="0.25">
      <c r="A13560" s="2">
        <v>13555</v>
      </c>
      <c r="B13560" s="11" t="str">
        <f>"00658411"</f>
        <v>00658411</v>
      </c>
    </row>
    <row r="13561" spans="1:2" x14ac:dyDescent="0.25">
      <c r="A13561" s="2">
        <v>13556</v>
      </c>
      <c r="B13561" s="11" t="str">
        <f>"00658476"</f>
        <v>00658476</v>
      </c>
    </row>
    <row r="13562" spans="1:2" x14ac:dyDescent="0.25">
      <c r="A13562" s="2">
        <v>13557</v>
      </c>
      <c r="B13562" s="11" t="str">
        <f>"00658486"</f>
        <v>00658486</v>
      </c>
    </row>
    <row r="13563" spans="1:2" x14ac:dyDescent="0.25">
      <c r="A13563" s="2">
        <v>13558</v>
      </c>
      <c r="B13563" s="11" t="str">
        <f>"00658515"</f>
        <v>00658515</v>
      </c>
    </row>
    <row r="13564" spans="1:2" x14ac:dyDescent="0.25">
      <c r="A13564" s="2">
        <v>13559</v>
      </c>
      <c r="B13564" s="11" t="str">
        <f>"00658549"</f>
        <v>00658549</v>
      </c>
    </row>
    <row r="13565" spans="1:2" x14ac:dyDescent="0.25">
      <c r="A13565" s="2">
        <v>13560</v>
      </c>
      <c r="B13565" s="11" t="str">
        <f>"00658591"</f>
        <v>00658591</v>
      </c>
    </row>
    <row r="13566" spans="1:2" x14ac:dyDescent="0.25">
      <c r="A13566" s="2">
        <v>13561</v>
      </c>
      <c r="B13566" s="11" t="str">
        <f>"00658596"</f>
        <v>00658596</v>
      </c>
    </row>
    <row r="13567" spans="1:2" x14ac:dyDescent="0.25">
      <c r="A13567" s="2">
        <v>13562</v>
      </c>
      <c r="B13567" s="11" t="str">
        <f>"00658659"</f>
        <v>00658659</v>
      </c>
    </row>
    <row r="13568" spans="1:2" x14ac:dyDescent="0.25">
      <c r="A13568" s="2">
        <v>13563</v>
      </c>
      <c r="B13568" s="11" t="str">
        <f>"00658737"</f>
        <v>00658737</v>
      </c>
    </row>
    <row r="13569" spans="1:2" x14ac:dyDescent="0.25">
      <c r="A13569" s="2">
        <v>13564</v>
      </c>
      <c r="B13569" s="11" t="str">
        <f>"00658810"</f>
        <v>00658810</v>
      </c>
    </row>
    <row r="13570" spans="1:2" x14ac:dyDescent="0.25">
      <c r="A13570" s="2">
        <v>13565</v>
      </c>
      <c r="B13570" s="11" t="str">
        <f>"00658813"</f>
        <v>00658813</v>
      </c>
    </row>
    <row r="13571" spans="1:2" x14ac:dyDescent="0.25">
      <c r="A13571" s="2">
        <v>13566</v>
      </c>
      <c r="B13571" s="11" t="str">
        <f>"00659030"</f>
        <v>00659030</v>
      </c>
    </row>
    <row r="13572" spans="1:2" x14ac:dyDescent="0.25">
      <c r="A13572" s="2">
        <v>13567</v>
      </c>
      <c r="B13572" s="11" t="str">
        <f>"00659082"</f>
        <v>00659082</v>
      </c>
    </row>
    <row r="13573" spans="1:2" x14ac:dyDescent="0.25">
      <c r="A13573" s="2">
        <v>13568</v>
      </c>
      <c r="B13573" s="11" t="str">
        <f>"00659095"</f>
        <v>00659095</v>
      </c>
    </row>
    <row r="13574" spans="1:2" x14ac:dyDescent="0.25">
      <c r="A13574" s="2">
        <v>13569</v>
      </c>
      <c r="B13574" s="11" t="str">
        <f>"00659113"</f>
        <v>00659113</v>
      </c>
    </row>
    <row r="13575" spans="1:2" x14ac:dyDescent="0.25">
      <c r="A13575" s="2">
        <v>13570</v>
      </c>
      <c r="B13575" s="11" t="str">
        <f>"00659145"</f>
        <v>00659145</v>
      </c>
    </row>
    <row r="13576" spans="1:2" x14ac:dyDescent="0.25">
      <c r="A13576" s="2">
        <v>13571</v>
      </c>
      <c r="B13576" s="11" t="str">
        <f>"00659210"</f>
        <v>00659210</v>
      </c>
    </row>
    <row r="13577" spans="1:2" x14ac:dyDescent="0.25">
      <c r="A13577" s="2">
        <v>13572</v>
      </c>
      <c r="B13577" s="11" t="str">
        <f>"00659218"</f>
        <v>00659218</v>
      </c>
    </row>
    <row r="13578" spans="1:2" x14ac:dyDescent="0.25">
      <c r="A13578" s="2">
        <v>13573</v>
      </c>
      <c r="B13578" s="11" t="str">
        <f>"00659343"</f>
        <v>00659343</v>
      </c>
    </row>
    <row r="13579" spans="1:2" x14ac:dyDescent="0.25">
      <c r="A13579" s="2">
        <v>13574</v>
      </c>
      <c r="B13579" s="11" t="str">
        <f>"00659382"</f>
        <v>00659382</v>
      </c>
    </row>
    <row r="13580" spans="1:2" x14ac:dyDescent="0.25">
      <c r="A13580" s="2">
        <v>13575</v>
      </c>
      <c r="B13580" s="11" t="str">
        <f>"00659438"</f>
        <v>00659438</v>
      </c>
    </row>
    <row r="13581" spans="1:2" x14ac:dyDescent="0.25">
      <c r="A13581" s="2">
        <v>13576</v>
      </c>
      <c r="B13581" s="11" t="str">
        <f>"00659449"</f>
        <v>00659449</v>
      </c>
    </row>
    <row r="13582" spans="1:2" x14ac:dyDescent="0.25">
      <c r="A13582" s="2">
        <v>13577</v>
      </c>
      <c r="B13582" s="11" t="str">
        <f>"00659464"</f>
        <v>00659464</v>
      </c>
    </row>
    <row r="13583" spans="1:2" x14ac:dyDescent="0.25">
      <c r="A13583" s="2">
        <v>13578</v>
      </c>
      <c r="B13583" s="11" t="str">
        <f>"00659494"</f>
        <v>00659494</v>
      </c>
    </row>
    <row r="13584" spans="1:2" x14ac:dyDescent="0.25">
      <c r="A13584" s="2">
        <v>13579</v>
      </c>
      <c r="B13584" s="11" t="str">
        <f>"00659528"</f>
        <v>00659528</v>
      </c>
    </row>
    <row r="13585" spans="1:2" x14ac:dyDescent="0.25">
      <c r="A13585" s="2">
        <v>13580</v>
      </c>
      <c r="B13585" s="11" t="str">
        <f>"00659563"</f>
        <v>00659563</v>
      </c>
    </row>
    <row r="13586" spans="1:2" x14ac:dyDescent="0.25">
      <c r="A13586" s="2">
        <v>13581</v>
      </c>
      <c r="B13586" s="11" t="str">
        <f>"00659574"</f>
        <v>00659574</v>
      </c>
    </row>
    <row r="13587" spans="1:2" x14ac:dyDescent="0.25">
      <c r="A13587" s="2">
        <v>13582</v>
      </c>
      <c r="B13587" s="11" t="str">
        <f>"00659586"</f>
        <v>00659586</v>
      </c>
    </row>
    <row r="13588" spans="1:2" x14ac:dyDescent="0.25">
      <c r="A13588" s="2">
        <v>13583</v>
      </c>
      <c r="B13588" s="11" t="str">
        <f>"00659619"</f>
        <v>00659619</v>
      </c>
    </row>
    <row r="13589" spans="1:2" x14ac:dyDescent="0.25">
      <c r="A13589" s="2">
        <v>13584</v>
      </c>
      <c r="B13589" s="11" t="str">
        <f>"00659903"</f>
        <v>00659903</v>
      </c>
    </row>
    <row r="13590" spans="1:2" x14ac:dyDescent="0.25">
      <c r="A13590" s="2">
        <v>13585</v>
      </c>
      <c r="B13590" s="11" t="str">
        <f>"00659933"</f>
        <v>00659933</v>
      </c>
    </row>
    <row r="13591" spans="1:2" x14ac:dyDescent="0.25">
      <c r="A13591" s="2">
        <v>13586</v>
      </c>
      <c r="B13591" s="11" t="str">
        <f>"00659937"</f>
        <v>00659937</v>
      </c>
    </row>
    <row r="13592" spans="1:2" x14ac:dyDescent="0.25">
      <c r="A13592" s="2">
        <v>13587</v>
      </c>
      <c r="B13592" s="11" t="str">
        <f>"00659964"</f>
        <v>00659964</v>
      </c>
    </row>
    <row r="13593" spans="1:2" x14ac:dyDescent="0.25">
      <c r="A13593" s="2">
        <v>13588</v>
      </c>
      <c r="B13593" s="11" t="str">
        <f>"00660011"</f>
        <v>00660011</v>
      </c>
    </row>
    <row r="13594" spans="1:2" x14ac:dyDescent="0.25">
      <c r="A13594" s="2">
        <v>13589</v>
      </c>
      <c r="B13594" s="11" t="str">
        <f>"00660015"</f>
        <v>00660015</v>
      </c>
    </row>
    <row r="13595" spans="1:2" x14ac:dyDescent="0.25">
      <c r="A13595" s="2">
        <v>13590</v>
      </c>
      <c r="B13595" s="11" t="str">
        <f>"00660023"</f>
        <v>00660023</v>
      </c>
    </row>
    <row r="13596" spans="1:2" x14ac:dyDescent="0.25">
      <c r="A13596" s="2">
        <v>13591</v>
      </c>
      <c r="B13596" s="11" t="str">
        <f>"00660124"</f>
        <v>00660124</v>
      </c>
    </row>
    <row r="13597" spans="1:2" x14ac:dyDescent="0.25">
      <c r="A13597" s="2">
        <v>13592</v>
      </c>
      <c r="B13597" s="11" t="str">
        <f>"00660161"</f>
        <v>00660161</v>
      </c>
    </row>
    <row r="13598" spans="1:2" x14ac:dyDescent="0.25">
      <c r="A13598" s="2">
        <v>13593</v>
      </c>
      <c r="B13598" s="11" t="str">
        <f>"00660199"</f>
        <v>00660199</v>
      </c>
    </row>
    <row r="13599" spans="1:2" x14ac:dyDescent="0.25">
      <c r="A13599" s="2">
        <v>13594</v>
      </c>
      <c r="B13599" s="11" t="str">
        <f>"00660216"</f>
        <v>00660216</v>
      </c>
    </row>
    <row r="13600" spans="1:2" x14ac:dyDescent="0.25">
      <c r="A13600" s="2">
        <v>13595</v>
      </c>
      <c r="B13600" s="11" t="str">
        <f>"00660225"</f>
        <v>00660225</v>
      </c>
    </row>
    <row r="13601" spans="1:2" x14ac:dyDescent="0.25">
      <c r="A13601" s="2">
        <v>13596</v>
      </c>
      <c r="B13601" s="11" t="str">
        <f>"00660310"</f>
        <v>00660310</v>
      </c>
    </row>
    <row r="13602" spans="1:2" x14ac:dyDescent="0.25">
      <c r="A13602" s="2">
        <v>13597</v>
      </c>
      <c r="B13602" s="11" t="str">
        <f>"00660403"</f>
        <v>00660403</v>
      </c>
    </row>
    <row r="13603" spans="1:2" x14ac:dyDescent="0.25">
      <c r="A13603" s="2">
        <v>13598</v>
      </c>
      <c r="B13603" s="11" t="str">
        <f>"00660407"</f>
        <v>00660407</v>
      </c>
    </row>
    <row r="13604" spans="1:2" x14ac:dyDescent="0.25">
      <c r="A13604" s="2">
        <v>13599</v>
      </c>
      <c r="B13604" s="11" t="str">
        <f>"00660416"</f>
        <v>00660416</v>
      </c>
    </row>
    <row r="13605" spans="1:2" x14ac:dyDescent="0.25">
      <c r="A13605" s="2">
        <v>13600</v>
      </c>
      <c r="B13605" s="11" t="str">
        <f>"00660419"</f>
        <v>00660419</v>
      </c>
    </row>
    <row r="13606" spans="1:2" x14ac:dyDescent="0.25">
      <c r="A13606" s="2">
        <v>13601</v>
      </c>
      <c r="B13606" s="11" t="str">
        <f>"00660425"</f>
        <v>00660425</v>
      </c>
    </row>
    <row r="13607" spans="1:2" x14ac:dyDescent="0.25">
      <c r="A13607" s="2">
        <v>13602</v>
      </c>
      <c r="B13607" s="11" t="str">
        <f>"00660438"</f>
        <v>00660438</v>
      </c>
    </row>
    <row r="13608" spans="1:2" x14ac:dyDescent="0.25">
      <c r="A13608" s="2">
        <v>13603</v>
      </c>
      <c r="B13608" s="11" t="str">
        <f>"00660521"</f>
        <v>00660521</v>
      </c>
    </row>
    <row r="13609" spans="1:2" x14ac:dyDescent="0.25">
      <c r="A13609" s="2">
        <v>13604</v>
      </c>
      <c r="B13609" s="11" t="str">
        <f>"00660529"</f>
        <v>00660529</v>
      </c>
    </row>
    <row r="13610" spans="1:2" x14ac:dyDescent="0.25">
      <c r="A13610" s="2">
        <v>13605</v>
      </c>
      <c r="B13610" s="11" t="str">
        <f>"00660668"</f>
        <v>00660668</v>
      </c>
    </row>
    <row r="13611" spans="1:2" x14ac:dyDescent="0.25">
      <c r="A13611" s="2">
        <v>13606</v>
      </c>
      <c r="B13611" s="11" t="str">
        <f>"00660674"</f>
        <v>00660674</v>
      </c>
    </row>
    <row r="13612" spans="1:2" x14ac:dyDescent="0.25">
      <c r="A13612" s="2">
        <v>13607</v>
      </c>
      <c r="B13612" s="11" t="str">
        <f>"00660680"</f>
        <v>00660680</v>
      </c>
    </row>
    <row r="13613" spans="1:2" x14ac:dyDescent="0.25">
      <c r="A13613" s="2">
        <v>13608</v>
      </c>
      <c r="B13613" s="11" t="str">
        <f>"00660685"</f>
        <v>00660685</v>
      </c>
    </row>
    <row r="13614" spans="1:2" x14ac:dyDescent="0.25">
      <c r="A13614" s="2">
        <v>13609</v>
      </c>
      <c r="B13614" s="11" t="str">
        <f>"00660694"</f>
        <v>00660694</v>
      </c>
    </row>
    <row r="13615" spans="1:2" x14ac:dyDescent="0.25">
      <c r="A13615" s="2">
        <v>13610</v>
      </c>
      <c r="B13615" s="11" t="str">
        <f>"00660751"</f>
        <v>00660751</v>
      </c>
    </row>
    <row r="13616" spans="1:2" x14ac:dyDescent="0.25">
      <c r="A13616" s="2">
        <v>13611</v>
      </c>
      <c r="B13616" s="11" t="str">
        <f>"00660816"</f>
        <v>00660816</v>
      </c>
    </row>
    <row r="13617" spans="1:2" x14ac:dyDescent="0.25">
      <c r="A13617" s="2">
        <v>13612</v>
      </c>
      <c r="B13617" s="11" t="str">
        <f>"00660856"</f>
        <v>00660856</v>
      </c>
    </row>
    <row r="13618" spans="1:2" x14ac:dyDescent="0.25">
      <c r="A13618" s="2">
        <v>13613</v>
      </c>
      <c r="B13618" s="11" t="str">
        <f>"00660873"</f>
        <v>00660873</v>
      </c>
    </row>
    <row r="13619" spans="1:2" x14ac:dyDescent="0.25">
      <c r="A13619" s="2">
        <v>13614</v>
      </c>
      <c r="B13619" s="11" t="str">
        <f>"00660883"</f>
        <v>00660883</v>
      </c>
    </row>
    <row r="13620" spans="1:2" x14ac:dyDescent="0.25">
      <c r="A13620" s="2">
        <v>13615</v>
      </c>
      <c r="B13620" s="11" t="str">
        <f>"00660983"</f>
        <v>00660983</v>
      </c>
    </row>
    <row r="13621" spans="1:2" x14ac:dyDescent="0.25">
      <c r="A13621" s="2">
        <v>13616</v>
      </c>
      <c r="B13621" s="11" t="str">
        <f>"00661044"</f>
        <v>00661044</v>
      </c>
    </row>
    <row r="13622" spans="1:2" x14ac:dyDescent="0.25">
      <c r="A13622" s="2">
        <v>13617</v>
      </c>
      <c r="B13622" s="11" t="str">
        <f>"00661156"</f>
        <v>00661156</v>
      </c>
    </row>
    <row r="13623" spans="1:2" x14ac:dyDescent="0.25">
      <c r="A13623" s="2">
        <v>13618</v>
      </c>
      <c r="B13623" s="11" t="str">
        <f>"00661176"</f>
        <v>00661176</v>
      </c>
    </row>
    <row r="13624" spans="1:2" x14ac:dyDescent="0.25">
      <c r="A13624" s="2">
        <v>13619</v>
      </c>
      <c r="B13624" s="11" t="str">
        <f>"00661185"</f>
        <v>00661185</v>
      </c>
    </row>
    <row r="13625" spans="1:2" x14ac:dyDescent="0.25">
      <c r="A13625" s="2">
        <v>13620</v>
      </c>
      <c r="B13625" s="11" t="str">
        <f>"00661199"</f>
        <v>00661199</v>
      </c>
    </row>
    <row r="13626" spans="1:2" x14ac:dyDescent="0.25">
      <c r="A13626" s="2">
        <v>13621</v>
      </c>
      <c r="B13626" s="11" t="str">
        <f>"00661209"</f>
        <v>00661209</v>
      </c>
    </row>
    <row r="13627" spans="1:2" x14ac:dyDescent="0.25">
      <c r="A13627" s="2">
        <v>13622</v>
      </c>
      <c r="B13627" s="11" t="str">
        <f>"00661218"</f>
        <v>00661218</v>
      </c>
    </row>
    <row r="13628" spans="1:2" x14ac:dyDescent="0.25">
      <c r="A13628" s="2">
        <v>13623</v>
      </c>
      <c r="B13628" s="11" t="str">
        <f>"00661234"</f>
        <v>00661234</v>
      </c>
    </row>
    <row r="13629" spans="1:2" x14ac:dyDescent="0.25">
      <c r="A13629" s="2">
        <v>13624</v>
      </c>
      <c r="B13629" s="11" t="str">
        <f>"00661284"</f>
        <v>00661284</v>
      </c>
    </row>
    <row r="13630" spans="1:2" x14ac:dyDescent="0.25">
      <c r="A13630" s="2">
        <v>13625</v>
      </c>
      <c r="B13630" s="11" t="str">
        <f>"00661308"</f>
        <v>00661308</v>
      </c>
    </row>
    <row r="13631" spans="1:2" x14ac:dyDescent="0.25">
      <c r="A13631" s="2">
        <v>13626</v>
      </c>
      <c r="B13631" s="11" t="str">
        <f>"00661342"</f>
        <v>00661342</v>
      </c>
    </row>
    <row r="13632" spans="1:2" x14ac:dyDescent="0.25">
      <c r="A13632" s="2">
        <v>13627</v>
      </c>
      <c r="B13632" s="11" t="str">
        <f>"00661353"</f>
        <v>00661353</v>
      </c>
    </row>
    <row r="13633" spans="1:2" x14ac:dyDescent="0.25">
      <c r="A13633" s="2">
        <v>13628</v>
      </c>
      <c r="B13633" s="11" t="str">
        <f>"00661413"</f>
        <v>00661413</v>
      </c>
    </row>
    <row r="13634" spans="1:2" x14ac:dyDescent="0.25">
      <c r="A13634" s="2">
        <v>13629</v>
      </c>
      <c r="B13634" s="11" t="str">
        <f>"00661486"</f>
        <v>00661486</v>
      </c>
    </row>
    <row r="13635" spans="1:2" x14ac:dyDescent="0.25">
      <c r="A13635" s="2">
        <v>13630</v>
      </c>
      <c r="B13635" s="11" t="str">
        <f>"00661549"</f>
        <v>00661549</v>
      </c>
    </row>
    <row r="13636" spans="1:2" x14ac:dyDescent="0.25">
      <c r="A13636" s="2">
        <v>13631</v>
      </c>
      <c r="B13636" s="11" t="str">
        <f>"00661560"</f>
        <v>00661560</v>
      </c>
    </row>
    <row r="13637" spans="1:2" x14ac:dyDescent="0.25">
      <c r="A13637" s="2">
        <v>13632</v>
      </c>
      <c r="B13637" s="11" t="str">
        <f>"00661576"</f>
        <v>00661576</v>
      </c>
    </row>
    <row r="13638" spans="1:2" x14ac:dyDescent="0.25">
      <c r="A13638" s="2">
        <v>13633</v>
      </c>
      <c r="B13638" s="11" t="str">
        <f>"00661596"</f>
        <v>00661596</v>
      </c>
    </row>
    <row r="13639" spans="1:2" x14ac:dyDescent="0.25">
      <c r="A13639" s="2">
        <v>13634</v>
      </c>
      <c r="B13639" s="11" t="str">
        <f>"00661708"</f>
        <v>00661708</v>
      </c>
    </row>
    <row r="13640" spans="1:2" x14ac:dyDescent="0.25">
      <c r="A13640" s="2">
        <v>13635</v>
      </c>
      <c r="B13640" s="11" t="str">
        <f>"00661716"</f>
        <v>00661716</v>
      </c>
    </row>
    <row r="13641" spans="1:2" x14ac:dyDescent="0.25">
      <c r="A13641" s="2">
        <v>13636</v>
      </c>
      <c r="B13641" s="11" t="str">
        <f>"00661789"</f>
        <v>00661789</v>
      </c>
    </row>
    <row r="13642" spans="1:2" x14ac:dyDescent="0.25">
      <c r="A13642" s="2">
        <v>13637</v>
      </c>
      <c r="B13642" s="11" t="str">
        <f>"00661859"</f>
        <v>00661859</v>
      </c>
    </row>
    <row r="13643" spans="1:2" x14ac:dyDescent="0.25">
      <c r="A13643" s="2">
        <v>13638</v>
      </c>
      <c r="B13643" s="11" t="str">
        <f>"00661889"</f>
        <v>00661889</v>
      </c>
    </row>
    <row r="13644" spans="1:2" x14ac:dyDescent="0.25">
      <c r="A13644" s="2">
        <v>13639</v>
      </c>
      <c r="B13644" s="11" t="str">
        <f>"00661896"</f>
        <v>00661896</v>
      </c>
    </row>
    <row r="13645" spans="1:2" x14ac:dyDescent="0.25">
      <c r="A13645" s="2">
        <v>13640</v>
      </c>
      <c r="B13645" s="11" t="str">
        <f>"00661999"</f>
        <v>00661999</v>
      </c>
    </row>
    <row r="13646" spans="1:2" x14ac:dyDescent="0.25">
      <c r="A13646" s="2">
        <v>13641</v>
      </c>
      <c r="B13646" s="11" t="str">
        <f>"00662043"</f>
        <v>00662043</v>
      </c>
    </row>
    <row r="13647" spans="1:2" x14ac:dyDescent="0.25">
      <c r="A13647" s="2">
        <v>13642</v>
      </c>
      <c r="B13647" s="11" t="str">
        <f>"00662132"</f>
        <v>00662132</v>
      </c>
    </row>
    <row r="13648" spans="1:2" x14ac:dyDescent="0.25">
      <c r="A13648" s="2">
        <v>13643</v>
      </c>
      <c r="B13648" s="11" t="str">
        <f>"00662195"</f>
        <v>00662195</v>
      </c>
    </row>
    <row r="13649" spans="1:2" x14ac:dyDescent="0.25">
      <c r="A13649" s="2">
        <v>13644</v>
      </c>
      <c r="B13649" s="11" t="str">
        <f>"00662208"</f>
        <v>00662208</v>
      </c>
    </row>
    <row r="13650" spans="1:2" x14ac:dyDescent="0.25">
      <c r="A13650" s="2">
        <v>13645</v>
      </c>
      <c r="B13650" s="11" t="str">
        <f>"00662263"</f>
        <v>00662263</v>
      </c>
    </row>
    <row r="13651" spans="1:2" x14ac:dyDescent="0.25">
      <c r="A13651" s="2">
        <v>13646</v>
      </c>
      <c r="B13651" s="11" t="str">
        <f>"00662299"</f>
        <v>00662299</v>
      </c>
    </row>
    <row r="13652" spans="1:2" x14ac:dyDescent="0.25">
      <c r="A13652" s="2">
        <v>13647</v>
      </c>
      <c r="B13652" s="11" t="str">
        <f>"00662357"</f>
        <v>00662357</v>
      </c>
    </row>
    <row r="13653" spans="1:2" x14ac:dyDescent="0.25">
      <c r="A13653" s="2">
        <v>13648</v>
      </c>
      <c r="B13653" s="11" t="str">
        <f>"00662402"</f>
        <v>00662402</v>
      </c>
    </row>
    <row r="13654" spans="1:2" x14ac:dyDescent="0.25">
      <c r="A13654" s="2">
        <v>13649</v>
      </c>
      <c r="B13654" s="11" t="str">
        <f>"00662442"</f>
        <v>00662442</v>
      </c>
    </row>
    <row r="13655" spans="1:2" x14ac:dyDescent="0.25">
      <c r="A13655" s="2">
        <v>13650</v>
      </c>
      <c r="B13655" s="11" t="str">
        <f>"00662463"</f>
        <v>00662463</v>
      </c>
    </row>
    <row r="13656" spans="1:2" x14ac:dyDescent="0.25">
      <c r="A13656" s="2">
        <v>13651</v>
      </c>
      <c r="B13656" s="11" t="str">
        <f>"00662474"</f>
        <v>00662474</v>
      </c>
    </row>
    <row r="13657" spans="1:2" x14ac:dyDescent="0.25">
      <c r="A13657" s="2">
        <v>13652</v>
      </c>
      <c r="B13657" s="11" t="str">
        <f>"00662488"</f>
        <v>00662488</v>
      </c>
    </row>
    <row r="13658" spans="1:2" x14ac:dyDescent="0.25">
      <c r="A13658" s="2">
        <v>13653</v>
      </c>
      <c r="B13658" s="11" t="str">
        <f>"00662519"</f>
        <v>00662519</v>
      </c>
    </row>
    <row r="13659" spans="1:2" x14ac:dyDescent="0.25">
      <c r="A13659" s="2">
        <v>13654</v>
      </c>
      <c r="B13659" s="11" t="str">
        <f>"00662607"</f>
        <v>00662607</v>
      </c>
    </row>
    <row r="13660" spans="1:2" x14ac:dyDescent="0.25">
      <c r="A13660" s="2">
        <v>13655</v>
      </c>
      <c r="B13660" s="11" t="str">
        <f>"00662618"</f>
        <v>00662618</v>
      </c>
    </row>
    <row r="13661" spans="1:2" x14ac:dyDescent="0.25">
      <c r="A13661" s="2">
        <v>13656</v>
      </c>
      <c r="B13661" s="11" t="str">
        <f>"00662651"</f>
        <v>00662651</v>
      </c>
    </row>
    <row r="13662" spans="1:2" x14ac:dyDescent="0.25">
      <c r="A13662" s="2">
        <v>13657</v>
      </c>
      <c r="B13662" s="11" t="str">
        <f>"00662663"</f>
        <v>00662663</v>
      </c>
    </row>
    <row r="13663" spans="1:2" x14ac:dyDescent="0.25">
      <c r="A13663" s="2">
        <v>13658</v>
      </c>
      <c r="B13663" s="11" t="str">
        <f>"00662745"</f>
        <v>00662745</v>
      </c>
    </row>
    <row r="13664" spans="1:2" x14ac:dyDescent="0.25">
      <c r="A13664" s="2">
        <v>13659</v>
      </c>
      <c r="B13664" s="11" t="str">
        <f>"00662755"</f>
        <v>00662755</v>
      </c>
    </row>
    <row r="13665" spans="1:2" x14ac:dyDescent="0.25">
      <c r="A13665" s="2">
        <v>13660</v>
      </c>
      <c r="B13665" s="11" t="str">
        <f>"00662852"</f>
        <v>00662852</v>
      </c>
    </row>
    <row r="13666" spans="1:2" x14ac:dyDescent="0.25">
      <c r="A13666" s="2">
        <v>13661</v>
      </c>
      <c r="B13666" s="11" t="str">
        <f>"00662892"</f>
        <v>00662892</v>
      </c>
    </row>
    <row r="13667" spans="1:2" x14ac:dyDescent="0.25">
      <c r="A13667" s="2">
        <v>13662</v>
      </c>
      <c r="B13667" s="11" t="str">
        <f>"00662931"</f>
        <v>00662931</v>
      </c>
    </row>
    <row r="13668" spans="1:2" x14ac:dyDescent="0.25">
      <c r="A13668" s="2">
        <v>13663</v>
      </c>
      <c r="B13668" s="11" t="str">
        <f>"00662958"</f>
        <v>00662958</v>
      </c>
    </row>
    <row r="13669" spans="1:2" x14ac:dyDescent="0.25">
      <c r="A13669" s="2">
        <v>13664</v>
      </c>
      <c r="B13669" s="11" t="str">
        <f>"00662975"</f>
        <v>00662975</v>
      </c>
    </row>
    <row r="13670" spans="1:2" x14ac:dyDescent="0.25">
      <c r="A13670" s="2">
        <v>13665</v>
      </c>
      <c r="B13670" s="11" t="str">
        <f>"00662989"</f>
        <v>00662989</v>
      </c>
    </row>
    <row r="13671" spans="1:2" x14ac:dyDescent="0.25">
      <c r="A13671" s="2">
        <v>13666</v>
      </c>
      <c r="B13671" s="11" t="str">
        <f>"00662990"</f>
        <v>00662990</v>
      </c>
    </row>
    <row r="13672" spans="1:2" x14ac:dyDescent="0.25">
      <c r="A13672" s="2">
        <v>13667</v>
      </c>
      <c r="B13672" s="11" t="str">
        <f>"00663136"</f>
        <v>00663136</v>
      </c>
    </row>
    <row r="13673" spans="1:2" x14ac:dyDescent="0.25">
      <c r="A13673" s="2">
        <v>13668</v>
      </c>
      <c r="B13673" s="11" t="str">
        <f>"00663212"</f>
        <v>00663212</v>
      </c>
    </row>
    <row r="13674" spans="1:2" x14ac:dyDescent="0.25">
      <c r="A13674" s="2">
        <v>13669</v>
      </c>
      <c r="B13674" s="11" t="str">
        <f>"00663222"</f>
        <v>00663222</v>
      </c>
    </row>
    <row r="13675" spans="1:2" x14ac:dyDescent="0.25">
      <c r="A13675" s="2">
        <v>13670</v>
      </c>
      <c r="B13675" s="11" t="str">
        <f>"00663230"</f>
        <v>00663230</v>
      </c>
    </row>
    <row r="13676" spans="1:2" x14ac:dyDescent="0.25">
      <c r="A13676" s="2">
        <v>13671</v>
      </c>
      <c r="B13676" s="11" t="str">
        <f>"00663351"</f>
        <v>00663351</v>
      </c>
    </row>
    <row r="13677" spans="1:2" x14ac:dyDescent="0.25">
      <c r="A13677" s="2">
        <v>13672</v>
      </c>
      <c r="B13677" s="11" t="str">
        <f>"00663358"</f>
        <v>00663358</v>
      </c>
    </row>
    <row r="13678" spans="1:2" x14ac:dyDescent="0.25">
      <c r="A13678" s="2">
        <v>13673</v>
      </c>
      <c r="B13678" s="11" t="str">
        <f>"00663403"</f>
        <v>00663403</v>
      </c>
    </row>
    <row r="13679" spans="1:2" x14ac:dyDescent="0.25">
      <c r="A13679" s="2">
        <v>13674</v>
      </c>
      <c r="B13679" s="11" t="str">
        <f>"00663404"</f>
        <v>00663404</v>
      </c>
    </row>
    <row r="13680" spans="1:2" x14ac:dyDescent="0.25">
      <c r="A13680" s="2">
        <v>13675</v>
      </c>
      <c r="B13680" s="11" t="str">
        <f>"00663413"</f>
        <v>00663413</v>
      </c>
    </row>
    <row r="13681" spans="1:2" x14ac:dyDescent="0.25">
      <c r="A13681" s="2">
        <v>13676</v>
      </c>
      <c r="B13681" s="11" t="str">
        <f>"00663452"</f>
        <v>00663452</v>
      </c>
    </row>
    <row r="13682" spans="1:2" x14ac:dyDescent="0.25">
      <c r="A13682" s="2">
        <v>13677</v>
      </c>
      <c r="B13682" s="11" t="str">
        <f>"00663458"</f>
        <v>00663458</v>
      </c>
    </row>
    <row r="13683" spans="1:2" x14ac:dyDescent="0.25">
      <c r="A13683" s="2">
        <v>13678</v>
      </c>
      <c r="B13683" s="11" t="str">
        <f>"00663547"</f>
        <v>00663547</v>
      </c>
    </row>
    <row r="13684" spans="1:2" x14ac:dyDescent="0.25">
      <c r="A13684" s="2">
        <v>13679</v>
      </c>
      <c r="B13684" s="11" t="str">
        <f>"00663557"</f>
        <v>00663557</v>
      </c>
    </row>
    <row r="13685" spans="1:2" x14ac:dyDescent="0.25">
      <c r="A13685" s="2">
        <v>13680</v>
      </c>
      <c r="B13685" s="11" t="str">
        <f>"00663589"</f>
        <v>00663589</v>
      </c>
    </row>
    <row r="13686" spans="1:2" x14ac:dyDescent="0.25">
      <c r="A13686" s="2">
        <v>13681</v>
      </c>
      <c r="B13686" s="11" t="str">
        <f>"00663655"</f>
        <v>00663655</v>
      </c>
    </row>
    <row r="13687" spans="1:2" x14ac:dyDescent="0.25">
      <c r="A13687" s="2">
        <v>13682</v>
      </c>
      <c r="B13687" s="11" t="str">
        <f>"00663682"</f>
        <v>00663682</v>
      </c>
    </row>
    <row r="13688" spans="1:2" x14ac:dyDescent="0.25">
      <c r="A13688" s="2">
        <v>13683</v>
      </c>
      <c r="B13688" s="11" t="str">
        <f>"00663702"</f>
        <v>00663702</v>
      </c>
    </row>
    <row r="13689" spans="1:2" x14ac:dyDescent="0.25">
      <c r="A13689" s="2">
        <v>13684</v>
      </c>
      <c r="B13689" s="11" t="str">
        <f>"00663735"</f>
        <v>00663735</v>
      </c>
    </row>
    <row r="13690" spans="1:2" x14ac:dyDescent="0.25">
      <c r="A13690" s="2">
        <v>13685</v>
      </c>
      <c r="B13690" s="11" t="str">
        <f>"00663741"</f>
        <v>00663741</v>
      </c>
    </row>
    <row r="13691" spans="1:2" x14ac:dyDescent="0.25">
      <c r="A13691" s="2">
        <v>13686</v>
      </c>
      <c r="B13691" s="11" t="str">
        <f>"00663819"</f>
        <v>00663819</v>
      </c>
    </row>
    <row r="13692" spans="1:2" x14ac:dyDescent="0.25">
      <c r="A13692" s="2">
        <v>13687</v>
      </c>
      <c r="B13692" s="11" t="str">
        <f>"00663831"</f>
        <v>00663831</v>
      </c>
    </row>
    <row r="13693" spans="1:2" x14ac:dyDescent="0.25">
      <c r="A13693" s="2">
        <v>13688</v>
      </c>
      <c r="B13693" s="11" t="str">
        <f>"00663849"</f>
        <v>00663849</v>
      </c>
    </row>
    <row r="13694" spans="1:2" x14ac:dyDescent="0.25">
      <c r="A13694" s="2">
        <v>13689</v>
      </c>
      <c r="B13694" s="11" t="str">
        <f>"00663863"</f>
        <v>00663863</v>
      </c>
    </row>
    <row r="13695" spans="1:2" x14ac:dyDescent="0.25">
      <c r="A13695" s="2">
        <v>13690</v>
      </c>
      <c r="B13695" s="11" t="str">
        <f>"00664018"</f>
        <v>00664018</v>
      </c>
    </row>
    <row r="13696" spans="1:2" x14ac:dyDescent="0.25">
      <c r="A13696" s="2">
        <v>13691</v>
      </c>
      <c r="B13696" s="11" t="str">
        <f>"00664060"</f>
        <v>00664060</v>
      </c>
    </row>
    <row r="13697" spans="1:2" x14ac:dyDescent="0.25">
      <c r="A13697" s="2">
        <v>13692</v>
      </c>
      <c r="B13697" s="11" t="str">
        <f>"00664066"</f>
        <v>00664066</v>
      </c>
    </row>
    <row r="13698" spans="1:2" x14ac:dyDescent="0.25">
      <c r="A13698" s="2">
        <v>13693</v>
      </c>
      <c r="B13698" s="11" t="str">
        <f>"00664085"</f>
        <v>00664085</v>
      </c>
    </row>
    <row r="13699" spans="1:2" x14ac:dyDescent="0.25">
      <c r="A13699" s="2">
        <v>13694</v>
      </c>
      <c r="B13699" s="11" t="str">
        <f>"00664149"</f>
        <v>00664149</v>
      </c>
    </row>
    <row r="13700" spans="1:2" x14ac:dyDescent="0.25">
      <c r="A13700" s="2">
        <v>13695</v>
      </c>
      <c r="B13700" s="11" t="str">
        <f>"00664253"</f>
        <v>00664253</v>
      </c>
    </row>
    <row r="13701" spans="1:2" x14ac:dyDescent="0.25">
      <c r="A13701" s="2">
        <v>13696</v>
      </c>
      <c r="B13701" s="11" t="str">
        <f>"00664273"</f>
        <v>00664273</v>
      </c>
    </row>
    <row r="13702" spans="1:2" x14ac:dyDescent="0.25">
      <c r="A13702" s="2">
        <v>13697</v>
      </c>
      <c r="B13702" s="11" t="str">
        <f>"00664307"</f>
        <v>00664307</v>
      </c>
    </row>
    <row r="13703" spans="1:2" x14ac:dyDescent="0.25">
      <c r="A13703" s="2">
        <v>13698</v>
      </c>
      <c r="B13703" s="11" t="str">
        <f>"00664312"</f>
        <v>00664312</v>
      </c>
    </row>
    <row r="13704" spans="1:2" x14ac:dyDescent="0.25">
      <c r="A13704" s="2">
        <v>13699</v>
      </c>
      <c r="B13704" s="11" t="str">
        <f>"00664332"</f>
        <v>00664332</v>
      </c>
    </row>
    <row r="13705" spans="1:2" x14ac:dyDescent="0.25">
      <c r="A13705" s="2">
        <v>13700</v>
      </c>
      <c r="B13705" s="11" t="str">
        <f>"00664348"</f>
        <v>00664348</v>
      </c>
    </row>
    <row r="13706" spans="1:2" x14ac:dyDescent="0.25">
      <c r="A13706" s="2">
        <v>13701</v>
      </c>
      <c r="B13706" s="11" t="str">
        <f>"00664444"</f>
        <v>00664444</v>
      </c>
    </row>
    <row r="13707" spans="1:2" x14ac:dyDescent="0.25">
      <c r="A13707" s="2">
        <v>13702</v>
      </c>
      <c r="B13707" s="11" t="str">
        <f>"00664471"</f>
        <v>00664471</v>
      </c>
    </row>
    <row r="13708" spans="1:2" x14ac:dyDescent="0.25">
      <c r="A13708" s="2">
        <v>13703</v>
      </c>
      <c r="B13708" s="11" t="str">
        <f>"00664505"</f>
        <v>00664505</v>
      </c>
    </row>
    <row r="13709" spans="1:2" x14ac:dyDescent="0.25">
      <c r="A13709" s="2">
        <v>13704</v>
      </c>
      <c r="B13709" s="11" t="str">
        <f>"00664540"</f>
        <v>00664540</v>
      </c>
    </row>
    <row r="13710" spans="1:2" x14ac:dyDescent="0.25">
      <c r="A13710" s="2">
        <v>13705</v>
      </c>
      <c r="B13710" s="11" t="str">
        <f>"00664660"</f>
        <v>00664660</v>
      </c>
    </row>
    <row r="13711" spans="1:2" x14ac:dyDescent="0.25">
      <c r="A13711" s="2">
        <v>13706</v>
      </c>
      <c r="B13711" s="11" t="str">
        <f>"00664682"</f>
        <v>00664682</v>
      </c>
    </row>
    <row r="13712" spans="1:2" x14ac:dyDescent="0.25">
      <c r="A13712" s="2">
        <v>13707</v>
      </c>
      <c r="B13712" s="11" t="str">
        <f>"00664720"</f>
        <v>00664720</v>
      </c>
    </row>
    <row r="13713" spans="1:2" x14ac:dyDescent="0.25">
      <c r="A13713" s="2">
        <v>13708</v>
      </c>
      <c r="B13713" s="11" t="str">
        <f>"00664815"</f>
        <v>00664815</v>
      </c>
    </row>
    <row r="13714" spans="1:2" x14ac:dyDescent="0.25">
      <c r="A13714" s="2">
        <v>13709</v>
      </c>
      <c r="B13714" s="11" t="str">
        <f>"00664973"</f>
        <v>00664973</v>
      </c>
    </row>
    <row r="13715" spans="1:2" x14ac:dyDescent="0.25">
      <c r="A13715" s="2">
        <v>13710</v>
      </c>
      <c r="B13715" s="11" t="str">
        <f>"00664980"</f>
        <v>00664980</v>
      </c>
    </row>
    <row r="13716" spans="1:2" x14ac:dyDescent="0.25">
      <c r="A13716" s="2">
        <v>13711</v>
      </c>
      <c r="B13716" s="11" t="str">
        <f>"00665021"</f>
        <v>00665021</v>
      </c>
    </row>
    <row r="13717" spans="1:2" x14ac:dyDescent="0.25">
      <c r="A13717" s="2">
        <v>13712</v>
      </c>
      <c r="B13717" s="11" t="str">
        <f>"00665051"</f>
        <v>00665051</v>
      </c>
    </row>
    <row r="13718" spans="1:2" x14ac:dyDescent="0.25">
      <c r="A13718" s="2">
        <v>13713</v>
      </c>
      <c r="B13718" s="11" t="str">
        <f>"00665059"</f>
        <v>00665059</v>
      </c>
    </row>
    <row r="13719" spans="1:2" x14ac:dyDescent="0.25">
      <c r="A13719" s="2">
        <v>13714</v>
      </c>
      <c r="B13719" s="11" t="str">
        <f>"00665133"</f>
        <v>00665133</v>
      </c>
    </row>
    <row r="13720" spans="1:2" x14ac:dyDescent="0.25">
      <c r="A13720" s="2">
        <v>13715</v>
      </c>
      <c r="B13720" s="11" t="str">
        <f>"00665139"</f>
        <v>00665139</v>
      </c>
    </row>
    <row r="13721" spans="1:2" x14ac:dyDescent="0.25">
      <c r="A13721" s="2">
        <v>13716</v>
      </c>
      <c r="B13721" s="11" t="str">
        <f>"00665149"</f>
        <v>00665149</v>
      </c>
    </row>
    <row r="13722" spans="1:2" x14ac:dyDescent="0.25">
      <c r="A13722" s="2">
        <v>13717</v>
      </c>
      <c r="B13722" s="11" t="str">
        <f>"00665153"</f>
        <v>00665153</v>
      </c>
    </row>
    <row r="13723" spans="1:2" x14ac:dyDescent="0.25">
      <c r="A13723" s="2">
        <v>13718</v>
      </c>
      <c r="B13723" s="11" t="str">
        <f>"00665165"</f>
        <v>00665165</v>
      </c>
    </row>
    <row r="13724" spans="1:2" x14ac:dyDescent="0.25">
      <c r="A13724" s="2">
        <v>13719</v>
      </c>
      <c r="B13724" s="11" t="str">
        <f>"00665204"</f>
        <v>00665204</v>
      </c>
    </row>
    <row r="13725" spans="1:2" x14ac:dyDescent="0.25">
      <c r="A13725" s="2">
        <v>13720</v>
      </c>
      <c r="B13725" s="11" t="str">
        <f>"00665234"</f>
        <v>00665234</v>
      </c>
    </row>
    <row r="13726" spans="1:2" x14ac:dyDescent="0.25">
      <c r="A13726" s="2">
        <v>13721</v>
      </c>
      <c r="B13726" s="11" t="str">
        <f>"00665259"</f>
        <v>00665259</v>
      </c>
    </row>
    <row r="13727" spans="1:2" x14ac:dyDescent="0.25">
      <c r="A13727" s="2">
        <v>13722</v>
      </c>
      <c r="B13727" s="11" t="str">
        <f>"00665268"</f>
        <v>00665268</v>
      </c>
    </row>
    <row r="13728" spans="1:2" x14ac:dyDescent="0.25">
      <c r="A13728" s="2">
        <v>13723</v>
      </c>
      <c r="B13728" s="11" t="str">
        <f>"00665304"</f>
        <v>00665304</v>
      </c>
    </row>
    <row r="13729" spans="1:2" x14ac:dyDescent="0.25">
      <c r="A13729" s="2">
        <v>13724</v>
      </c>
      <c r="B13729" s="11" t="str">
        <f>"00665312"</f>
        <v>00665312</v>
      </c>
    </row>
    <row r="13730" spans="1:2" x14ac:dyDescent="0.25">
      <c r="A13730" s="2">
        <v>13725</v>
      </c>
      <c r="B13730" s="11" t="str">
        <f>"00665335"</f>
        <v>00665335</v>
      </c>
    </row>
    <row r="13731" spans="1:2" x14ac:dyDescent="0.25">
      <c r="A13731" s="2">
        <v>13726</v>
      </c>
      <c r="B13731" s="11" t="str">
        <f>"00665363"</f>
        <v>00665363</v>
      </c>
    </row>
    <row r="13732" spans="1:2" x14ac:dyDescent="0.25">
      <c r="A13732" s="2">
        <v>13727</v>
      </c>
      <c r="B13732" s="11" t="str">
        <f>"00665446"</f>
        <v>00665446</v>
      </c>
    </row>
    <row r="13733" spans="1:2" x14ac:dyDescent="0.25">
      <c r="A13733" s="2">
        <v>13728</v>
      </c>
      <c r="B13733" s="11" t="str">
        <f>"00665494"</f>
        <v>00665494</v>
      </c>
    </row>
    <row r="13734" spans="1:2" x14ac:dyDescent="0.25">
      <c r="A13734" s="2">
        <v>13729</v>
      </c>
      <c r="B13734" s="11" t="str">
        <f>"00665518"</f>
        <v>00665518</v>
      </c>
    </row>
    <row r="13735" spans="1:2" x14ac:dyDescent="0.25">
      <c r="A13735" s="2">
        <v>13730</v>
      </c>
      <c r="B13735" s="11" t="str">
        <f>"00665529"</f>
        <v>00665529</v>
      </c>
    </row>
    <row r="13736" spans="1:2" x14ac:dyDescent="0.25">
      <c r="A13736" s="2">
        <v>13731</v>
      </c>
      <c r="B13736" s="11" t="str">
        <f>"00665606"</f>
        <v>00665606</v>
      </c>
    </row>
    <row r="13737" spans="1:2" x14ac:dyDescent="0.25">
      <c r="A13737" s="2">
        <v>13732</v>
      </c>
      <c r="B13737" s="11" t="str">
        <f>"00665682"</f>
        <v>00665682</v>
      </c>
    </row>
    <row r="13738" spans="1:2" x14ac:dyDescent="0.25">
      <c r="A13738" s="2">
        <v>13733</v>
      </c>
      <c r="B13738" s="11" t="str">
        <f>"00665690"</f>
        <v>00665690</v>
      </c>
    </row>
    <row r="13739" spans="1:2" x14ac:dyDescent="0.25">
      <c r="A13739" s="2">
        <v>13734</v>
      </c>
      <c r="B13739" s="11" t="str">
        <f>"00665731"</f>
        <v>00665731</v>
      </c>
    </row>
    <row r="13740" spans="1:2" x14ac:dyDescent="0.25">
      <c r="A13740" s="2">
        <v>13735</v>
      </c>
      <c r="B13740" s="11" t="str">
        <f>"00665806"</f>
        <v>00665806</v>
      </c>
    </row>
    <row r="13741" spans="1:2" x14ac:dyDescent="0.25">
      <c r="A13741" s="2">
        <v>13736</v>
      </c>
      <c r="B13741" s="11" t="str">
        <f>"00665846"</f>
        <v>00665846</v>
      </c>
    </row>
    <row r="13742" spans="1:2" x14ac:dyDescent="0.25">
      <c r="A13742" s="2">
        <v>13737</v>
      </c>
      <c r="B13742" s="11" t="str">
        <f>"00665871"</f>
        <v>00665871</v>
      </c>
    </row>
    <row r="13743" spans="1:2" x14ac:dyDescent="0.25">
      <c r="A13743" s="2">
        <v>13738</v>
      </c>
      <c r="B13743" s="11" t="str">
        <f>"00665894"</f>
        <v>00665894</v>
      </c>
    </row>
    <row r="13744" spans="1:2" x14ac:dyDescent="0.25">
      <c r="A13744" s="2">
        <v>13739</v>
      </c>
      <c r="B13744" s="11" t="str">
        <f>"00665897"</f>
        <v>00665897</v>
      </c>
    </row>
    <row r="13745" spans="1:2" x14ac:dyDescent="0.25">
      <c r="A13745" s="2">
        <v>13740</v>
      </c>
      <c r="B13745" s="11" t="str">
        <f>"00665929"</f>
        <v>00665929</v>
      </c>
    </row>
    <row r="13746" spans="1:2" x14ac:dyDescent="0.25">
      <c r="A13746" s="2">
        <v>13741</v>
      </c>
      <c r="B13746" s="11" t="str">
        <f>"00666024"</f>
        <v>00666024</v>
      </c>
    </row>
    <row r="13747" spans="1:2" x14ac:dyDescent="0.25">
      <c r="A13747" s="2">
        <v>13742</v>
      </c>
      <c r="B13747" s="11" t="str">
        <f>"00666029"</f>
        <v>00666029</v>
      </c>
    </row>
    <row r="13748" spans="1:2" x14ac:dyDescent="0.25">
      <c r="A13748" s="2">
        <v>13743</v>
      </c>
      <c r="B13748" s="11" t="str">
        <f>"00666147"</f>
        <v>00666147</v>
      </c>
    </row>
    <row r="13749" spans="1:2" x14ac:dyDescent="0.25">
      <c r="A13749" s="2">
        <v>13744</v>
      </c>
      <c r="B13749" s="11" t="str">
        <f>"00666164"</f>
        <v>00666164</v>
      </c>
    </row>
    <row r="13750" spans="1:2" x14ac:dyDescent="0.25">
      <c r="A13750" s="2">
        <v>13745</v>
      </c>
      <c r="B13750" s="11" t="str">
        <f>"00666192"</f>
        <v>00666192</v>
      </c>
    </row>
    <row r="13751" spans="1:2" x14ac:dyDescent="0.25">
      <c r="A13751" s="2">
        <v>13746</v>
      </c>
      <c r="B13751" s="11" t="str">
        <f>"00666216"</f>
        <v>00666216</v>
      </c>
    </row>
    <row r="13752" spans="1:2" x14ac:dyDescent="0.25">
      <c r="A13752" s="2">
        <v>13747</v>
      </c>
      <c r="B13752" s="11" t="str">
        <f>"00666235"</f>
        <v>00666235</v>
      </c>
    </row>
    <row r="13753" spans="1:2" x14ac:dyDescent="0.25">
      <c r="A13753" s="2">
        <v>13748</v>
      </c>
      <c r="B13753" s="11" t="str">
        <f>"00666237"</f>
        <v>00666237</v>
      </c>
    </row>
    <row r="13754" spans="1:2" x14ac:dyDescent="0.25">
      <c r="A13754" s="2">
        <v>13749</v>
      </c>
      <c r="B13754" s="11" t="str">
        <f>"00666257"</f>
        <v>00666257</v>
      </c>
    </row>
    <row r="13755" spans="1:2" x14ac:dyDescent="0.25">
      <c r="A13755" s="2">
        <v>13750</v>
      </c>
      <c r="B13755" s="11" t="str">
        <f>"00666351"</f>
        <v>00666351</v>
      </c>
    </row>
    <row r="13756" spans="1:2" x14ac:dyDescent="0.25">
      <c r="A13756" s="2">
        <v>13751</v>
      </c>
      <c r="B13756" s="11" t="str">
        <f>"00666471"</f>
        <v>00666471</v>
      </c>
    </row>
    <row r="13757" spans="1:2" x14ac:dyDescent="0.25">
      <c r="A13757" s="2">
        <v>13752</v>
      </c>
      <c r="B13757" s="11" t="str">
        <f>"00666594"</f>
        <v>00666594</v>
      </c>
    </row>
    <row r="13758" spans="1:2" x14ac:dyDescent="0.25">
      <c r="A13758" s="2">
        <v>13753</v>
      </c>
      <c r="B13758" s="11" t="str">
        <f>"00666645"</f>
        <v>00666645</v>
      </c>
    </row>
    <row r="13759" spans="1:2" x14ac:dyDescent="0.25">
      <c r="A13759" s="2">
        <v>13754</v>
      </c>
      <c r="B13759" s="11" t="str">
        <f>"00666667"</f>
        <v>00666667</v>
      </c>
    </row>
    <row r="13760" spans="1:2" x14ac:dyDescent="0.25">
      <c r="A13760" s="2">
        <v>13755</v>
      </c>
      <c r="B13760" s="11" t="str">
        <f>"00666687"</f>
        <v>00666687</v>
      </c>
    </row>
    <row r="13761" spans="1:2" x14ac:dyDescent="0.25">
      <c r="A13761" s="2">
        <v>13756</v>
      </c>
      <c r="B13761" s="11" t="str">
        <f>"00666701"</f>
        <v>00666701</v>
      </c>
    </row>
    <row r="13762" spans="1:2" x14ac:dyDescent="0.25">
      <c r="A13762" s="2">
        <v>13757</v>
      </c>
      <c r="B13762" s="11" t="str">
        <f>"00666786"</f>
        <v>00666786</v>
      </c>
    </row>
    <row r="13763" spans="1:2" x14ac:dyDescent="0.25">
      <c r="A13763" s="2">
        <v>13758</v>
      </c>
      <c r="B13763" s="11" t="str">
        <f>"00666882"</f>
        <v>00666882</v>
      </c>
    </row>
    <row r="13764" spans="1:2" x14ac:dyDescent="0.25">
      <c r="A13764" s="2">
        <v>13759</v>
      </c>
      <c r="B13764" s="11" t="str">
        <f>"00666885"</f>
        <v>00666885</v>
      </c>
    </row>
    <row r="13765" spans="1:2" x14ac:dyDescent="0.25">
      <c r="A13765" s="2">
        <v>13760</v>
      </c>
      <c r="B13765" s="11" t="str">
        <f>"00666887"</f>
        <v>00666887</v>
      </c>
    </row>
    <row r="13766" spans="1:2" x14ac:dyDescent="0.25">
      <c r="A13766" s="2">
        <v>13761</v>
      </c>
      <c r="B13766" s="11" t="str">
        <f>"00666888"</f>
        <v>00666888</v>
      </c>
    </row>
    <row r="13767" spans="1:2" x14ac:dyDescent="0.25">
      <c r="A13767" s="2">
        <v>13762</v>
      </c>
      <c r="B13767" s="11" t="str">
        <f>"00666895"</f>
        <v>00666895</v>
      </c>
    </row>
    <row r="13768" spans="1:2" x14ac:dyDescent="0.25">
      <c r="A13768" s="2">
        <v>13763</v>
      </c>
      <c r="B13768" s="11" t="str">
        <f>"00666897"</f>
        <v>00666897</v>
      </c>
    </row>
    <row r="13769" spans="1:2" x14ac:dyDescent="0.25">
      <c r="A13769" s="2">
        <v>13764</v>
      </c>
      <c r="B13769" s="11" t="str">
        <f>"00666916"</f>
        <v>00666916</v>
      </c>
    </row>
    <row r="13770" spans="1:2" x14ac:dyDescent="0.25">
      <c r="A13770" s="2">
        <v>13765</v>
      </c>
      <c r="B13770" s="11" t="str">
        <f>"00666957"</f>
        <v>00666957</v>
      </c>
    </row>
    <row r="13771" spans="1:2" x14ac:dyDescent="0.25">
      <c r="A13771" s="2">
        <v>13766</v>
      </c>
      <c r="B13771" s="11" t="str">
        <f>"00666967"</f>
        <v>00666967</v>
      </c>
    </row>
    <row r="13772" spans="1:2" x14ac:dyDescent="0.25">
      <c r="A13772" s="2">
        <v>13767</v>
      </c>
      <c r="B13772" s="11" t="str">
        <f>"00666992"</f>
        <v>00666992</v>
      </c>
    </row>
    <row r="13773" spans="1:2" x14ac:dyDescent="0.25">
      <c r="A13773" s="2">
        <v>13768</v>
      </c>
      <c r="B13773" s="11" t="str">
        <f>"00667005"</f>
        <v>00667005</v>
      </c>
    </row>
    <row r="13774" spans="1:2" x14ac:dyDescent="0.25">
      <c r="A13774" s="2">
        <v>13769</v>
      </c>
      <c r="B13774" s="11" t="str">
        <f>"00667097"</f>
        <v>00667097</v>
      </c>
    </row>
    <row r="13775" spans="1:2" x14ac:dyDescent="0.25">
      <c r="A13775" s="2">
        <v>13770</v>
      </c>
      <c r="B13775" s="11" t="str">
        <f>"00667123"</f>
        <v>00667123</v>
      </c>
    </row>
    <row r="13776" spans="1:2" x14ac:dyDescent="0.25">
      <c r="A13776" s="2">
        <v>13771</v>
      </c>
      <c r="B13776" s="11" t="str">
        <f>"00667140"</f>
        <v>00667140</v>
      </c>
    </row>
    <row r="13777" spans="1:2" x14ac:dyDescent="0.25">
      <c r="A13777" s="2">
        <v>13772</v>
      </c>
      <c r="B13777" s="11" t="str">
        <f>"00667167"</f>
        <v>00667167</v>
      </c>
    </row>
    <row r="13778" spans="1:2" x14ac:dyDescent="0.25">
      <c r="A13778" s="2">
        <v>13773</v>
      </c>
      <c r="B13778" s="11" t="str">
        <f>"00667210"</f>
        <v>00667210</v>
      </c>
    </row>
    <row r="13779" spans="1:2" x14ac:dyDescent="0.25">
      <c r="A13779" s="2">
        <v>13774</v>
      </c>
      <c r="B13779" s="11" t="str">
        <f>"00667211"</f>
        <v>00667211</v>
      </c>
    </row>
    <row r="13780" spans="1:2" x14ac:dyDescent="0.25">
      <c r="A13780" s="2">
        <v>13775</v>
      </c>
      <c r="B13780" s="11" t="str">
        <f>"00667262"</f>
        <v>00667262</v>
      </c>
    </row>
    <row r="13781" spans="1:2" x14ac:dyDescent="0.25">
      <c r="A13781" s="2">
        <v>13776</v>
      </c>
      <c r="B13781" s="11" t="str">
        <f>"00667288"</f>
        <v>00667288</v>
      </c>
    </row>
    <row r="13782" spans="1:2" x14ac:dyDescent="0.25">
      <c r="A13782" s="2">
        <v>13777</v>
      </c>
      <c r="B13782" s="11" t="str">
        <f>"00667309"</f>
        <v>00667309</v>
      </c>
    </row>
    <row r="13783" spans="1:2" x14ac:dyDescent="0.25">
      <c r="A13783" s="2">
        <v>13778</v>
      </c>
      <c r="B13783" s="11" t="str">
        <f>"00667315"</f>
        <v>00667315</v>
      </c>
    </row>
    <row r="13784" spans="1:2" x14ac:dyDescent="0.25">
      <c r="A13784" s="2">
        <v>13779</v>
      </c>
      <c r="B13784" s="11" t="str">
        <f>"00667331"</f>
        <v>00667331</v>
      </c>
    </row>
    <row r="13785" spans="1:2" x14ac:dyDescent="0.25">
      <c r="A13785" s="2">
        <v>13780</v>
      </c>
      <c r="B13785" s="11" t="str">
        <f>"00667426"</f>
        <v>00667426</v>
      </c>
    </row>
    <row r="13786" spans="1:2" x14ac:dyDescent="0.25">
      <c r="A13786" s="2">
        <v>13781</v>
      </c>
      <c r="B13786" s="11" t="str">
        <f>"00667468"</f>
        <v>00667468</v>
      </c>
    </row>
    <row r="13787" spans="1:2" x14ac:dyDescent="0.25">
      <c r="A13787" s="2">
        <v>13782</v>
      </c>
      <c r="B13787" s="11" t="str">
        <f>"00667495"</f>
        <v>00667495</v>
      </c>
    </row>
    <row r="13788" spans="1:2" x14ac:dyDescent="0.25">
      <c r="A13788" s="2">
        <v>13783</v>
      </c>
      <c r="B13788" s="11" t="str">
        <f>"00667558"</f>
        <v>00667558</v>
      </c>
    </row>
    <row r="13789" spans="1:2" x14ac:dyDescent="0.25">
      <c r="A13789" s="2">
        <v>13784</v>
      </c>
      <c r="B13789" s="11" t="str">
        <f>"00667620"</f>
        <v>00667620</v>
      </c>
    </row>
    <row r="13790" spans="1:2" x14ac:dyDescent="0.25">
      <c r="A13790" s="2">
        <v>13785</v>
      </c>
      <c r="B13790" s="11" t="str">
        <f>"00667638"</f>
        <v>00667638</v>
      </c>
    </row>
    <row r="13791" spans="1:2" x14ac:dyDescent="0.25">
      <c r="A13791" s="2">
        <v>13786</v>
      </c>
      <c r="B13791" s="11" t="str">
        <f>"00667666"</f>
        <v>00667666</v>
      </c>
    </row>
    <row r="13792" spans="1:2" x14ac:dyDescent="0.25">
      <c r="A13792" s="2">
        <v>13787</v>
      </c>
      <c r="B13792" s="11" t="str">
        <f>"00667677"</f>
        <v>00667677</v>
      </c>
    </row>
    <row r="13793" spans="1:2" x14ac:dyDescent="0.25">
      <c r="A13793" s="2">
        <v>13788</v>
      </c>
      <c r="B13793" s="11" t="str">
        <f>"00667684"</f>
        <v>00667684</v>
      </c>
    </row>
    <row r="13794" spans="1:2" x14ac:dyDescent="0.25">
      <c r="A13794" s="2">
        <v>13789</v>
      </c>
      <c r="B13794" s="11" t="str">
        <f>"00667713"</f>
        <v>00667713</v>
      </c>
    </row>
    <row r="13795" spans="1:2" x14ac:dyDescent="0.25">
      <c r="A13795" s="2">
        <v>13790</v>
      </c>
      <c r="B13795" s="11" t="str">
        <f>"00667728"</f>
        <v>00667728</v>
      </c>
    </row>
    <row r="13796" spans="1:2" x14ac:dyDescent="0.25">
      <c r="A13796" s="2">
        <v>13791</v>
      </c>
      <c r="B13796" s="11" t="str">
        <f>"00667809"</f>
        <v>00667809</v>
      </c>
    </row>
    <row r="13797" spans="1:2" x14ac:dyDescent="0.25">
      <c r="A13797" s="2">
        <v>13792</v>
      </c>
      <c r="B13797" s="11" t="str">
        <f>"00667858"</f>
        <v>00667858</v>
      </c>
    </row>
    <row r="13798" spans="1:2" x14ac:dyDescent="0.25">
      <c r="A13798" s="2">
        <v>13793</v>
      </c>
      <c r="B13798" s="11" t="str">
        <f>"00667898"</f>
        <v>00667898</v>
      </c>
    </row>
    <row r="13799" spans="1:2" x14ac:dyDescent="0.25">
      <c r="A13799" s="2">
        <v>13794</v>
      </c>
      <c r="B13799" s="11" t="str">
        <f>"00667920"</f>
        <v>00667920</v>
      </c>
    </row>
    <row r="13800" spans="1:2" x14ac:dyDescent="0.25">
      <c r="A13800" s="2">
        <v>13795</v>
      </c>
      <c r="B13800" s="11" t="str">
        <f>"00667973"</f>
        <v>00667973</v>
      </c>
    </row>
    <row r="13801" spans="1:2" x14ac:dyDescent="0.25">
      <c r="A13801" s="2">
        <v>13796</v>
      </c>
      <c r="B13801" s="11" t="str">
        <f>"00668001"</f>
        <v>00668001</v>
      </c>
    </row>
    <row r="13802" spans="1:2" x14ac:dyDescent="0.25">
      <c r="A13802" s="2">
        <v>13797</v>
      </c>
      <c r="B13802" s="11" t="str">
        <f>"00668009"</f>
        <v>00668009</v>
      </c>
    </row>
    <row r="13803" spans="1:2" x14ac:dyDescent="0.25">
      <c r="A13803" s="2">
        <v>13798</v>
      </c>
      <c r="B13803" s="11" t="str">
        <f>"00668018"</f>
        <v>00668018</v>
      </c>
    </row>
    <row r="13804" spans="1:2" x14ac:dyDescent="0.25">
      <c r="A13804" s="2">
        <v>13799</v>
      </c>
      <c r="B13804" s="11" t="str">
        <f>"00668024"</f>
        <v>00668024</v>
      </c>
    </row>
    <row r="13805" spans="1:2" x14ac:dyDescent="0.25">
      <c r="A13805" s="2">
        <v>13800</v>
      </c>
      <c r="B13805" s="11" t="str">
        <f>"00668082"</f>
        <v>00668082</v>
      </c>
    </row>
    <row r="13806" spans="1:2" x14ac:dyDescent="0.25">
      <c r="A13806" s="2">
        <v>13801</v>
      </c>
      <c r="B13806" s="11" t="str">
        <f>"00668091"</f>
        <v>00668091</v>
      </c>
    </row>
    <row r="13807" spans="1:2" x14ac:dyDescent="0.25">
      <c r="A13807" s="2">
        <v>13802</v>
      </c>
      <c r="B13807" s="11" t="str">
        <f>"00668092"</f>
        <v>00668092</v>
      </c>
    </row>
    <row r="13808" spans="1:2" x14ac:dyDescent="0.25">
      <c r="A13808" s="2">
        <v>13803</v>
      </c>
      <c r="B13808" s="11" t="str">
        <f>"00668121"</f>
        <v>00668121</v>
      </c>
    </row>
    <row r="13809" spans="1:2" x14ac:dyDescent="0.25">
      <c r="A13809" s="2">
        <v>13804</v>
      </c>
      <c r="B13809" s="11" t="str">
        <f>"00668130"</f>
        <v>00668130</v>
      </c>
    </row>
    <row r="13810" spans="1:2" x14ac:dyDescent="0.25">
      <c r="A13810" s="2">
        <v>13805</v>
      </c>
      <c r="B13810" s="11" t="str">
        <f>"00668134"</f>
        <v>00668134</v>
      </c>
    </row>
    <row r="13811" spans="1:2" x14ac:dyDescent="0.25">
      <c r="A13811" s="2">
        <v>13806</v>
      </c>
      <c r="B13811" s="11" t="str">
        <f>"00668149"</f>
        <v>00668149</v>
      </c>
    </row>
    <row r="13812" spans="1:2" x14ac:dyDescent="0.25">
      <c r="A13812" s="2">
        <v>13807</v>
      </c>
      <c r="B13812" s="11" t="str">
        <f>"00668169"</f>
        <v>00668169</v>
      </c>
    </row>
    <row r="13813" spans="1:2" x14ac:dyDescent="0.25">
      <c r="A13813" s="2">
        <v>13808</v>
      </c>
      <c r="B13813" s="11" t="str">
        <f>"00668205"</f>
        <v>00668205</v>
      </c>
    </row>
    <row r="13814" spans="1:2" x14ac:dyDescent="0.25">
      <c r="A13814" s="2">
        <v>13809</v>
      </c>
      <c r="B13814" s="11" t="str">
        <f>"00668216"</f>
        <v>00668216</v>
      </c>
    </row>
    <row r="13815" spans="1:2" x14ac:dyDescent="0.25">
      <c r="A13815" s="2">
        <v>13810</v>
      </c>
      <c r="B13815" s="11" t="str">
        <f>"00668228"</f>
        <v>00668228</v>
      </c>
    </row>
    <row r="13816" spans="1:2" x14ac:dyDescent="0.25">
      <c r="A13816" s="2">
        <v>13811</v>
      </c>
      <c r="B13816" s="11" t="str">
        <f>"00668242"</f>
        <v>00668242</v>
      </c>
    </row>
    <row r="13817" spans="1:2" x14ac:dyDescent="0.25">
      <c r="A13817" s="2">
        <v>13812</v>
      </c>
      <c r="B13817" s="11" t="str">
        <f>"00668319"</f>
        <v>00668319</v>
      </c>
    </row>
    <row r="13818" spans="1:2" x14ac:dyDescent="0.25">
      <c r="A13818" s="2">
        <v>13813</v>
      </c>
      <c r="B13818" s="11" t="str">
        <f>"00668349"</f>
        <v>00668349</v>
      </c>
    </row>
    <row r="13819" spans="1:2" x14ac:dyDescent="0.25">
      <c r="A13819" s="2">
        <v>13814</v>
      </c>
      <c r="B13819" s="11" t="str">
        <f>"00668374"</f>
        <v>00668374</v>
      </c>
    </row>
    <row r="13820" spans="1:2" x14ac:dyDescent="0.25">
      <c r="A13820" s="2">
        <v>13815</v>
      </c>
      <c r="B13820" s="11" t="str">
        <f>"00668409"</f>
        <v>00668409</v>
      </c>
    </row>
    <row r="13821" spans="1:2" x14ac:dyDescent="0.25">
      <c r="A13821" s="2">
        <v>13816</v>
      </c>
      <c r="B13821" s="11" t="str">
        <f>"00668423"</f>
        <v>00668423</v>
      </c>
    </row>
    <row r="13822" spans="1:2" x14ac:dyDescent="0.25">
      <c r="A13822" s="2">
        <v>13817</v>
      </c>
      <c r="B13822" s="11" t="str">
        <f>"00668605"</f>
        <v>00668605</v>
      </c>
    </row>
    <row r="13823" spans="1:2" x14ac:dyDescent="0.25">
      <c r="A13823" s="2">
        <v>13818</v>
      </c>
      <c r="B13823" s="11" t="str">
        <f>"00668644"</f>
        <v>00668644</v>
      </c>
    </row>
    <row r="13824" spans="1:2" x14ac:dyDescent="0.25">
      <c r="A13824" s="2">
        <v>13819</v>
      </c>
      <c r="B13824" s="11" t="str">
        <f>"00668692"</f>
        <v>00668692</v>
      </c>
    </row>
    <row r="13825" spans="1:2" x14ac:dyDescent="0.25">
      <c r="A13825" s="2">
        <v>13820</v>
      </c>
      <c r="B13825" s="11" t="str">
        <f>"00668707"</f>
        <v>00668707</v>
      </c>
    </row>
    <row r="13826" spans="1:2" x14ac:dyDescent="0.25">
      <c r="A13826" s="2">
        <v>13821</v>
      </c>
      <c r="B13826" s="11" t="str">
        <f>"00668708"</f>
        <v>00668708</v>
      </c>
    </row>
    <row r="13827" spans="1:2" x14ac:dyDescent="0.25">
      <c r="A13827" s="2">
        <v>13822</v>
      </c>
      <c r="B13827" s="11" t="str">
        <f>"00668721"</f>
        <v>00668721</v>
      </c>
    </row>
    <row r="13828" spans="1:2" x14ac:dyDescent="0.25">
      <c r="A13828" s="2">
        <v>13823</v>
      </c>
      <c r="B13828" s="11" t="str">
        <f>"00668752"</f>
        <v>00668752</v>
      </c>
    </row>
    <row r="13829" spans="1:2" x14ac:dyDescent="0.25">
      <c r="A13829" s="2">
        <v>13824</v>
      </c>
      <c r="B13829" s="11" t="str">
        <f>"00668781"</f>
        <v>00668781</v>
      </c>
    </row>
    <row r="13830" spans="1:2" x14ac:dyDescent="0.25">
      <c r="A13830" s="2">
        <v>13825</v>
      </c>
      <c r="B13830" s="11" t="str">
        <f>"00668790"</f>
        <v>00668790</v>
      </c>
    </row>
    <row r="13831" spans="1:2" x14ac:dyDescent="0.25">
      <c r="A13831" s="2">
        <v>13826</v>
      </c>
      <c r="B13831" s="11" t="str">
        <f>"00668808"</f>
        <v>00668808</v>
      </c>
    </row>
    <row r="13832" spans="1:2" x14ac:dyDescent="0.25">
      <c r="A13832" s="2">
        <v>13827</v>
      </c>
      <c r="B13832" s="11" t="str">
        <f>"00668835"</f>
        <v>00668835</v>
      </c>
    </row>
    <row r="13833" spans="1:2" x14ac:dyDescent="0.25">
      <c r="A13833" s="2">
        <v>13828</v>
      </c>
      <c r="B13833" s="11" t="str">
        <f>"00668867"</f>
        <v>00668867</v>
      </c>
    </row>
    <row r="13834" spans="1:2" x14ac:dyDescent="0.25">
      <c r="A13834" s="2">
        <v>13829</v>
      </c>
      <c r="B13834" s="11" t="str">
        <f>"00668875"</f>
        <v>00668875</v>
      </c>
    </row>
    <row r="13835" spans="1:2" x14ac:dyDescent="0.25">
      <c r="A13835" s="2">
        <v>13830</v>
      </c>
      <c r="B13835" s="11" t="str">
        <f>"00668896"</f>
        <v>00668896</v>
      </c>
    </row>
    <row r="13836" spans="1:2" x14ac:dyDescent="0.25">
      <c r="A13836" s="2">
        <v>13831</v>
      </c>
      <c r="B13836" s="11" t="str">
        <f>"00668992"</f>
        <v>00668992</v>
      </c>
    </row>
    <row r="13837" spans="1:2" x14ac:dyDescent="0.25">
      <c r="A13837" s="2">
        <v>13832</v>
      </c>
      <c r="B13837" s="11" t="str">
        <f>"00669008"</f>
        <v>00669008</v>
      </c>
    </row>
    <row r="13838" spans="1:2" x14ac:dyDescent="0.25">
      <c r="A13838" s="2">
        <v>13833</v>
      </c>
      <c r="B13838" s="11" t="str">
        <f>"00669121"</f>
        <v>00669121</v>
      </c>
    </row>
    <row r="13839" spans="1:2" x14ac:dyDescent="0.25">
      <c r="A13839" s="2">
        <v>13834</v>
      </c>
      <c r="B13839" s="11" t="str">
        <f>"00669172"</f>
        <v>00669172</v>
      </c>
    </row>
    <row r="13840" spans="1:2" x14ac:dyDescent="0.25">
      <c r="A13840" s="2">
        <v>13835</v>
      </c>
      <c r="B13840" s="11" t="str">
        <f>"00669233"</f>
        <v>00669233</v>
      </c>
    </row>
    <row r="13841" spans="1:2" x14ac:dyDescent="0.25">
      <c r="A13841" s="2">
        <v>13836</v>
      </c>
      <c r="B13841" s="11" t="str">
        <f>"00669277"</f>
        <v>00669277</v>
      </c>
    </row>
    <row r="13842" spans="1:2" x14ac:dyDescent="0.25">
      <c r="A13842" s="2">
        <v>13837</v>
      </c>
      <c r="B13842" s="11" t="str">
        <f>"00669320"</f>
        <v>00669320</v>
      </c>
    </row>
    <row r="13843" spans="1:2" x14ac:dyDescent="0.25">
      <c r="A13843" s="2">
        <v>13838</v>
      </c>
      <c r="B13843" s="11" t="str">
        <f>"00669329"</f>
        <v>00669329</v>
      </c>
    </row>
    <row r="13844" spans="1:2" x14ac:dyDescent="0.25">
      <c r="A13844" s="2">
        <v>13839</v>
      </c>
      <c r="B13844" s="11" t="str">
        <f>"00669365"</f>
        <v>00669365</v>
      </c>
    </row>
    <row r="13845" spans="1:2" x14ac:dyDescent="0.25">
      <c r="A13845" s="2">
        <v>13840</v>
      </c>
      <c r="B13845" s="11" t="str">
        <f>"00669379"</f>
        <v>00669379</v>
      </c>
    </row>
    <row r="13846" spans="1:2" x14ac:dyDescent="0.25">
      <c r="A13846" s="2">
        <v>13841</v>
      </c>
      <c r="B13846" s="11" t="str">
        <f>"00669393"</f>
        <v>00669393</v>
      </c>
    </row>
    <row r="13847" spans="1:2" x14ac:dyDescent="0.25">
      <c r="A13847" s="2">
        <v>13842</v>
      </c>
      <c r="B13847" s="11" t="str">
        <f>"00669405"</f>
        <v>00669405</v>
      </c>
    </row>
    <row r="13848" spans="1:2" x14ac:dyDescent="0.25">
      <c r="A13848" s="2">
        <v>13843</v>
      </c>
      <c r="B13848" s="11" t="str">
        <f>"00669417"</f>
        <v>00669417</v>
      </c>
    </row>
    <row r="13849" spans="1:2" x14ac:dyDescent="0.25">
      <c r="A13849" s="2">
        <v>13844</v>
      </c>
      <c r="B13849" s="11" t="str">
        <f>"00669429"</f>
        <v>00669429</v>
      </c>
    </row>
    <row r="13850" spans="1:2" x14ac:dyDescent="0.25">
      <c r="A13850" s="2">
        <v>13845</v>
      </c>
      <c r="B13850" s="11" t="str">
        <f>"00669516"</f>
        <v>00669516</v>
      </c>
    </row>
    <row r="13851" spans="1:2" x14ac:dyDescent="0.25">
      <c r="A13851" s="2">
        <v>13846</v>
      </c>
      <c r="B13851" s="11" t="str">
        <f>"00669609"</f>
        <v>00669609</v>
      </c>
    </row>
    <row r="13852" spans="1:2" x14ac:dyDescent="0.25">
      <c r="A13852" s="2">
        <v>13847</v>
      </c>
      <c r="B13852" s="11" t="str">
        <f>"00669626"</f>
        <v>00669626</v>
      </c>
    </row>
    <row r="13853" spans="1:2" x14ac:dyDescent="0.25">
      <c r="A13853" s="2">
        <v>13848</v>
      </c>
      <c r="B13853" s="11" t="str">
        <f>"00669629"</f>
        <v>00669629</v>
      </c>
    </row>
    <row r="13854" spans="1:2" x14ac:dyDescent="0.25">
      <c r="A13854" s="2">
        <v>13849</v>
      </c>
      <c r="B13854" s="11" t="str">
        <f>"00669645"</f>
        <v>00669645</v>
      </c>
    </row>
    <row r="13855" spans="1:2" x14ac:dyDescent="0.25">
      <c r="A13855" s="2">
        <v>13850</v>
      </c>
      <c r="B13855" s="11" t="str">
        <f>"00669647"</f>
        <v>00669647</v>
      </c>
    </row>
    <row r="13856" spans="1:2" x14ac:dyDescent="0.25">
      <c r="A13856" s="2">
        <v>13851</v>
      </c>
      <c r="B13856" s="11" t="str">
        <f>"00669667"</f>
        <v>00669667</v>
      </c>
    </row>
    <row r="13857" spans="1:2" x14ac:dyDescent="0.25">
      <c r="A13857" s="2">
        <v>13852</v>
      </c>
      <c r="B13857" s="11" t="str">
        <f>"00669685"</f>
        <v>00669685</v>
      </c>
    </row>
    <row r="13858" spans="1:2" x14ac:dyDescent="0.25">
      <c r="A13858" s="2">
        <v>13853</v>
      </c>
      <c r="B13858" s="11" t="str">
        <f>"00669734"</f>
        <v>00669734</v>
      </c>
    </row>
    <row r="13859" spans="1:2" x14ac:dyDescent="0.25">
      <c r="A13859" s="2">
        <v>13854</v>
      </c>
      <c r="B13859" s="11" t="str">
        <f>"00669751"</f>
        <v>00669751</v>
      </c>
    </row>
    <row r="13860" spans="1:2" x14ac:dyDescent="0.25">
      <c r="A13860" s="2">
        <v>13855</v>
      </c>
      <c r="B13860" s="11" t="str">
        <f>"00669805"</f>
        <v>00669805</v>
      </c>
    </row>
    <row r="13861" spans="1:2" x14ac:dyDescent="0.25">
      <c r="A13861" s="2">
        <v>13856</v>
      </c>
      <c r="B13861" s="11" t="str">
        <f>"00669823"</f>
        <v>00669823</v>
      </c>
    </row>
    <row r="13862" spans="1:2" x14ac:dyDescent="0.25">
      <c r="A13862" s="2">
        <v>13857</v>
      </c>
      <c r="B13862" s="11" t="str">
        <f>"00669873"</f>
        <v>00669873</v>
      </c>
    </row>
    <row r="13863" spans="1:2" x14ac:dyDescent="0.25">
      <c r="A13863" s="2">
        <v>13858</v>
      </c>
      <c r="B13863" s="11" t="str">
        <f>"00669890"</f>
        <v>00669890</v>
      </c>
    </row>
    <row r="13864" spans="1:2" x14ac:dyDescent="0.25">
      <c r="A13864" s="2">
        <v>13859</v>
      </c>
      <c r="B13864" s="11" t="str">
        <f>"00669904"</f>
        <v>00669904</v>
      </c>
    </row>
    <row r="13865" spans="1:2" x14ac:dyDescent="0.25">
      <c r="A13865" s="2">
        <v>13860</v>
      </c>
      <c r="B13865" s="11" t="str">
        <f>"00669908"</f>
        <v>00669908</v>
      </c>
    </row>
    <row r="13866" spans="1:2" x14ac:dyDescent="0.25">
      <c r="A13866" s="2">
        <v>13861</v>
      </c>
      <c r="B13866" s="11" t="str">
        <f>"00669961"</f>
        <v>00669961</v>
      </c>
    </row>
    <row r="13867" spans="1:2" x14ac:dyDescent="0.25">
      <c r="A13867" s="2">
        <v>13862</v>
      </c>
      <c r="B13867" s="11" t="str">
        <f>"00669996"</f>
        <v>00669996</v>
      </c>
    </row>
    <row r="13868" spans="1:2" x14ac:dyDescent="0.25">
      <c r="A13868" s="2">
        <v>13863</v>
      </c>
      <c r="B13868" s="11" t="str">
        <f>"00670060"</f>
        <v>00670060</v>
      </c>
    </row>
    <row r="13869" spans="1:2" x14ac:dyDescent="0.25">
      <c r="A13869" s="2">
        <v>13864</v>
      </c>
      <c r="B13869" s="11" t="str">
        <f>"00670086"</f>
        <v>00670086</v>
      </c>
    </row>
    <row r="13870" spans="1:2" x14ac:dyDescent="0.25">
      <c r="A13870" s="2">
        <v>13865</v>
      </c>
      <c r="B13870" s="11" t="str">
        <f>"00670104"</f>
        <v>00670104</v>
      </c>
    </row>
    <row r="13871" spans="1:2" x14ac:dyDescent="0.25">
      <c r="A13871" s="2">
        <v>13866</v>
      </c>
      <c r="B13871" s="11" t="str">
        <f>"00670118"</f>
        <v>00670118</v>
      </c>
    </row>
    <row r="13872" spans="1:2" x14ac:dyDescent="0.25">
      <c r="A13872" s="2">
        <v>13867</v>
      </c>
      <c r="B13872" s="11" t="str">
        <f>"00670188"</f>
        <v>00670188</v>
      </c>
    </row>
    <row r="13873" spans="1:2" x14ac:dyDescent="0.25">
      <c r="A13873" s="2">
        <v>13868</v>
      </c>
      <c r="B13873" s="11" t="str">
        <f>"00670215"</f>
        <v>00670215</v>
      </c>
    </row>
    <row r="13874" spans="1:2" x14ac:dyDescent="0.25">
      <c r="A13874" s="2">
        <v>13869</v>
      </c>
      <c r="B13874" s="11" t="str">
        <f>"00670282"</f>
        <v>00670282</v>
      </c>
    </row>
    <row r="13875" spans="1:2" x14ac:dyDescent="0.25">
      <c r="A13875" s="2">
        <v>13870</v>
      </c>
      <c r="B13875" s="11" t="str">
        <f>"00670312"</f>
        <v>00670312</v>
      </c>
    </row>
    <row r="13876" spans="1:2" x14ac:dyDescent="0.25">
      <c r="A13876" s="2">
        <v>13871</v>
      </c>
      <c r="B13876" s="11" t="str">
        <f>"00670349"</f>
        <v>00670349</v>
      </c>
    </row>
    <row r="13877" spans="1:2" x14ac:dyDescent="0.25">
      <c r="A13877" s="2">
        <v>13872</v>
      </c>
      <c r="B13877" s="11" t="str">
        <f>"00670358"</f>
        <v>00670358</v>
      </c>
    </row>
    <row r="13878" spans="1:2" x14ac:dyDescent="0.25">
      <c r="A13878" s="2">
        <v>13873</v>
      </c>
      <c r="B13878" s="11" t="str">
        <f>"00670372"</f>
        <v>00670372</v>
      </c>
    </row>
    <row r="13879" spans="1:2" x14ac:dyDescent="0.25">
      <c r="A13879" s="2">
        <v>13874</v>
      </c>
      <c r="B13879" s="11" t="str">
        <f>"00670375"</f>
        <v>00670375</v>
      </c>
    </row>
    <row r="13880" spans="1:2" x14ac:dyDescent="0.25">
      <c r="A13880" s="2">
        <v>13875</v>
      </c>
      <c r="B13880" s="11" t="str">
        <f>"00670398"</f>
        <v>00670398</v>
      </c>
    </row>
    <row r="13881" spans="1:2" x14ac:dyDescent="0.25">
      <c r="A13881" s="2">
        <v>13876</v>
      </c>
      <c r="B13881" s="11" t="str">
        <f>"00670414"</f>
        <v>00670414</v>
      </c>
    </row>
    <row r="13882" spans="1:2" x14ac:dyDescent="0.25">
      <c r="A13882" s="2">
        <v>13877</v>
      </c>
      <c r="B13882" s="11" t="str">
        <f>"00670488"</f>
        <v>00670488</v>
      </c>
    </row>
    <row r="13883" spans="1:2" x14ac:dyDescent="0.25">
      <c r="A13883" s="2">
        <v>13878</v>
      </c>
      <c r="B13883" s="11" t="str">
        <f>"00670578"</f>
        <v>00670578</v>
      </c>
    </row>
    <row r="13884" spans="1:2" x14ac:dyDescent="0.25">
      <c r="A13884" s="2">
        <v>13879</v>
      </c>
      <c r="B13884" s="11" t="str">
        <f>"00670602"</f>
        <v>00670602</v>
      </c>
    </row>
    <row r="13885" spans="1:2" x14ac:dyDescent="0.25">
      <c r="A13885" s="2">
        <v>13880</v>
      </c>
      <c r="B13885" s="11" t="str">
        <f>"00670613"</f>
        <v>00670613</v>
      </c>
    </row>
    <row r="13886" spans="1:2" x14ac:dyDescent="0.25">
      <c r="A13886" s="2">
        <v>13881</v>
      </c>
      <c r="B13886" s="11" t="str">
        <f>"00670622"</f>
        <v>00670622</v>
      </c>
    </row>
    <row r="13887" spans="1:2" x14ac:dyDescent="0.25">
      <c r="A13887" s="2">
        <v>13882</v>
      </c>
      <c r="B13887" s="11" t="str">
        <f>"00670634"</f>
        <v>00670634</v>
      </c>
    </row>
    <row r="13888" spans="1:2" x14ac:dyDescent="0.25">
      <c r="A13888" s="2">
        <v>13883</v>
      </c>
      <c r="B13888" s="11" t="str">
        <f>"00670642"</f>
        <v>00670642</v>
      </c>
    </row>
    <row r="13889" spans="1:2" x14ac:dyDescent="0.25">
      <c r="A13889" s="2">
        <v>13884</v>
      </c>
      <c r="B13889" s="11" t="str">
        <f>"00670658"</f>
        <v>00670658</v>
      </c>
    </row>
    <row r="13890" spans="1:2" x14ac:dyDescent="0.25">
      <c r="A13890" s="2">
        <v>13885</v>
      </c>
      <c r="B13890" s="11" t="str">
        <f>"00670661"</f>
        <v>00670661</v>
      </c>
    </row>
    <row r="13891" spans="1:2" x14ac:dyDescent="0.25">
      <c r="A13891" s="2">
        <v>13886</v>
      </c>
      <c r="B13891" s="11" t="str">
        <f>"00670663"</f>
        <v>00670663</v>
      </c>
    </row>
    <row r="13892" spans="1:2" x14ac:dyDescent="0.25">
      <c r="A13892" s="2">
        <v>13887</v>
      </c>
      <c r="B13892" s="11" t="str">
        <f>"00670667"</f>
        <v>00670667</v>
      </c>
    </row>
    <row r="13893" spans="1:2" x14ac:dyDescent="0.25">
      <c r="A13893" s="2">
        <v>13888</v>
      </c>
      <c r="B13893" s="11" t="str">
        <f>"00670688"</f>
        <v>00670688</v>
      </c>
    </row>
    <row r="13894" spans="1:2" x14ac:dyDescent="0.25">
      <c r="A13894" s="2">
        <v>13889</v>
      </c>
      <c r="B13894" s="11" t="str">
        <f>"00670717"</f>
        <v>00670717</v>
      </c>
    </row>
    <row r="13895" spans="1:2" x14ac:dyDescent="0.25">
      <c r="A13895" s="2">
        <v>13890</v>
      </c>
      <c r="B13895" s="11" t="str">
        <f>"00670748"</f>
        <v>00670748</v>
      </c>
    </row>
    <row r="13896" spans="1:2" x14ac:dyDescent="0.25">
      <c r="A13896" s="2">
        <v>13891</v>
      </c>
      <c r="B13896" s="11" t="str">
        <f>"00670757"</f>
        <v>00670757</v>
      </c>
    </row>
    <row r="13897" spans="1:2" x14ac:dyDescent="0.25">
      <c r="A13897" s="2">
        <v>13892</v>
      </c>
      <c r="B13897" s="11" t="str">
        <f>"00670765"</f>
        <v>00670765</v>
      </c>
    </row>
    <row r="13898" spans="1:2" x14ac:dyDescent="0.25">
      <c r="A13898" s="2">
        <v>13893</v>
      </c>
      <c r="B13898" s="11" t="str">
        <f>"00670864"</f>
        <v>00670864</v>
      </c>
    </row>
    <row r="13899" spans="1:2" x14ac:dyDescent="0.25">
      <c r="A13899" s="2">
        <v>13894</v>
      </c>
      <c r="B13899" s="11" t="str">
        <f>"00670868"</f>
        <v>00670868</v>
      </c>
    </row>
    <row r="13900" spans="1:2" x14ac:dyDescent="0.25">
      <c r="A13900" s="2">
        <v>13895</v>
      </c>
      <c r="B13900" s="11" t="str">
        <f>"00670954"</f>
        <v>00670954</v>
      </c>
    </row>
    <row r="13901" spans="1:2" x14ac:dyDescent="0.25">
      <c r="A13901" s="2">
        <v>13896</v>
      </c>
      <c r="B13901" s="11" t="str">
        <f>"00670957"</f>
        <v>00670957</v>
      </c>
    </row>
    <row r="13902" spans="1:2" x14ac:dyDescent="0.25">
      <c r="A13902" s="2">
        <v>13897</v>
      </c>
      <c r="B13902" s="11" t="str">
        <f>"00670959"</f>
        <v>00670959</v>
      </c>
    </row>
    <row r="13903" spans="1:2" x14ac:dyDescent="0.25">
      <c r="A13903" s="2">
        <v>13898</v>
      </c>
      <c r="B13903" s="11" t="str">
        <f>"00670964"</f>
        <v>00670964</v>
      </c>
    </row>
    <row r="13904" spans="1:2" x14ac:dyDescent="0.25">
      <c r="A13904" s="2">
        <v>13899</v>
      </c>
      <c r="B13904" s="11" t="str">
        <f>"00671012"</f>
        <v>00671012</v>
      </c>
    </row>
    <row r="13905" spans="1:2" x14ac:dyDescent="0.25">
      <c r="A13905" s="2">
        <v>13900</v>
      </c>
      <c r="B13905" s="11" t="str">
        <f>"00671081"</f>
        <v>00671081</v>
      </c>
    </row>
    <row r="13906" spans="1:2" x14ac:dyDescent="0.25">
      <c r="A13906" s="2">
        <v>13901</v>
      </c>
      <c r="B13906" s="11" t="str">
        <f>"00671243"</f>
        <v>00671243</v>
      </c>
    </row>
    <row r="13907" spans="1:2" x14ac:dyDescent="0.25">
      <c r="A13907" s="2">
        <v>13902</v>
      </c>
      <c r="B13907" s="11" t="str">
        <f>"00671333"</f>
        <v>00671333</v>
      </c>
    </row>
    <row r="13908" spans="1:2" x14ac:dyDescent="0.25">
      <c r="A13908" s="2">
        <v>13903</v>
      </c>
      <c r="B13908" s="11" t="str">
        <f>"00671420"</f>
        <v>00671420</v>
      </c>
    </row>
    <row r="13909" spans="1:2" x14ac:dyDescent="0.25">
      <c r="A13909" s="2">
        <v>13904</v>
      </c>
      <c r="B13909" s="11" t="str">
        <f>"00671431"</f>
        <v>00671431</v>
      </c>
    </row>
    <row r="13910" spans="1:2" x14ac:dyDescent="0.25">
      <c r="A13910" s="2">
        <v>13905</v>
      </c>
      <c r="B13910" s="11" t="str">
        <f>"00671438"</f>
        <v>00671438</v>
      </c>
    </row>
    <row r="13911" spans="1:2" x14ac:dyDescent="0.25">
      <c r="A13911" s="2">
        <v>13906</v>
      </c>
      <c r="B13911" s="11" t="str">
        <f>"00671444"</f>
        <v>00671444</v>
      </c>
    </row>
    <row r="13912" spans="1:2" x14ac:dyDescent="0.25">
      <c r="A13912" s="2">
        <v>13907</v>
      </c>
      <c r="B13912" s="11" t="str">
        <f>"00671530"</f>
        <v>00671530</v>
      </c>
    </row>
    <row r="13913" spans="1:2" x14ac:dyDescent="0.25">
      <c r="A13913" s="2">
        <v>13908</v>
      </c>
      <c r="B13913" s="11" t="str">
        <f>"00671614"</f>
        <v>00671614</v>
      </c>
    </row>
    <row r="13914" spans="1:2" x14ac:dyDescent="0.25">
      <c r="A13914" s="2">
        <v>13909</v>
      </c>
      <c r="B13914" s="11" t="str">
        <f>"00671619"</f>
        <v>00671619</v>
      </c>
    </row>
    <row r="13915" spans="1:2" x14ac:dyDescent="0.25">
      <c r="A13915" s="2">
        <v>13910</v>
      </c>
      <c r="B13915" s="11" t="str">
        <f>"00671643"</f>
        <v>00671643</v>
      </c>
    </row>
    <row r="13916" spans="1:2" x14ac:dyDescent="0.25">
      <c r="A13916" s="2">
        <v>13911</v>
      </c>
      <c r="B13916" s="11" t="str">
        <f>"00671647"</f>
        <v>00671647</v>
      </c>
    </row>
    <row r="13917" spans="1:2" x14ac:dyDescent="0.25">
      <c r="A13917" s="2">
        <v>13912</v>
      </c>
      <c r="B13917" s="11" t="str">
        <f>"00671655"</f>
        <v>00671655</v>
      </c>
    </row>
    <row r="13918" spans="1:2" x14ac:dyDescent="0.25">
      <c r="A13918" s="2">
        <v>13913</v>
      </c>
      <c r="B13918" s="11" t="str">
        <f>"00671674"</f>
        <v>00671674</v>
      </c>
    </row>
    <row r="13919" spans="1:2" x14ac:dyDescent="0.25">
      <c r="A13919" s="2">
        <v>13914</v>
      </c>
      <c r="B13919" s="11" t="str">
        <f>"00671689"</f>
        <v>00671689</v>
      </c>
    </row>
    <row r="13920" spans="1:2" x14ac:dyDescent="0.25">
      <c r="A13920" s="2">
        <v>13915</v>
      </c>
      <c r="B13920" s="11" t="str">
        <f>"00671717"</f>
        <v>00671717</v>
      </c>
    </row>
    <row r="13921" spans="1:2" x14ac:dyDescent="0.25">
      <c r="A13921" s="2">
        <v>13916</v>
      </c>
      <c r="B13921" s="11" t="str">
        <f>"00671774"</f>
        <v>00671774</v>
      </c>
    </row>
    <row r="13922" spans="1:2" x14ac:dyDescent="0.25">
      <c r="A13922" s="2">
        <v>13917</v>
      </c>
      <c r="B13922" s="11" t="str">
        <f>"00671775"</f>
        <v>00671775</v>
      </c>
    </row>
    <row r="13923" spans="1:2" x14ac:dyDescent="0.25">
      <c r="A13923" s="2">
        <v>13918</v>
      </c>
      <c r="B13923" s="11" t="str">
        <f>"00671798"</f>
        <v>00671798</v>
      </c>
    </row>
    <row r="13924" spans="1:2" x14ac:dyDescent="0.25">
      <c r="A13924" s="2">
        <v>13919</v>
      </c>
      <c r="B13924" s="11" t="str">
        <f>"00671809"</f>
        <v>00671809</v>
      </c>
    </row>
    <row r="13925" spans="1:2" x14ac:dyDescent="0.25">
      <c r="A13925" s="2">
        <v>13920</v>
      </c>
      <c r="B13925" s="11" t="str">
        <f>"00671821"</f>
        <v>00671821</v>
      </c>
    </row>
    <row r="13926" spans="1:2" x14ac:dyDescent="0.25">
      <c r="A13926" s="2">
        <v>13921</v>
      </c>
      <c r="B13926" s="11" t="str">
        <f>"00671836"</f>
        <v>00671836</v>
      </c>
    </row>
    <row r="13927" spans="1:2" x14ac:dyDescent="0.25">
      <c r="A13927" s="2">
        <v>13922</v>
      </c>
      <c r="B13927" s="11" t="str">
        <f>"00671875"</f>
        <v>00671875</v>
      </c>
    </row>
    <row r="13928" spans="1:2" x14ac:dyDescent="0.25">
      <c r="A13928" s="2">
        <v>13923</v>
      </c>
      <c r="B13928" s="11" t="str">
        <f>"00671879"</f>
        <v>00671879</v>
      </c>
    </row>
    <row r="13929" spans="1:2" x14ac:dyDescent="0.25">
      <c r="A13929" s="2">
        <v>13924</v>
      </c>
      <c r="B13929" s="11" t="str">
        <f>"00671891"</f>
        <v>00671891</v>
      </c>
    </row>
    <row r="13930" spans="1:2" x14ac:dyDescent="0.25">
      <c r="A13930" s="2">
        <v>13925</v>
      </c>
      <c r="B13930" s="11" t="str">
        <f>"00671903"</f>
        <v>00671903</v>
      </c>
    </row>
    <row r="13931" spans="1:2" x14ac:dyDescent="0.25">
      <c r="A13931" s="2">
        <v>13926</v>
      </c>
      <c r="B13931" s="11" t="str">
        <f>"00671928"</f>
        <v>00671928</v>
      </c>
    </row>
    <row r="13932" spans="1:2" x14ac:dyDescent="0.25">
      <c r="A13932" s="2">
        <v>13927</v>
      </c>
      <c r="B13932" s="11" t="str">
        <f>"00671966"</f>
        <v>00671966</v>
      </c>
    </row>
    <row r="13933" spans="1:2" x14ac:dyDescent="0.25">
      <c r="A13933" s="2">
        <v>13928</v>
      </c>
      <c r="B13933" s="11" t="str">
        <f>"00671975"</f>
        <v>00671975</v>
      </c>
    </row>
    <row r="13934" spans="1:2" x14ac:dyDescent="0.25">
      <c r="A13934" s="2">
        <v>13929</v>
      </c>
      <c r="B13934" s="11" t="str">
        <f>"00671997"</f>
        <v>00671997</v>
      </c>
    </row>
    <row r="13935" spans="1:2" x14ac:dyDescent="0.25">
      <c r="A13935" s="2">
        <v>13930</v>
      </c>
      <c r="B13935" s="11" t="str">
        <f>"00672051"</f>
        <v>00672051</v>
      </c>
    </row>
    <row r="13936" spans="1:2" x14ac:dyDescent="0.25">
      <c r="A13936" s="2">
        <v>13931</v>
      </c>
      <c r="B13936" s="11" t="str">
        <f>"00672076"</f>
        <v>00672076</v>
      </c>
    </row>
    <row r="13937" spans="1:2" x14ac:dyDescent="0.25">
      <c r="A13937" s="2">
        <v>13932</v>
      </c>
      <c r="B13937" s="11" t="str">
        <f>"00672086"</f>
        <v>00672086</v>
      </c>
    </row>
    <row r="13938" spans="1:2" x14ac:dyDescent="0.25">
      <c r="A13938" s="2">
        <v>13933</v>
      </c>
      <c r="B13938" s="11" t="str">
        <f>"00672117"</f>
        <v>00672117</v>
      </c>
    </row>
    <row r="13939" spans="1:2" x14ac:dyDescent="0.25">
      <c r="A13939" s="2">
        <v>13934</v>
      </c>
      <c r="B13939" s="11" t="str">
        <f>"00672119"</f>
        <v>00672119</v>
      </c>
    </row>
    <row r="13940" spans="1:2" x14ac:dyDescent="0.25">
      <c r="A13940" s="2">
        <v>13935</v>
      </c>
      <c r="B13940" s="11" t="str">
        <f>"00672124"</f>
        <v>00672124</v>
      </c>
    </row>
    <row r="13941" spans="1:2" x14ac:dyDescent="0.25">
      <c r="A13941" s="2">
        <v>13936</v>
      </c>
      <c r="B13941" s="11" t="str">
        <f>"00672165"</f>
        <v>00672165</v>
      </c>
    </row>
    <row r="13942" spans="1:2" x14ac:dyDescent="0.25">
      <c r="A13942" s="2">
        <v>13937</v>
      </c>
      <c r="B13942" s="11" t="str">
        <f>"00672177"</f>
        <v>00672177</v>
      </c>
    </row>
    <row r="13943" spans="1:2" x14ac:dyDescent="0.25">
      <c r="A13943" s="2">
        <v>13938</v>
      </c>
      <c r="B13943" s="11" t="str">
        <f>"00672252"</f>
        <v>00672252</v>
      </c>
    </row>
    <row r="13944" spans="1:2" x14ac:dyDescent="0.25">
      <c r="A13944" s="2">
        <v>13939</v>
      </c>
      <c r="B13944" s="11" t="str">
        <f>"00672259"</f>
        <v>00672259</v>
      </c>
    </row>
    <row r="13945" spans="1:2" x14ac:dyDescent="0.25">
      <c r="A13945" s="2">
        <v>13940</v>
      </c>
      <c r="B13945" s="11" t="str">
        <f>"00672272"</f>
        <v>00672272</v>
      </c>
    </row>
    <row r="13946" spans="1:2" x14ac:dyDescent="0.25">
      <c r="A13946" s="2">
        <v>13941</v>
      </c>
      <c r="B13946" s="11" t="str">
        <f>"00672304"</f>
        <v>00672304</v>
      </c>
    </row>
    <row r="13947" spans="1:2" x14ac:dyDescent="0.25">
      <c r="A13947" s="2">
        <v>13942</v>
      </c>
      <c r="B13947" s="11" t="str">
        <f>"00672313"</f>
        <v>00672313</v>
      </c>
    </row>
    <row r="13948" spans="1:2" x14ac:dyDescent="0.25">
      <c r="A13948" s="2">
        <v>13943</v>
      </c>
      <c r="B13948" s="11" t="str">
        <f>"00672329"</f>
        <v>00672329</v>
      </c>
    </row>
    <row r="13949" spans="1:2" x14ac:dyDescent="0.25">
      <c r="A13949" s="2">
        <v>13944</v>
      </c>
      <c r="B13949" s="11" t="str">
        <f>"00672336"</f>
        <v>00672336</v>
      </c>
    </row>
    <row r="13950" spans="1:2" x14ac:dyDescent="0.25">
      <c r="A13950" s="2">
        <v>13945</v>
      </c>
      <c r="B13950" s="11" t="str">
        <f>"00672356"</f>
        <v>00672356</v>
      </c>
    </row>
    <row r="13951" spans="1:2" x14ac:dyDescent="0.25">
      <c r="A13951" s="2">
        <v>13946</v>
      </c>
      <c r="B13951" s="11" t="str">
        <f>"00672399"</f>
        <v>00672399</v>
      </c>
    </row>
    <row r="13952" spans="1:2" x14ac:dyDescent="0.25">
      <c r="A13952" s="2">
        <v>13947</v>
      </c>
      <c r="B13952" s="11" t="str">
        <f>"00672402"</f>
        <v>00672402</v>
      </c>
    </row>
    <row r="13953" spans="1:2" x14ac:dyDescent="0.25">
      <c r="A13953" s="2">
        <v>13948</v>
      </c>
      <c r="B13953" s="11" t="str">
        <f>"00672445"</f>
        <v>00672445</v>
      </c>
    </row>
    <row r="13954" spans="1:2" x14ac:dyDescent="0.25">
      <c r="A13954" s="2">
        <v>13949</v>
      </c>
      <c r="B13954" s="11" t="str">
        <f>"00672500"</f>
        <v>00672500</v>
      </c>
    </row>
    <row r="13955" spans="1:2" x14ac:dyDescent="0.25">
      <c r="A13955" s="2">
        <v>13950</v>
      </c>
      <c r="B13955" s="11" t="str">
        <f>"00672519"</f>
        <v>00672519</v>
      </c>
    </row>
    <row r="13956" spans="1:2" x14ac:dyDescent="0.25">
      <c r="A13956" s="2">
        <v>13951</v>
      </c>
      <c r="B13956" s="11" t="str">
        <f>"00672564"</f>
        <v>00672564</v>
      </c>
    </row>
    <row r="13957" spans="1:2" x14ac:dyDescent="0.25">
      <c r="A13957" s="2">
        <v>13952</v>
      </c>
      <c r="B13957" s="11" t="str">
        <f>"00672568"</f>
        <v>00672568</v>
      </c>
    </row>
    <row r="13958" spans="1:2" x14ac:dyDescent="0.25">
      <c r="A13958" s="2">
        <v>13953</v>
      </c>
      <c r="B13958" s="11" t="str">
        <f>"00672571"</f>
        <v>00672571</v>
      </c>
    </row>
    <row r="13959" spans="1:2" x14ac:dyDescent="0.25">
      <c r="A13959" s="2">
        <v>13954</v>
      </c>
      <c r="B13959" s="11" t="str">
        <f>"00672607"</f>
        <v>00672607</v>
      </c>
    </row>
    <row r="13960" spans="1:2" x14ac:dyDescent="0.25">
      <c r="A13960" s="2">
        <v>13955</v>
      </c>
      <c r="B13960" s="11" t="str">
        <f>"00672624"</f>
        <v>00672624</v>
      </c>
    </row>
    <row r="13961" spans="1:2" x14ac:dyDescent="0.25">
      <c r="A13961" s="2">
        <v>13956</v>
      </c>
      <c r="B13961" s="11" t="str">
        <f>"00672640"</f>
        <v>00672640</v>
      </c>
    </row>
    <row r="13962" spans="1:2" x14ac:dyDescent="0.25">
      <c r="A13962" s="2">
        <v>13957</v>
      </c>
      <c r="B13962" s="11" t="str">
        <f>"00672673"</f>
        <v>00672673</v>
      </c>
    </row>
    <row r="13963" spans="1:2" x14ac:dyDescent="0.25">
      <c r="A13963" s="2">
        <v>13958</v>
      </c>
      <c r="B13963" s="11" t="str">
        <f>"00672781"</f>
        <v>00672781</v>
      </c>
    </row>
    <row r="13964" spans="1:2" x14ac:dyDescent="0.25">
      <c r="A13964" s="2">
        <v>13959</v>
      </c>
      <c r="B13964" s="11" t="str">
        <f>"00672785"</f>
        <v>00672785</v>
      </c>
    </row>
    <row r="13965" spans="1:2" x14ac:dyDescent="0.25">
      <c r="A13965" s="2">
        <v>13960</v>
      </c>
      <c r="B13965" s="11" t="str">
        <f>"00672802"</f>
        <v>00672802</v>
      </c>
    </row>
    <row r="13966" spans="1:2" x14ac:dyDescent="0.25">
      <c r="A13966" s="2">
        <v>13961</v>
      </c>
      <c r="B13966" s="11" t="str">
        <f>"00672823"</f>
        <v>00672823</v>
      </c>
    </row>
    <row r="13967" spans="1:2" x14ac:dyDescent="0.25">
      <c r="A13967" s="2">
        <v>13962</v>
      </c>
      <c r="B13967" s="11" t="str">
        <f>"00672893"</f>
        <v>00672893</v>
      </c>
    </row>
    <row r="13968" spans="1:2" x14ac:dyDescent="0.25">
      <c r="A13968" s="2">
        <v>13963</v>
      </c>
      <c r="B13968" s="11" t="str">
        <f>"00672921"</f>
        <v>00672921</v>
      </c>
    </row>
    <row r="13969" spans="1:2" x14ac:dyDescent="0.25">
      <c r="A13969" s="2">
        <v>13964</v>
      </c>
      <c r="B13969" s="11" t="str">
        <f>"00672942"</f>
        <v>00672942</v>
      </c>
    </row>
    <row r="13970" spans="1:2" x14ac:dyDescent="0.25">
      <c r="A13970" s="2">
        <v>13965</v>
      </c>
      <c r="B13970" s="11" t="str">
        <f>"00673019"</f>
        <v>00673019</v>
      </c>
    </row>
    <row r="13971" spans="1:2" x14ac:dyDescent="0.25">
      <c r="A13971" s="2">
        <v>13966</v>
      </c>
      <c r="B13971" s="11" t="str">
        <f>"00673065"</f>
        <v>00673065</v>
      </c>
    </row>
    <row r="13972" spans="1:2" x14ac:dyDescent="0.25">
      <c r="A13972" s="2">
        <v>13967</v>
      </c>
      <c r="B13972" s="11" t="str">
        <f>"00673086"</f>
        <v>00673086</v>
      </c>
    </row>
    <row r="13973" spans="1:2" x14ac:dyDescent="0.25">
      <c r="A13973" s="2">
        <v>13968</v>
      </c>
      <c r="B13973" s="11" t="str">
        <f>"00673097"</f>
        <v>00673097</v>
      </c>
    </row>
    <row r="13974" spans="1:2" x14ac:dyDescent="0.25">
      <c r="A13974" s="2">
        <v>13969</v>
      </c>
      <c r="B13974" s="11" t="str">
        <f>"00673105"</f>
        <v>00673105</v>
      </c>
    </row>
    <row r="13975" spans="1:2" x14ac:dyDescent="0.25">
      <c r="A13975" s="2">
        <v>13970</v>
      </c>
      <c r="B13975" s="11" t="str">
        <f>"00673107"</f>
        <v>00673107</v>
      </c>
    </row>
    <row r="13976" spans="1:2" x14ac:dyDescent="0.25">
      <c r="A13976" s="2">
        <v>13971</v>
      </c>
      <c r="B13976" s="11" t="str">
        <f>"00673114"</f>
        <v>00673114</v>
      </c>
    </row>
    <row r="13977" spans="1:2" x14ac:dyDescent="0.25">
      <c r="A13977" s="2">
        <v>13972</v>
      </c>
      <c r="B13977" s="11" t="str">
        <f>"00673163"</f>
        <v>00673163</v>
      </c>
    </row>
    <row r="13978" spans="1:2" x14ac:dyDescent="0.25">
      <c r="A13978" s="2">
        <v>13973</v>
      </c>
      <c r="B13978" s="11" t="str">
        <f>"00673212"</f>
        <v>00673212</v>
      </c>
    </row>
    <row r="13979" spans="1:2" x14ac:dyDescent="0.25">
      <c r="A13979" s="2">
        <v>13974</v>
      </c>
      <c r="B13979" s="11" t="str">
        <f>"00673249"</f>
        <v>00673249</v>
      </c>
    </row>
    <row r="13980" spans="1:2" x14ac:dyDescent="0.25">
      <c r="A13980" s="2">
        <v>13975</v>
      </c>
      <c r="B13980" s="11" t="str">
        <f>"00673321"</f>
        <v>00673321</v>
      </c>
    </row>
    <row r="13981" spans="1:2" x14ac:dyDescent="0.25">
      <c r="A13981" s="2">
        <v>13976</v>
      </c>
      <c r="B13981" s="11" t="str">
        <f>"00673339"</f>
        <v>00673339</v>
      </c>
    </row>
    <row r="13982" spans="1:2" x14ac:dyDescent="0.25">
      <c r="A13982" s="2">
        <v>13977</v>
      </c>
      <c r="B13982" s="11" t="str">
        <f>"00673356"</f>
        <v>00673356</v>
      </c>
    </row>
    <row r="13983" spans="1:2" x14ac:dyDescent="0.25">
      <c r="A13983" s="2">
        <v>13978</v>
      </c>
      <c r="B13983" s="11" t="str">
        <f>"00673477"</f>
        <v>00673477</v>
      </c>
    </row>
    <row r="13984" spans="1:2" x14ac:dyDescent="0.25">
      <c r="A13984" s="2">
        <v>13979</v>
      </c>
      <c r="B13984" s="11" t="str">
        <f>"00673489"</f>
        <v>00673489</v>
      </c>
    </row>
    <row r="13985" spans="1:2" x14ac:dyDescent="0.25">
      <c r="A13985" s="2">
        <v>13980</v>
      </c>
      <c r="B13985" s="11" t="str">
        <f>"00673671"</f>
        <v>00673671</v>
      </c>
    </row>
    <row r="13986" spans="1:2" x14ac:dyDescent="0.25">
      <c r="A13986" s="2">
        <v>13981</v>
      </c>
      <c r="B13986" s="11" t="str">
        <f>"00673674"</f>
        <v>00673674</v>
      </c>
    </row>
    <row r="13987" spans="1:2" x14ac:dyDescent="0.25">
      <c r="A13987" s="2">
        <v>13982</v>
      </c>
      <c r="B13987" s="11" t="str">
        <f>"00673812"</f>
        <v>00673812</v>
      </c>
    </row>
    <row r="13988" spans="1:2" x14ac:dyDescent="0.25">
      <c r="A13988" s="2">
        <v>13983</v>
      </c>
      <c r="B13988" s="11" t="str">
        <f>"00673833"</f>
        <v>00673833</v>
      </c>
    </row>
    <row r="13989" spans="1:2" x14ac:dyDescent="0.25">
      <c r="A13989" s="2">
        <v>13984</v>
      </c>
      <c r="B13989" s="11" t="str">
        <f>"00673838"</f>
        <v>00673838</v>
      </c>
    </row>
    <row r="13990" spans="1:2" x14ac:dyDescent="0.25">
      <c r="A13990" s="2">
        <v>13985</v>
      </c>
      <c r="B13990" s="11" t="str">
        <f>"00673903"</f>
        <v>00673903</v>
      </c>
    </row>
    <row r="13991" spans="1:2" x14ac:dyDescent="0.25">
      <c r="A13991" s="2">
        <v>13986</v>
      </c>
      <c r="B13991" s="11" t="str">
        <f>"00673909"</f>
        <v>00673909</v>
      </c>
    </row>
    <row r="13992" spans="1:2" x14ac:dyDescent="0.25">
      <c r="A13992" s="2">
        <v>13987</v>
      </c>
      <c r="B13992" s="11" t="str">
        <f>"00673988"</f>
        <v>00673988</v>
      </c>
    </row>
    <row r="13993" spans="1:2" x14ac:dyDescent="0.25">
      <c r="A13993" s="2">
        <v>13988</v>
      </c>
      <c r="B13993" s="11" t="str">
        <f>"00674031"</f>
        <v>00674031</v>
      </c>
    </row>
    <row r="13994" spans="1:2" x14ac:dyDescent="0.25">
      <c r="A13994" s="2">
        <v>13989</v>
      </c>
      <c r="B13994" s="11" t="str">
        <f>"00674112"</f>
        <v>00674112</v>
      </c>
    </row>
    <row r="13995" spans="1:2" x14ac:dyDescent="0.25">
      <c r="A13995" s="2">
        <v>13990</v>
      </c>
      <c r="B13995" s="11" t="str">
        <f>"00674155"</f>
        <v>00674155</v>
      </c>
    </row>
    <row r="13996" spans="1:2" x14ac:dyDescent="0.25">
      <c r="A13996" s="2">
        <v>13991</v>
      </c>
      <c r="B13996" s="11" t="str">
        <f>"00674241"</f>
        <v>00674241</v>
      </c>
    </row>
    <row r="13997" spans="1:2" x14ac:dyDescent="0.25">
      <c r="A13997" s="2">
        <v>13992</v>
      </c>
      <c r="B13997" s="11" t="str">
        <f>"00674245"</f>
        <v>00674245</v>
      </c>
    </row>
    <row r="13998" spans="1:2" x14ac:dyDescent="0.25">
      <c r="A13998" s="2">
        <v>13993</v>
      </c>
      <c r="B13998" s="11" t="str">
        <f>"00674266"</f>
        <v>00674266</v>
      </c>
    </row>
    <row r="13999" spans="1:2" x14ac:dyDescent="0.25">
      <c r="A13999" s="2">
        <v>13994</v>
      </c>
      <c r="B13999" s="11" t="str">
        <f>"00674380"</f>
        <v>00674380</v>
      </c>
    </row>
    <row r="14000" spans="1:2" x14ac:dyDescent="0.25">
      <c r="A14000" s="2">
        <v>13995</v>
      </c>
      <c r="B14000" s="11" t="str">
        <f>"00674391"</f>
        <v>00674391</v>
      </c>
    </row>
    <row r="14001" spans="1:2" x14ac:dyDescent="0.25">
      <c r="A14001" s="2">
        <v>13996</v>
      </c>
      <c r="B14001" s="11" t="str">
        <f>"00674408"</f>
        <v>00674408</v>
      </c>
    </row>
    <row r="14002" spans="1:2" x14ac:dyDescent="0.25">
      <c r="A14002" s="2">
        <v>13997</v>
      </c>
      <c r="B14002" s="11" t="str">
        <f>"00674447"</f>
        <v>00674447</v>
      </c>
    </row>
    <row r="14003" spans="1:2" x14ac:dyDescent="0.25">
      <c r="A14003" s="2">
        <v>13998</v>
      </c>
      <c r="B14003" s="11" t="str">
        <f>"00674470"</f>
        <v>00674470</v>
      </c>
    </row>
    <row r="14004" spans="1:2" x14ac:dyDescent="0.25">
      <c r="A14004" s="2">
        <v>13999</v>
      </c>
      <c r="B14004" s="11" t="str">
        <f>"00674507"</f>
        <v>00674507</v>
      </c>
    </row>
    <row r="14005" spans="1:2" x14ac:dyDescent="0.25">
      <c r="A14005" s="2">
        <v>14000</v>
      </c>
      <c r="B14005" s="11" t="str">
        <f>"00674522"</f>
        <v>00674522</v>
      </c>
    </row>
    <row r="14006" spans="1:2" x14ac:dyDescent="0.25">
      <c r="A14006" s="2">
        <v>14001</v>
      </c>
      <c r="B14006" s="11" t="str">
        <f>"00674564"</f>
        <v>00674564</v>
      </c>
    </row>
    <row r="14007" spans="1:2" x14ac:dyDescent="0.25">
      <c r="A14007" s="2">
        <v>14002</v>
      </c>
      <c r="B14007" s="11" t="str">
        <f>"00674569"</f>
        <v>00674569</v>
      </c>
    </row>
    <row r="14008" spans="1:2" x14ac:dyDescent="0.25">
      <c r="A14008" s="2">
        <v>14003</v>
      </c>
      <c r="B14008" s="11" t="str">
        <f>"00674583"</f>
        <v>00674583</v>
      </c>
    </row>
    <row r="14009" spans="1:2" x14ac:dyDescent="0.25">
      <c r="A14009" s="2">
        <v>14004</v>
      </c>
      <c r="B14009" s="11" t="str">
        <f>"00674591"</f>
        <v>00674591</v>
      </c>
    </row>
    <row r="14010" spans="1:2" x14ac:dyDescent="0.25">
      <c r="A14010" s="2">
        <v>14005</v>
      </c>
      <c r="B14010" s="11" t="str">
        <f>"00674594"</f>
        <v>00674594</v>
      </c>
    </row>
    <row r="14011" spans="1:2" x14ac:dyDescent="0.25">
      <c r="A14011" s="2">
        <v>14006</v>
      </c>
      <c r="B14011" s="11" t="str">
        <f>"00674607"</f>
        <v>00674607</v>
      </c>
    </row>
    <row r="14012" spans="1:2" x14ac:dyDescent="0.25">
      <c r="A14012" s="2">
        <v>14007</v>
      </c>
      <c r="B14012" s="11" t="str">
        <f>"00674642"</f>
        <v>00674642</v>
      </c>
    </row>
    <row r="14013" spans="1:2" x14ac:dyDescent="0.25">
      <c r="A14013" s="2">
        <v>14008</v>
      </c>
      <c r="B14013" s="11" t="str">
        <f>"00674666"</f>
        <v>00674666</v>
      </c>
    </row>
    <row r="14014" spans="1:2" x14ac:dyDescent="0.25">
      <c r="A14014" s="2">
        <v>14009</v>
      </c>
      <c r="B14014" s="11" t="str">
        <f>"00674710"</f>
        <v>00674710</v>
      </c>
    </row>
    <row r="14015" spans="1:2" x14ac:dyDescent="0.25">
      <c r="A14015" s="2">
        <v>14010</v>
      </c>
      <c r="B14015" s="11" t="str">
        <f>"00674716"</f>
        <v>00674716</v>
      </c>
    </row>
    <row r="14016" spans="1:2" x14ac:dyDescent="0.25">
      <c r="A14016" s="2">
        <v>14011</v>
      </c>
      <c r="B14016" s="11" t="str">
        <f>"00674733"</f>
        <v>00674733</v>
      </c>
    </row>
    <row r="14017" spans="1:2" x14ac:dyDescent="0.25">
      <c r="A14017" s="2">
        <v>14012</v>
      </c>
      <c r="B14017" s="11" t="str">
        <f>"00674765"</f>
        <v>00674765</v>
      </c>
    </row>
    <row r="14018" spans="1:2" x14ac:dyDescent="0.25">
      <c r="A14018" s="2">
        <v>14013</v>
      </c>
      <c r="B14018" s="11" t="str">
        <f>"00674831"</f>
        <v>00674831</v>
      </c>
    </row>
    <row r="14019" spans="1:2" x14ac:dyDescent="0.25">
      <c r="A14019" s="2">
        <v>14014</v>
      </c>
      <c r="B14019" s="11" t="str">
        <f>"00674847"</f>
        <v>00674847</v>
      </c>
    </row>
    <row r="14020" spans="1:2" x14ac:dyDescent="0.25">
      <c r="A14020" s="2">
        <v>14015</v>
      </c>
      <c r="B14020" s="11" t="str">
        <f>"00674862"</f>
        <v>00674862</v>
      </c>
    </row>
    <row r="14021" spans="1:2" x14ac:dyDescent="0.25">
      <c r="A14021" s="2">
        <v>14016</v>
      </c>
      <c r="B14021" s="11" t="str">
        <f>"00674875"</f>
        <v>00674875</v>
      </c>
    </row>
    <row r="14022" spans="1:2" x14ac:dyDescent="0.25">
      <c r="A14022" s="2">
        <v>14017</v>
      </c>
      <c r="B14022" s="11" t="str">
        <f>"00674948"</f>
        <v>00674948</v>
      </c>
    </row>
    <row r="14023" spans="1:2" x14ac:dyDescent="0.25">
      <c r="A14023" s="2">
        <v>14018</v>
      </c>
      <c r="B14023" s="11" t="str">
        <f>"00674961"</f>
        <v>00674961</v>
      </c>
    </row>
    <row r="14024" spans="1:2" x14ac:dyDescent="0.25">
      <c r="A14024" s="2">
        <v>14019</v>
      </c>
      <c r="B14024" s="11" t="str">
        <f>"00674992"</f>
        <v>00674992</v>
      </c>
    </row>
    <row r="14025" spans="1:2" x14ac:dyDescent="0.25">
      <c r="A14025" s="2">
        <v>14020</v>
      </c>
      <c r="B14025" s="11" t="str">
        <f>"00675024"</f>
        <v>00675024</v>
      </c>
    </row>
    <row r="14026" spans="1:2" x14ac:dyDescent="0.25">
      <c r="A14026" s="2">
        <v>14021</v>
      </c>
      <c r="B14026" s="11" t="str">
        <f>"00675030"</f>
        <v>00675030</v>
      </c>
    </row>
    <row r="14027" spans="1:2" x14ac:dyDescent="0.25">
      <c r="A14027" s="2">
        <v>14022</v>
      </c>
      <c r="B14027" s="11" t="str">
        <f>"00675078"</f>
        <v>00675078</v>
      </c>
    </row>
    <row r="14028" spans="1:2" x14ac:dyDescent="0.25">
      <c r="A14028" s="2">
        <v>14023</v>
      </c>
      <c r="B14028" s="11" t="str">
        <f>"00675090"</f>
        <v>00675090</v>
      </c>
    </row>
    <row r="14029" spans="1:2" x14ac:dyDescent="0.25">
      <c r="A14029" s="2">
        <v>14024</v>
      </c>
      <c r="B14029" s="11" t="str">
        <f>"00675117"</f>
        <v>00675117</v>
      </c>
    </row>
    <row r="14030" spans="1:2" x14ac:dyDescent="0.25">
      <c r="A14030" s="2">
        <v>14025</v>
      </c>
      <c r="B14030" s="11" t="str">
        <f>"00675166"</f>
        <v>00675166</v>
      </c>
    </row>
    <row r="14031" spans="1:2" x14ac:dyDescent="0.25">
      <c r="A14031" s="2">
        <v>14026</v>
      </c>
      <c r="B14031" s="11" t="str">
        <f>"00675229"</f>
        <v>00675229</v>
      </c>
    </row>
    <row r="14032" spans="1:2" x14ac:dyDescent="0.25">
      <c r="A14032" s="2">
        <v>14027</v>
      </c>
      <c r="B14032" s="11" t="str">
        <f>"00675252"</f>
        <v>00675252</v>
      </c>
    </row>
    <row r="14033" spans="1:2" x14ac:dyDescent="0.25">
      <c r="A14033" s="2">
        <v>14028</v>
      </c>
      <c r="B14033" s="11" t="str">
        <f>"00675256"</f>
        <v>00675256</v>
      </c>
    </row>
    <row r="14034" spans="1:2" x14ac:dyDescent="0.25">
      <c r="A14034" s="2">
        <v>14029</v>
      </c>
      <c r="B14034" s="11" t="str">
        <f>"00675268"</f>
        <v>00675268</v>
      </c>
    </row>
    <row r="14035" spans="1:2" x14ac:dyDescent="0.25">
      <c r="A14035" s="2">
        <v>14030</v>
      </c>
      <c r="B14035" s="11" t="str">
        <f>"00675282"</f>
        <v>00675282</v>
      </c>
    </row>
    <row r="14036" spans="1:2" x14ac:dyDescent="0.25">
      <c r="A14036" s="2">
        <v>14031</v>
      </c>
      <c r="B14036" s="11" t="str">
        <f>"00675303"</f>
        <v>00675303</v>
      </c>
    </row>
    <row r="14037" spans="1:2" x14ac:dyDescent="0.25">
      <c r="A14037" s="2">
        <v>14032</v>
      </c>
      <c r="B14037" s="11" t="str">
        <f>"00675322"</f>
        <v>00675322</v>
      </c>
    </row>
    <row r="14038" spans="1:2" x14ac:dyDescent="0.25">
      <c r="A14038" s="2">
        <v>14033</v>
      </c>
      <c r="B14038" s="11" t="str">
        <f>"00675384"</f>
        <v>00675384</v>
      </c>
    </row>
    <row r="14039" spans="1:2" x14ac:dyDescent="0.25">
      <c r="A14039" s="2">
        <v>14034</v>
      </c>
      <c r="B14039" s="11" t="str">
        <f>"00675406"</f>
        <v>00675406</v>
      </c>
    </row>
    <row r="14040" spans="1:2" x14ac:dyDescent="0.25">
      <c r="A14040" s="2">
        <v>14035</v>
      </c>
      <c r="B14040" s="11" t="str">
        <f>"00675471"</f>
        <v>00675471</v>
      </c>
    </row>
    <row r="14041" spans="1:2" x14ac:dyDescent="0.25">
      <c r="A14041" s="2">
        <v>14036</v>
      </c>
      <c r="B14041" s="11" t="str">
        <f>"00675483"</f>
        <v>00675483</v>
      </c>
    </row>
    <row r="14042" spans="1:2" x14ac:dyDescent="0.25">
      <c r="A14042" s="2">
        <v>14037</v>
      </c>
      <c r="B14042" s="11" t="str">
        <f>"00675491"</f>
        <v>00675491</v>
      </c>
    </row>
    <row r="14043" spans="1:2" x14ac:dyDescent="0.25">
      <c r="A14043" s="2">
        <v>14038</v>
      </c>
      <c r="B14043" s="11" t="str">
        <f>"00675518"</f>
        <v>00675518</v>
      </c>
    </row>
    <row r="14044" spans="1:2" x14ac:dyDescent="0.25">
      <c r="A14044" s="2">
        <v>14039</v>
      </c>
      <c r="B14044" s="11" t="str">
        <f>"00675562"</f>
        <v>00675562</v>
      </c>
    </row>
    <row r="14045" spans="1:2" x14ac:dyDescent="0.25">
      <c r="A14045" s="2">
        <v>14040</v>
      </c>
      <c r="B14045" s="11" t="str">
        <f>"00675601"</f>
        <v>00675601</v>
      </c>
    </row>
    <row r="14046" spans="1:2" x14ac:dyDescent="0.25">
      <c r="A14046" s="2">
        <v>14041</v>
      </c>
      <c r="B14046" s="11" t="str">
        <f>"00675634"</f>
        <v>00675634</v>
      </c>
    </row>
    <row r="14047" spans="1:2" x14ac:dyDescent="0.25">
      <c r="A14047" s="2">
        <v>14042</v>
      </c>
      <c r="B14047" s="11" t="str">
        <f>"00675668"</f>
        <v>00675668</v>
      </c>
    </row>
    <row r="14048" spans="1:2" x14ac:dyDescent="0.25">
      <c r="A14048" s="2">
        <v>14043</v>
      </c>
      <c r="B14048" s="11" t="str">
        <f>"00675679"</f>
        <v>00675679</v>
      </c>
    </row>
    <row r="14049" spans="1:2" x14ac:dyDescent="0.25">
      <c r="A14049" s="2">
        <v>14044</v>
      </c>
      <c r="B14049" s="11" t="str">
        <f>"00675729"</f>
        <v>00675729</v>
      </c>
    </row>
    <row r="14050" spans="1:2" x14ac:dyDescent="0.25">
      <c r="A14050" s="2">
        <v>14045</v>
      </c>
      <c r="B14050" s="11" t="str">
        <f>"00675734"</f>
        <v>00675734</v>
      </c>
    </row>
    <row r="14051" spans="1:2" x14ac:dyDescent="0.25">
      <c r="A14051" s="2">
        <v>14046</v>
      </c>
      <c r="B14051" s="11" t="str">
        <f>"00675804"</f>
        <v>00675804</v>
      </c>
    </row>
    <row r="14052" spans="1:2" x14ac:dyDescent="0.25">
      <c r="A14052" s="2">
        <v>14047</v>
      </c>
      <c r="B14052" s="11" t="str">
        <f>"00675812"</f>
        <v>00675812</v>
      </c>
    </row>
    <row r="14053" spans="1:2" x14ac:dyDescent="0.25">
      <c r="A14053" s="2">
        <v>14048</v>
      </c>
      <c r="B14053" s="11" t="str">
        <f>"00675886"</f>
        <v>00675886</v>
      </c>
    </row>
    <row r="14054" spans="1:2" x14ac:dyDescent="0.25">
      <c r="A14054" s="2">
        <v>14049</v>
      </c>
      <c r="B14054" s="11" t="str">
        <f>"00675978"</f>
        <v>00675978</v>
      </c>
    </row>
    <row r="14055" spans="1:2" x14ac:dyDescent="0.25">
      <c r="A14055" s="2">
        <v>14050</v>
      </c>
      <c r="B14055" s="11" t="str">
        <f>"00676066"</f>
        <v>00676066</v>
      </c>
    </row>
    <row r="14056" spans="1:2" x14ac:dyDescent="0.25">
      <c r="A14056" s="2">
        <v>14051</v>
      </c>
      <c r="B14056" s="11" t="str">
        <f>"00676179"</f>
        <v>00676179</v>
      </c>
    </row>
    <row r="14057" spans="1:2" x14ac:dyDescent="0.25">
      <c r="A14057" s="2">
        <v>14052</v>
      </c>
      <c r="B14057" s="11" t="str">
        <f>"00676191"</f>
        <v>00676191</v>
      </c>
    </row>
    <row r="14058" spans="1:2" x14ac:dyDescent="0.25">
      <c r="A14058" s="2">
        <v>14053</v>
      </c>
      <c r="B14058" s="11" t="str">
        <f>"00676216"</f>
        <v>00676216</v>
      </c>
    </row>
    <row r="14059" spans="1:2" x14ac:dyDescent="0.25">
      <c r="A14059" s="2">
        <v>14054</v>
      </c>
      <c r="B14059" s="11" t="str">
        <f>"00676310"</f>
        <v>00676310</v>
      </c>
    </row>
    <row r="14060" spans="1:2" x14ac:dyDescent="0.25">
      <c r="A14060" s="2">
        <v>14055</v>
      </c>
      <c r="B14060" s="11" t="str">
        <f>"00676313"</f>
        <v>00676313</v>
      </c>
    </row>
    <row r="14061" spans="1:2" x14ac:dyDescent="0.25">
      <c r="A14061" s="2">
        <v>14056</v>
      </c>
      <c r="B14061" s="11" t="str">
        <f>"00676374"</f>
        <v>00676374</v>
      </c>
    </row>
    <row r="14062" spans="1:2" x14ac:dyDescent="0.25">
      <c r="A14062" s="2">
        <v>14057</v>
      </c>
      <c r="B14062" s="11" t="str">
        <f>"00676390"</f>
        <v>00676390</v>
      </c>
    </row>
    <row r="14063" spans="1:2" x14ac:dyDescent="0.25">
      <c r="A14063" s="2">
        <v>14058</v>
      </c>
      <c r="B14063" s="11" t="str">
        <f>"00676489"</f>
        <v>00676489</v>
      </c>
    </row>
    <row r="14064" spans="1:2" x14ac:dyDescent="0.25">
      <c r="A14064" s="2">
        <v>14059</v>
      </c>
      <c r="B14064" s="11" t="str">
        <f>"00676491"</f>
        <v>00676491</v>
      </c>
    </row>
    <row r="14065" spans="1:2" x14ac:dyDescent="0.25">
      <c r="A14065" s="2">
        <v>14060</v>
      </c>
      <c r="B14065" s="11" t="str">
        <f>"00676501"</f>
        <v>00676501</v>
      </c>
    </row>
    <row r="14066" spans="1:2" x14ac:dyDescent="0.25">
      <c r="A14066" s="2">
        <v>14061</v>
      </c>
      <c r="B14066" s="11" t="str">
        <f>"00676523"</f>
        <v>00676523</v>
      </c>
    </row>
    <row r="14067" spans="1:2" x14ac:dyDescent="0.25">
      <c r="A14067" s="2">
        <v>14062</v>
      </c>
      <c r="B14067" s="11" t="str">
        <f>"00676581"</f>
        <v>00676581</v>
      </c>
    </row>
    <row r="14068" spans="1:2" x14ac:dyDescent="0.25">
      <c r="A14068" s="2">
        <v>14063</v>
      </c>
      <c r="B14068" s="11" t="str">
        <f>"00676585"</f>
        <v>00676585</v>
      </c>
    </row>
    <row r="14069" spans="1:2" x14ac:dyDescent="0.25">
      <c r="A14069" s="2">
        <v>14064</v>
      </c>
      <c r="B14069" s="11" t="str">
        <f>"00676675"</f>
        <v>00676675</v>
      </c>
    </row>
    <row r="14070" spans="1:2" x14ac:dyDescent="0.25">
      <c r="A14070" s="2">
        <v>14065</v>
      </c>
      <c r="B14070" s="11" t="str">
        <f>"00676707"</f>
        <v>00676707</v>
      </c>
    </row>
    <row r="14071" spans="1:2" x14ac:dyDescent="0.25">
      <c r="A14071" s="2">
        <v>14066</v>
      </c>
      <c r="B14071" s="11" t="str">
        <f>"00676714"</f>
        <v>00676714</v>
      </c>
    </row>
    <row r="14072" spans="1:2" x14ac:dyDescent="0.25">
      <c r="A14072" s="2">
        <v>14067</v>
      </c>
      <c r="B14072" s="11" t="str">
        <f>"00676773"</f>
        <v>00676773</v>
      </c>
    </row>
    <row r="14073" spans="1:2" x14ac:dyDescent="0.25">
      <c r="A14073" s="2">
        <v>14068</v>
      </c>
      <c r="B14073" s="11" t="str">
        <f>"00676832"</f>
        <v>00676832</v>
      </c>
    </row>
    <row r="14074" spans="1:2" x14ac:dyDescent="0.25">
      <c r="A14074" s="2">
        <v>14069</v>
      </c>
      <c r="B14074" s="11" t="str">
        <f>"00676918"</f>
        <v>00676918</v>
      </c>
    </row>
    <row r="14075" spans="1:2" x14ac:dyDescent="0.25">
      <c r="A14075" s="2">
        <v>14070</v>
      </c>
      <c r="B14075" s="11" t="str">
        <f>"00676943"</f>
        <v>00676943</v>
      </c>
    </row>
    <row r="14076" spans="1:2" x14ac:dyDescent="0.25">
      <c r="A14076" s="2">
        <v>14071</v>
      </c>
      <c r="B14076" s="11" t="str">
        <f>"00676944"</f>
        <v>00676944</v>
      </c>
    </row>
    <row r="14077" spans="1:2" x14ac:dyDescent="0.25">
      <c r="A14077" s="2">
        <v>14072</v>
      </c>
      <c r="B14077" s="11" t="str">
        <f>"00676979"</f>
        <v>00676979</v>
      </c>
    </row>
    <row r="14078" spans="1:2" x14ac:dyDescent="0.25">
      <c r="A14078" s="2">
        <v>14073</v>
      </c>
      <c r="B14078" s="11" t="str">
        <f>"00676982"</f>
        <v>00676982</v>
      </c>
    </row>
    <row r="14079" spans="1:2" x14ac:dyDescent="0.25">
      <c r="A14079" s="2">
        <v>14074</v>
      </c>
      <c r="B14079" s="11" t="str">
        <f>"00676999"</f>
        <v>00676999</v>
      </c>
    </row>
    <row r="14080" spans="1:2" x14ac:dyDescent="0.25">
      <c r="A14080" s="2">
        <v>14075</v>
      </c>
      <c r="B14080" s="11" t="str">
        <f>"00677028"</f>
        <v>00677028</v>
      </c>
    </row>
    <row r="14081" spans="1:2" x14ac:dyDescent="0.25">
      <c r="A14081" s="2">
        <v>14076</v>
      </c>
      <c r="B14081" s="11" t="str">
        <f>"00677034"</f>
        <v>00677034</v>
      </c>
    </row>
    <row r="14082" spans="1:2" x14ac:dyDescent="0.25">
      <c r="A14082" s="2">
        <v>14077</v>
      </c>
      <c r="B14082" s="11" t="str">
        <f>"00677042"</f>
        <v>00677042</v>
      </c>
    </row>
    <row r="14083" spans="1:2" x14ac:dyDescent="0.25">
      <c r="A14083" s="2">
        <v>14078</v>
      </c>
      <c r="B14083" s="11" t="str">
        <f>"00677068"</f>
        <v>00677068</v>
      </c>
    </row>
    <row r="14084" spans="1:2" x14ac:dyDescent="0.25">
      <c r="A14084" s="2">
        <v>14079</v>
      </c>
      <c r="B14084" s="11" t="str">
        <f>"00677104"</f>
        <v>00677104</v>
      </c>
    </row>
    <row r="14085" spans="1:2" x14ac:dyDescent="0.25">
      <c r="A14085" s="2">
        <v>14080</v>
      </c>
      <c r="B14085" s="11" t="str">
        <f>"00677135"</f>
        <v>00677135</v>
      </c>
    </row>
    <row r="14086" spans="1:2" x14ac:dyDescent="0.25">
      <c r="A14086" s="2">
        <v>14081</v>
      </c>
      <c r="B14086" s="11" t="str">
        <f>"00677143"</f>
        <v>00677143</v>
      </c>
    </row>
    <row r="14087" spans="1:2" x14ac:dyDescent="0.25">
      <c r="A14087" s="2">
        <v>14082</v>
      </c>
      <c r="B14087" s="11" t="str">
        <f>"00677205"</f>
        <v>00677205</v>
      </c>
    </row>
    <row r="14088" spans="1:2" x14ac:dyDescent="0.25">
      <c r="A14088" s="2">
        <v>14083</v>
      </c>
      <c r="B14088" s="11" t="str">
        <f>"00677209"</f>
        <v>00677209</v>
      </c>
    </row>
    <row r="14089" spans="1:2" x14ac:dyDescent="0.25">
      <c r="A14089" s="2">
        <v>14084</v>
      </c>
      <c r="B14089" s="11" t="str">
        <f>"00677217"</f>
        <v>00677217</v>
      </c>
    </row>
    <row r="14090" spans="1:2" x14ac:dyDescent="0.25">
      <c r="A14090" s="2">
        <v>14085</v>
      </c>
      <c r="B14090" s="11" t="str">
        <f>"00677221"</f>
        <v>00677221</v>
      </c>
    </row>
    <row r="14091" spans="1:2" x14ac:dyDescent="0.25">
      <c r="A14091" s="2">
        <v>14086</v>
      </c>
      <c r="B14091" s="11" t="str">
        <f>"00677222"</f>
        <v>00677222</v>
      </c>
    </row>
    <row r="14092" spans="1:2" x14ac:dyDescent="0.25">
      <c r="A14092" s="2">
        <v>14087</v>
      </c>
      <c r="B14092" s="11" t="str">
        <f>"00677290"</f>
        <v>00677290</v>
      </c>
    </row>
    <row r="14093" spans="1:2" x14ac:dyDescent="0.25">
      <c r="A14093" s="2">
        <v>14088</v>
      </c>
      <c r="B14093" s="11" t="str">
        <f>"00677328"</f>
        <v>00677328</v>
      </c>
    </row>
    <row r="14094" spans="1:2" x14ac:dyDescent="0.25">
      <c r="A14094" s="2">
        <v>14089</v>
      </c>
      <c r="B14094" s="11" t="str">
        <f>"00677332"</f>
        <v>00677332</v>
      </c>
    </row>
    <row r="14095" spans="1:2" x14ac:dyDescent="0.25">
      <c r="A14095" s="2">
        <v>14090</v>
      </c>
      <c r="B14095" s="11" t="str">
        <f>"00677343"</f>
        <v>00677343</v>
      </c>
    </row>
    <row r="14096" spans="1:2" x14ac:dyDescent="0.25">
      <c r="A14096" s="2">
        <v>14091</v>
      </c>
      <c r="B14096" s="11" t="str">
        <f>"00677435"</f>
        <v>00677435</v>
      </c>
    </row>
    <row r="14097" spans="1:2" x14ac:dyDescent="0.25">
      <c r="A14097" s="2">
        <v>14092</v>
      </c>
      <c r="B14097" s="11" t="str">
        <f>"00677448"</f>
        <v>00677448</v>
      </c>
    </row>
    <row r="14098" spans="1:2" x14ac:dyDescent="0.25">
      <c r="A14098" s="2">
        <v>14093</v>
      </c>
      <c r="B14098" s="11" t="str">
        <f>"00677471"</f>
        <v>00677471</v>
      </c>
    </row>
    <row r="14099" spans="1:2" x14ac:dyDescent="0.25">
      <c r="A14099" s="2">
        <v>14094</v>
      </c>
      <c r="B14099" s="11" t="str">
        <f>"00677475"</f>
        <v>00677475</v>
      </c>
    </row>
    <row r="14100" spans="1:2" x14ac:dyDescent="0.25">
      <c r="A14100" s="2">
        <v>14095</v>
      </c>
      <c r="B14100" s="11" t="str">
        <f>"00677501"</f>
        <v>00677501</v>
      </c>
    </row>
    <row r="14101" spans="1:2" x14ac:dyDescent="0.25">
      <c r="A14101" s="2">
        <v>14096</v>
      </c>
      <c r="B14101" s="11" t="str">
        <f>"00677502"</f>
        <v>00677502</v>
      </c>
    </row>
    <row r="14102" spans="1:2" x14ac:dyDescent="0.25">
      <c r="A14102" s="2">
        <v>14097</v>
      </c>
      <c r="B14102" s="11" t="str">
        <f>"00677515"</f>
        <v>00677515</v>
      </c>
    </row>
    <row r="14103" spans="1:2" x14ac:dyDescent="0.25">
      <c r="A14103" s="2">
        <v>14098</v>
      </c>
      <c r="B14103" s="11" t="str">
        <f>"00677584"</f>
        <v>00677584</v>
      </c>
    </row>
    <row r="14104" spans="1:2" x14ac:dyDescent="0.25">
      <c r="A14104" s="2">
        <v>14099</v>
      </c>
      <c r="B14104" s="11" t="str">
        <f>"00677619"</f>
        <v>00677619</v>
      </c>
    </row>
    <row r="14105" spans="1:2" x14ac:dyDescent="0.25">
      <c r="A14105" s="2">
        <v>14100</v>
      </c>
      <c r="B14105" s="11" t="str">
        <f>"00677621"</f>
        <v>00677621</v>
      </c>
    </row>
    <row r="14106" spans="1:2" x14ac:dyDescent="0.25">
      <c r="A14106" s="2">
        <v>14101</v>
      </c>
      <c r="B14106" s="11" t="str">
        <f>"00677631"</f>
        <v>00677631</v>
      </c>
    </row>
    <row r="14107" spans="1:2" x14ac:dyDescent="0.25">
      <c r="A14107" s="2">
        <v>14102</v>
      </c>
      <c r="B14107" s="11" t="str">
        <f>"00677640"</f>
        <v>00677640</v>
      </c>
    </row>
    <row r="14108" spans="1:2" x14ac:dyDescent="0.25">
      <c r="A14108" s="2">
        <v>14103</v>
      </c>
      <c r="B14108" s="11" t="str">
        <f>"00677645"</f>
        <v>00677645</v>
      </c>
    </row>
    <row r="14109" spans="1:2" x14ac:dyDescent="0.25">
      <c r="A14109" s="2">
        <v>14104</v>
      </c>
      <c r="B14109" s="11" t="str">
        <f>"00677674"</f>
        <v>00677674</v>
      </c>
    </row>
    <row r="14110" spans="1:2" x14ac:dyDescent="0.25">
      <c r="A14110" s="2">
        <v>14105</v>
      </c>
      <c r="B14110" s="11" t="str">
        <f>"00677689"</f>
        <v>00677689</v>
      </c>
    </row>
    <row r="14111" spans="1:2" x14ac:dyDescent="0.25">
      <c r="A14111" s="2">
        <v>14106</v>
      </c>
      <c r="B14111" s="11" t="str">
        <f>"00677733"</f>
        <v>00677733</v>
      </c>
    </row>
    <row r="14112" spans="1:2" x14ac:dyDescent="0.25">
      <c r="A14112" s="2">
        <v>14107</v>
      </c>
      <c r="B14112" s="11" t="str">
        <f>"00677804"</f>
        <v>00677804</v>
      </c>
    </row>
    <row r="14113" spans="1:2" x14ac:dyDescent="0.25">
      <c r="A14113" s="2">
        <v>14108</v>
      </c>
      <c r="B14113" s="11" t="str">
        <f>"00677823"</f>
        <v>00677823</v>
      </c>
    </row>
    <row r="14114" spans="1:2" x14ac:dyDescent="0.25">
      <c r="A14114" s="2">
        <v>14109</v>
      </c>
      <c r="B14114" s="11" t="str">
        <f>"00677855"</f>
        <v>00677855</v>
      </c>
    </row>
    <row r="14115" spans="1:2" x14ac:dyDescent="0.25">
      <c r="A14115" s="2">
        <v>14110</v>
      </c>
      <c r="B14115" s="11" t="str">
        <f>"00677887"</f>
        <v>00677887</v>
      </c>
    </row>
    <row r="14116" spans="1:2" x14ac:dyDescent="0.25">
      <c r="A14116" s="2">
        <v>14111</v>
      </c>
      <c r="B14116" s="11" t="str">
        <f>"00677888"</f>
        <v>00677888</v>
      </c>
    </row>
    <row r="14117" spans="1:2" x14ac:dyDescent="0.25">
      <c r="A14117" s="2">
        <v>14112</v>
      </c>
      <c r="B14117" s="11" t="str">
        <f>"00677915"</f>
        <v>00677915</v>
      </c>
    </row>
    <row r="14118" spans="1:2" x14ac:dyDescent="0.25">
      <c r="A14118" s="2">
        <v>14113</v>
      </c>
      <c r="B14118" s="11" t="str">
        <f>"00677933"</f>
        <v>00677933</v>
      </c>
    </row>
    <row r="14119" spans="1:2" x14ac:dyDescent="0.25">
      <c r="A14119" s="2">
        <v>14114</v>
      </c>
      <c r="B14119" s="11" t="str">
        <f>"00677935"</f>
        <v>00677935</v>
      </c>
    </row>
    <row r="14120" spans="1:2" x14ac:dyDescent="0.25">
      <c r="A14120" s="2">
        <v>14115</v>
      </c>
      <c r="B14120" s="11" t="str">
        <f>"00677944"</f>
        <v>00677944</v>
      </c>
    </row>
    <row r="14121" spans="1:2" x14ac:dyDescent="0.25">
      <c r="A14121" s="2">
        <v>14116</v>
      </c>
      <c r="B14121" s="11" t="str">
        <f>"00677972"</f>
        <v>00677972</v>
      </c>
    </row>
    <row r="14122" spans="1:2" x14ac:dyDescent="0.25">
      <c r="A14122" s="2">
        <v>14117</v>
      </c>
      <c r="B14122" s="11" t="str">
        <f>"00677995"</f>
        <v>00677995</v>
      </c>
    </row>
    <row r="14123" spans="1:2" x14ac:dyDescent="0.25">
      <c r="A14123" s="2">
        <v>14118</v>
      </c>
      <c r="B14123" s="11" t="str">
        <f>"00678041"</f>
        <v>00678041</v>
      </c>
    </row>
    <row r="14124" spans="1:2" x14ac:dyDescent="0.25">
      <c r="A14124" s="2">
        <v>14119</v>
      </c>
      <c r="B14124" s="11" t="str">
        <f>"00678044"</f>
        <v>00678044</v>
      </c>
    </row>
    <row r="14125" spans="1:2" x14ac:dyDescent="0.25">
      <c r="A14125" s="2">
        <v>14120</v>
      </c>
      <c r="B14125" s="11" t="str">
        <f>"00678110"</f>
        <v>00678110</v>
      </c>
    </row>
    <row r="14126" spans="1:2" x14ac:dyDescent="0.25">
      <c r="A14126" s="2">
        <v>14121</v>
      </c>
      <c r="B14126" s="11" t="str">
        <f>"00678148"</f>
        <v>00678148</v>
      </c>
    </row>
    <row r="14127" spans="1:2" x14ac:dyDescent="0.25">
      <c r="A14127" s="2">
        <v>14122</v>
      </c>
      <c r="B14127" s="11" t="str">
        <f>"00678179"</f>
        <v>00678179</v>
      </c>
    </row>
    <row r="14128" spans="1:2" x14ac:dyDescent="0.25">
      <c r="A14128" s="2">
        <v>14123</v>
      </c>
      <c r="B14128" s="11" t="str">
        <f>"00678245"</f>
        <v>00678245</v>
      </c>
    </row>
    <row r="14129" spans="1:2" x14ac:dyDescent="0.25">
      <c r="A14129" s="2">
        <v>14124</v>
      </c>
      <c r="B14129" s="11" t="str">
        <f>"00678267"</f>
        <v>00678267</v>
      </c>
    </row>
    <row r="14130" spans="1:2" x14ac:dyDescent="0.25">
      <c r="A14130" s="2">
        <v>14125</v>
      </c>
      <c r="B14130" s="11" t="str">
        <f>"00678371"</f>
        <v>00678371</v>
      </c>
    </row>
    <row r="14131" spans="1:2" x14ac:dyDescent="0.25">
      <c r="A14131" s="2">
        <v>14126</v>
      </c>
      <c r="B14131" s="11" t="str">
        <f>"00678374"</f>
        <v>00678374</v>
      </c>
    </row>
    <row r="14132" spans="1:2" x14ac:dyDescent="0.25">
      <c r="A14132" s="2">
        <v>14127</v>
      </c>
      <c r="B14132" s="11" t="str">
        <f>"00678395"</f>
        <v>00678395</v>
      </c>
    </row>
    <row r="14133" spans="1:2" x14ac:dyDescent="0.25">
      <c r="A14133" s="2">
        <v>14128</v>
      </c>
      <c r="B14133" s="11" t="str">
        <f>"00678453"</f>
        <v>00678453</v>
      </c>
    </row>
    <row r="14134" spans="1:2" x14ac:dyDescent="0.25">
      <c r="A14134" s="2">
        <v>14129</v>
      </c>
      <c r="B14134" s="11" t="str">
        <f>"00678460"</f>
        <v>00678460</v>
      </c>
    </row>
    <row r="14135" spans="1:2" x14ac:dyDescent="0.25">
      <c r="A14135" s="2">
        <v>14130</v>
      </c>
      <c r="B14135" s="11" t="str">
        <f>"00678487"</f>
        <v>00678487</v>
      </c>
    </row>
    <row r="14136" spans="1:2" x14ac:dyDescent="0.25">
      <c r="A14136" s="2">
        <v>14131</v>
      </c>
      <c r="B14136" s="11" t="str">
        <f>"00678595"</f>
        <v>00678595</v>
      </c>
    </row>
    <row r="14137" spans="1:2" x14ac:dyDescent="0.25">
      <c r="A14137" s="2">
        <v>14132</v>
      </c>
      <c r="B14137" s="11" t="str">
        <f>"00678602"</f>
        <v>00678602</v>
      </c>
    </row>
    <row r="14138" spans="1:2" x14ac:dyDescent="0.25">
      <c r="A14138" s="2">
        <v>14133</v>
      </c>
      <c r="B14138" s="11" t="str">
        <f>"00678620"</f>
        <v>00678620</v>
      </c>
    </row>
    <row r="14139" spans="1:2" x14ac:dyDescent="0.25">
      <c r="A14139" s="2">
        <v>14134</v>
      </c>
      <c r="B14139" s="11" t="str">
        <f>"00678628"</f>
        <v>00678628</v>
      </c>
    </row>
    <row r="14140" spans="1:2" x14ac:dyDescent="0.25">
      <c r="A14140" s="2">
        <v>14135</v>
      </c>
      <c r="B14140" s="11" t="str">
        <f>"00678638"</f>
        <v>00678638</v>
      </c>
    </row>
    <row r="14141" spans="1:2" x14ac:dyDescent="0.25">
      <c r="A14141" s="2">
        <v>14136</v>
      </c>
      <c r="B14141" s="11" t="str">
        <f>"00678718"</f>
        <v>00678718</v>
      </c>
    </row>
    <row r="14142" spans="1:2" x14ac:dyDescent="0.25">
      <c r="A14142" s="2">
        <v>14137</v>
      </c>
      <c r="B14142" s="11" t="str">
        <f>"00678736"</f>
        <v>00678736</v>
      </c>
    </row>
    <row r="14143" spans="1:2" x14ac:dyDescent="0.25">
      <c r="A14143" s="2">
        <v>14138</v>
      </c>
      <c r="B14143" s="11" t="str">
        <f>"00678762"</f>
        <v>00678762</v>
      </c>
    </row>
    <row r="14144" spans="1:2" x14ac:dyDescent="0.25">
      <c r="A14144" s="2">
        <v>14139</v>
      </c>
      <c r="B14144" s="11" t="str">
        <f>"00678769"</f>
        <v>00678769</v>
      </c>
    </row>
    <row r="14145" spans="1:2" x14ac:dyDescent="0.25">
      <c r="A14145" s="2">
        <v>14140</v>
      </c>
      <c r="B14145" s="11" t="str">
        <f>"00678803"</f>
        <v>00678803</v>
      </c>
    </row>
    <row r="14146" spans="1:2" x14ac:dyDescent="0.25">
      <c r="A14146" s="2">
        <v>14141</v>
      </c>
      <c r="B14146" s="11" t="str">
        <f>"00678862"</f>
        <v>00678862</v>
      </c>
    </row>
    <row r="14147" spans="1:2" x14ac:dyDescent="0.25">
      <c r="A14147" s="2">
        <v>14142</v>
      </c>
      <c r="B14147" s="11" t="str">
        <f>"00678882"</f>
        <v>00678882</v>
      </c>
    </row>
    <row r="14148" spans="1:2" x14ac:dyDescent="0.25">
      <c r="A14148" s="2">
        <v>14143</v>
      </c>
      <c r="B14148" s="11" t="str">
        <f>"00678894"</f>
        <v>00678894</v>
      </c>
    </row>
    <row r="14149" spans="1:2" x14ac:dyDescent="0.25">
      <c r="A14149" s="2">
        <v>14144</v>
      </c>
      <c r="B14149" s="11" t="str">
        <f>"00678902"</f>
        <v>00678902</v>
      </c>
    </row>
    <row r="14150" spans="1:2" x14ac:dyDescent="0.25">
      <c r="A14150" s="2">
        <v>14145</v>
      </c>
      <c r="B14150" s="11" t="str">
        <f>"00678915"</f>
        <v>00678915</v>
      </c>
    </row>
    <row r="14151" spans="1:2" x14ac:dyDescent="0.25">
      <c r="A14151" s="2">
        <v>14146</v>
      </c>
      <c r="B14151" s="11" t="str">
        <f>"00678946"</f>
        <v>00678946</v>
      </c>
    </row>
    <row r="14152" spans="1:2" x14ac:dyDescent="0.25">
      <c r="A14152" s="2">
        <v>14147</v>
      </c>
      <c r="B14152" s="11" t="str">
        <f>"00678948"</f>
        <v>00678948</v>
      </c>
    </row>
    <row r="14153" spans="1:2" x14ac:dyDescent="0.25">
      <c r="A14153" s="2">
        <v>14148</v>
      </c>
      <c r="B14153" s="11" t="str">
        <f>"00679028"</f>
        <v>00679028</v>
      </c>
    </row>
    <row r="14154" spans="1:2" x14ac:dyDescent="0.25">
      <c r="A14154" s="2">
        <v>14149</v>
      </c>
      <c r="B14154" s="11" t="str">
        <f>"00679039"</f>
        <v>00679039</v>
      </c>
    </row>
    <row r="14155" spans="1:2" x14ac:dyDescent="0.25">
      <c r="A14155" s="2">
        <v>14150</v>
      </c>
      <c r="B14155" s="11" t="str">
        <f>"00679059"</f>
        <v>00679059</v>
      </c>
    </row>
    <row r="14156" spans="1:2" x14ac:dyDescent="0.25">
      <c r="A14156" s="2">
        <v>14151</v>
      </c>
      <c r="B14156" s="11" t="str">
        <f>"00679066"</f>
        <v>00679066</v>
      </c>
    </row>
    <row r="14157" spans="1:2" x14ac:dyDescent="0.25">
      <c r="A14157" s="2">
        <v>14152</v>
      </c>
      <c r="B14157" s="11" t="str">
        <f>"00679067"</f>
        <v>00679067</v>
      </c>
    </row>
    <row r="14158" spans="1:2" x14ac:dyDescent="0.25">
      <c r="A14158" s="2">
        <v>14153</v>
      </c>
      <c r="B14158" s="11" t="str">
        <f>"00679072"</f>
        <v>00679072</v>
      </c>
    </row>
    <row r="14159" spans="1:2" x14ac:dyDescent="0.25">
      <c r="A14159" s="2">
        <v>14154</v>
      </c>
      <c r="B14159" s="11" t="str">
        <f>"00679339"</f>
        <v>00679339</v>
      </c>
    </row>
    <row r="14160" spans="1:2" x14ac:dyDescent="0.25">
      <c r="A14160" s="2">
        <v>14155</v>
      </c>
      <c r="B14160" s="11" t="str">
        <f>"00679375"</f>
        <v>00679375</v>
      </c>
    </row>
    <row r="14161" spans="1:2" x14ac:dyDescent="0.25">
      <c r="A14161" s="2">
        <v>14156</v>
      </c>
      <c r="B14161" s="11" t="str">
        <f>"00679432"</f>
        <v>00679432</v>
      </c>
    </row>
    <row r="14162" spans="1:2" x14ac:dyDescent="0.25">
      <c r="A14162" s="2">
        <v>14157</v>
      </c>
      <c r="B14162" s="11" t="str">
        <f>"00679511"</f>
        <v>00679511</v>
      </c>
    </row>
    <row r="14163" spans="1:2" x14ac:dyDescent="0.25">
      <c r="A14163" s="2">
        <v>14158</v>
      </c>
      <c r="B14163" s="11" t="str">
        <f>"00679559"</f>
        <v>00679559</v>
      </c>
    </row>
    <row r="14164" spans="1:2" x14ac:dyDescent="0.25">
      <c r="A14164" s="2">
        <v>14159</v>
      </c>
      <c r="B14164" s="11" t="str">
        <f>"00679566"</f>
        <v>00679566</v>
      </c>
    </row>
    <row r="14165" spans="1:2" x14ac:dyDescent="0.25">
      <c r="A14165" s="2">
        <v>14160</v>
      </c>
      <c r="B14165" s="11" t="str">
        <f>"00679580"</f>
        <v>00679580</v>
      </c>
    </row>
    <row r="14166" spans="1:2" x14ac:dyDescent="0.25">
      <c r="A14166" s="2">
        <v>14161</v>
      </c>
      <c r="B14166" s="11" t="str">
        <f>"00679621"</f>
        <v>00679621</v>
      </c>
    </row>
    <row r="14167" spans="1:2" x14ac:dyDescent="0.25">
      <c r="A14167" s="2">
        <v>14162</v>
      </c>
      <c r="B14167" s="11" t="str">
        <f>"00679639"</f>
        <v>00679639</v>
      </c>
    </row>
    <row r="14168" spans="1:2" x14ac:dyDescent="0.25">
      <c r="A14168" s="2">
        <v>14163</v>
      </c>
      <c r="B14168" s="11" t="str">
        <f>"00679683"</f>
        <v>00679683</v>
      </c>
    </row>
    <row r="14169" spans="1:2" x14ac:dyDescent="0.25">
      <c r="A14169" s="2">
        <v>14164</v>
      </c>
      <c r="B14169" s="11" t="str">
        <f>"00679698"</f>
        <v>00679698</v>
      </c>
    </row>
    <row r="14170" spans="1:2" x14ac:dyDescent="0.25">
      <c r="A14170" s="2">
        <v>14165</v>
      </c>
      <c r="B14170" s="11" t="str">
        <f>"00679708"</f>
        <v>00679708</v>
      </c>
    </row>
    <row r="14171" spans="1:2" x14ac:dyDescent="0.25">
      <c r="A14171" s="2">
        <v>14166</v>
      </c>
      <c r="B14171" s="11" t="str">
        <f>"00679717"</f>
        <v>00679717</v>
      </c>
    </row>
    <row r="14172" spans="1:2" x14ac:dyDescent="0.25">
      <c r="A14172" s="2">
        <v>14167</v>
      </c>
      <c r="B14172" s="11" t="str">
        <f>"00679782"</f>
        <v>00679782</v>
      </c>
    </row>
    <row r="14173" spans="1:2" x14ac:dyDescent="0.25">
      <c r="A14173" s="2">
        <v>14168</v>
      </c>
      <c r="B14173" s="11" t="str">
        <f>"00679789"</f>
        <v>00679789</v>
      </c>
    </row>
    <row r="14174" spans="1:2" x14ac:dyDescent="0.25">
      <c r="A14174" s="2">
        <v>14169</v>
      </c>
      <c r="B14174" s="11" t="str">
        <f>"00679837"</f>
        <v>00679837</v>
      </c>
    </row>
    <row r="14175" spans="1:2" x14ac:dyDescent="0.25">
      <c r="A14175" s="2">
        <v>14170</v>
      </c>
      <c r="B14175" s="11" t="str">
        <f>"00679848"</f>
        <v>00679848</v>
      </c>
    </row>
    <row r="14176" spans="1:2" x14ac:dyDescent="0.25">
      <c r="A14176" s="2">
        <v>14171</v>
      </c>
      <c r="B14176" s="11" t="str">
        <f>"00679852"</f>
        <v>00679852</v>
      </c>
    </row>
    <row r="14177" spans="1:2" x14ac:dyDescent="0.25">
      <c r="A14177" s="2">
        <v>14172</v>
      </c>
      <c r="B14177" s="11" t="str">
        <f>"00679913"</f>
        <v>00679913</v>
      </c>
    </row>
    <row r="14178" spans="1:2" x14ac:dyDescent="0.25">
      <c r="A14178" s="2">
        <v>14173</v>
      </c>
      <c r="B14178" s="11" t="str">
        <f>"00679927"</f>
        <v>00679927</v>
      </c>
    </row>
    <row r="14179" spans="1:2" x14ac:dyDescent="0.25">
      <c r="A14179" s="2">
        <v>14174</v>
      </c>
      <c r="B14179" s="11" t="str">
        <f>"00680123"</f>
        <v>00680123</v>
      </c>
    </row>
    <row r="14180" spans="1:2" x14ac:dyDescent="0.25">
      <c r="A14180" s="2">
        <v>14175</v>
      </c>
      <c r="B14180" s="11" t="str">
        <f>"00680124"</f>
        <v>00680124</v>
      </c>
    </row>
    <row r="14181" spans="1:2" x14ac:dyDescent="0.25">
      <c r="A14181" s="2">
        <v>14176</v>
      </c>
      <c r="B14181" s="11" t="str">
        <f>"00680217"</f>
        <v>00680217</v>
      </c>
    </row>
    <row r="14182" spans="1:2" x14ac:dyDescent="0.25">
      <c r="A14182" s="2">
        <v>14177</v>
      </c>
      <c r="B14182" s="11" t="str">
        <f>"00680257"</f>
        <v>00680257</v>
      </c>
    </row>
    <row r="14183" spans="1:2" x14ac:dyDescent="0.25">
      <c r="A14183" s="2">
        <v>14178</v>
      </c>
      <c r="B14183" s="11" t="str">
        <f>"00680285"</f>
        <v>00680285</v>
      </c>
    </row>
    <row r="14184" spans="1:2" x14ac:dyDescent="0.25">
      <c r="A14184" s="2">
        <v>14179</v>
      </c>
      <c r="B14184" s="11" t="str">
        <f>"00680463"</f>
        <v>00680463</v>
      </c>
    </row>
    <row r="14185" spans="1:2" x14ac:dyDescent="0.25">
      <c r="A14185" s="2">
        <v>14180</v>
      </c>
      <c r="B14185" s="11" t="str">
        <f>"00680512"</f>
        <v>00680512</v>
      </c>
    </row>
    <row r="14186" spans="1:2" x14ac:dyDescent="0.25">
      <c r="A14186" s="2">
        <v>14181</v>
      </c>
      <c r="B14186" s="11" t="str">
        <f>"00680529"</f>
        <v>00680529</v>
      </c>
    </row>
    <row r="14187" spans="1:2" x14ac:dyDescent="0.25">
      <c r="A14187" s="2">
        <v>14182</v>
      </c>
      <c r="B14187" s="11" t="str">
        <f>"00680573"</f>
        <v>00680573</v>
      </c>
    </row>
    <row r="14188" spans="1:2" x14ac:dyDescent="0.25">
      <c r="A14188" s="2">
        <v>14183</v>
      </c>
      <c r="B14188" s="11" t="str">
        <f>"00680607"</f>
        <v>00680607</v>
      </c>
    </row>
    <row r="14189" spans="1:2" x14ac:dyDescent="0.25">
      <c r="A14189" s="2">
        <v>14184</v>
      </c>
      <c r="B14189" s="11" t="str">
        <f>"00680640"</f>
        <v>00680640</v>
      </c>
    </row>
    <row r="14190" spans="1:2" x14ac:dyDescent="0.25">
      <c r="A14190" s="2">
        <v>14185</v>
      </c>
      <c r="B14190" s="11" t="str">
        <f>"00680654"</f>
        <v>00680654</v>
      </c>
    </row>
    <row r="14191" spans="1:2" x14ac:dyDescent="0.25">
      <c r="A14191" s="2">
        <v>14186</v>
      </c>
      <c r="B14191" s="11" t="str">
        <f>"00680660"</f>
        <v>00680660</v>
      </c>
    </row>
    <row r="14192" spans="1:2" x14ac:dyDescent="0.25">
      <c r="A14192" s="2">
        <v>14187</v>
      </c>
      <c r="B14192" s="11" t="str">
        <f>"00680673"</f>
        <v>00680673</v>
      </c>
    </row>
    <row r="14193" spans="1:2" x14ac:dyDescent="0.25">
      <c r="A14193" s="2">
        <v>14188</v>
      </c>
      <c r="B14193" s="11" t="str">
        <f>"00680686"</f>
        <v>00680686</v>
      </c>
    </row>
    <row r="14194" spans="1:2" x14ac:dyDescent="0.25">
      <c r="A14194" s="2">
        <v>14189</v>
      </c>
      <c r="B14194" s="11" t="str">
        <f>"00680696"</f>
        <v>00680696</v>
      </c>
    </row>
    <row r="14195" spans="1:2" x14ac:dyDescent="0.25">
      <c r="A14195" s="2">
        <v>14190</v>
      </c>
      <c r="B14195" s="11" t="str">
        <f>"00680697"</f>
        <v>00680697</v>
      </c>
    </row>
    <row r="14196" spans="1:2" x14ac:dyDescent="0.25">
      <c r="A14196" s="2">
        <v>14191</v>
      </c>
      <c r="B14196" s="11" t="str">
        <f>"00680711"</f>
        <v>00680711</v>
      </c>
    </row>
    <row r="14197" spans="1:2" x14ac:dyDescent="0.25">
      <c r="A14197" s="2">
        <v>14192</v>
      </c>
      <c r="B14197" s="11" t="str">
        <f>"00680759"</f>
        <v>00680759</v>
      </c>
    </row>
    <row r="14198" spans="1:2" x14ac:dyDescent="0.25">
      <c r="A14198" s="2">
        <v>14193</v>
      </c>
      <c r="B14198" s="11" t="str">
        <f>"00680770"</f>
        <v>00680770</v>
      </c>
    </row>
    <row r="14199" spans="1:2" x14ac:dyDescent="0.25">
      <c r="A14199" s="2">
        <v>14194</v>
      </c>
      <c r="B14199" s="11" t="str">
        <f>"00680823"</f>
        <v>00680823</v>
      </c>
    </row>
    <row r="14200" spans="1:2" x14ac:dyDescent="0.25">
      <c r="A14200" s="2">
        <v>14195</v>
      </c>
      <c r="B14200" s="11" t="str">
        <f>"00680880"</f>
        <v>00680880</v>
      </c>
    </row>
    <row r="14201" spans="1:2" x14ac:dyDescent="0.25">
      <c r="A14201" s="2">
        <v>14196</v>
      </c>
      <c r="B14201" s="11" t="str">
        <f>"00680883"</f>
        <v>00680883</v>
      </c>
    </row>
    <row r="14202" spans="1:2" x14ac:dyDescent="0.25">
      <c r="A14202" s="2">
        <v>14197</v>
      </c>
      <c r="B14202" s="11" t="str">
        <f>"00680909"</f>
        <v>00680909</v>
      </c>
    </row>
    <row r="14203" spans="1:2" x14ac:dyDescent="0.25">
      <c r="A14203" s="2">
        <v>14198</v>
      </c>
      <c r="B14203" s="11" t="str">
        <f>"00680921"</f>
        <v>00680921</v>
      </c>
    </row>
    <row r="14204" spans="1:2" x14ac:dyDescent="0.25">
      <c r="A14204" s="2">
        <v>14199</v>
      </c>
      <c r="B14204" s="11" t="str">
        <f>"00680945"</f>
        <v>00680945</v>
      </c>
    </row>
    <row r="14205" spans="1:2" x14ac:dyDescent="0.25">
      <c r="A14205" s="2">
        <v>14200</v>
      </c>
      <c r="B14205" s="11" t="str">
        <f>"00680960"</f>
        <v>00680960</v>
      </c>
    </row>
    <row r="14206" spans="1:2" x14ac:dyDescent="0.25">
      <c r="A14206" s="2">
        <v>14201</v>
      </c>
      <c r="B14206" s="11" t="str">
        <f>"00681018"</f>
        <v>00681018</v>
      </c>
    </row>
    <row r="14207" spans="1:2" x14ac:dyDescent="0.25">
      <c r="A14207" s="2">
        <v>14202</v>
      </c>
      <c r="B14207" s="11" t="str">
        <f>"00681038"</f>
        <v>00681038</v>
      </c>
    </row>
    <row r="14208" spans="1:2" x14ac:dyDescent="0.25">
      <c r="A14208" s="2">
        <v>14203</v>
      </c>
      <c r="B14208" s="11" t="str">
        <f>"00681094"</f>
        <v>00681094</v>
      </c>
    </row>
    <row r="14209" spans="1:2" x14ac:dyDescent="0.25">
      <c r="A14209" s="2">
        <v>14204</v>
      </c>
      <c r="B14209" s="11" t="str">
        <f>"00681098"</f>
        <v>00681098</v>
      </c>
    </row>
    <row r="14210" spans="1:2" x14ac:dyDescent="0.25">
      <c r="A14210" s="2">
        <v>14205</v>
      </c>
      <c r="B14210" s="11" t="str">
        <f>"00681102"</f>
        <v>00681102</v>
      </c>
    </row>
    <row r="14211" spans="1:2" x14ac:dyDescent="0.25">
      <c r="A14211" s="2">
        <v>14206</v>
      </c>
      <c r="B14211" s="11" t="str">
        <f>"00681103"</f>
        <v>00681103</v>
      </c>
    </row>
    <row r="14212" spans="1:2" x14ac:dyDescent="0.25">
      <c r="A14212" s="2">
        <v>14207</v>
      </c>
      <c r="B14212" s="11" t="str">
        <f>"00681129"</f>
        <v>00681129</v>
      </c>
    </row>
    <row r="14213" spans="1:2" x14ac:dyDescent="0.25">
      <c r="A14213" s="2">
        <v>14208</v>
      </c>
      <c r="B14213" s="11" t="str">
        <f>"00681147"</f>
        <v>00681147</v>
      </c>
    </row>
    <row r="14214" spans="1:2" x14ac:dyDescent="0.25">
      <c r="A14214" s="2">
        <v>14209</v>
      </c>
      <c r="B14214" s="11" t="str">
        <f>"00681169"</f>
        <v>00681169</v>
      </c>
    </row>
    <row r="14215" spans="1:2" x14ac:dyDescent="0.25">
      <c r="A14215" s="2">
        <v>14210</v>
      </c>
      <c r="B14215" s="11" t="str">
        <f>"00681216"</f>
        <v>00681216</v>
      </c>
    </row>
    <row r="14216" spans="1:2" x14ac:dyDescent="0.25">
      <c r="A14216" s="2">
        <v>14211</v>
      </c>
      <c r="B14216" s="11" t="str">
        <f>"00681254"</f>
        <v>00681254</v>
      </c>
    </row>
    <row r="14217" spans="1:2" x14ac:dyDescent="0.25">
      <c r="A14217" s="2">
        <v>14212</v>
      </c>
      <c r="B14217" s="11" t="str">
        <f>"00681268"</f>
        <v>00681268</v>
      </c>
    </row>
    <row r="14218" spans="1:2" x14ac:dyDescent="0.25">
      <c r="A14218" s="2">
        <v>14213</v>
      </c>
      <c r="B14218" s="11" t="str">
        <f>"00681286"</f>
        <v>00681286</v>
      </c>
    </row>
    <row r="14219" spans="1:2" x14ac:dyDescent="0.25">
      <c r="A14219" s="2">
        <v>14214</v>
      </c>
      <c r="B14219" s="11" t="str">
        <f>"00681303"</f>
        <v>00681303</v>
      </c>
    </row>
    <row r="14220" spans="1:2" x14ac:dyDescent="0.25">
      <c r="A14220" s="2">
        <v>14215</v>
      </c>
      <c r="B14220" s="11" t="str">
        <f>"00681321"</f>
        <v>00681321</v>
      </c>
    </row>
    <row r="14221" spans="1:2" x14ac:dyDescent="0.25">
      <c r="A14221" s="2">
        <v>14216</v>
      </c>
      <c r="B14221" s="11" t="str">
        <f>"00681358"</f>
        <v>00681358</v>
      </c>
    </row>
    <row r="14222" spans="1:2" x14ac:dyDescent="0.25">
      <c r="A14222" s="2">
        <v>14217</v>
      </c>
      <c r="B14222" s="11" t="str">
        <f>"00681362"</f>
        <v>00681362</v>
      </c>
    </row>
    <row r="14223" spans="1:2" x14ac:dyDescent="0.25">
      <c r="A14223" s="2">
        <v>14218</v>
      </c>
      <c r="B14223" s="11" t="str">
        <f>"00681375"</f>
        <v>00681375</v>
      </c>
    </row>
    <row r="14224" spans="1:2" x14ac:dyDescent="0.25">
      <c r="A14224" s="2">
        <v>14219</v>
      </c>
      <c r="B14224" s="11" t="str">
        <f>"00681384"</f>
        <v>00681384</v>
      </c>
    </row>
    <row r="14225" spans="1:2" x14ac:dyDescent="0.25">
      <c r="A14225" s="2">
        <v>14220</v>
      </c>
      <c r="B14225" s="11" t="str">
        <f>"00681470"</f>
        <v>00681470</v>
      </c>
    </row>
    <row r="14226" spans="1:2" x14ac:dyDescent="0.25">
      <c r="A14226" s="2">
        <v>14221</v>
      </c>
      <c r="B14226" s="11" t="str">
        <f>"00681493"</f>
        <v>00681493</v>
      </c>
    </row>
    <row r="14227" spans="1:2" x14ac:dyDescent="0.25">
      <c r="A14227" s="2">
        <v>14222</v>
      </c>
      <c r="B14227" s="11" t="str">
        <f>"00681554"</f>
        <v>00681554</v>
      </c>
    </row>
    <row r="14228" spans="1:2" x14ac:dyDescent="0.25">
      <c r="A14228" s="2">
        <v>14223</v>
      </c>
      <c r="B14228" s="11" t="str">
        <f>"00681573"</f>
        <v>00681573</v>
      </c>
    </row>
    <row r="14229" spans="1:2" x14ac:dyDescent="0.25">
      <c r="A14229" s="2">
        <v>14224</v>
      </c>
      <c r="B14229" s="11" t="str">
        <f>"00681619"</f>
        <v>00681619</v>
      </c>
    </row>
    <row r="14230" spans="1:2" x14ac:dyDescent="0.25">
      <c r="A14230" s="2">
        <v>14225</v>
      </c>
      <c r="B14230" s="11" t="str">
        <f>"00681695"</f>
        <v>00681695</v>
      </c>
    </row>
    <row r="14231" spans="1:2" x14ac:dyDescent="0.25">
      <c r="A14231" s="2">
        <v>14226</v>
      </c>
      <c r="B14231" s="11" t="str">
        <f>"00681698"</f>
        <v>00681698</v>
      </c>
    </row>
    <row r="14232" spans="1:2" x14ac:dyDescent="0.25">
      <c r="A14232" s="2">
        <v>14227</v>
      </c>
      <c r="B14232" s="11" t="str">
        <f>"00681808"</f>
        <v>00681808</v>
      </c>
    </row>
    <row r="14233" spans="1:2" x14ac:dyDescent="0.25">
      <c r="A14233" s="2">
        <v>14228</v>
      </c>
      <c r="B14233" s="11" t="str">
        <f>"00681849"</f>
        <v>00681849</v>
      </c>
    </row>
    <row r="14234" spans="1:2" x14ac:dyDescent="0.25">
      <c r="A14234" s="2">
        <v>14229</v>
      </c>
      <c r="B14234" s="11" t="str">
        <f>"00681862"</f>
        <v>00681862</v>
      </c>
    </row>
    <row r="14235" spans="1:2" x14ac:dyDescent="0.25">
      <c r="A14235" s="2">
        <v>14230</v>
      </c>
      <c r="B14235" s="11" t="str">
        <f>"00681902"</f>
        <v>00681902</v>
      </c>
    </row>
    <row r="14236" spans="1:2" x14ac:dyDescent="0.25">
      <c r="A14236" s="2">
        <v>14231</v>
      </c>
      <c r="B14236" s="11" t="str">
        <f>"00681911"</f>
        <v>00681911</v>
      </c>
    </row>
    <row r="14237" spans="1:2" x14ac:dyDescent="0.25">
      <c r="A14237" s="2">
        <v>14232</v>
      </c>
      <c r="B14237" s="11" t="str">
        <f>"00681943"</f>
        <v>00681943</v>
      </c>
    </row>
    <row r="14238" spans="1:2" x14ac:dyDescent="0.25">
      <c r="A14238" s="2">
        <v>14233</v>
      </c>
      <c r="B14238" s="11" t="str">
        <f>"00682012"</f>
        <v>00682012</v>
      </c>
    </row>
    <row r="14239" spans="1:2" x14ac:dyDescent="0.25">
      <c r="A14239" s="2">
        <v>14234</v>
      </c>
      <c r="B14239" s="11" t="str">
        <f>"00682068"</f>
        <v>00682068</v>
      </c>
    </row>
    <row r="14240" spans="1:2" x14ac:dyDescent="0.25">
      <c r="A14240" s="2">
        <v>14235</v>
      </c>
      <c r="B14240" s="11" t="str">
        <f>"00682101"</f>
        <v>00682101</v>
      </c>
    </row>
    <row r="14241" spans="1:2" x14ac:dyDescent="0.25">
      <c r="A14241" s="2">
        <v>14236</v>
      </c>
      <c r="B14241" s="11" t="str">
        <f>"00682113"</f>
        <v>00682113</v>
      </c>
    </row>
    <row r="14242" spans="1:2" x14ac:dyDescent="0.25">
      <c r="A14242" s="2">
        <v>14237</v>
      </c>
      <c r="B14242" s="11" t="str">
        <f>"00682118"</f>
        <v>00682118</v>
      </c>
    </row>
    <row r="14243" spans="1:2" x14ac:dyDescent="0.25">
      <c r="A14243" s="2">
        <v>14238</v>
      </c>
      <c r="B14243" s="11" t="str">
        <f>"00682120"</f>
        <v>00682120</v>
      </c>
    </row>
    <row r="14244" spans="1:2" x14ac:dyDescent="0.25">
      <c r="A14244" s="2">
        <v>14239</v>
      </c>
      <c r="B14244" s="11" t="str">
        <f>"00682136"</f>
        <v>00682136</v>
      </c>
    </row>
    <row r="14245" spans="1:2" x14ac:dyDescent="0.25">
      <c r="A14245" s="2">
        <v>14240</v>
      </c>
      <c r="B14245" s="11" t="str">
        <f>"00682276"</f>
        <v>00682276</v>
      </c>
    </row>
    <row r="14246" spans="1:2" x14ac:dyDescent="0.25">
      <c r="A14246" s="2">
        <v>14241</v>
      </c>
      <c r="B14246" s="11" t="str">
        <f>"00682288"</f>
        <v>00682288</v>
      </c>
    </row>
    <row r="14247" spans="1:2" x14ac:dyDescent="0.25">
      <c r="A14247" s="2">
        <v>14242</v>
      </c>
      <c r="B14247" s="11" t="str">
        <f>"00682350"</f>
        <v>00682350</v>
      </c>
    </row>
    <row r="14248" spans="1:2" x14ac:dyDescent="0.25">
      <c r="A14248" s="2">
        <v>14243</v>
      </c>
      <c r="B14248" s="11" t="str">
        <f>"00682459"</f>
        <v>00682459</v>
      </c>
    </row>
    <row r="14249" spans="1:2" x14ac:dyDescent="0.25">
      <c r="A14249" s="2">
        <v>14244</v>
      </c>
      <c r="B14249" s="11" t="str">
        <f>"00682469"</f>
        <v>00682469</v>
      </c>
    </row>
    <row r="14250" spans="1:2" x14ac:dyDescent="0.25">
      <c r="A14250" s="2">
        <v>14245</v>
      </c>
      <c r="B14250" s="11" t="str">
        <f>"00682554"</f>
        <v>00682554</v>
      </c>
    </row>
    <row r="14251" spans="1:2" x14ac:dyDescent="0.25">
      <c r="A14251" s="2">
        <v>14246</v>
      </c>
      <c r="B14251" s="11" t="str">
        <f>"00682563"</f>
        <v>00682563</v>
      </c>
    </row>
    <row r="14252" spans="1:2" x14ac:dyDescent="0.25">
      <c r="A14252" s="2">
        <v>14247</v>
      </c>
      <c r="B14252" s="11" t="str">
        <f>"00682571"</f>
        <v>00682571</v>
      </c>
    </row>
    <row r="14253" spans="1:2" x14ac:dyDescent="0.25">
      <c r="A14253" s="2">
        <v>14248</v>
      </c>
      <c r="B14253" s="11" t="str">
        <f>"00682586"</f>
        <v>00682586</v>
      </c>
    </row>
    <row r="14254" spans="1:2" x14ac:dyDescent="0.25">
      <c r="A14254" s="2">
        <v>14249</v>
      </c>
      <c r="B14254" s="11" t="str">
        <f>"00682598"</f>
        <v>00682598</v>
      </c>
    </row>
    <row r="14255" spans="1:2" x14ac:dyDescent="0.25">
      <c r="A14255" s="2">
        <v>14250</v>
      </c>
      <c r="B14255" s="11" t="str">
        <f>"00682599"</f>
        <v>00682599</v>
      </c>
    </row>
    <row r="14256" spans="1:2" x14ac:dyDescent="0.25">
      <c r="A14256" s="2">
        <v>14251</v>
      </c>
      <c r="B14256" s="11" t="str">
        <f>"00682621"</f>
        <v>00682621</v>
      </c>
    </row>
    <row r="14257" spans="1:2" x14ac:dyDescent="0.25">
      <c r="A14257" s="2">
        <v>14252</v>
      </c>
      <c r="B14257" s="11" t="str">
        <f>"00682670"</f>
        <v>00682670</v>
      </c>
    </row>
    <row r="14258" spans="1:2" x14ac:dyDescent="0.25">
      <c r="A14258" s="2">
        <v>14253</v>
      </c>
      <c r="B14258" s="11" t="str">
        <f>"00682690"</f>
        <v>00682690</v>
      </c>
    </row>
    <row r="14259" spans="1:2" x14ac:dyDescent="0.25">
      <c r="A14259" s="2">
        <v>14254</v>
      </c>
      <c r="B14259" s="11" t="str">
        <f>"00682695"</f>
        <v>00682695</v>
      </c>
    </row>
    <row r="14260" spans="1:2" x14ac:dyDescent="0.25">
      <c r="A14260" s="2">
        <v>14255</v>
      </c>
      <c r="B14260" s="11" t="str">
        <f>"00682795"</f>
        <v>00682795</v>
      </c>
    </row>
    <row r="14261" spans="1:2" x14ac:dyDescent="0.25">
      <c r="A14261" s="2">
        <v>14256</v>
      </c>
      <c r="B14261" s="11" t="str">
        <f>"00682798"</f>
        <v>00682798</v>
      </c>
    </row>
    <row r="14262" spans="1:2" x14ac:dyDescent="0.25">
      <c r="A14262" s="2">
        <v>14257</v>
      </c>
      <c r="B14262" s="11" t="str">
        <f>"00682821"</f>
        <v>00682821</v>
      </c>
    </row>
    <row r="14263" spans="1:2" x14ac:dyDescent="0.25">
      <c r="A14263" s="2">
        <v>14258</v>
      </c>
      <c r="B14263" s="11" t="str">
        <f>"00682826"</f>
        <v>00682826</v>
      </c>
    </row>
    <row r="14264" spans="1:2" x14ac:dyDescent="0.25">
      <c r="A14264" s="2">
        <v>14259</v>
      </c>
      <c r="B14264" s="11" t="str">
        <f>"00682875"</f>
        <v>00682875</v>
      </c>
    </row>
    <row r="14265" spans="1:2" x14ac:dyDescent="0.25">
      <c r="A14265" s="2">
        <v>14260</v>
      </c>
      <c r="B14265" s="11" t="str">
        <f>"00682901"</f>
        <v>00682901</v>
      </c>
    </row>
    <row r="14266" spans="1:2" x14ac:dyDescent="0.25">
      <c r="A14266" s="2">
        <v>14261</v>
      </c>
      <c r="B14266" s="11" t="str">
        <f>"00682933"</f>
        <v>00682933</v>
      </c>
    </row>
    <row r="14267" spans="1:2" x14ac:dyDescent="0.25">
      <c r="A14267" s="2">
        <v>14262</v>
      </c>
      <c r="B14267" s="11" t="str">
        <f>"00682977"</f>
        <v>00682977</v>
      </c>
    </row>
    <row r="14268" spans="1:2" x14ac:dyDescent="0.25">
      <c r="A14268" s="2">
        <v>14263</v>
      </c>
      <c r="B14268" s="11" t="str">
        <f>"00682980"</f>
        <v>00682980</v>
      </c>
    </row>
    <row r="14269" spans="1:2" x14ac:dyDescent="0.25">
      <c r="A14269" s="2">
        <v>14264</v>
      </c>
      <c r="B14269" s="11" t="str">
        <f>"00682989"</f>
        <v>00682989</v>
      </c>
    </row>
    <row r="14270" spans="1:2" x14ac:dyDescent="0.25">
      <c r="A14270" s="2">
        <v>14265</v>
      </c>
      <c r="B14270" s="11" t="str">
        <f>"00683031"</f>
        <v>00683031</v>
      </c>
    </row>
    <row r="14271" spans="1:2" x14ac:dyDescent="0.25">
      <c r="A14271" s="2">
        <v>14266</v>
      </c>
      <c r="B14271" s="11" t="str">
        <f>"00683034"</f>
        <v>00683034</v>
      </c>
    </row>
    <row r="14272" spans="1:2" x14ac:dyDescent="0.25">
      <c r="A14272" s="2">
        <v>14267</v>
      </c>
      <c r="B14272" s="11" t="str">
        <f>"00683043"</f>
        <v>00683043</v>
      </c>
    </row>
    <row r="14273" spans="1:2" x14ac:dyDescent="0.25">
      <c r="A14273" s="2">
        <v>14268</v>
      </c>
      <c r="B14273" s="11" t="str">
        <f>"00683061"</f>
        <v>00683061</v>
      </c>
    </row>
    <row r="14274" spans="1:2" x14ac:dyDescent="0.25">
      <c r="A14274" s="2">
        <v>14269</v>
      </c>
      <c r="B14274" s="11" t="str">
        <f>"00683116"</f>
        <v>00683116</v>
      </c>
    </row>
    <row r="14275" spans="1:2" x14ac:dyDescent="0.25">
      <c r="A14275" s="2">
        <v>14270</v>
      </c>
      <c r="B14275" s="11" t="str">
        <f>"00683118"</f>
        <v>00683118</v>
      </c>
    </row>
    <row r="14276" spans="1:2" x14ac:dyDescent="0.25">
      <c r="A14276" s="2">
        <v>14271</v>
      </c>
      <c r="B14276" s="11" t="str">
        <f>"00683174"</f>
        <v>00683174</v>
      </c>
    </row>
    <row r="14277" spans="1:2" x14ac:dyDescent="0.25">
      <c r="A14277" s="2">
        <v>14272</v>
      </c>
      <c r="B14277" s="11" t="str">
        <f>"00683202"</f>
        <v>00683202</v>
      </c>
    </row>
    <row r="14278" spans="1:2" x14ac:dyDescent="0.25">
      <c r="A14278" s="2">
        <v>14273</v>
      </c>
      <c r="B14278" s="11" t="str">
        <f>"00683218"</f>
        <v>00683218</v>
      </c>
    </row>
    <row r="14279" spans="1:2" x14ac:dyDescent="0.25">
      <c r="A14279" s="2">
        <v>14274</v>
      </c>
      <c r="B14279" s="11" t="str">
        <f>"00683250"</f>
        <v>00683250</v>
      </c>
    </row>
    <row r="14280" spans="1:2" x14ac:dyDescent="0.25">
      <c r="A14280" s="2">
        <v>14275</v>
      </c>
      <c r="B14280" s="11" t="str">
        <f>"00683268"</f>
        <v>00683268</v>
      </c>
    </row>
    <row r="14281" spans="1:2" x14ac:dyDescent="0.25">
      <c r="A14281" s="2">
        <v>14276</v>
      </c>
      <c r="B14281" s="11" t="str">
        <f>"00683278"</f>
        <v>00683278</v>
      </c>
    </row>
    <row r="14282" spans="1:2" x14ac:dyDescent="0.25">
      <c r="A14282" s="2">
        <v>14277</v>
      </c>
      <c r="B14282" s="11" t="str">
        <f>"00683284"</f>
        <v>00683284</v>
      </c>
    </row>
    <row r="14283" spans="1:2" x14ac:dyDescent="0.25">
      <c r="A14283" s="2">
        <v>14278</v>
      </c>
      <c r="B14283" s="11" t="str">
        <f>"00683363"</f>
        <v>00683363</v>
      </c>
    </row>
    <row r="14284" spans="1:2" x14ac:dyDescent="0.25">
      <c r="A14284" s="2">
        <v>14279</v>
      </c>
      <c r="B14284" s="11" t="str">
        <f>"00683379"</f>
        <v>00683379</v>
      </c>
    </row>
    <row r="14285" spans="1:2" x14ac:dyDescent="0.25">
      <c r="A14285" s="2">
        <v>14280</v>
      </c>
      <c r="B14285" s="11" t="str">
        <f>"00683454"</f>
        <v>00683454</v>
      </c>
    </row>
    <row r="14286" spans="1:2" x14ac:dyDescent="0.25">
      <c r="A14286" s="2">
        <v>14281</v>
      </c>
      <c r="B14286" s="11" t="str">
        <f>"00683478"</f>
        <v>00683478</v>
      </c>
    </row>
    <row r="14287" spans="1:2" x14ac:dyDescent="0.25">
      <c r="A14287" s="2">
        <v>14282</v>
      </c>
      <c r="B14287" s="11" t="str">
        <f>"00683494"</f>
        <v>00683494</v>
      </c>
    </row>
    <row r="14288" spans="1:2" x14ac:dyDescent="0.25">
      <c r="A14288" s="2">
        <v>14283</v>
      </c>
      <c r="B14288" s="11" t="str">
        <f>"00683503"</f>
        <v>00683503</v>
      </c>
    </row>
    <row r="14289" spans="1:2" x14ac:dyDescent="0.25">
      <c r="A14289" s="2">
        <v>14284</v>
      </c>
      <c r="B14289" s="11" t="str">
        <f>"00683511"</f>
        <v>00683511</v>
      </c>
    </row>
    <row r="14290" spans="1:2" x14ac:dyDescent="0.25">
      <c r="A14290" s="2">
        <v>14285</v>
      </c>
      <c r="B14290" s="11" t="str">
        <f>"00683527"</f>
        <v>00683527</v>
      </c>
    </row>
    <row r="14291" spans="1:2" x14ac:dyDescent="0.25">
      <c r="A14291" s="2">
        <v>14286</v>
      </c>
      <c r="B14291" s="11" t="str">
        <f>"00683529"</f>
        <v>00683529</v>
      </c>
    </row>
    <row r="14292" spans="1:2" x14ac:dyDescent="0.25">
      <c r="A14292" s="2">
        <v>14287</v>
      </c>
      <c r="B14292" s="11" t="str">
        <f>"00683567"</f>
        <v>00683567</v>
      </c>
    </row>
    <row r="14293" spans="1:2" x14ac:dyDescent="0.25">
      <c r="A14293" s="2">
        <v>14288</v>
      </c>
      <c r="B14293" s="11" t="str">
        <f>"00683571"</f>
        <v>00683571</v>
      </c>
    </row>
    <row r="14294" spans="1:2" x14ac:dyDescent="0.25">
      <c r="A14294" s="2">
        <v>14289</v>
      </c>
      <c r="B14294" s="11" t="str">
        <f>"00683602"</f>
        <v>00683602</v>
      </c>
    </row>
    <row r="14295" spans="1:2" x14ac:dyDescent="0.25">
      <c r="A14295" s="2">
        <v>14290</v>
      </c>
      <c r="B14295" s="11" t="str">
        <f>"00683633"</f>
        <v>00683633</v>
      </c>
    </row>
    <row r="14296" spans="1:2" x14ac:dyDescent="0.25">
      <c r="A14296" s="2">
        <v>14291</v>
      </c>
      <c r="B14296" s="11" t="str">
        <f>"00683667"</f>
        <v>00683667</v>
      </c>
    </row>
    <row r="14297" spans="1:2" x14ac:dyDescent="0.25">
      <c r="A14297" s="2">
        <v>14292</v>
      </c>
      <c r="B14297" s="11" t="str">
        <f>"00683712"</f>
        <v>00683712</v>
      </c>
    </row>
    <row r="14298" spans="1:2" x14ac:dyDescent="0.25">
      <c r="A14298" s="2">
        <v>14293</v>
      </c>
      <c r="B14298" s="11" t="str">
        <f>"00683722"</f>
        <v>00683722</v>
      </c>
    </row>
    <row r="14299" spans="1:2" x14ac:dyDescent="0.25">
      <c r="A14299" s="2">
        <v>14294</v>
      </c>
      <c r="B14299" s="11" t="str">
        <f>"00683736"</f>
        <v>00683736</v>
      </c>
    </row>
    <row r="14300" spans="1:2" x14ac:dyDescent="0.25">
      <c r="A14300" s="2">
        <v>14295</v>
      </c>
      <c r="B14300" s="11" t="str">
        <f>"00683740"</f>
        <v>00683740</v>
      </c>
    </row>
    <row r="14301" spans="1:2" x14ac:dyDescent="0.25">
      <c r="A14301" s="2">
        <v>14296</v>
      </c>
      <c r="B14301" s="11" t="str">
        <f>"00683761"</f>
        <v>00683761</v>
      </c>
    </row>
    <row r="14302" spans="1:2" x14ac:dyDescent="0.25">
      <c r="A14302" s="2">
        <v>14297</v>
      </c>
      <c r="B14302" s="11" t="str">
        <f>"00683776"</f>
        <v>00683776</v>
      </c>
    </row>
    <row r="14303" spans="1:2" x14ac:dyDescent="0.25">
      <c r="A14303" s="2">
        <v>14298</v>
      </c>
      <c r="B14303" s="11" t="str">
        <f>"00683810"</f>
        <v>00683810</v>
      </c>
    </row>
    <row r="14304" spans="1:2" x14ac:dyDescent="0.25">
      <c r="A14304" s="2">
        <v>14299</v>
      </c>
      <c r="B14304" s="11" t="str">
        <f>"00683843"</f>
        <v>00683843</v>
      </c>
    </row>
    <row r="14305" spans="1:2" x14ac:dyDescent="0.25">
      <c r="A14305" s="2">
        <v>14300</v>
      </c>
      <c r="B14305" s="11" t="str">
        <f>"00683851"</f>
        <v>00683851</v>
      </c>
    </row>
    <row r="14306" spans="1:2" x14ac:dyDescent="0.25">
      <c r="A14306" s="2">
        <v>14301</v>
      </c>
      <c r="B14306" s="11" t="str">
        <f>"00683894"</f>
        <v>00683894</v>
      </c>
    </row>
    <row r="14307" spans="1:2" x14ac:dyDescent="0.25">
      <c r="A14307" s="2">
        <v>14302</v>
      </c>
      <c r="B14307" s="11" t="str">
        <f>"00683968"</f>
        <v>00683968</v>
      </c>
    </row>
    <row r="14308" spans="1:2" x14ac:dyDescent="0.25">
      <c r="A14308" s="2">
        <v>14303</v>
      </c>
      <c r="B14308" s="11" t="str">
        <f>"00684008"</f>
        <v>00684008</v>
      </c>
    </row>
    <row r="14309" spans="1:2" x14ac:dyDescent="0.25">
      <c r="A14309" s="2">
        <v>14304</v>
      </c>
      <c r="B14309" s="11" t="str">
        <f>"00684145"</f>
        <v>00684145</v>
      </c>
    </row>
    <row r="14310" spans="1:2" x14ac:dyDescent="0.25">
      <c r="A14310" s="2">
        <v>14305</v>
      </c>
      <c r="B14310" s="11" t="str">
        <f>"00684157"</f>
        <v>00684157</v>
      </c>
    </row>
    <row r="14311" spans="1:2" x14ac:dyDescent="0.25">
      <c r="A14311" s="2">
        <v>14306</v>
      </c>
      <c r="B14311" s="11" t="str">
        <f>"00684223"</f>
        <v>00684223</v>
      </c>
    </row>
    <row r="14312" spans="1:2" x14ac:dyDescent="0.25">
      <c r="A14312" s="2">
        <v>14307</v>
      </c>
      <c r="B14312" s="11" t="str">
        <f>"00684239"</f>
        <v>00684239</v>
      </c>
    </row>
    <row r="14313" spans="1:2" x14ac:dyDescent="0.25">
      <c r="A14313" s="2">
        <v>14308</v>
      </c>
      <c r="B14313" s="11" t="str">
        <f>"00684280"</f>
        <v>00684280</v>
      </c>
    </row>
    <row r="14314" spans="1:2" x14ac:dyDescent="0.25">
      <c r="A14314" s="2">
        <v>14309</v>
      </c>
      <c r="B14314" s="11" t="str">
        <f>"00684295"</f>
        <v>00684295</v>
      </c>
    </row>
    <row r="14315" spans="1:2" x14ac:dyDescent="0.25">
      <c r="A14315" s="2">
        <v>14310</v>
      </c>
      <c r="B14315" s="11" t="str">
        <f>"00684320"</f>
        <v>00684320</v>
      </c>
    </row>
    <row r="14316" spans="1:2" x14ac:dyDescent="0.25">
      <c r="A14316" s="2">
        <v>14311</v>
      </c>
      <c r="B14316" s="11" t="str">
        <f>"00684321"</f>
        <v>00684321</v>
      </c>
    </row>
    <row r="14317" spans="1:2" x14ac:dyDescent="0.25">
      <c r="A14317" s="2">
        <v>14312</v>
      </c>
      <c r="B14317" s="11" t="str">
        <f>"00684351"</f>
        <v>00684351</v>
      </c>
    </row>
    <row r="14318" spans="1:2" x14ac:dyDescent="0.25">
      <c r="A14318" s="2">
        <v>14313</v>
      </c>
      <c r="B14318" s="11" t="str">
        <f>"00684420"</f>
        <v>00684420</v>
      </c>
    </row>
    <row r="14319" spans="1:2" x14ac:dyDescent="0.25">
      <c r="A14319" s="2">
        <v>14314</v>
      </c>
      <c r="B14319" s="11" t="str">
        <f>"00684556"</f>
        <v>00684556</v>
      </c>
    </row>
    <row r="14320" spans="1:2" x14ac:dyDescent="0.25">
      <c r="A14320" s="2">
        <v>14315</v>
      </c>
      <c r="B14320" s="11" t="str">
        <f>"00684646"</f>
        <v>00684646</v>
      </c>
    </row>
    <row r="14321" spans="1:2" x14ac:dyDescent="0.25">
      <c r="A14321" s="2">
        <v>14316</v>
      </c>
      <c r="B14321" s="11" t="str">
        <f>"00684703"</f>
        <v>00684703</v>
      </c>
    </row>
    <row r="14322" spans="1:2" x14ac:dyDescent="0.25">
      <c r="A14322" s="2">
        <v>14317</v>
      </c>
      <c r="B14322" s="11" t="str">
        <f>"00684729"</f>
        <v>00684729</v>
      </c>
    </row>
    <row r="14323" spans="1:2" x14ac:dyDescent="0.25">
      <c r="A14323" s="2">
        <v>14318</v>
      </c>
      <c r="B14323" s="11" t="str">
        <f>"00684822"</f>
        <v>00684822</v>
      </c>
    </row>
    <row r="14324" spans="1:2" x14ac:dyDescent="0.25">
      <c r="A14324" s="2">
        <v>14319</v>
      </c>
      <c r="B14324" s="11" t="str">
        <f>"00684829"</f>
        <v>00684829</v>
      </c>
    </row>
    <row r="14325" spans="1:2" x14ac:dyDescent="0.25">
      <c r="A14325" s="2">
        <v>14320</v>
      </c>
      <c r="B14325" s="11" t="str">
        <f>"00684929"</f>
        <v>00684929</v>
      </c>
    </row>
    <row r="14326" spans="1:2" x14ac:dyDescent="0.25">
      <c r="A14326" s="2">
        <v>14321</v>
      </c>
      <c r="B14326" s="11" t="str">
        <f>"00684948"</f>
        <v>00684948</v>
      </c>
    </row>
    <row r="14327" spans="1:2" x14ac:dyDescent="0.25">
      <c r="A14327" s="2">
        <v>14322</v>
      </c>
      <c r="B14327" s="11" t="str">
        <f>"00684961"</f>
        <v>00684961</v>
      </c>
    </row>
    <row r="14328" spans="1:2" x14ac:dyDescent="0.25">
      <c r="A14328" s="2">
        <v>14323</v>
      </c>
      <c r="B14328" s="11" t="str">
        <f>"00684968"</f>
        <v>00684968</v>
      </c>
    </row>
    <row r="14329" spans="1:2" x14ac:dyDescent="0.25">
      <c r="A14329" s="2">
        <v>14324</v>
      </c>
      <c r="B14329" s="11" t="str">
        <f>"00685005"</f>
        <v>00685005</v>
      </c>
    </row>
    <row r="14330" spans="1:2" x14ac:dyDescent="0.25">
      <c r="A14330" s="2">
        <v>14325</v>
      </c>
      <c r="B14330" s="11" t="str">
        <f>"00685025"</f>
        <v>00685025</v>
      </c>
    </row>
    <row r="14331" spans="1:2" x14ac:dyDescent="0.25">
      <c r="A14331" s="2">
        <v>14326</v>
      </c>
      <c r="B14331" s="11" t="str">
        <f>"00685043"</f>
        <v>00685043</v>
      </c>
    </row>
    <row r="14332" spans="1:2" x14ac:dyDescent="0.25">
      <c r="A14332" s="2">
        <v>14327</v>
      </c>
      <c r="B14332" s="11" t="str">
        <f>"00685046"</f>
        <v>00685046</v>
      </c>
    </row>
    <row r="14333" spans="1:2" x14ac:dyDescent="0.25">
      <c r="A14333" s="2">
        <v>14328</v>
      </c>
      <c r="B14333" s="11" t="str">
        <f>"00685061"</f>
        <v>00685061</v>
      </c>
    </row>
    <row r="14334" spans="1:2" x14ac:dyDescent="0.25">
      <c r="A14334" s="2">
        <v>14329</v>
      </c>
      <c r="B14334" s="11" t="str">
        <f>"00685119"</f>
        <v>00685119</v>
      </c>
    </row>
    <row r="14335" spans="1:2" x14ac:dyDescent="0.25">
      <c r="A14335" s="2">
        <v>14330</v>
      </c>
      <c r="B14335" s="11" t="str">
        <f>"00685159"</f>
        <v>00685159</v>
      </c>
    </row>
    <row r="14336" spans="1:2" x14ac:dyDescent="0.25">
      <c r="A14336" s="2">
        <v>14331</v>
      </c>
      <c r="B14336" s="11" t="str">
        <f>"00685165"</f>
        <v>00685165</v>
      </c>
    </row>
    <row r="14337" spans="1:2" x14ac:dyDescent="0.25">
      <c r="A14337" s="2">
        <v>14332</v>
      </c>
      <c r="B14337" s="11" t="str">
        <f>"00685180"</f>
        <v>00685180</v>
      </c>
    </row>
    <row r="14338" spans="1:2" x14ac:dyDescent="0.25">
      <c r="A14338" s="2">
        <v>14333</v>
      </c>
      <c r="B14338" s="11" t="str">
        <f>"00685201"</f>
        <v>00685201</v>
      </c>
    </row>
    <row r="14339" spans="1:2" x14ac:dyDescent="0.25">
      <c r="A14339" s="2">
        <v>14334</v>
      </c>
      <c r="B14339" s="11" t="str">
        <f>"00685202"</f>
        <v>00685202</v>
      </c>
    </row>
    <row r="14340" spans="1:2" x14ac:dyDescent="0.25">
      <c r="A14340" s="2">
        <v>14335</v>
      </c>
      <c r="B14340" s="11" t="str">
        <f>"00685210"</f>
        <v>00685210</v>
      </c>
    </row>
    <row r="14341" spans="1:2" x14ac:dyDescent="0.25">
      <c r="A14341" s="2">
        <v>14336</v>
      </c>
      <c r="B14341" s="11" t="str">
        <f>"00685223"</f>
        <v>00685223</v>
      </c>
    </row>
    <row r="14342" spans="1:2" x14ac:dyDescent="0.25">
      <c r="A14342" s="2">
        <v>14337</v>
      </c>
      <c r="B14342" s="11" t="str">
        <f>"00685253"</f>
        <v>00685253</v>
      </c>
    </row>
    <row r="14343" spans="1:2" x14ac:dyDescent="0.25">
      <c r="A14343" s="2">
        <v>14338</v>
      </c>
      <c r="B14343" s="11" t="str">
        <f>"00685283"</f>
        <v>00685283</v>
      </c>
    </row>
    <row r="14344" spans="1:2" x14ac:dyDescent="0.25">
      <c r="A14344" s="2">
        <v>14339</v>
      </c>
      <c r="B14344" s="11" t="str">
        <f>"00685291"</f>
        <v>00685291</v>
      </c>
    </row>
    <row r="14345" spans="1:2" x14ac:dyDescent="0.25">
      <c r="A14345" s="2">
        <v>14340</v>
      </c>
      <c r="B14345" s="11" t="str">
        <f>"00685307"</f>
        <v>00685307</v>
      </c>
    </row>
    <row r="14346" spans="1:2" x14ac:dyDescent="0.25">
      <c r="A14346" s="2">
        <v>14341</v>
      </c>
      <c r="B14346" s="11" t="str">
        <f>"00685314"</f>
        <v>00685314</v>
      </c>
    </row>
    <row r="14347" spans="1:2" x14ac:dyDescent="0.25">
      <c r="A14347" s="2">
        <v>14342</v>
      </c>
      <c r="B14347" s="11" t="str">
        <f>"00685318"</f>
        <v>00685318</v>
      </c>
    </row>
    <row r="14348" spans="1:2" x14ac:dyDescent="0.25">
      <c r="A14348" s="2">
        <v>14343</v>
      </c>
      <c r="B14348" s="11" t="str">
        <f>"00685356"</f>
        <v>00685356</v>
      </c>
    </row>
    <row r="14349" spans="1:2" x14ac:dyDescent="0.25">
      <c r="A14349" s="2">
        <v>14344</v>
      </c>
      <c r="B14349" s="11" t="str">
        <f>"00685378"</f>
        <v>00685378</v>
      </c>
    </row>
    <row r="14350" spans="1:2" x14ac:dyDescent="0.25">
      <c r="A14350" s="2">
        <v>14345</v>
      </c>
      <c r="B14350" s="11" t="str">
        <f>"00685464"</f>
        <v>00685464</v>
      </c>
    </row>
    <row r="14351" spans="1:2" x14ac:dyDescent="0.25">
      <c r="A14351" s="2">
        <v>14346</v>
      </c>
      <c r="B14351" s="11" t="str">
        <f>"00685476"</f>
        <v>00685476</v>
      </c>
    </row>
    <row r="14352" spans="1:2" x14ac:dyDescent="0.25">
      <c r="A14352" s="2">
        <v>14347</v>
      </c>
      <c r="B14352" s="11" t="str">
        <f>"00685525"</f>
        <v>00685525</v>
      </c>
    </row>
    <row r="14353" spans="1:2" x14ac:dyDescent="0.25">
      <c r="A14353" s="2">
        <v>14348</v>
      </c>
      <c r="B14353" s="11" t="str">
        <f>"00685579"</f>
        <v>00685579</v>
      </c>
    </row>
    <row r="14354" spans="1:2" x14ac:dyDescent="0.25">
      <c r="A14354" s="2">
        <v>14349</v>
      </c>
      <c r="B14354" s="11" t="str">
        <f>"00685633"</f>
        <v>00685633</v>
      </c>
    </row>
    <row r="14355" spans="1:2" x14ac:dyDescent="0.25">
      <c r="A14355" s="2">
        <v>14350</v>
      </c>
      <c r="B14355" s="11" t="str">
        <f>"00685708"</f>
        <v>00685708</v>
      </c>
    </row>
    <row r="14356" spans="1:2" x14ac:dyDescent="0.25">
      <c r="A14356" s="2">
        <v>14351</v>
      </c>
      <c r="B14356" s="11" t="str">
        <f>"00685712"</f>
        <v>00685712</v>
      </c>
    </row>
    <row r="14357" spans="1:2" x14ac:dyDescent="0.25">
      <c r="A14357" s="2">
        <v>14352</v>
      </c>
      <c r="B14357" s="11" t="str">
        <f>"00685758"</f>
        <v>00685758</v>
      </c>
    </row>
    <row r="14358" spans="1:2" x14ac:dyDescent="0.25">
      <c r="A14358" s="2">
        <v>14353</v>
      </c>
      <c r="B14358" s="11" t="str">
        <f>"00685844"</f>
        <v>00685844</v>
      </c>
    </row>
    <row r="14359" spans="1:2" x14ac:dyDescent="0.25">
      <c r="A14359" s="2">
        <v>14354</v>
      </c>
      <c r="B14359" s="11" t="str">
        <f>"00685912"</f>
        <v>00685912</v>
      </c>
    </row>
    <row r="14360" spans="1:2" x14ac:dyDescent="0.25">
      <c r="A14360" s="2">
        <v>14355</v>
      </c>
      <c r="B14360" s="11" t="str">
        <f>"00685918"</f>
        <v>00685918</v>
      </c>
    </row>
    <row r="14361" spans="1:2" x14ac:dyDescent="0.25">
      <c r="A14361" s="2">
        <v>14356</v>
      </c>
      <c r="B14361" s="11" t="str">
        <f>"00685931"</f>
        <v>00685931</v>
      </c>
    </row>
    <row r="14362" spans="1:2" x14ac:dyDescent="0.25">
      <c r="A14362" s="2">
        <v>14357</v>
      </c>
      <c r="B14362" s="11" t="str">
        <f>"00685942"</f>
        <v>00685942</v>
      </c>
    </row>
    <row r="14363" spans="1:2" x14ac:dyDescent="0.25">
      <c r="A14363" s="2">
        <v>14358</v>
      </c>
      <c r="B14363" s="11" t="str">
        <f>"00685943"</f>
        <v>00685943</v>
      </c>
    </row>
    <row r="14364" spans="1:2" x14ac:dyDescent="0.25">
      <c r="A14364" s="2">
        <v>14359</v>
      </c>
      <c r="B14364" s="11" t="str">
        <f>"00685954"</f>
        <v>00685954</v>
      </c>
    </row>
    <row r="14365" spans="1:2" x14ac:dyDescent="0.25">
      <c r="A14365" s="2">
        <v>14360</v>
      </c>
      <c r="B14365" s="11" t="str">
        <f>"00685976"</f>
        <v>00685976</v>
      </c>
    </row>
    <row r="14366" spans="1:2" x14ac:dyDescent="0.25">
      <c r="A14366" s="2">
        <v>14361</v>
      </c>
      <c r="B14366" s="11" t="str">
        <f>"00686056"</f>
        <v>00686056</v>
      </c>
    </row>
    <row r="14367" spans="1:2" x14ac:dyDescent="0.25">
      <c r="A14367" s="2">
        <v>14362</v>
      </c>
      <c r="B14367" s="11" t="str">
        <f>"00686086"</f>
        <v>00686086</v>
      </c>
    </row>
    <row r="14368" spans="1:2" x14ac:dyDescent="0.25">
      <c r="A14368" s="2">
        <v>14363</v>
      </c>
      <c r="B14368" s="11" t="str">
        <f>"00686099"</f>
        <v>00686099</v>
      </c>
    </row>
    <row r="14369" spans="1:2" x14ac:dyDescent="0.25">
      <c r="A14369" s="2">
        <v>14364</v>
      </c>
      <c r="B14369" s="11" t="str">
        <f>"00686132"</f>
        <v>00686132</v>
      </c>
    </row>
    <row r="14370" spans="1:2" x14ac:dyDescent="0.25">
      <c r="A14370" s="2">
        <v>14365</v>
      </c>
      <c r="B14370" s="11" t="str">
        <f>"00686165"</f>
        <v>00686165</v>
      </c>
    </row>
    <row r="14371" spans="1:2" x14ac:dyDescent="0.25">
      <c r="A14371" s="2">
        <v>14366</v>
      </c>
      <c r="B14371" s="11" t="str">
        <f>"00686195"</f>
        <v>00686195</v>
      </c>
    </row>
    <row r="14372" spans="1:2" x14ac:dyDescent="0.25">
      <c r="A14372" s="2">
        <v>14367</v>
      </c>
      <c r="B14372" s="11" t="str">
        <f>"00686198"</f>
        <v>00686198</v>
      </c>
    </row>
    <row r="14373" spans="1:2" x14ac:dyDescent="0.25">
      <c r="A14373" s="2">
        <v>14368</v>
      </c>
      <c r="B14373" s="11" t="str">
        <f>"00686242"</f>
        <v>00686242</v>
      </c>
    </row>
    <row r="14374" spans="1:2" x14ac:dyDescent="0.25">
      <c r="A14374" s="2">
        <v>14369</v>
      </c>
      <c r="B14374" s="11" t="str">
        <f>"00686277"</f>
        <v>00686277</v>
      </c>
    </row>
    <row r="14375" spans="1:2" x14ac:dyDescent="0.25">
      <c r="A14375" s="2">
        <v>14370</v>
      </c>
      <c r="B14375" s="11" t="str">
        <f>"00686286"</f>
        <v>00686286</v>
      </c>
    </row>
    <row r="14376" spans="1:2" x14ac:dyDescent="0.25">
      <c r="A14376" s="2">
        <v>14371</v>
      </c>
      <c r="B14376" s="11" t="str">
        <f>"00686292"</f>
        <v>00686292</v>
      </c>
    </row>
    <row r="14377" spans="1:2" x14ac:dyDescent="0.25">
      <c r="A14377" s="2">
        <v>14372</v>
      </c>
      <c r="B14377" s="11" t="str">
        <f>"00686326"</f>
        <v>00686326</v>
      </c>
    </row>
    <row r="14378" spans="1:2" x14ac:dyDescent="0.25">
      <c r="A14378" s="2">
        <v>14373</v>
      </c>
      <c r="B14378" s="11" t="str">
        <f>"00686333"</f>
        <v>00686333</v>
      </c>
    </row>
    <row r="14379" spans="1:2" x14ac:dyDescent="0.25">
      <c r="A14379" s="2">
        <v>14374</v>
      </c>
      <c r="B14379" s="11" t="str">
        <f>"00686355"</f>
        <v>00686355</v>
      </c>
    </row>
    <row r="14380" spans="1:2" x14ac:dyDescent="0.25">
      <c r="A14380" s="2">
        <v>14375</v>
      </c>
      <c r="B14380" s="11" t="str">
        <f>"00686407"</f>
        <v>00686407</v>
      </c>
    </row>
    <row r="14381" spans="1:2" x14ac:dyDescent="0.25">
      <c r="A14381" s="2">
        <v>14376</v>
      </c>
      <c r="B14381" s="11" t="str">
        <f>"00686413"</f>
        <v>00686413</v>
      </c>
    </row>
    <row r="14382" spans="1:2" x14ac:dyDescent="0.25">
      <c r="A14382" s="2">
        <v>14377</v>
      </c>
      <c r="B14382" s="11" t="str">
        <f>"00686425"</f>
        <v>00686425</v>
      </c>
    </row>
    <row r="14383" spans="1:2" x14ac:dyDescent="0.25">
      <c r="A14383" s="2">
        <v>14378</v>
      </c>
      <c r="B14383" s="11" t="str">
        <f>"00686430"</f>
        <v>00686430</v>
      </c>
    </row>
    <row r="14384" spans="1:2" x14ac:dyDescent="0.25">
      <c r="A14384" s="2">
        <v>14379</v>
      </c>
      <c r="B14384" s="11" t="str">
        <f>"00686443"</f>
        <v>00686443</v>
      </c>
    </row>
    <row r="14385" spans="1:2" x14ac:dyDescent="0.25">
      <c r="A14385" s="2">
        <v>14380</v>
      </c>
      <c r="B14385" s="11" t="str">
        <f>"00686459"</f>
        <v>00686459</v>
      </c>
    </row>
    <row r="14386" spans="1:2" x14ac:dyDescent="0.25">
      <c r="A14386" s="2">
        <v>14381</v>
      </c>
      <c r="B14386" s="11" t="str">
        <f>"00686468"</f>
        <v>00686468</v>
      </c>
    </row>
    <row r="14387" spans="1:2" x14ac:dyDescent="0.25">
      <c r="A14387" s="2">
        <v>14382</v>
      </c>
      <c r="B14387" s="11" t="str">
        <f>"00686477"</f>
        <v>00686477</v>
      </c>
    </row>
    <row r="14388" spans="1:2" x14ac:dyDescent="0.25">
      <c r="A14388" s="2">
        <v>14383</v>
      </c>
      <c r="B14388" s="11" t="str">
        <f>"00686529"</f>
        <v>00686529</v>
      </c>
    </row>
    <row r="14389" spans="1:2" x14ac:dyDescent="0.25">
      <c r="A14389" s="2">
        <v>14384</v>
      </c>
      <c r="B14389" s="11" t="str">
        <f>"00686571"</f>
        <v>00686571</v>
      </c>
    </row>
    <row r="14390" spans="1:2" x14ac:dyDescent="0.25">
      <c r="A14390" s="2">
        <v>14385</v>
      </c>
      <c r="B14390" s="11" t="str">
        <f>"00686639"</f>
        <v>00686639</v>
      </c>
    </row>
    <row r="14391" spans="1:2" x14ac:dyDescent="0.25">
      <c r="A14391" s="2">
        <v>14386</v>
      </c>
      <c r="B14391" s="11" t="str">
        <f>"00686654"</f>
        <v>00686654</v>
      </c>
    </row>
    <row r="14392" spans="1:2" x14ac:dyDescent="0.25">
      <c r="A14392" s="2">
        <v>14387</v>
      </c>
      <c r="B14392" s="11" t="str">
        <f>"00686713"</f>
        <v>00686713</v>
      </c>
    </row>
    <row r="14393" spans="1:2" x14ac:dyDescent="0.25">
      <c r="A14393" s="2">
        <v>14388</v>
      </c>
      <c r="B14393" s="11" t="str">
        <f>"00686760"</f>
        <v>00686760</v>
      </c>
    </row>
    <row r="14394" spans="1:2" x14ac:dyDescent="0.25">
      <c r="A14394" s="2">
        <v>14389</v>
      </c>
      <c r="B14394" s="11" t="str">
        <f>"00686776"</f>
        <v>00686776</v>
      </c>
    </row>
    <row r="14395" spans="1:2" x14ac:dyDescent="0.25">
      <c r="A14395" s="2">
        <v>14390</v>
      </c>
      <c r="B14395" s="11" t="str">
        <f>"00686785"</f>
        <v>00686785</v>
      </c>
    </row>
    <row r="14396" spans="1:2" x14ac:dyDescent="0.25">
      <c r="A14396" s="2">
        <v>14391</v>
      </c>
      <c r="B14396" s="11" t="str">
        <f>"00686799"</f>
        <v>00686799</v>
      </c>
    </row>
    <row r="14397" spans="1:2" x14ac:dyDescent="0.25">
      <c r="A14397" s="2">
        <v>14392</v>
      </c>
      <c r="B14397" s="11" t="str">
        <f>"00686831"</f>
        <v>00686831</v>
      </c>
    </row>
    <row r="14398" spans="1:2" x14ac:dyDescent="0.25">
      <c r="A14398" s="2">
        <v>14393</v>
      </c>
      <c r="B14398" s="11" t="str">
        <f>"00686841"</f>
        <v>00686841</v>
      </c>
    </row>
    <row r="14399" spans="1:2" x14ac:dyDescent="0.25">
      <c r="A14399" s="2">
        <v>14394</v>
      </c>
      <c r="B14399" s="11" t="str">
        <f>"00686844"</f>
        <v>00686844</v>
      </c>
    </row>
    <row r="14400" spans="1:2" x14ac:dyDescent="0.25">
      <c r="A14400" s="2">
        <v>14395</v>
      </c>
      <c r="B14400" s="11" t="str">
        <f>"00686877"</f>
        <v>00686877</v>
      </c>
    </row>
    <row r="14401" spans="1:2" x14ac:dyDescent="0.25">
      <c r="A14401" s="2">
        <v>14396</v>
      </c>
      <c r="B14401" s="11" t="str">
        <f>"00686903"</f>
        <v>00686903</v>
      </c>
    </row>
    <row r="14402" spans="1:2" x14ac:dyDescent="0.25">
      <c r="A14402" s="2">
        <v>14397</v>
      </c>
      <c r="B14402" s="11" t="str">
        <f>"00686950"</f>
        <v>00686950</v>
      </c>
    </row>
    <row r="14403" spans="1:2" x14ac:dyDescent="0.25">
      <c r="A14403" s="2">
        <v>14398</v>
      </c>
      <c r="B14403" s="11" t="str">
        <f>"00686959"</f>
        <v>00686959</v>
      </c>
    </row>
    <row r="14404" spans="1:2" x14ac:dyDescent="0.25">
      <c r="A14404" s="2">
        <v>14399</v>
      </c>
      <c r="B14404" s="11" t="str">
        <f>"00686981"</f>
        <v>00686981</v>
      </c>
    </row>
    <row r="14405" spans="1:2" x14ac:dyDescent="0.25">
      <c r="A14405" s="2">
        <v>14400</v>
      </c>
      <c r="B14405" s="11" t="str">
        <f>"00686999"</f>
        <v>00686999</v>
      </c>
    </row>
    <row r="14406" spans="1:2" x14ac:dyDescent="0.25">
      <c r="A14406" s="2">
        <v>14401</v>
      </c>
      <c r="B14406" s="11" t="str">
        <f>"00687006"</f>
        <v>00687006</v>
      </c>
    </row>
    <row r="14407" spans="1:2" x14ac:dyDescent="0.25">
      <c r="A14407" s="2">
        <v>14402</v>
      </c>
      <c r="B14407" s="11" t="str">
        <f>"00687068"</f>
        <v>00687068</v>
      </c>
    </row>
    <row r="14408" spans="1:2" x14ac:dyDescent="0.25">
      <c r="A14408" s="2">
        <v>14403</v>
      </c>
      <c r="B14408" s="11" t="str">
        <f>"00687097"</f>
        <v>00687097</v>
      </c>
    </row>
    <row r="14409" spans="1:2" x14ac:dyDescent="0.25">
      <c r="A14409" s="2">
        <v>14404</v>
      </c>
      <c r="B14409" s="11" t="str">
        <f>"00687151"</f>
        <v>00687151</v>
      </c>
    </row>
    <row r="14410" spans="1:2" x14ac:dyDescent="0.25">
      <c r="A14410" s="2">
        <v>14405</v>
      </c>
      <c r="B14410" s="11" t="str">
        <f>"00687175"</f>
        <v>00687175</v>
      </c>
    </row>
    <row r="14411" spans="1:2" x14ac:dyDescent="0.25">
      <c r="A14411" s="2">
        <v>14406</v>
      </c>
      <c r="B14411" s="11" t="str">
        <f>"00687189"</f>
        <v>00687189</v>
      </c>
    </row>
    <row r="14412" spans="1:2" x14ac:dyDescent="0.25">
      <c r="A14412" s="2">
        <v>14407</v>
      </c>
      <c r="B14412" s="11" t="str">
        <f>"00687256"</f>
        <v>00687256</v>
      </c>
    </row>
    <row r="14413" spans="1:2" x14ac:dyDescent="0.25">
      <c r="A14413" s="2">
        <v>14408</v>
      </c>
      <c r="B14413" s="11" t="str">
        <f>"00687300"</f>
        <v>00687300</v>
      </c>
    </row>
    <row r="14414" spans="1:2" x14ac:dyDescent="0.25">
      <c r="A14414" s="2">
        <v>14409</v>
      </c>
      <c r="B14414" s="11" t="str">
        <f>"00687343"</f>
        <v>00687343</v>
      </c>
    </row>
    <row r="14415" spans="1:2" x14ac:dyDescent="0.25">
      <c r="A14415" s="2">
        <v>14410</v>
      </c>
      <c r="B14415" s="11" t="str">
        <f>"00687426"</f>
        <v>00687426</v>
      </c>
    </row>
    <row r="14416" spans="1:2" x14ac:dyDescent="0.25">
      <c r="A14416" s="2">
        <v>14411</v>
      </c>
      <c r="B14416" s="11" t="str">
        <f>"00687437"</f>
        <v>00687437</v>
      </c>
    </row>
    <row r="14417" spans="1:2" x14ac:dyDescent="0.25">
      <c r="A14417" s="2">
        <v>14412</v>
      </c>
      <c r="B14417" s="11" t="str">
        <f>"00687459"</f>
        <v>00687459</v>
      </c>
    </row>
    <row r="14418" spans="1:2" x14ac:dyDescent="0.25">
      <c r="A14418" s="2">
        <v>14413</v>
      </c>
      <c r="B14418" s="11" t="str">
        <f>"00687468"</f>
        <v>00687468</v>
      </c>
    </row>
    <row r="14419" spans="1:2" x14ac:dyDescent="0.25">
      <c r="A14419" s="2">
        <v>14414</v>
      </c>
      <c r="B14419" s="11" t="str">
        <f>"00687511"</f>
        <v>00687511</v>
      </c>
    </row>
    <row r="14420" spans="1:2" x14ac:dyDescent="0.25">
      <c r="A14420" s="2">
        <v>14415</v>
      </c>
      <c r="B14420" s="11" t="str">
        <f>"00687530"</f>
        <v>00687530</v>
      </c>
    </row>
    <row r="14421" spans="1:2" x14ac:dyDescent="0.25">
      <c r="A14421" s="2">
        <v>14416</v>
      </c>
      <c r="B14421" s="11" t="str">
        <f>"00687536"</f>
        <v>00687536</v>
      </c>
    </row>
    <row r="14422" spans="1:2" x14ac:dyDescent="0.25">
      <c r="A14422" s="2">
        <v>14417</v>
      </c>
      <c r="B14422" s="11" t="str">
        <f>"00687542"</f>
        <v>00687542</v>
      </c>
    </row>
    <row r="14423" spans="1:2" x14ac:dyDescent="0.25">
      <c r="A14423" s="2">
        <v>14418</v>
      </c>
      <c r="B14423" s="11" t="str">
        <f>"00687543"</f>
        <v>00687543</v>
      </c>
    </row>
    <row r="14424" spans="1:2" x14ac:dyDescent="0.25">
      <c r="A14424" s="2">
        <v>14419</v>
      </c>
      <c r="B14424" s="11" t="str">
        <f>"00687585"</f>
        <v>00687585</v>
      </c>
    </row>
    <row r="14425" spans="1:2" x14ac:dyDescent="0.25">
      <c r="A14425" s="2">
        <v>14420</v>
      </c>
      <c r="B14425" s="11" t="str">
        <f>"00687623"</f>
        <v>00687623</v>
      </c>
    </row>
    <row r="14426" spans="1:2" x14ac:dyDescent="0.25">
      <c r="A14426" s="2">
        <v>14421</v>
      </c>
      <c r="B14426" s="11" t="str">
        <f>"00687678"</f>
        <v>00687678</v>
      </c>
    </row>
    <row r="14427" spans="1:2" x14ac:dyDescent="0.25">
      <c r="A14427" s="2">
        <v>14422</v>
      </c>
      <c r="B14427" s="11" t="str">
        <f>"00687707"</f>
        <v>00687707</v>
      </c>
    </row>
    <row r="14428" spans="1:2" x14ac:dyDescent="0.25">
      <c r="A14428" s="2">
        <v>14423</v>
      </c>
      <c r="B14428" s="11" t="str">
        <f>"00687743"</f>
        <v>00687743</v>
      </c>
    </row>
    <row r="14429" spans="1:2" x14ac:dyDescent="0.25">
      <c r="A14429" s="2">
        <v>14424</v>
      </c>
      <c r="B14429" s="11" t="str">
        <f>"00687754"</f>
        <v>00687754</v>
      </c>
    </row>
    <row r="14430" spans="1:2" x14ac:dyDescent="0.25">
      <c r="A14430" s="2">
        <v>14425</v>
      </c>
      <c r="B14430" s="11" t="str">
        <f>"00687776"</f>
        <v>00687776</v>
      </c>
    </row>
    <row r="14431" spans="1:2" x14ac:dyDescent="0.25">
      <c r="A14431" s="2">
        <v>14426</v>
      </c>
      <c r="B14431" s="11" t="str">
        <f>"00687808"</f>
        <v>00687808</v>
      </c>
    </row>
    <row r="14432" spans="1:2" x14ac:dyDescent="0.25">
      <c r="A14432" s="2">
        <v>14427</v>
      </c>
      <c r="B14432" s="11" t="str">
        <f>"00687915"</f>
        <v>00687915</v>
      </c>
    </row>
    <row r="14433" spans="1:2" x14ac:dyDescent="0.25">
      <c r="A14433" s="2">
        <v>14428</v>
      </c>
      <c r="B14433" s="11" t="str">
        <f>"00687940"</f>
        <v>00687940</v>
      </c>
    </row>
    <row r="14434" spans="1:2" x14ac:dyDescent="0.25">
      <c r="A14434" s="2">
        <v>14429</v>
      </c>
      <c r="B14434" s="11" t="str">
        <f>"00688075"</f>
        <v>00688075</v>
      </c>
    </row>
    <row r="14435" spans="1:2" x14ac:dyDescent="0.25">
      <c r="A14435" s="2">
        <v>14430</v>
      </c>
      <c r="B14435" s="11" t="str">
        <f>"00688097"</f>
        <v>00688097</v>
      </c>
    </row>
    <row r="14436" spans="1:2" x14ac:dyDescent="0.25">
      <c r="A14436" s="2">
        <v>14431</v>
      </c>
      <c r="B14436" s="11" t="str">
        <f>"00688105"</f>
        <v>00688105</v>
      </c>
    </row>
    <row r="14437" spans="1:2" x14ac:dyDescent="0.25">
      <c r="A14437" s="2">
        <v>14432</v>
      </c>
      <c r="B14437" s="11" t="str">
        <f>"00688140"</f>
        <v>00688140</v>
      </c>
    </row>
    <row r="14438" spans="1:2" x14ac:dyDescent="0.25">
      <c r="A14438" s="2">
        <v>14433</v>
      </c>
      <c r="B14438" s="11" t="str">
        <f>"00688160"</f>
        <v>00688160</v>
      </c>
    </row>
    <row r="14439" spans="1:2" x14ac:dyDescent="0.25">
      <c r="A14439" s="2">
        <v>14434</v>
      </c>
      <c r="B14439" s="11" t="str">
        <f>"00688167"</f>
        <v>00688167</v>
      </c>
    </row>
    <row r="14440" spans="1:2" x14ac:dyDescent="0.25">
      <c r="A14440" s="2">
        <v>14435</v>
      </c>
      <c r="B14440" s="11" t="str">
        <f>"00688184"</f>
        <v>00688184</v>
      </c>
    </row>
    <row r="14441" spans="1:2" x14ac:dyDescent="0.25">
      <c r="A14441" s="2">
        <v>14436</v>
      </c>
      <c r="B14441" s="11" t="str">
        <f>"00688203"</f>
        <v>00688203</v>
      </c>
    </row>
    <row r="14442" spans="1:2" x14ac:dyDescent="0.25">
      <c r="A14442" s="2">
        <v>14437</v>
      </c>
      <c r="B14442" s="11" t="str">
        <f>"00688209"</f>
        <v>00688209</v>
      </c>
    </row>
    <row r="14443" spans="1:2" x14ac:dyDescent="0.25">
      <c r="A14443" s="2">
        <v>14438</v>
      </c>
      <c r="B14443" s="11" t="str">
        <f>"00688237"</f>
        <v>00688237</v>
      </c>
    </row>
    <row r="14444" spans="1:2" x14ac:dyDescent="0.25">
      <c r="A14444" s="2">
        <v>14439</v>
      </c>
      <c r="B14444" s="11" t="str">
        <f>"00688267"</f>
        <v>00688267</v>
      </c>
    </row>
    <row r="14445" spans="1:2" x14ac:dyDescent="0.25">
      <c r="A14445" s="2">
        <v>14440</v>
      </c>
      <c r="B14445" s="11" t="str">
        <f>"00688277"</f>
        <v>00688277</v>
      </c>
    </row>
    <row r="14446" spans="1:2" x14ac:dyDescent="0.25">
      <c r="A14446" s="2">
        <v>14441</v>
      </c>
      <c r="B14446" s="11" t="str">
        <f>"00688347"</f>
        <v>00688347</v>
      </c>
    </row>
    <row r="14447" spans="1:2" x14ac:dyDescent="0.25">
      <c r="A14447" s="2">
        <v>14442</v>
      </c>
      <c r="B14447" s="11" t="str">
        <f>"00688384"</f>
        <v>00688384</v>
      </c>
    </row>
    <row r="14448" spans="1:2" x14ac:dyDescent="0.25">
      <c r="A14448" s="2">
        <v>14443</v>
      </c>
      <c r="B14448" s="11" t="str">
        <f>"00688418"</f>
        <v>00688418</v>
      </c>
    </row>
    <row r="14449" spans="1:2" x14ac:dyDescent="0.25">
      <c r="A14449" s="2">
        <v>14444</v>
      </c>
      <c r="B14449" s="11" t="str">
        <f>"00688420"</f>
        <v>00688420</v>
      </c>
    </row>
    <row r="14450" spans="1:2" x14ac:dyDescent="0.25">
      <c r="A14450" s="2">
        <v>14445</v>
      </c>
      <c r="B14450" s="11" t="str">
        <f>"00688444"</f>
        <v>00688444</v>
      </c>
    </row>
    <row r="14451" spans="1:2" x14ac:dyDescent="0.25">
      <c r="A14451" s="2">
        <v>14446</v>
      </c>
      <c r="B14451" s="11" t="str">
        <f>"00688451"</f>
        <v>00688451</v>
      </c>
    </row>
    <row r="14452" spans="1:2" x14ac:dyDescent="0.25">
      <c r="A14452" s="2">
        <v>14447</v>
      </c>
      <c r="B14452" s="11" t="str">
        <f>"00688490"</f>
        <v>00688490</v>
      </c>
    </row>
    <row r="14453" spans="1:2" x14ac:dyDescent="0.25">
      <c r="A14453" s="2">
        <v>14448</v>
      </c>
      <c r="B14453" s="11" t="str">
        <f>"00688540"</f>
        <v>00688540</v>
      </c>
    </row>
    <row r="14454" spans="1:2" x14ac:dyDescent="0.25">
      <c r="A14454" s="2">
        <v>14449</v>
      </c>
      <c r="B14454" s="11" t="str">
        <f>"00688602"</f>
        <v>00688602</v>
      </c>
    </row>
    <row r="14455" spans="1:2" x14ac:dyDescent="0.25">
      <c r="A14455" s="2">
        <v>14450</v>
      </c>
      <c r="B14455" s="11" t="str">
        <f>"00688613"</f>
        <v>00688613</v>
      </c>
    </row>
    <row r="14456" spans="1:2" x14ac:dyDescent="0.25">
      <c r="A14456" s="2">
        <v>14451</v>
      </c>
      <c r="B14456" s="11" t="str">
        <f>"00688619"</f>
        <v>00688619</v>
      </c>
    </row>
    <row r="14457" spans="1:2" x14ac:dyDescent="0.25">
      <c r="A14457" s="2">
        <v>14452</v>
      </c>
      <c r="B14457" s="11" t="str">
        <f>"00688667"</f>
        <v>00688667</v>
      </c>
    </row>
    <row r="14458" spans="1:2" x14ac:dyDescent="0.25">
      <c r="A14458" s="2">
        <v>14453</v>
      </c>
      <c r="B14458" s="11" t="str">
        <f>"00688695"</f>
        <v>00688695</v>
      </c>
    </row>
    <row r="14459" spans="1:2" x14ac:dyDescent="0.25">
      <c r="A14459" s="2">
        <v>14454</v>
      </c>
      <c r="B14459" s="11" t="str">
        <f>"00688752"</f>
        <v>00688752</v>
      </c>
    </row>
    <row r="14460" spans="1:2" x14ac:dyDescent="0.25">
      <c r="A14460" s="2">
        <v>14455</v>
      </c>
      <c r="B14460" s="11" t="str">
        <f>"00688760"</f>
        <v>00688760</v>
      </c>
    </row>
    <row r="14461" spans="1:2" x14ac:dyDescent="0.25">
      <c r="A14461" s="2">
        <v>14456</v>
      </c>
      <c r="B14461" s="11" t="str">
        <f>"00688774"</f>
        <v>00688774</v>
      </c>
    </row>
    <row r="14462" spans="1:2" x14ac:dyDescent="0.25">
      <c r="A14462" s="2">
        <v>14457</v>
      </c>
      <c r="B14462" s="11" t="str">
        <f>"00688775"</f>
        <v>00688775</v>
      </c>
    </row>
    <row r="14463" spans="1:2" x14ac:dyDescent="0.25">
      <c r="A14463" s="2">
        <v>14458</v>
      </c>
      <c r="B14463" s="11" t="str">
        <f>"00688817"</f>
        <v>00688817</v>
      </c>
    </row>
    <row r="14464" spans="1:2" x14ac:dyDescent="0.25">
      <c r="A14464" s="2">
        <v>14459</v>
      </c>
      <c r="B14464" s="11" t="str">
        <f>"00688819"</f>
        <v>00688819</v>
      </c>
    </row>
    <row r="14465" spans="1:2" x14ac:dyDescent="0.25">
      <c r="A14465" s="2">
        <v>14460</v>
      </c>
      <c r="B14465" s="11" t="str">
        <f>"00688852"</f>
        <v>00688852</v>
      </c>
    </row>
    <row r="14466" spans="1:2" x14ac:dyDescent="0.25">
      <c r="A14466" s="2">
        <v>14461</v>
      </c>
      <c r="B14466" s="11" t="str">
        <f>"00688880"</f>
        <v>00688880</v>
      </c>
    </row>
    <row r="14467" spans="1:2" x14ac:dyDescent="0.25">
      <c r="A14467" s="2">
        <v>14462</v>
      </c>
      <c r="B14467" s="11" t="str">
        <f>"00688896"</f>
        <v>00688896</v>
      </c>
    </row>
    <row r="14468" spans="1:2" x14ac:dyDescent="0.25">
      <c r="A14468" s="2">
        <v>14463</v>
      </c>
      <c r="B14468" s="11" t="str">
        <f>"00688913"</f>
        <v>00688913</v>
      </c>
    </row>
    <row r="14469" spans="1:2" x14ac:dyDescent="0.25">
      <c r="A14469" s="2">
        <v>14464</v>
      </c>
      <c r="B14469" s="11" t="str">
        <f>"00688916"</f>
        <v>00688916</v>
      </c>
    </row>
    <row r="14470" spans="1:2" x14ac:dyDescent="0.25">
      <c r="A14470" s="2">
        <v>14465</v>
      </c>
      <c r="B14470" s="11" t="str">
        <f>"00688948"</f>
        <v>00688948</v>
      </c>
    </row>
    <row r="14471" spans="1:2" x14ac:dyDescent="0.25">
      <c r="A14471" s="2">
        <v>14466</v>
      </c>
      <c r="B14471" s="11" t="str">
        <f>"00688959"</f>
        <v>00688959</v>
      </c>
    </row>
    <row r="14472" spans="1:2" x14ac:dyDescent="0.25">
      <c r="A14472" s="2">
        <v>14467</v>
      </c>
      <c r="B14472" s="11" t="str">
        <f>"00688975"</f>
        <v>00688975</v>
      </c>
    </row>
    <row r="14473" spans="1:2" x14ac:dyDescent="0.25">
      <c r="A14473" s="2">
        <v>14468</v>
      </c>
      <c r="B14473" s="11" t="str">
        <f>"00688977"</f>
        <v>00688977</v>
      </c>
    </row>
    <row r="14474" spans="1:2" x14ac:dyDescent="0.25">
      <c r="A14474" s="2">
        <v>14469</v>
      </c>
      <c r="B14474" s="11" t="str">
        <f>"00688999"</f>
        <v>00688999</v>
      </c>
    </row>
    <row r="14475" spans="1:2" x14ac:dyDescent="0.25">
      <c r="A14475" s="2">
        <v>14470</v>
      </c>
      <c r="B14475" s="11" t="str">
        <f>"00689004"</f>
        <v>00689004</v>
      </c>
    </row>
    <row r="14476" spans="1:2" x14ac:dyDescent="0.25">
      <c r="A14476" s="2">
        <v>14471</v>
      </c>
      <c r="B14476" s="11" t="str">
        <f>"00689010"</f>
        <v>00689010</v>
      </c>
    </row>
    <row r="14477" spans="1:2" x14ac:dyDescent="0.25">
      <c r="A14477" s="2">
        <v>14472</v>
      </c>
      <c r="B14477" s="11" t="str">
        <f>"00689024"</f>
        <v>00689024</v>
      </c>
    </row>
    <row r="14478" spans="1:2" x14ac:dyDescent="0.25">
      <c r="A14478" s="2">
        <v>14473</v>
      </c>
      <c r="B14478" s="11" t="str">
        <f>"00689039"</f>
        <v>00689039</v>
      </c>
    </row>
    <row r="14479" spans="1:2" x14ac:dyDescent="0.25">
      <c r="A14479" s="2">
        <v>14474</v>
      </c>
      <c r="B14479" s="11" t="str">
        <f>"00689063"</f>
        <v>00689063</v>
      </c>
    </row>
    <row r="14480" spans="1:2" x14ac:dyDescent="0.25">
      <c r="A14480" s="2">
        <v>14475</v>
      </c>
      <c r="B14480" s="11" t="str">
        <f>"00689087"</f>
        <v>00689087</v>
      </c>
    </row>
    <row r="14481" spans="1:2" x14ac:dyDescent="0.25">
      <c r="A14481" s="2">
        <v>14476</v>
      </c>
      <c r="B14481" s="11" t="str">
        <f>"00689250"</f>
        <v>00689250</v>
      </c>
    </row>
    <row r="14482" spans="1:2" x14ac:dyDescent="0.25">
      <c r="A14482" s="2">
        <v>14477</v>
      </c>
      <c r="B14482" s="11" t="str">
        <f>"00689284"</f>
        <v>00689284</v>
      </c>
    </row>
    <row r="14483" spans="1:2" x14ac:dyDescent="0.25">
      <c r="A14483" s="2">
        <v>14478</v>
      </c>
      <c r="B14483" s="11" t="str">
        <f>"00689296"</f>
        <v>00689296</v>
      </c>
    </row>
    <row r="14484" spans="1:2" x14ac:dyDescent="0.25">
      <c r="A14484" s="2">
        <v>14479</v>
      </c>
      <c r="B14484" s="11" t="str">
        <f>"00689316"</f>
        <v>00689316</v>
      </c>
    </row>
    <row r="14485" spans="1:2" x14ac:dyDescent="0.25">
      <c r="A14485" s="2">
        <v>14480</v>
      </c>
      <c r="B14485" s="11" t="str">
        <f>"00689343"</f>
        <v>00689343</v>
      </c>
    </row>
    <row r="14486" spans="1:2" x14ac:dyDescent="0.25">
      <c r="A14486" s="2">
        <v>14481</v>
      </c>
      <c r="B14486" s="11" t="str">
        <f>"00689345"</f>
        <v>00689345</v>
      </c>
    </row>
    <row r="14487" spans="1:2" x14ac:dyDescent="0.25">
      <c r="A14487" s="2">
        <v>14482</v>
      </c>
      <c r="B14487" s="11" t="str">
        <f>"00689347"</f>
        <v>00689347</v>
      </c>
    </row>
    <row r="14488" spans="1:2" x14ac:dyDescent="0.25">
      <c r="A14488" s="2">
        <v>14483</v>
      </c>
      <c r="B14488" s="11" t="str">
        <f>"00689509"</f>
        <v>00689509</v>
      </c>
    </row>
    <row r="14489" spans="1:2" x14ac:dyDescent="0.25">
      <c r="A14489" s="2">
        <v>14484</v>
      </c>
      <c r="B14489" s="11" t="str">
        <f>"00689561"</f>
        <v>00689561</v>
      </c>
    </row>
    <row r="14490" spans="1:2" x14ac:dyDescent="0.25">
      <c r="A14490" s="2">
        <v>14485</v>
      </c>
      <c r="B14490" s="11" t="str">
        <f>"00689566"</f>
        <v>00689566</v>
      </c>
    </row>
    <row r="14491" spans="1:2" x14ac:dyDescent="0.25">
      <c r="A14491" s="2">
        <v>14486</v>
      </c>
      <c r="B14491" s="11" t="str">
        <f>"00689572"</f>
        <v>00689572</v>
      </c>
    </row>
    <row r="14492" spans="1:2" x14ac:dyDescent="0.25">
      <c r="A14492" s="2">
        <v>14487</v>
      </c>
      <c r="B14492" s="11" t="str">
        <f>"00689652"</f>
        <v>00689652</v>
      </c>
    </row>
    <row r="14493" spans="1:2" x14ac:dyDescent="0.25">
      <c r="A14493" s="2">
        <v>14488</v>
      </c>
      <c r="B14493" s="11" t="str">
        <f>"00689676"</f>
        <v>00689676</v>
      </c>
    </row>
    <row r="14494" spans="1:2" x14ac:dyDescent="0.25">
      <c r="A14494" s="2">
        <v>14489</v>
      </c>
      <c r="B14494" s="11" t="str">
        <f>"00689718"</f>
        <v>00689718</v>
      </c>
    </row>
    <row r="14495" spans="1:2" x14ac:dyDescent="0.25">
      <c r="A14495" s="2">
        <v>14490</v>
      </c>
      <c r="B14495" s="11" t="str">
        <f>"00689735"</f>
        <v>00689735</v>
      </c>
    </row>
    <row r="14496" spans="1:2" x14ac:dyDescent="0.25">
      <c r="A14496" s="2">
        <v>14491</v>
      </c>
      <c r="B14496" s="11" t="str">
        <f>"00689750"</f>
        <v>00689750</v>
      </c>
    </row>
    <row r="14497" spans="1:2" x14ac:dyDescent="0.25">
      <c r="A14497" s="2">
        <v>14492</v>
      </c>
      <c r="B14497" s="11" t="str">
        <f>"00689789"</f>
        <v>00689789</v>
      </c>
    </row>
    <row r="14498" spans="1:2" x14ac:dyDescent="0.25">
      <c r="A14498" s="2">
        <v>14493</v>
      </c>
      <c r="B14498" s="11" t="str">
        <f>"00689798"</f>
        <v>00689798</v>
      </c>
    </row>
    <row r="14499" spans="1:2" x14ac:dyDescent="0.25">
      <c r="A14499" s="2">
        <v>14494</v>
      </c>
      <c r="B14499" s="11" t="str">
        <f>"00689813"</f>
        <v>00689813</v>
      </c>
    </row>
    <row r="14500" spans="1:2" x14ac:dyDescent="0.25">
      <c r="A14500" s="2">
        <v>14495</v>
      </c>
      <c r="B14500" s="11" t="str">
        <f>"00689815"</f>
        <v>00689815</v>
      </c>
    </row>
    <row r="14501" spans="1:2" x14ac:dyDescent="0.25">
      <c r="A14501" s="2">
        <v>14496</v>
      </c>
      <c r="B14501" s="11" t="str">
        <f>"00689860"</f>
        <v>00689860</v>
      </c>
    </row>
    <row r="14502" spans="1:2" x14ac:dyDescent="0.25">
      <c r="A14502" s="2">
        <v>14497</v>
      </c>
      <c r="B14502" s="11" t="str">
        <f>"00689902"</f>
        <v>00689902</v>
      </c>
    </row>
    <row r="14503" spans="1:2" x14ac:dyDescent="0.25">
      <c r="A14503" s="2">
        <v>14498</v>
      </c>
      <c r="B14503" s="11" t="str">
        <f>"00689910"</f>
        <v>00689910</v>
      </c>
    </row>
    <row r="14504" spans="1:2" x14ac:dyDescent="0.25">
      <c r="A14504" s="2">
        <v>14499</v>
      </c>
      <c r="B14504" s="11" t="str">
        <f>"00689926"</f>
        <v>00689926</v>
      </c>
    </row>
    <row r="14505" spans="1:2" x14ac:dyDescent="0.25">
      <c r="A14505" s="2">
        <v>14500</v>
      </c>
      <c r="B14505" s="11" t="str">
        <f>"00690092"</f>
        <v>00690092</v>
      </c>
    </row>
    <row r="14506" spans="1:2" x14ac:dyDescent="0.25">
      <c r="A14506" s="2">
        <v>14501</v>
      </c>
      <c r="B14506" s="11" t="str">
        <f>"00690157"</f>
        <v>00690157</v>
      </c>
    </row>
    <row r="14507" spans="1:2" x14ac:dyDescent="0.25">
      <c r="A14507" s="2">
        <v>14502</v>
      </c>
      <c r="B14507" s="11" t="str">
        <f>"00690180"</f>
        <v>00690180</v>
      </c>
    </row>
    <row r="14508" spans="1:2" x14ac:dyDescent="0.25">
      <c r="A14508" s="2">
        <v>14503</v>
      </c>
      <c r="B14508" s="11" t="str">
        <f>"00690181"</f>
        <v>00690181</v>
      </c>
    </row>
    <row r="14509" spans="1:2" x14ac:dyDescent="0.25">
      <c r="A14509" s="2">
        <v>14504</v>
      </c>
      <c r="B14509" s="11" t="str">
        <f>"00690269"</f>
        <v>00690269</v>
      </c>
    </row>
    <row r="14510" spans="1:2" x14ac:dyDescent="0.25">
      <c r="A14510" s="2">
        <v>14505</v>
      </c>
      <c r="B14510" s="11" t="str">
        <f>"00690282"</f>
        <v>00690282</v>
      </c>
    </row>
    <row r="14511" spans="1:2" x14ac:dyDescent="0.25">
      <c r="A14511" s="2">
        <v>14506</v>
      </c>
      <c r="B14511" s="11" t="str">
        <f>"00690295"</f>
        <v>00690295</v>
      </c>
    </row>
    <row r="14512" spans="1:2" x14ac:dyDescent="0.25">
      <c r="A14512" s="2">
        <v>14507</v>
      </c>
      <c r="B14512" s="11" t="str">
        <f>"00690375"</f>
        <v>00690375</v>
      </c>
    </row>
    <row r="14513" spans="1:2" x14ac:dyDescent="0.25">
      <c r="A14513" s="2">
        <v>14508</v>
      </c>
      <c r="B14513" s="11" t="str">
        <f>"00690392"</f>
        <v>00690392</v>
      </c>
    </row>
    <row r="14514" spans="1:2" x14ac:dyDescent="0.25">
      <c r="A14514" s="2">
        <v>14509</v>
      </c>
      <c r="B14514" s="11" t="str">
        <f>"00690433"</f>
        <v>00690433</v>
      </c>
    </row>
    <row r="14515" spans="1:2" x14ac:dyDescent="0.25">
      <c r="A14515" s="2">
        <v>14510</v>
      </c>
      <c r="B14515" s="11" t="str">
        <f>"00690496"</f>
        <v>00690496</v>
      </c>
    </row>
    <row r="14516" spans="1:2" x14ac:dyDescent="0.25">
      <c r="A14516" s="2">
        <v>14511</v>
      </c>
      <c r="B14516" s="11" t="str">
        <f>"00690504"</f>
        <v>00690504</v>
      </c>
    </row>
    <row r="14517" spans="1:2" x14ac:dyDescent="0.25">
      <c r="A14517" s="2">
        <v>14512</v>
      </c>
      <c r="B14517" s="11" t="str">
        <f>"00690518"</f>
        <v>00690518</v>
      </c>
    </row>
    <row r="14518" spans="1:2" x14ac:dyDescent="0.25">
      <c r="A14518" s="2">
        <v>14513</v>
      </c>
      <c r="B14518" s="11" t="str">
        <f>"00690534"</f>
        <v>00690534</v>
      </c>
    </row>
    <row r="14519" spans="1:2" x14ac:dyDescent="0.25">
      <c r="A14519" s="2">
        <v>14514</v>
      </c>
      <c r="B14519" s="11" t="str">
        <f>"00690536"</f>
        <v>00690536</v>
      </c>
    </row>
    <row r="14520" spans="1:2" x14ac:dyDescent="0.25">
      <c r="A14520" s="2">
        <v>14515</v>
      </c>
      <c r="B14520" s="11" t="str">
        <f>"00690538"</f>
        <v>00690538</v>
      </c>
    </row>
    <row r="14521" spans="1:2" x14ac:dyDescent="0.25">
      <c r="A14521" s="2">
        <v>14516</v>
      </c>
      <c r="B14521" s="11" t="str">
        <f>"00690545"</f>
        <v>00690545</v>
      </c>
    </row>
    <row r="14522" spans="1:2" x14ac:dyDescent="0.25">
      <c r="A14522" s="2">
        <v>14517</v>
      </c>
      <c r="B14522" s="11" t="str">
        <f>"00690571"</f>
        <v>00690571</v>
      </c>
    </row>
    <row r="14523" spans="1:2" x14ac:dyDescent="0.25">
      <c r="A14523" s="2">
        <v>14518</v>
      </c>
      <c r="B14523" s="11" t="str">
        <f>"00690593"</f>
        <v>00690593</v>
      </c>
    </row>
    <row r="14524" spans="1:2" x14ac:dyDescent="0.25">
      <c r="A14524" s="2">
        <v>14519</v>
      </c>
      <c r="B14524" s="11" t="str">
        <f>"00690646"</f>
        <v>00690646</v>
      </c>
    </row>
    <row r="14525" spans="1:2" x14ac:dyDescent="0.25">
      <c r="A14525" s="2">
        <v>14520</v>
      </c>
      <c r="B14525" s="11" t="str">
        <f>"00690678"</f>
        <v>00690678</v>
      </c>
    </row>
    <row r="14526" spans="1:2" x14ac:dyDescent="0.25">
      <c r="A14526" s="2">
        <v>14521</v>
      </c>
      <c r="B14526" s="11" t="str">
        <f>"00690680"</f>
        <v>00690680</v>
      </c>
    </row>
    <row r="14527" spans="1:2" x14ac:dyDescent="0.25">
      <c r="A14527" s="2">
        <v>14522</v>
      </c>
      <c r="B14527" s="11" t="str">
        <f>"00690693"</f>
        <v>00690693</v>
      </c>
    </row>
    <row r="14528" spans="1:2" x14ac:dyDescent="0.25">
      <c r="A14528" s="2">
        <v>14523</v>
      </c>
      <c r="B14528" s="11" t="str">
        <f>"00690751"</f>
        <v>00690751</v>
      </c>
    </row>
    <row r="14529" spans="1:2" x14ac:dyDescent="0.25">
      <c r="A14529" s="2">
        <v>14524</v>
      </c>
      <c r="B14529" s="11" t="str">
        <f>"00690845"</f>
        <v>00690845</v>
      </c>
    </row>
    <row r="14530" spans="1:2" x14ac:dyDescent="0.25">
      <c r="A14530" s="2">
        <v>14525</v>
      </c>
      <c r="B14530" s="11" t="str">
        <f>"00690865"</f>
        <v>00690865</v>
      </c>
    </row>
    <row r="14531" spans="1:2" x14ac:dyDescent="0.25">
      <c r="A14531" s="2">
        <v>14526</v>
      </c>
      <c r="B14531" s="11" t="str">
        <f>"00690868"</f>
        <v>00690868</v>
      </c>
    </row>
    <row r="14532" spans="1:2" x14ac:dyDescent="0.25">
      <c r="A14532" s="2">
        <v>14527</v>
      </c>
      <c r="B14532" s="11" t="str">
        <f>"00690869"</f>
        <v>00690869</v>
      </c>
    </row>
    <row r="14533" spans="1:2" x14ac:dyDescent="0.25">
      <c r="A14533" s="2">
        <v>14528</v>
      </c>
      <c r="B14533" s="11" t="str">
        <f>"00690876"</f>
        <v>00690876</v>
      </c>
    </row>
    <row r="14534" spans="1:2" x14ac:dyDescent="0.25">
      <c r="A14534" s="2">
        <v>14529</v>
      </c>
      <c r="B14534" s="11" t="str">
        <f>"00690887"</f>
        <v>00690887</v>
      </c>
    </row>
    <row r="14535" spans="1:2" x14ac:dyDescent="0.25">
      <c r="A14535" s="2">
        <v>14530</v>
      </c>
      <c r="B14535" s="11" t="str">
        <f>"00690902"</f>
        <v>00690902</v>
      </c>
    </row>
    <row r="14536" spans="1:2" x14ac:dyDescent="0.25">
      <c r="A14536" s="2">
        <v>14531</v>
      </c>
      <c r="B14536" s="11" t="str">
        <f>"00690936"</f>
        <v>00690936</v>
      </c>
    </row>
    <row r="14537" spans="1:2" x14ac:dyDescent="0.25">
      <c r="A14537" s="2">
        <v>14532</v>
      </c>
      <c r="B14537" s="11" t="str">
        <f>"00690983"</f>
        <v>00690983</v>
      </c>
    </row>
    <row r="14538" spans="1:2" x14ac:dyDescent="0.25">
      <c r="A14538" s="2">
        <v>14533</v>
      </c>
      <c r="B14538" s="11" t="str">
        <f>"00691141"</f>
        <v>00691141</v>
      </c>
    </row>
    <row r="14539" spans="1:2" x14ac:dyDescent="0.25">
      <c r="A14539" s="2">
        <v>14534</v>
      </c>
      <c r="B14539" s="11" t="str">
        <f>"00691174"</f>
        <v>00691174</v>
      </c>
    </row>
    <row r="14540" spans="1:2" x14ac:dyDescent="0.25">
      <c r="A14540" s="2">
        <v>14535</v>
      </c>
      <c r="B14540" s="11" t="str">
        <f>"00691177"</f>
        <v>00691177</v>
      </c>
    </row>
    <row r="14541" spans="1:2" x14ac:dyDescent="0.25">
      <c r="A14541" s="2">
        <v>14536</v>
      </c>
      <c r="B14541" s="11" t="str">
        <f>"00691223"</f>
        <v>00691223</v>
      </c>
    </row>
    <row r="14542" spans="1:2" x14ac:dyDescent="0.25">
      <c r="A14542" s="2">
        <v>14537</v>
      </c>
      <c r="B14542" s="11" t="str">
        <f>"00691237"</f>
        <v>00691237</v>
      </c>
    </row>
    <row r="14543" spans="1:2" x14ac:dyDescent="0.25">
      <c r="A14543" s="2">
        <v>14538</v>
      </c>
      <c r="B14543" s="11" t="str">
        <f>"00691252"</f>
        <v>00691252</v>
      </c>
    </row>
    <row r="14544" spans="1:2" x14ac:dyDescent="0.25">
      <c r="A14544" s="2">
        <v>14539</v>
      </c>
      <c r="B14544" s="11" t="str">
        <f>"00691255"</f>
        <v>00691255</v>
      </c>
    </row>
    <row r="14545" spans="1:2" x14ac:dyDescent="0.25">
      <c r="A14545" s="2">
        <v>14540</v>
      </c>
      <c r="B14545" s="11" t="str">
        <f>"00691274"</f>
        <v>00691274</v>
      </c>
    </row>
    <row r="14546" spans="1:2" x14ac:dyDescent="0.25">
      <c r="A14546" s="2">
        <v>14541</v>
      </c>
      <c r="B14546" s="11" t="str">
        <f>"00691321"</f>
        <v>00691321</v>
      </c>
    </row>
    <row r="14547" spans="1:2" x14ac:dyDescent="0.25">
      <c r="A14547" s="2">
        <v>14542</v>
      </c>
      <c r="B14547" s="11" t="str">
        <f>"00691326"</f>
        <v>00691326</v>
      </c>
    </row>
    <row r="14548" spans="1:2" x14ac:dyDescent="0.25">
      <c r="A14548" s="2">
        <v>14543</v>
      </c>
      <c r="B14548" s="11" t="str">
        <f>"00691335"</f>
        <v>00691335</v>
      </c>
    </row>
    <row r="14549" spans="1:2" x14ac:dyDescent="0.25">
      <c r="A14549" s="2">
        <v>14544</v>
      </c>
      <c r="B14549" s="11" t="str">
        <f>"00691344"</f>
        <v>00691344</v>
      </c>
    </row>
    <row r="14550" spans="1:2" x14ac:dyDescent="0.25">
      <c r="A14550" s="2">
        <v>14545</v>
      </c>
      <c r="B14550" s="11" t="str">
        <f>"00691429"</f>
        <v>00691429</v>
      </c>
    </row>
    <row r="14551" spans="1:2" x14ac:dyDescent="0.25">
      <c r="A14551" s="2">
        <v>14546</v>
      </c>
      <c r="B14551" s="11" t="str">
        <f>"00691454"</f>
        <v>00691454</v>
      </c>
    </row>
    <row r="14552" spans="1:2" x14ac:dyDescent="0.25">
      <c r="A14552" s="2">
        <v>14547</v>
      </c>
      <c r="B14552" s="11" t="str">
        <f>"00691475"</f>
        <v>00691475</v>
      </c>
    </row>
    <row r="14553" spans="1:2" x14ac:dyDescent="0.25">
      <c r="A14553" s="2">
        <v>14548</v>
      </c>
      <c r="B14553" s="11" t="str">
        <f>"00691548"</f>
        <v>00691548</v>
      </c>
    </row>
    <row r="14554" spans="1:2" x14ac:dyDescent="0.25">
      <c r="A14554" s="2">
        <v>14549</v>
      </c>
      <c r="B14554" s="11" t="str">
        <f>"00691604"</f>
        <v>00691604</v>
      </c>
    </row>
    <row r="14555" spans="1:2" x14ac:dyDescent="0.25">
      <c r="A14555" s="2">
        <v>14550</v>
      </c>
      <c r="B14555" s="11" t="str">
        <f>"00691653"</f>
        <v>00691653</v>
      </c>
    </row>
    <row r="14556" spans="1:2" x14ac:dyDescent="0.25">
      <c r="A14556" s="2">
        <v>14551</v>
      </c>
      <c r="B14556" s="11" t="str">
        <f>"00691682"</f>
        <v>00691682</v>
      </c>
    </row>
    <row r="14557" spans="1:2" x14ac:dyDescent="0.25">
      <c r="A14557" s="2">
        <v>14552</v>
      </c>
      <c r="B14557" s="11" t="str">
        <f>"00691685"</f>
        <v>00691685</v>
      </c>
    </row>
    <row r="14558" spans="1:2" x14ac:dyDescent="0.25">
      <c r="A14558" s="2">
        <v>14553</v>
      </c>
      <c r="B14558" s="11" t="str">
        <f>"00691822"</f>
        <v>00691822</v>
      </c>
    </row>
    <row r="14559" spans="1:2" x14ac:dyDescent="0.25">
      <c r="A14559" s="2">
        <v>14554</v>
      </c>
      <c r="B14559" s="11" t="str">
        <f>"00691830"</f>
        <v>00691830</v>
      </c>
    </row>
    <row r="14560" spans="1:2" x14ac:dyDescent="0.25">
      <c r="A14560" s="2">
        <v>14555</v>
      </c>
      <c r="B14560" s="11" t="str">
        <f>"00691844"</f>
        <v>00691844</v>
      </c>
    </row>
    <row r="14561" spans="1:2" x14ac:dyDescent="0.25">
      <c r="A14561" s="2">
        <v>14556</v>
      </c>
      <c r="B14561" s="11" t="str">
        <f>"00691928"</f>
        <v>00691928</v>
      </c>
    </row>
    <row r="14562" spans="1:2" x14ac:dyDescent="0.25">
      <c r="A14562" s="2">
        <v>14557</v>
      </c>
      <c r="B14562" s="11" t="str">
        <f>"00691934"</f>
        <v>00691934</v>
      </c>
    </row>
    <row r="14563" spans="1:2" x14ac:dyDescent="0.25">
      <c r="A14563" s="2">
        <v>14558</v>
      </c>
      <c r="B14563" s="11" t="str">
        <f>"00691941"</f>
        <v>00691941</v>
      </c>
    </row>
    <row r="14564" spans="1:2" x14ac:dyDescent="0.25">
      <c r="A14564" s="2">
        <v>14559</v>
      </c>
      <c r="B14564" s="11" t="str">
        <f>"00691948"</f>
        <v>00691948</v>
      </c>
    </row>
    <row r="14565" spans="1:2" x14ac:dyDescent="0.25">
      <c r="A14565" s="2">
        <v>14560</v>
      </c>
      <c r="B14565" s="11" t="str">
        <f>"00691957"</f>
        <v>00691957</v>
      </c>
    </row>
    <row r="14566" spans="1:2" x14ac:dyDescent="0.25">
      <c r="A14566" s="2">
        <v>14561</v>
      </c>
      <c r="B14566" s="11" t="str">
        <f>"00691985"</f>
        <v>00691985</v>
      </c>
    </row>
    <row r="14567" spans="1:2" x14ac:dyDescent="0.25">
      <c r="A14567" s="2">
        <v>14562</v>
      </c>
      <c r="B14567" s="11" t="str">
        <f>"00692032"</f>
        <v>00692032</v>
      </c>
    </row>
    <row r="14568" spans="1:2" x14ac:dyDescent="0.25">
      <c r="A14568" s="2">
        <v>14563</v>
      </c>
      <c r="B14568" s="11" t="str">
        <f>"00692033"</f>
        <v>00692033</v>
      </c>
    </row>
    <row r="14569" spans="1:2" x14ac:dyDescent="0.25">
      <c r="A14569" s="2">
        <v>14564</v>
      </c>
      <c r="B14569" s="11" t="str">
        <f>"00692046"</f>
        <v>00692046</v>
      </c>
    </row>
    <row r="14570" spans="1:2" x14ac:dyDescent="0.25">
      <c r="A14570" s="2">
        <v>14565</v>
      </c>
      <c r="B14570" s="11" t="str">
        <f>"00692064"</f>
        <v>00692064</v>
      </c>
    </row>
    <row r="14571" spans="1:2" x14ac:dyDescent="0.25">
      <c r="A14571" s="2">
        <v>14566</v>
      </c>
      <c r="B14571" s="11" t="str">
        <f>"00692066"</f>
        <v>00692066</v>
      </c>
    </row>
    <row r="14572" spans="1:2" x14ac:dyDescent="0.25">
      <c r="A14572" s="2">
        <v>14567</v>
      </c>
      <c r="B14572" s="11" t="str">
        <f>"00692089"</f>
        <v>00692089</v>
      </c>
    </row>
    <row r="14573" spans="1:2" x14ac:dyDescent="0.25">
      <c r="A14573" s="2">
        <v>14568</v>
      </c>
      <c r="B14573" s="11" t="str">
        <f>"00692099"</f>
        <v>00692099</v>
      </c>
    </row>
    <row r="14574" spans="1:2" x14ac:dyDescent="0.25">
      <c r="A14574" s="2">
        <v>14569</v>
      </c>
      <c r="B14574" s="11" t="str">
        <f>"00692158"</f>
        <v>00692158</v>
      </c>
    </row>
    <row r="14575" spans="1:2" x14ac:dyDescent="0.25">
      <c r="A14575" s="2">
        <v>14570</v>
      </c>
      <c r="B14575" s="11" t="str">
        <f>"00692188"</f>
        <v>00692188</v>
      </c>
    </row>
    <row r="14576" spans="1:2" x14ac:dyDescent="0.25">
      <c r="A14576" s="2">
        <v>14571</v>
      </c>
      <c r="B14576" s="11" t="str">
        <f>"00692267"</f>
        <v>00692267</v>
      </c>
    </row>
    <row r="14577" spans="1:2" x14ac:dyDescent="0.25">
      <c r="A14577" s="2">
        <v>14572</v>
      </c>
      <c r="B14577" s="11" t="str">
        <f>"00692328"</f>
        <v>00692328</v>
      </c>
    </row>
    <row r="14578" spans="1:2" x14ac:dyDescent="0.25">
      <c r="A14578" s="2">
        <v>14573</v>
      </c>
      <c r="B14578" s="11" t="str">
        <f>"00692352"</f>
        <v>00692352</v>
      </c>
    </row>
    <row r="14579" spans="1:2" x14ac:dyDescent="0.25">
      <c r="A14579" s="2">
        <v>14574</v>
      </c>
      <c r="B14579" s="11" t="str">
        <f>"00692373"</f>
        <v>00692373</v>
      </c>
    </row>
    <row r="14580" spans="1:2" x14ac:dyDescent="0.25">
      <c r="A14580" s="2">
        <v>14575</v>
      </c>
      <c r="B14580" s="11" t="str">
        <f>"00692406"</f>
        <v>00692406</v>
      </c>
    </row>
    <row r="14581" spans="1:2" x14ac:dyDescent="0.25">
      <c r="A14581" s="2">
        <v>14576</v>
      </c>
      <c r="B14581" s="11" t="str">
        <f>"00692418"</f>
        <v>00692418</v>
      </c>
    </row>
    <row r="14582" spans="1:2" x14ac:dyDescent="0.25">
      <c r="A14582" s="2">
        <v>14577</v>
      </c>
      <c r="B14582" s="11" t="str">
        <f>"00692449"</f>
        <v>00692449</v>
      </c>
    </row>
    <row r="14583" spans="1:2" x14ac:dyDescent="0.25">
      <c r="A14583" s="2">
        <v>14578</v>
      </c>
      <c r="B14583" s="11" t="str">
        <f>"00692486"</f>
        <v>00692486</v>
      </c>
    </row>
    <row r="14584" spans="1:2" x14ac:dyDescent="0.25">
      <c r="A14584" s="2">
        <v>14579</v>
      </c>
      <c r="B14584" s="11" t="str">
        <f>"00692490"</f>
        <v>00692490</v>
      </c>
    </row>
    <row r="14585" spans="1:2" x14ac:dyDescent="0.25">
      <c r="A14585" s="2">
        <v>14580</v>
      </c>
      <c r="B14585" s="11" t="str">
        <f>"00692513"</f>
        <v>00692513</v>
      </c>
    </row>
    <row r="14586" spans="1:2" x14ac:dyDescent="0.25">
      <c r="A14586" s="2">
        <v>14581</v>
      </c>
      <c r="B14586" s="11" t="str">
        <f>"00692526"</f>
        <v>00692526</v>
      </c>
    </row>
    <row r="14587" spans="1:2" x14ac:dyDescent="0.25">
      <c r="A14587" s="2">
        <v>14582</v>
      </c>
      <c r="B14587" s="11" t="str">
        <f>"00692535"</f>
        <v>00692535</v>
      </c>
    </row>
    <row r="14588" spans="1:2" x14ac:dyDescent="0.25">
      <c r="A14588" s="2">
        <v>14583</v>
      </c>
      <c r="B14588" s="11" t="str">
        <f>"00692541"</f>
        <v>00692541</v>
      </c>
    </row>
    <row r="14589" spans="1:2" x14ac:dyDescent="0.25">
      <c r="A14589" s="2">
        <v>14584</v>
      </c>
      <c r="B14589" s="11" t="str">
        <f>"00692550"</f>
        <v>00692550</v>
      </c>
    </row>
    <row r="14590" spans="1:2" x14ac:dyDescent="0.25">
      <c r="A14590" s="2">
        <v>14585</v>
      </c>
      <c r="B14590" s="11" t="str">
        <f>"00692563"</f>
        <v>00692563</v>
      </c>
    </row>
    <row r="14591" spans="1:2" x14ac:dyDescent="0.25">
      <c r="A14591" s="2">
        <v>14586</v>
      </c>
      <c r="B14591" s="11" t="str">
        <f>"00692672"</f>
        <v>00692672</v>
      </c>
    </row>
    <row r="14592" spans="1:2" x14ac:dyDescent="0.25">
      <c r="A14592" s="2">
        <v>14587</v>
      </c>
      <c r="B14592" s="11" t="str">
        <f>"00692693"</f>
        <v>00692693</v>
      </c>
    </row>
    <row r="14593" spans="1:2" x14ac:dyDescent="0.25">
      <c r="A14593" s="2">
        <v>14588</v>
      </c>
      <c r="B14593" s="11" t="str">
        <f>"00692715"</f>
        <v>00692715</v>
      </c>
    </row>
    <row r="14594" spans="1:2" x14ac:dyDescent="0.25">
      <c r="A14594" s="2">
        <v>14589</v>
      </c>
      <c r="B14594" s="11" t="str">
        <f>"00692729"</f>
        <v>00692729</v>
      </c>
    </row>
    <row r="14595" spans="1:2" x14ac:dyDescent="0.25">
      <c r="A14595" s="2">
        <v>14590</v>
      </c>
      <c r="B14595" s="11" t="str">
        <f>"00692731"</f>
        <v>00692731</v>
      </c>
    </row>
    <row r="14596" spans="1:2" x14ac:dyDescent="0.25">
      <c r="A14596" s="2">
        <v>14591</v>
      </c>
      <c r="B14596" s="11" t="str">
        <f>"00692738"</f>
        <v>00692738</v>
      </c>
    </row>
    <row r="14597" spans="1:2" x14ac:dyDescent="0.25">
      <c r="A14597" s="2">
        <v>14592</v>
      </c>
      <c r="B14597" s="11" t="str">
        <f>"00692841"</f>
        <v>00692841</v>
      </c>
    </row>
    <row r="14598" spans="1:2" x14ac:dyDescent="0.25">
      <c r="A14598" s="2">
        <v>14593</v>
      </c>
      <c r="B14598" s="11" t="str">
        <f>"00692879"</f>
        <v>00692879</v>
      </c>
    </row>
    <row r="14599" spans="1:2" x14ac:dyDescent="0.25">
      <c r="A14599" s="2">
        <v>14594</v>
      </c>
      <c r="B14599" s="11" t="str">
        <f>"00692910"</f>
        <v>00692910</v>
      </c>
    </row>
    <row r="14600" spans="1:2" x14ac:dyDescent="0.25">
      <c r="A14600" s="2">
        <v>14595</v>
      </c>
      <c r="B14600" s="11" t="str">
        <f>"00692985"</f>
        <v>00692985</v>
      </c>
    </row>
    <row r="14601" spans="1:2" x14ac:dyDescent="0.25">
      <c r="A14601" s="2">
        <v>14596</v>
      </c>
      <c r="B14601" s="11" t="str">
        <f>"00692992"</f>
        <v>00692992</v>
      </c>
    </row>
    <row r="14602" spans="1:2" x14ac:dyDescent="0.25">
      <c r="A14602" s="2">
        <v>14597</v>
      </c>
      <c r="B14602" s="11" t="str">
        <f>"00693001"</f>
        <v>00693001</v>
      </c>
    </row>
    <row r="14603" spans="1:2" x14ac:dyDescent="0.25">
      <c r="A14603" s="2">
        <v>14598</v>
      </c>
      <c r="B14603" s="11" t="str">
        <f>"00693004"</f>
        <v>00693004</v>
      </c>
    </row>
    <row r="14604" spans="1:2" x14ac:dyDescent="0.25">
      <c r="A14604" s="2">
        <v>14599</v>
      </c>
      <c r="B14604" s="11" t="str">
        <f>"00693045"</f>
        <v>00693045</v>
      </c>
    </row>
    <row r="14605" spans="1:2" x14ac:dyDescent="0.25">
      <c r="A14605" s="2">
        <v>14600</v>
      </c>
      <c r="B14605" s="11" t="str">
        <f>"00693066"</f>
        <v>00693066</v>
      </c>
    </row>
    <row r="14606" spans="1:2" x14ac:dyDescent="0.25">
      <c r="A14606" s="2">
        <v>14601</v>
      </c>
      <c r="B14606" s="11" t="str">
        <f>"00693115"</f>
        <v>00693115</v>
      </c>
    </row>
    <row r="14607" spans="1:2" x14ac:dyDescent="0.25">
      <c r="A14607" s="2">
        <v>14602</v>
      </c>
      <c r="B14607" s="11" t="str">
        <f>"00693123"</f>
        <v>00693123</v>
      </c>
    </row>
    <row r="14608" spans="1:2" x14ac:dyDescent="0.25">
      <c r="A14608" s="2">
        <v>14603</v>
      </c>
      <c r="B14608" s="11" t="str">
        <f>"00693126"</f>
        <v>00693126</v>
      </c>
    </row>
    <row r="14609" spans="1:2" x14ac:dyDescent="0.25">
      <c r="A14609" s="2">
        <v>14604</v>
      </c>
      <c r="B14609" s="11" t="str">
        <f>"00693143"</f>
        <v>00693143</v>
      </c>
    </row>
    <row r="14610" spans="1:2" x14ac:dyDescent="0.25">
      <c r="A14610" s="2">
        <v>14605</v>
      </c>
      <c r="B14610" s="11" t="str">
        <f>"00693144"</f>
        <v>00693144</v>
      </c>
    </row>
    <row r="14611" spans="1:2" x14ac:dyDescent="0.25">
      <c r="A14611" s="2">
        <v>14606</v>
      </c>
      <c r="B14611" s="11" t="str">
        <f>"00693161"</f>
        <v>00693161</v>
      </c>
    </row>
    <row r="14612" spans="1:2" x14ac:dyDescent="0.25">
      <c r="A14612" s="2">
        <v>14607</v>
      </c>
      <c r="B14612" s="11" t="str">
        <f>"00693178"</f>
        <v>00693178</v>
      </c>
    </row>
    <row r="14613" spans="1:2" x14ac:dyDescent="0.25">
      <c r="A14613" s="2">
        <v>14608</v>
      </c>
      <c r="B14613" s="11" t="str">
        <f>"00693207"</f>
        <v>00693207</v>
      </c>
    </row>
    <row r="14614" spans="1:2" x14ac:dyDescent="0.25">
      <c r="A14614" s="2">
        <v>14609</v>
      </c>
      <c r="B14614" s="11" t="str">
        <f>"00693210"</f>
        <v>00693210</v>
      </c>
    </row>
    <row r="14615" spans="1:2" x14ac:dyDescent="0.25">
      <c r="A14615" s="2">
        <v>14610</v>
      </c>
      <c r="B14615" s="11" t="str">
        <f>"00693236"</f>
        <v>00693236</v>
      </c>
    </row>
    <row r="14616" spans="1:2" x14ac:dyDescent="0.25">
      <c r="A14616" s="2">
        <v>14611</v>
      </c>
      <c r="B14616" s="11" t="str">
        <f>"00693250"</f>
        <v>00693250</v>
      </c>
    </row>
    <row r="14617" spans="1:2" x14ac:dyDescent="0.25">
      <c r="A14617" s="2">
        <v>14612</v>
      </c>
      <c r="B14617" s="11" t="str">
        <f>"00693314"</f>
        <v>00693314</v>
      </c>
    </row>
    <row r="14618" spans="1:2" x14ac:dyDescent="0.25">
      <c r="A14618" s="2">
        <v>14613</v>
      </c>
      <c r="B14618" s="11" t="str">
        <f>"00693354"</f>
        <v>00693354</v>
      </c>
    </row>
    <row r="14619" spans="1:2" x14ac:dyDescent="0.25">
      <c r="A14619" s="2">
        <v>14614</v>
      </c>
      <c r="B14619" s="11" t="str">
        <f>"00693423"</f>
        <v>00693423</v>
      </c>
    </row>
    <row r="14620" spans="1:2" x14ac:dyDescent="0.25">
      <c r="A14620" s="2">
        <v>14615</v>
      </c>
      <c r="B14620" s="11" t="str">
        <f>"00693445"</f>
        <v>00693445</v>
      </c>
    </row>
    <row r="14621" spans="1:2" x14ac:dyDescent="0.25">
      <c r="A14621" s="2">
        <v>14616</v>
      </c>
      <c r="B14621" s="11" t="str">
        <f>"00693466"</f>
        <v>00693466</v>
      </c>
    </row>
    <row r="14622" spans="1:2" x14ac:dyDescent="0.25">
      <c r="A14622" s="2">
        <v>14617</v>
      </c>
      <c r="B14622" s="11" t="str">
        <f>"00693467"</f>
        <v>00693467</v>
      </c>
    </row>
    <row r="14623" spans="1:2" x14ac:dyDescent="0.25">
      <c r="A14623" s="2">
        <v>14618</v>
      </c>
      <c r="B14623" s="11" t="str">
        <f>"00693507"</f>
        <v>00693507</v>
      </c>
    </row>
    <row r="14624" spans="1:2" x14ac:dyDescent="0.25">
      <c r="A14624" s="2">
        <v>14619</v>
      </c>
      <c r="B14624" s="11" t="str">
        <f>"00693544"</f>
        <v>00693544</v>
      </c>
    </row>
    <row r="14625" spans="1:2" x14ac:dyDescent="0.25">
      <c r="A14625" s="2">
        <v>14620</v>
      </c>
      <c r="B14625" s="11" t="str">
        <f>"00693556"</f>
        <v>00693556</v>
      </c>
    </row>
    <row r="14626" spans="1:2" x14ac:dyDescent="0.25">
      <c r="A14626" s="2">
        <v>14621</v>
      </c>
      <c r="B14626" s="11" t="str">
        <f>"00693563"</f>
        <v>00693563</v>
      </c>
    </row>
    <row r="14627" spans="1:2" x14ac:dyDescent="0.25">
      <c r="A14627" s="2">
        <v>14622</v>
      </c>
      <c r="B14627" s="11" t="str">
        <f>"00693577"</f>
        <v>00693577</v>
      </c>
    </row>
    <row r="14628" spans="1:2" x14ac:dyDescent="0.25">
      <c r="A14628" s="2">
        <v>14623</v>
      </c>
      <c r="B14628" s="11" t="str">
        <f>"00693591"</f>
        <v>00693591</v>
      </c>
    </row>
    <row r="14629" spans="1:2" x14ac:dyDescent="0.25">
      <c r="A14629" s="2">
        <v>14624</v>
      </c>
      <c r="B14629" s="11" t="str">
        <f>"00693618"</f>
        <v>00693618</v>
      </c>
    </row>
    <row r="14630" spans="1:2" x14ac:dyDescent="0.25">
      <c r="A14630" s="2">
        <v>14625</v>
      </c>
      <c r="B14630" s="11" t="str">
        <f>"00693640"</f>
        <v>00693640</v>
      </c>
    </row>
    <row r="14631" spans="1:2" x14ac:dyDescent="0.25">
      <c r="A14631" s="2">
        <v>14626</v>
      </c>
      <c r="B14631" s="11" t="str">
        <f>"00693646"</f>
        <v>00693646</v>
      </c>
    </row>
    <row r="14632" spans="1:2" x14ac:dyDescent="0.25">
      <c r="A14632" s="2">
        <v>14627</v>
      </c>
      <c r="B14632" s="11" t="str">
        <f>"00693647"</f>
        <v>00693647</v>
      </c>
    </row>
    <row r="14633" spans="1:2" x14ac:dyDescent="0.25">
      <c r="A14633" s="2">
        <v>14628</v>
      </c>
      <c r="B14633" s="11" t="str">
        <f>"00693648"</f>
        <v>00693648</v>
      </c>
    </row>
    <row r="14634" spans="1:2" x14ac:dyDescent="0.25">
      <c r="A14634" s="2">
        <v>14629</v>
      </c>
      <c r="B14634" s="11" t="str">
        <f>"00693656"</f>
        <v>00693656</v>
      </c>
    </row>
    <row r="14635" spans="1:2" x14ac:dyDescent="0.25">
      <c r="A14635" s="2">
        <v>14630</v>
      </c>
      <c r="B14635" s="11" t="str">
        <f>"00693674"</f>
        <v>00693674</v>
      </c>
    </row>
    <row r="14636" spans="1:2" x14ac:dyDescent="0.25">
      <c r="A14636" s="2">
        <v>14631</v>
      </c>
      <c r="B14636" s="11" t="str">
        <f>"00693741"</f>
        <v>00693741</v>
      </c>
    </row>
    <row r="14637" spans="1:2" x14ac:dyDescent="0.25">
      <c r="A14637" s="2">
        <v>14632</v>
      </c>
      <c r="B14637" s="11" t="str">
        <f>"00693743"</f>
        <v>00693743</v>
      </c>
    </row>
    <row r="14638" spans="1:2" x14ac:dyDescent="0.25">
      <c r="A14638" s="2">
        <v>14633</v>
      </c>
      <c r="B14638" s="11" t="str">
        <f>"00693746"</f>
        <v>00693746</v>
      </c>
    </row>
    <row r="14639" spans="1:2" x14ac:dyDescent="0.25">
      <c r="A14639" s="2">
        <v>14634</v>
      </c>
      <c r="B14639" s="11" t="str">
        <f>"00693776"</f>
        <v>00693776</v>
      </c>
    </row>
    <row r="14640" spans="1:2" x14ac:dyDescent="0.25">
      <c r="A14640" s="2">
        <v>14635</v>
      </c>
      <c r="B14640" s="11" t="str">
        <f>"00693830"</f>
        <v>00693830</v>
      </c>
    </row>
    <row r="14641" spans="1:2" x14ac:dyDescent="0.25">
      <c r="A14641" s="2">
        <v>14636</v>
      </c>
      <c r="B14641" s="11" t="str">
        <f>"00693927"</f>
        <v>00693927</v>
      </c>
    </row>
    <row r="14642" spans="1:2" x14ac:dyDescent="0.25">
      <c r="A14642" s="2">
        <v>14637</v>
      </c>
      <c r="B14642" s="11" t="str">
        <f>"00693968"</f>
        <v>00693968</v>
      </c>
    </row>
    <row r="14643" spans="1:2" x14ac:dyDescent="0.25">
      <c r="A14643" s="2">
        <v>14638</v>
      </c>
      <c r="B14643" s="11" t="str">
        <f>"00694012"</f>
        <v>00694012</v>
      </c>
    </row>
    <row r="14644" spans="1:2" x14ac:dyDescent="0.25">
      <c r="A14644" s="2">
        <v>14639</v>
      </c>
      <c r="B14644" s="11" t="str">
        <f>"00694015"</f>
        <v>00694015</v>
      </c>
    </row>
    <row r="14645" spans="1:2" x14ac:dyDescent="0.25">
      <c r="A14645" s="2">
        <v>14640</v>
      </c>
      <c r="B14645" s="11" t="str">
        <f>"00694128"</f>
        <v>00694128</v>
      </c>
    </row>
    <row r="14646" spans="1:2" x14ac:dyDescent="0.25">
      <c r="A14646" s="2">
        <v>14641</v>
      </c>
      <c r="B14646" s="11" t="str">
        <f>"00694132"</f>
        <v>00694132</v>
      </c>
    </row>
    <row r="14647" spans="1:2" x14ac:dyDescent="0.25">
      <c r="A14647" s="2">
        <v>14642</v>
      </c>
      <c r="B14647" s="11" t="str">
        <f>"00694145"</f>
        <v>00694145</v>
      </c>
    </row>
    <row r="14648" spans="1:2" x14ac:dyDescent="0.25">
      <c r="A14648" s="2">
        <v>14643</v>
      </c>
      <c r="B14648" s="11" t="str">
        <f>"00694172"</f>
        <v>00694172</v>
      </c>
    </row>
    <row r="14649" spans="1:2" x14ac:dyDescent="0.25">
      <c r="A14649" s="2">
        <v>14644</v>
      </c>
      <c r="B14649" s="11" t="str">
        <f>"00694223"</f>
        <v>00694223</v>
      </c>
    </row>
    <row r="14650" spans="1:2" x14ac:dyDescent="0.25">
      <c r="A14650" s="2">
        <v>14645</v>
      </c>
      <c r="B14650" s="11" t="str">
        <f>"00694225"</f>
        <v>00694225</v>
      </c>
    </row>
    <row r="14651" spans="1:2" x14ac:dyDescent="0.25">
      <c r="A14651" s="2">
        <v>14646</v>
      </c>
      <c r="B14651" s="11" t="str">
        <f>"00694247"</f>
        <v>00694247</v>
      </c>
    </row>
    <row r="14652" spans="1:2" x14ac:dyDescent="0.25">
      <c r="A14652" s="2">
        <v>14647</v>
      </c>
      <c r="B14652" s="11" t="str">
        <f>"00694289"</f>
        <v>00694289</v>
      </c>
    </row>
    <row r="14653" spans="1:2" x14ac:dyDescent="0.25">
      <c r="A14653" s="2">
        <v>14648</v>
      </c>
      <c r="B14653" s="11" t="str">
        <f>"00694291"</f>
        <v>00694291</v>
      </c>
    </row>
    <row r="14654" spans="1:2" x14ac:dyDescent="0.25">
      <c r="A14654" s="2">
        <v>14649</v>
      </c>
      <c r="B14654" s="11" t="str">
        <f>"00694302"</f>
        <v>00694302</v>
      </c>
    </row>
    <row r="14655" spans="1:2" x14ac:dyDescent="0.25">
      <c r="A14655" s="2">
        <v>14650</v>
      </c>
      <c r="B14655" s="11" t="str">
        <f>"00694327"</f>
        <v>00694327</v>
      </c>
    </row>
    <row r="14656" spans="1:2" x14ac:dyDescent="0.25">
      <c r="A14656" s="2">
        <v>14651</v>
      </c>
      <c r="B14656" s="11" t="str">
        <f>"00694329"</f>
        <v>00694329</v>
      </c>
    </row>
    <row r="14657" spans="1:2" x14ac:dyDescent="0.25">
      <c r="A14657" s="2">
        <v>14652</v>
      </c>
      <c r="B14657" s="11" t="str">
        <f>"00694354"</f>
        <v>00694354</v>
      </c>
    </row>
    <row r="14658" spans="1:2" x14ac:dyDescent="0.25">
      <c r="A14658" s="2">
        <v>14653</v>
      </c>
      <c r="B14658" s="11" t="str">
        <f>"00694384"</f>
        <v>00694384</v>
      </c>
    </row>
    <row r="14659" spans="1:2" x14ac:dyDescent="0.25">
      <c r="A14659" s="2">
        <v>14654</v>
      </c>
      <c r="B14659" s="11" t="str">
        <f>"00694414"</f>
        <v>00694414</v>
      </c>
    </row>
    <row r="14660" spans="1:2" x14ac:dyDescent="0.25">
      <c r="A14660" s="2">
        <v>14655</v>
      </c>
      <c r="B14660" s="11" t="str">
        <f>"00694459"</f>
        <v>00694459</v>
      </c>
    </row>
    <row r="14661" spans="1:2" x14ac:dyDescent="0.25">
      <c r="A14661" s="2">
        <v>14656</v>
      </c>
      <c r="B14661" s="11" t="str">
        <f>"00694486"</f>
        <v>00694486</v>
      </c>
    </row>
    <row r="14662" spans="1:2" x14ac:dyDescent="0.25">
      <c r="A14662" s="2">
        <v>14657</v>
      </c>
      <c r="B14662" s="11" t="str">
        <f>"00694515"</f>
        <v>00694515</v>
      </c>
    </row>
    <row r="14663" spans="1:2" x14ac:dyDescent="0.25">
      <c r="A14663" s="2">
        <v>14658</v>
      </c>
      <c r="B14663" s="11" t="str">
        <f>"00694534"</f>
        <v>00694534</v>
      </c>
    </row>
    <row r="14664" spans="1:2" x14ac:dyDescent="0.25">
      <c r="A14664" s="2">
        <v>14659</v>
      </c>
      <c r="B14664" s="11" t="str">
        <f>"00694576"</f>
        <v>00694576</v>
      </c>
    </row>
    <row r="14665" spans="1:2" x14ac:dyDescent="0.25">
      <c r="A14665" s="2">
        <v>14660</v>
      </c>
      <c r="B14665" s="11" t="str">
        <f>"00694605"</f>
        <v>00694605</v>
      </c>
    </row>
    <row r="14666" spans="1:2" x14ac:dyDescent="0.25">
      <c r="A14666" s="2">
        <v>14661</v>
      </c>
      <c r="B14666" s="11" t="str">
        <f>"00694682"</f>
        <v>00694682</v>
      </c>
    </row>
    <row r="14667" spans="1:2" x14ac:dyDescent="0.25">
      <c r="A14667" s="2">
        <v>14662</v>
      </c>
      <c r="B14667" s="11" t="str">
        <f>"00694699"</f>
        <v>00694699</v>
      </c>
    </row>
    <row r="14668" spans="1:2" x14ac:dyDescent="0.25">
      <c r="A14668" s="2">
        <v>14663</v>
      </c>
      <c r="B14668" s="11" t="str">
        <f>"00694720"</f>
        <v>00694720</v>
      </c>
    </row>
    <row r="14669" spans="1:2" x14ac:dyDescent="0.25">
      <c r="A14669" s="2">
        <v>14664</v>
      </c>
      <c r="B14669" s="11" t="str">
        <f>"00694766"</f>
        <v>00694766</v>
      </c>
    </row>
    <row r="14670" spans="1:2" x14ac:dyDescent="0.25">
      <c r="A14670" s="2">
        <v>14665</v>
      </c>
      <c r="B14670" s="11" t="str">
        <f>"00694788"</f>
        <v>00694788</v>
      </c>
    </row>
    <row r="14671" spans="1:2" x14ac:dyDescent="0.25">
      <c r="A14671" s="2">
        <v>14666</v>
      </c>
      <c r="B14671" s="11" t="str">
        <f>"00694800"</f>
        <v>00694800</v>
      </c>
    </row>
    <row r="14672" spans="1:2" x14ac:dyDescent="0.25">
      <c r="A14672" s="2">
        <v>14667</v>
      </c>
      <c r="B14672" s="11" t="str">
        <f>"00694819"</f>
        <v>00694819</v>
      </c>
    </row>
    <row r="14673" spans="1:2" x14ac:dyDescent="0.25">
      <c r="A14673" s="2">
        <v>14668</v>
      </c>
      <c r="B14673" s="11" t="str">
        <f>"00694832"</f>
        <v>00694832</v>
      </c>
    </row>
    <row r="14674" spans="1:2" x14ac:dyDescent="0.25">
      <c r="A14674" s="2">
        <v>14669</v>
      </c>
      <c r="B14674" s="11" t="str">
        <f>"00694858"</f>
        <v>00694858</v>
      </c>
    </row>
    <row r="14675" spans="1:2" x14ac:dyDescent="0.25">
      <c r="A14675" s="2">
        <v>14670</v>
      </c>
      <c r="B14675" s="11" t="str">
        <f>"00694897"</f>
        <v>00694897</v>
      </c>
    </row>
    <row r="14676" spans="1:2" x14ac:dyDescent="0.25">
      <c r="A14676" s="2">
        <v>14671</v>
      </c>
      <c r="B14676" s="11" t="str">
        <f>"00694902"</f>
        <v>00694902</v>
      </c>
    </row>
    <row r="14677" spans="1:2" x14ac:dyDescent="0.25">
      <c r="A14677" s="2">
        <v>14672</v>
      </c>
      <c r="B14677" s="11" t="str">
        <f>"00694922"</f>
        <v>00694922</v>
      </c>
    </row>
    <row r="14678" spans="1:2" x14ac:dyDescent="0.25">
      <c r="A14678" s="2">
        <v>14673</v>
      </c>
      <c r="B14678" s="11" t="str">
        <f>"00694928"</f>
        <v>00694928</v>
      </c>
    </row>
    <row r="14679" spans="1:2" x14ac:dyDescent="0.25">
      <c r="A14679" s="2">
        <v>14674</v>
      </c>
      <c r="B14679" s="11" t="str">
        <f>"00694949"</f>
        <v>00694949</v>
      </c>
    </row>
    <row r="14680" spans="1:2" x14ac:dyDescent="0.25">
      <c r="A14680" s="2">
        <v>14675</v>
      </c>
      <c r="B14680" s="11" t="str">
        <f>"00694956"</f>
        <v>00694956</v>
      </c>
    </row>
    <row r="14681" spans="1:2" x14ac:dyDescent="0.25">
      <c r="A14681" s="2">
        <v>14676</v>
      </c>
      <c r="B14681" s="11" t="str">
        <f>"00694962"</f>
        <v>00694962</v>
      </c>
    </row>
    <row r="14682" spans="1:2" x14ac:dyDescent="0.25">
      <c r="A14682" s="2">
        <v>14677</v>
      </c>
      <c r="B14682" s="11" t="str">
        <f>"00694999"</f>
        <v>00694999</v>
      </c>
    </row>
    <row r="14683" spans="1:2" x14ac:dyDescent="0.25">
      <c r="A14683" s="2">
        <v>14678</v>
      </c>
      <c r="B14683" s="11" t="str">
        <f>"00695028"</f>
        <v>00695028</v>
      </c>
    </row>
    <row r="14684" spans="1:2" x14ac:dyDescent="0.25">
      <c r="A14684" s="2">
        <v>14679</v>
      </c>
      <c r="B14684" s="11" t="str">
        <f>"00695036"</f>
        <v>00695036</v>
      </c>
    </row>
    <row r="14685" spans="1:2" x14ac:dyDescent="0.25">
      <c r="A14685" s="2">
        <v>14680</v>
      </c>
      <c r="B14685" s="11" t="str">
        <f>"00695040"</f>
        <v>00695040</v>
      </c>
    </row>
    <row r="14686" spans="1:2" x14ac:dyDescent="0.25">
      <c r="A14686" s="2">
        <v>14681</v>
      </c>
      <c r="B14686" s="11" t="str">
        <f>"00695041"</f>
        <v>00695041</v>
      </c>
    </row>
    <row r="14687" spans="1:2" x14ac:dyDescent="0.25">
      <c r="A14687" s="2">
        <v>14682</v>
      </c>
      <c r="B14687" s="11" t="str">
        <f>"00695095"</f>
        <v>00695095</v>
      </c>
    </row>
    <row r="14688" spans="1:2" x14ac:dyDescent="0.25">
      <c r="A14688" s="2">
        <v>14683</v>
      </c>
      <c r="B14688" s="11" t="str">
        <f>"00695119"</f>
        <v>00695119</v>
      </c>
    </row>
    <row r="14689" spans="1:2" x14ac:dyDescent="0.25">
      <c r="A14689" s="2">
        <v>14684</v>
      </c>
      <c r="B14689" s="11" t="str">
        <f>"00695179"</f>
        <v>00695179</v>
      </c>
    </row>
    <row r="14690" spans="1:2" x14ac:dyDescent="0.25">
      <c r="A14690" s="2">
        <v>14685</v>
      </c>
      <c r="B14690" s="11" t="str">
        <f>"00695203"</f>
        <v>00695203</v>
      </c>
    </row>
    <row r="14691" spans="1:2" x14ac:dyDescent="0.25">
      <c r="A14691" s="2">
        <v>14686</v>
      </c>
      <c r="B14691" s="11" t="str">
        <f>"00695209"</f>
        <v>00695209</v>
      </c>
    </row>
    <row r="14692" spans="1:2" x14ac:dyDescent="0.25">
      <c r="A14692" s="2">
        <v>14687</v>
      </c>
      <c r="B14692" s="11" t="str">
        <f>"00695230"</f>
        <v>00695230</v>
      </c>
    </row>
    <row r="14693" spans="1:2" x14ac:dyDescent="0.25">
      <c r="A14693" s="2">
        <v>14688</v>
      </c>
      <c r="B14693" s="11" t="str">
        <f>"00695237"</f>
        <v>00695237</v>
      </c>
    </row>
    <row r="14694" spans="1:2" x14ac:dyDescent="0.25">
      <c r="A14694" s="2">
        <v>14689</v>
      </c>
      <c r="B14694" s="11" t="str">
        <f>"00695255"</f>
        <v>00695255</v>
      </c>
    </row>
    <row r="14695" spans="1:2" x14ac:dyDescent="0.25">
      <c r="A14695" s="2">
        <v>14690</v>
      </c>
      <c r="B14695" s="11" t="str">
        <f>"00695267"</f>
        <v>00695267</v>
      </c>
    </row>
    <row r="14696" spans="1:2" x14ac:dyDescent="0.25">
      <c r="A14696" s="2">
        <v>14691</v>
      </c>
      <c r="B14696" s="11" t="str">
        <f>"00695279"</f>
        <v>00695279</v>
      </c>
    </row>
    <row r="14697" spans="1:2" x14ac:dyDescent="0.25">
      <c r="A14697" s="2">
        <v>14692</v>
      </c>
      <c r="B14697" s="11" t="str">
        <f>"00695299"</f>
        <v>00695299</v>
      </c>
    </row>
    <row r="14698" spans="1:2" x14ac:dyDescent="0.25">
      <c r="A14698" s="2">
        <v>14693</v>
      </c>
      <c r="B14698" s="11" t="str">
        <f>"00695305"</f>
        <v>00695305</v>
      </c>
    </row>
    <row r="14699" spans="1:2" x14ac:dyDescent="0.25">
      <c r="A14699" s="2">
        <v>14694</v>
      </c>
      <c r="B14699" s="11" t="str">
        <f>"00695323"</f>
        <v>00695323</v>
      </c>
    </row>
    <row r="14700" spans="1:2" x14ac:dyDescent="0.25">
      <c r="A14700" s="2">
        <v>14695</v>
      </c>
      <c r="B14700" s="11" t="str">
        <f>"00695348"</f>
        <v>00695348</v>
      </c>
    </row>
    <row r="14701" spans="1:2" x14ac:dyDescent="0.25">
      <c r="A14701" s="2">
        <v>14696</v>
      </c>
      <c r="B14701" s="11" t="str">
        <f>"00695356"</f>
        <v>00695356</v>
      </c>
    </row>
    <row r="14702" spans="1:2" x14ac:dyDescent="0.25">
      <c r="A14702" s="2">
        <v>14697</v>
      </c>
      <c r="B14702" s="11" t="str">
        <f>"00695358"</f>
        <v>00695358</v>
      </c>
    </row>
    <row r="14703" spans="1:2" x14ac:dyDescent="0.25">
      <c r="A14703" s="2">
        <v>14698</v>
      </c>
      <c r="B14703" s="11" t="str">
        <f>"00695386"</f>
        <v>00695386</v>
      </c>
    </row>
    <row r="14704" spans="1:2" x14ac:dyDescent="0.25">
      <c r="A14704" s="2">
        <v>14699</v>
      </c>
      <c r="B14704" s="11" t="str">
        <f>"00695404"</f>
        <v>00695404</v>
      </c>
    </row>
    <row r="14705" spans="1:2" x14ac:dyDescent="0.25">
      <c r="A14705" s="2">
        <v>14700</v>
      </c>
      <c r="B14705" s="11" t="str">
        <f>"00695406"</f>
        <v>00695406</v>
      </c>
    </row>
    <row r="14706" spans="1:2" x14ac:dyDescent="0.25">
      <c r="A14706" s="2">
        <v>14701</v>
      </c>
      <c r="B14706" s="11" t="str">
        <f>"00695450"</f>
        <v>00695450</v>
      </c>
    </row>
    <row r="14707" spans="1:2" x14ac:dyDescent="0.25">
      <c r="A14707" s="2">
        <v>14702</v>
      </c>
      <c r="B14707" s="11" t="str">
        <f>"00695473"</f>
        <v>00695473</v>
      </c>
    </row>
    <row r="14708" spans="1:2" x14ac:dyDescent="0.25">
      <c r="A14708" s="2">
        <v>14703</v>
      </c>
      <c r="B14708" s="11" t="str">
        <f>"00695493"</f>
        <v>00695493</v>
      </c>
    </row>
    <row r="14709" spans="1:2" x14ac:dyDescent="0.25">
      <c r="A14709" s="2">
        <v>14704</v>
      </c>
      <c r="B14709" s="11" t="str">
        <f>"00695603"</f>
        <v>00695603</v>
      </c>
    </row>
    <row r="14710" spans="1:2" x14ac:dyDescent="0.25">
      <c r="A14710" s="2">
        <v>14705</v>
      </c>
      <c r="B14710" s="11" t="str">
        <f>"00695645"</f>
        <v>00695645</v>
      </c>
    </row>
    <row r="14711" spans="1:2" x14ac:dyDescent="0.25">
      <c r="A14711" s="2">
        <v>14706</v>
      </c>
      <c r="B14711" s="11" t="str">
        <f>"00695875"</f>
        <v>00695875</v>
      </c>
    </row>
    <row r="14712" spans="1:2" x14ac:dyDescent="0.25">
      <c r="A14712" s="2">
        <v>14707</v>
      </c>
      <c r="B14712" s="11" t="str">
        <f>"00695878"</f>
        <v>00695878</v>
      </c>
    </row>
    <row r="14713" spans="1:2" x14ac:dyDescent="0.25">
      <c r="A14713" s="2">
        <v>14708</v>
      </c>
      <c r="B14713" s="11" t="str">
        <f>"00695887"</f>
        <v>00695887</v>
      </c>
    </row>
    <row r="14714" spans="1:2" x14ac:dyDescent="0.25">
      <c r="A14714" s="2">
        <v>14709</v>
      </c>
      <c r="B14714" s="11" t="str">
        <f>"00695917"</f>
        <v>00695917</v>
      </c>
    </row>
    <row r="14715" spans="1:2" x14ac:dyDescent="0.25">
      <c r="A14715" s="2">
        <v>14710</v>
      </c>
      <c r="B14715" s="11" t="str">
        <f>"00695918"</f>
        <v>00695918</v>
      </c>
    </row>
    <row r="14716" spans="1:2" x14ac:dyDescent="0.25">
      <c r="A14716" s="2">
        <v>14711</v>
      </c>
      <c r="B14716" s="11" t="str">
        <f>"00695942"</f>
        <v>00695942</v>
      </c>
    </row>
    <row r="14717" spans="1:2" x14ac:dyDescent="0.25">
      <c r="A14717" s="2">
        <v>14712</v>
      </c>
      <c r="B14717" s="11" t="str">
        <f>"00696010"</f>
        <v>00696010</v>
      </c>
    </row>
    <row r="14718" spans="1:2" x14ac:dyDescent="0.25">
      <c r="A14718" s="2">
        <v>14713</v>
      </c>
      <c r="B14718" s="11" t="str">
        <f>"00696091"</f>
        <v>00696091</v>
      </c>
    </row>
    <row r="14719" spans="1:2" x14ac:dyDescent="0.25">
      <c r="A14719" s="2">
        <v>14714</v>
      </c>
      <c r="B14719" s="11" t="str">
        <f>"00696097"</f>
        <v>00696097</v>
      </c>
    </row>
    <row r="14720" spans="1:2" x14ac:dyDescent="0.25">
      <c r="A14720" s="2">
        <v>14715</v>
      </c>
      <c r="B14720" s="11" t="str">
        <f>"00696101"</f>
        <v>00696101</v>
      </c>
    </row>
    <row r="14721" spans="1:2" x14ac:dyDescent="0.25">
      <c r="A14721" s="2">
        <v>14716</v>
      </c>
      <c r="B14721" s="11" t="str">
        <f>"00696137"</f>
        <v>00696137</v>
      </c>
    </row>
    <row r="14722" spans="1:2" x14ac:dyDescent="0.25">
      <c r="A14722" s="2">
        <v>14717</v>
      </c>
      <c r="B14722" s="11" t="str">
        <f>"00696159"</f>
        <v>00696159</v>
      </c>
    </row>
    <row r="14723" spans="1:2" x14ac:dyDescent="0.25">
      <c r="A14723" s="2">
        <v>14718</v>
      </c>
      <c r="B14723" s="11" t="str">
        <f>"00696249"</f>
        <v>00696249</v>
      </c>
    </row>
    <row r="14724" spans="1:2" x14ac:dyDescent="0.25">
      <c r="A14724" s="2">
        <v>14719</v>
      </c>
      <c r="B14724" s="11" t="str">
        <f>"00696274"</f>
        <v>00696274</v>
      </c>
    </row>
    <row r="14725" spans="1:2" x14ac:dyDescent="0.25">
      <c r="A14725" s="2">
        <v>14720</v>
      </c>
      <c r="B14725" s="11" t="str">
        <f>"00696282"</f>
        <v>00696282</v>
      </c>
    </row>
    <row r="14726" spans="1:2" x14ac:dyDescent="0.25">
      <c r="A14726" s="2">
        <v>14721</v>
      </c>
      <c r="B14726" s="11" t="str">
        <f>"00696298"</f>
        <v>00696298</v>
      </c>
    </row>
    <row r="14727" spans="1:2" x14ac:dyDescent="0.25">
      <c r="A14727" s="2">
        <v>14722</v>
      </c>
      <c r="B14727" s="11" t="str">
        <f>"00696325"</f>
        <v>00696325</v>
      </c>
    </row>
    <row r="14728" spans="1:2" x14ac:dyDescent="0.25">
      <c r="A14728" s="2">
        <v>14723</v>
      </c>
      <c r="B14728" s="11" t="str">
        <f>"00696339"</f>
        <v>00696339</v>
      </c>
    </row>
    <row r="14729" spans="1:2" x14ac:dyDescent="0.25">
      <c r="A14729" s="2">
        <v>14724</v>
      </c>
      <c r="B14729" s="11" t="str">
        <f>"00696341"</f>
        <v>00696341</v>
      </c>
    </row>
    <row r="14730" spans="1:2" x14ac:dyDescent="0.25">
      <c r="A14730" s="2">
        <v>14725</v>
      </c>
      <c r="B14730" s="11" t="str">
        <f>"00696345"</f>
        <v>00696345</v>
      </c>
    </row>
    <row r="14731" spans="1:2" x14ac:dyDescent="0.25">
      <c r="A14731" s="2">
        <v>14726</v>
      </c>
      <c r="B14731" s="11" t="str">
        <f>"00696360"</f>
        <v>00696360</v>
      </c>
    </row>
    <row r="14732" spans="1:2" x14ac:dyDescent="0.25">
      <c r="A14732" s="2">
        <v>14727</v>
      </c>
      <c r="B14732" s="11" t="str">
        <f>"00696379"</f>
        <v>00696379</v>
      </c>
    </row>
    <row r="14733" spans="1:2" x14ac:dyDescent="0.25">
      <c r="A14733" s="2">
        <v>14728</v>
      </c>
      <c r="B14733" s="11" t="str">
        <f>"00696457"</f>
        <v>00696457</v>
      </c>
    </row>
    <row r="14734" spans="1:2" x14ac:dyDescent="0.25">
      <c r="A14734" s="2">
        <v>14729</v>
      </c>
      <c r="B14734" s="11" t="str">
        <f>"00696493"</f>
        <v>00696493</v>
      </c>
    </row>
    <row r="14735" spans="1:2" x14ac:dyDescent="0.25">
      <c r="A14735" s="2">
        <v>14730</v>
      </c>
      <c r="B14735" s="11" t="str">
        <f>"00696503"</f>
        <v>00696503</v>
      </c>
    </row>
    <row r="14736" spans="1:2" x14ac:dyDescent="0.25">
      <c r="A14736" s="2">
        <v>14731</v>
      </c>
      <c r="B14736" s="11" t="str">
        <f>"00696507"</f>
        <v>00696507</v>
      </c>
    </row>
    <row r="14737" spans="1:2" x14ac:dyDescent="0.25">
      <c r="A14737" s="2">
        <v>14732</v>
      </c>
      <c r="B14737" s="11" t="str">
        <f>"00696528"</f>
        <v>00696528</v>
      </c>
    </row>
    <row r="14738" spans="1:2" x14ac:dyDescent="0.25">
      <c r="A14738" s="2">
        <v>14733</v>
      </c>
      <c r="B14738" s="11" t="str">
        <f>"00696538"</f>
        <v>00696538</v>
      </c>
    </row>
    <row r="14739" spans="1:2" x14ac:dyDescent="0.25">
      <c r="A14739" s="2">
        <v>14734</v>
      </c>
      <c r="B14739" s="11" t="str">
        <f>"00696560"</f>
        <v>00696560</v>
      </c>
    </row>
    <row r="14740" spans="1:2" x14ac:dyDescent="0.25">
      <c r="A14740" s="2">
        <v>14735</v>
      </c>
      <c r="B14740" s="11" t="str">
        <f>"00696562"</f>
        <v>00696562</v>
      </c>
    </row>
    <row r="14741" spans="1:2" x14ac:dyDescent="0.25">
      <c r="A14741" s="2">
        <v>14736</v>
      </c>
      <c r="B14741" s="11" t="str">
        <f>"00696574"</f>
        <v>00696574</v>
      </c>
    </row>
    <row r="14742" spans="1:2" x14ac:dyDescent="0.25">
      <c r="A14742" s="2">
        <v>14737</v>
      </c>
      <c r="B14742" s="11" t="str">
        <f>"00696611"</f>
        <v>00696611</v>
      </c>
    </row>
    <row r="14743" spans="1:2" x14ac:dyDescent="0.25">
      <c r="A14743" s="2">
        <v>14738</v>
      </c>
      <c r="B14743" s="11" t="str">
        <f>"00696613"</f>
        <v>00696613</v>
      </c>
    </row>
    <row r="14744" spans="1:2" x14ac:dyDescent="0.25">
      <c r="A14744" s="2">
        <v>14739</v>
      </c>
      <c r="B14744" s="11" t="str">
        <f>"00696687"</f>
        <v>00696687</v>
      </c>
    </row>
    <row r="14745" spans="1:2" x14ac:dyDescent="0.25">
      <c r="A14745" s="2">
        <v>14740</v>
      </c>
      <c r="B14745" s="11" t="str">
        <f>"00696735"</f>
        <v>00696735</v>
      </c>
    </row>
    <row r="14746" spans="1:2" x14ac:dyDescent="0.25">
      <c r="A14746" s="2">
        <v>14741</v>
      </c>
      <c r="B14746" s="11" t="str">
        <f>"00696751"</f>
        <v>00696751</v>
      </c>
    </row>
    <row r="14747" spans="1:2" x14ac:dyDescent="0.25">
      <c r="A14747" s="2">
        <v>14742</v>
      </c>
      <c r="B14747" s="11" t="str">
        <f>"00696766"</f>
        <v>00696766</v>
      </c>
    </row>
    <row r="14748" spans="1:2" x14ac:dyDescent="0.25">
      <c r="A14748" s="2">
        <v>14743</v>
      </c>
      <c r="B14748" s="11" t="str">
        <f>"00696778"</f>
        <v>00696778</v>
      </c>
    </row>
    <row r="14749" spans="1:2" x14ac:dyDescent="0.25">
      <c r="A14749" s="2">
        <v>14744</v>
      </c>
      <c r="B14749" s="11" t="str">
        <f>"00696785"</f>
        <v>00696785</v>
      </c>
    </row>
    <row r="14750" spans="1:2" x14ac:dyDescent="0.25">
      <c r="A14750" s="2">
        <v>14745</v>
      </c>
      <c r="B14750" s="11" t="str">
        <f>"00696819"</f>
        <v>00696819</v>
      </c>
    </row>
    <row r="14751" spans="1:2" x14ac:dyDescent="0.25">
      <c r="A14751" s="2">
        <v>14746</v>
      </c>
      <c r="B14751" s="11" t="str">
        <f>"00696864"</f>
        <v>00696864</v>
      </c>
    </row>
    <row r="14752" spans="1:2" x14ac:dyDescent="0.25">
      <c r="A14752" s="2">
        <v>14747</v>
      </c>
      <c r="B14752" s="11" t="str">
        <f>"00696877"</f>
        <v>00696877</v>
      </c>
    </row>
    <row r="14753" spans="1:2" x14ac:dyDescent="0.25">
      <c r="A14753" s="2">
        <v>14748</v>
      </c>
      <c r="B14753" s="11" t="str">
        <f>"00696891"</f>
        <v>00696891</v>
      </c>
    </row>
    <row r="14754" spans="1:2" x14ac:dyDescent="0.25">
      <c r="A14754" s="2">
        <v>14749</v>
      </c>
      <c r="B14754" s="11" t="str">
        <f>"00696911"</f>
        <v>00696911</v>
      </c>
    </row>
    <row r="14755" spans="1:2" x14ac:dyDescent="0.25">
      <c r="A14755" s="2">
        <v>14750</v>
      </c>
      <c r="B14755" s="11" t="str">
        <f>"00696924"</f>
        <v>00696924</v>
      </c>
    </row>
    <row r="14756" spans="1:2" x14ac:dyDescent="0.25">
      <c r="A14756" s="2">
        <v>14751</v>
      </c>
      <c r="B14756" s="11" t="str">
        <f>"00696940"</f>
        <v>00696940</v>
      </c>
    </row>
    <row r="14757" spans="1:2" x14ac:dyDescent="0.25">
      <c r="A14757" s="2">
        <v>14752</v>
      </c>
      <c r="B14757" s="11" t="str">
        <f>"00696943"</f>
        <v>00696943</v>
      </c>
    </row>
    <row r="14758" spans="1:2" x14ac:dyDescent="0.25">
      <c r="A14758" s="2">
        <v>14753</v>
      </c>
      <c r="B14758" s="11" t="str">
        <f>"00696948"</f>
        <v>00696948</v>
      </c>
    </row>
    <row r="14759" spans="1:2" x14ac:dyDescent="0.25">
      <c r="A14759" s="2">
        <v>14754</v>
      </c>
      <c r="B14759" s="11" t="str">
        <f>"00696954"</f>
        <v>00696954</v>
      </c>
    </row>
    <row r="14760" spans="1:2" x14ac:dyDescent="0.25">
      <c r="A14760" s="2">
        <v>14755</v>
      </c>
      <c r="B14760" s="11" t="str">
        <f>"00696974"</f>
        <v>00696974</v>
      </c>
    </row>
    <row r="14761" spans="1:2" x14ac:dyDescent="0.25">
      <c r="A14761" s="2">
        <v>14756</v>
      </c>
      <c r="B14761" s="11" t="str">
        <f>"00696985"</f>
        <v>00696985</v>
      </c>
    </row>
    <row r="14762" spans="1:2" x14ac:dyDescent="0.25">
      <c r="A14762" s="2">
        <v>14757</v>
      </c>
      <c r="B14762" s="11" t="str">
        <f>"00696993"</f>
        <v>00696993</v>
      </c>
    </row>
    <row r="14763" spans="1:2" x14ac:dyDescent="0.25">
      <c r="A14763" s="2">
        <v>14758</v>
      </c>
      <c r="B14763" s="11" t="str">
        <f>"00697009"</f>
        <v>00697009</v>
      </c>
    </row>
    <row r="14764" spans="1:2" x14ac:dyDescent="0.25">
      <c r="A14764" s="2">
        <v>14759</v>
      </c>
      <c r="B14764" s="11" t="str">
        <f>"00697037"</f>
        <v>00697037</v>
      </c>
    </row>
    <row r="14765" spans="1:2" x14ac:dyDescent="0.25">
      <c r="A14765" s="2">
        <v>14760</v>
      </c>
      <c r="B14765" s="11" t="str">
        <f>"00697051"</f>
        <v>00697051</v>
      </c>
    </row>
    <row r="14766" spans="1:2" x14ac:dyDescent="0.25">
      <c r="A14766" s="2">
        <v>14761</v>
      </c>
      <c r="B14766" s="11" t="str">
        <f>"00697060"</f>
        <v>00697060</v>
      </c>
    </row>
    <row r="14767" spans="1:2" x14ac:dyDescent="0.25">
      <c r="A14767" s="2">
        <v>14762</v>
      </c>
      <c r="B14767" s="11" t="str">
        <f>"00697071"</f>
        <v>00697071</v>
      </c>
    </row>
    <row r="14768" spans="1:2" x14ac:dyDescent="0.25">
      <c r="A14768" s="2">
        <v>14763</v>
      </c>
      <c r="B14768" s="11" t="str">
        <f>"00697083"</f>
        <v>00697083</v>
      </c>
    </row>
    <row r="14769" spans="1:2" x14ac:dyDescent="0.25">
      <c r="A14769" s="2">
        <v>14764</v>
      </c>
      <c r="B14769" s="11" t="str">
        <f>"00697091"</f>
        <v>00697091</v>
      </c>
    </row>
    <row r="14770" spans="1:2" x14ac:dyDescent="0.25">
      <c r="A14770" s="2">
        <v>14765</v>
      </c>
      <c r="B14770" s="11" t="str">
        <f>"00697138"</f>
        <v>00697138</v>
      </c>
    </row>
    <row r="14771" spans="1:2" x14ac:dyDescent="0.25">
      <c r="A14771" s="2">
        <v>14766</v>
      </c>
      <c r="B14771" s="11" t="str">
        <f>"00697159"</f>
        <v>00697159</v>
      </c>
    </row>
    <row r="14772" spans="1:2" x14ac:dyDescent="0.25">
      <c r="A14772" s="2">
        <v>14767</v>
      </c>
      <c r="B14772" s="11" t="str">
        <f>"00697174"</f>
        <v>00697174</v>
      </c>
    </row>
    <row r="14773" spans="1:2" x14ac:dyDescent="0.25">
      <c r="A14773" s="2">
        <v>14768</v>
      </c>
      <c r="B14773" s="11" t="str">
        <f>"00697180"</f>
        <v>00697180</v>
      </c>
    </row>
    <row r="14774" spans="1:2" x14ac:dyDescent="0.25">
      <c r="A14774" s="2">
        <v>14769</v>
      </c>
      <c r="B14774" s="11" t="str">
        <f>"00697187"</f>
        <v>00697187</v>
      </c>
    </row>
    <row r="14775" spans="1:2" x14ac:dyDescent="0.25">
      <c r="A14775" s="2">
        <v>14770</v>
      </c>
      <c r="B14775" s="11" t="str">
        <f>"00697195"</f>
        <v>00697195</v>
      </c>
    </row>
    <row r="14776" spans="1:2" x14ac:dyDescent="0.25">
      <c r="A14776" s="2">
        <v>14771</v>
      </c>
      <c r="B14776" s="11" t="str">
        <f>"00697210"</f>
        <v>00697210</v>
      </c>
    </row>
    <row r="14777" spans="1:2" x14ac:dyDescent="0.25">
      <c r="A14777" s="2">
        <v>14772</v>
      </c>
      <c r="B14777" s="11" t="str">
        <f>"00697226"</f>
        <v>00697226</v>
      </c>
    </row>
    <row r="14778" spans="1:2" x14ac:dyDescent="0.25">
      <c r="A14778" s="2">
        <v>14773</v>
      </c>
      <c r="B14778" s="11" t="str">
        <f>"00697229"</f>
        <v>00697229</v>
      </c>
    </row>
    <row r="14779" spans="1:2" x14ac:dyDescent="0.25">
      <c r="A14779" s="2">
        <v>14774</v>
      </c>
      <c r="B14779" s="11" t="str">
        <f>"00697242"</f>
        <v>00697242</v>
      </c>
    </row>
    <row r="14780" spans="1:2" x14ac:dyDescent="0.25">
      <c r="A14780" s="2">
        <v>14775</v>
      </c>
      <c r="B14780" s="11" t="str">
        <f>"00697244"</f>
        <v>00697244</v>
      </c>
    </row>
    <row r="14781" spans="1:2" x14ac:dyDescent="0.25">
      <c r="A14781" s="2">
        <v>14776</v>
      </c>
      <c r="B14781" s="11" t="str">
        <f>"00697253"</f>
        <v>00697253</v>
      </c>
    </row>
    <row r="14782" spans="1:2" x14ac:dyDescent="0.25">
      <c r="A14782" s="2">
        <v>14777</v>
      </c>
      <c r="B14782" s="11" t="str">
        <f>"00697261"</f>
        <v>00697261</v>
      </c>
    </row>
    <row r="14783" spans="1:2" x14ac:dyDescent="0.25">
      <c r="A14783" s="2">
        <v>14778</v>
      </c>
      <c r="B14783" s="11" t="str">
        <f>"00697273"</f>
        <v>00697273</v>
      </c>
    </row>
    <row r="14784" spans="1:2" x14ac:dyDescent="0.25">
      <c r="A14784" s="2">
        <v>14779</v>
      </c>
      <c r="B14784" s="11" t="str">
        <f>"00697312"</f>
        <v>00697312</v>
      </c>
    </row>
    <row r="14785" spans="1:2" x14ac:dyDescent="0.25">
      <c r="A14785" s="2">
        <v>14780</v>
      </c>
      <c r="B14785" s="11" t="str">
        <f>"00697409"</f>
        <v>00697409</v>
      </c>
    </row>
    <row r="14786" spans="1:2" x14ac:dyDescent="0.25">
      <c r="A14786" s="2">
        <v>14781</v>
      </c>
      <c r="B14786" s="11" t="str">
        <f>"00697421"</f>
        <v>00697421</v>
      </c>
    </row>
    <row r="14787" spans="1:2" x14ac:dyDescent="0.25">
      <c r="A14787" s="2">
        <v>14782</v>
      </c>
      <c r="B14787" s="11" t="str">
        <f>"00697442"</f>
        <v>00697442</v>
      </c>
    </row>
    <row r="14788" spans="1:2" x14ac:dyDescent="0.25">
      <c r="A14788" s="2">
        <v>14783</v>
      </c>
      <c r="B14788" s="11" t="str">
        <f>"00697461"</f>
        <v>00697461</v>
      </c>
    </row>
    <row r="14789" spans="1:2" x14ac:dyDescent="0.25">
      <c r="A14789" s="2">
        <v>14784</v>
      </c>
      <c r="B14789" s="11" t="str">
        <f>"00697474"</f>
        <v>00697474</v>
      </c>
    </row>
    <row r="14790" spans="1:2" x14ac:dyDescent="0.25">
      <c r="A14790" s="2">
        <v>14785</v>
      </c>
      <c r="B14790" s="11" t="str">
        <f>"00697484"</f>
        <v>00697484</v>
      </c>
    </row>
    <row r="14791" spans="1:2" x14ac:dyDescent="0.25">
      <c r="A14791" s="2">
        <v>14786</v>
      </c>
      <c r="B14791" s="11" t="str">
        <f>"00697562"</f>
        <v>00697562</v>
      </c>
    </row>
    <row r="14792" spans="1:2" x14ac:dyDescent="0.25">
      <c r="A14792" s="2">
        <v>14787</v>
      </c>
      <c r="B14792" s="11" t="str">
        <f>"00697584"</f>
        <v>00697584</v>
      </c>
    </row>
    <row r="14793" spans="1:2" x14ac:dyDescent="0.25">
      <c r="A14793" s="2">
        <v>14788</v>
      </c>
      <c r="B14793" s="11" t="str">
        <f>"00697586"</f>
        <v>00697586</v>
      </c>
    </row>
    <row r="14794" spans="1:2" x14ac:dyDescent="0.25">
      <c r="A14794" s="2">
        <v>14789</v>
      </c>
      <c r="B14794" s="11" t="str">
        <f>"00697596"</f>
        <v>00697596</v>
      </c>
    </row>
    <row r="14795" spans="1:2" x14ac:dyDescent="0.25">
      <c r="A14795" s="2">
        <v>14790</v>
      </c>
      <c r="B14795" s="11" t="str">
        <f>"00697605"</f>
        <v>00697605</v>
      </c>
    </row>
    <row r="14796" spans="1:2" x14ac:dyDescent="0.25">
      <c r="A14796" s="2">
        <v>14791</v>
      </c>
      <c r="B14796" s="11" t="str">
        <f>"00697654"</f>
        <v>00697654</v>
      </c>
    </row>
    <row r="14797" spans="1:2" x14ac:dyDescent="0.25">
      <c r="A14797" s="2">
        <v>14792</v>
      </c>
      <c r="B14797" s="11" t="str">
        <f>"00697700"</f>
        <v>00697700</v>
      </c>
    </row>
    <row r="14798" spans="1:2" x14ac:dyDescent="0.25">
      <c r="A14798" s="2">
        <v>14793</v>
      </c>
      <c r="B14798" s="11" t="str">
        <f>"00697710"</f>
        <v>00697710</v>
      </c>
    </row>
    <row r="14799" spans="1:2" x14ac:dyDescent="0.25">
      <c r="A14799" s="2">
        <v>14794</v>
      </c>
      <c r="B14799" s="11" t="str">
        <f>"00697726"</f>
        <v>00697726</v>
      </c>
    </row>
    <row r="14800" spans="1:2" x14ac:dyDescent="0.25">
      <c r="A14800" s="2">
        <v>14795</v>
      </c>
      <c r="B14800" s="11" t="str">
        <f>"00697745"</f>
        <v>00697745</v>
      </c>
    </row>
    <row r="14801" spans="1:2" x14ac:dyDescent="0.25">
      <c r="A14801" s="2">
        <v>14796</v>
      </c>
      <c r="B14801" s="11" t="str">
        <f>"00697753"</f>
        <v>00697753</v>
      </c>
    </row>
    <row r="14802" spans="1:2" x14ac:dyDescent="0.25">
      <c r="A14802" s="2">
        <v>14797</v>
      </c>
      <c r="B14802" s="11" t="str">
        <f>"00697762"</f>
        <v>00697762</v>
      </c>
    </row>
    <row r="14803" spans="1:2" x14ac:dyDescent="0.25">
      <c r="A14803" s="2">
        <v>14798</v>
      </c>
      <c r="B14803" s="11" t="str">
        <f>"00697772"</f>
        <v>00697772</v>
      </c>
    </row>
    <row r="14804" spans="1:2" x14ac:dyDescent="0.25">
      <c r="A14804" s="2">
        <v>14799</v>
      </c>
      <c r="B14804" s="11" t="str">
        <f>"00697821"</f>
        <v>00697821</v>
      </c>
    </row>
    <row r="14805" spans="1:2" x14ac:dyDescent="0.25">
      <c r="A14805" s="2">
        <v>14800</v>
      </c>
      <c r="B14805" s="11" t="str">
        <f>"00697835"</f>
        <v>00697835</v>
      </c>
    </row>
    <row r="14806" spans="1:2" x14ac:dyDescent="0.25">
      <c r="A14806" s="2">
        <v>14801</v>
      </c>
      <c r="B14806" s="11" t="str">
        <f>"00697841"</f>
        <v>00697841</v>
      </c>
    </row>
    <row r="14807" spans="1:2" x14ac:dyDescent="0.25">
      <c r="A14807" s="2">
        <v>14802</v>
      </c>
      <c r="B14807" s="11" t="str">
        <f>"00697873"</f>
        <v>00697873</v>
      </c>
    </row>
    <row r="14808" spans="1:2" x14ac:dyDescent="0.25">
      <c r="A14808" s="2">
        <v>14803</v>
      </c>
      <c r="B14808" s="11" t="str">
        <f>"00697889"</f>
        <v>00697889</v>
      </c>
    </row>
    <row r="14809" spans="1:2" x14ac:dyDescent="0.25">
      <c r="A14809" s="2">
        <v>14804</v>
      </c>
      <c r="B14809" s="11" t="str">
        <f>"00697987"</f>
        <v>00697987</v>
      </c>
    </row>
    <row r="14810" spans="1:2" x14ac:dyDescent="0.25">
      <c r="A14810" s="2">
        <v>14805</v>
      </c>
      <c r="B14810" s="11" t="str">
        <f>"00698029"</f>
        <v>00698029</v>
      </c>
    </row>
    <row r="14811" spans="1:2" x14ac:dyDescent="0.25">
      <c r="A14811" s="2">
        <v>14806</v>
      </c>
      <c r="B14811" s="11" t="str">
        <f>"00698065"</f>
        <v>00698065</v>
      </c>
    </row>
    <row r="14812" spans="1:2" x14ac:dyDescent="0.25">
      <c r="A14812" s="2">
        <v>14807</v>
      </c>
      <c r="B14812" s="11" t="str">
        <f>"00698101"</f>
        <v>00698101</v>
      </c>
    </row>
    <row r="14813" spans="1:2" x14ac:dyDescent="0.25">
      <c r="A14813" s="2">
        <v>14808</v>
      </c>
      <c r="B14813" s="11" t="str">
        <f>"00698111"</f>
        <v>00698111</v>
      </c>
    </row>
    <row r="14814" spans="1:2" x14ac:dyDescent="0.25">
      <c r="A14814" s="2">
        <v>14809</v>
      </c>
      <c r="B14814" s="11" t="str">
        <f>"00698132"</f>
        <v>00698132</v>
      </c>
    </row>
    <row r="14815" spans="1:2" x14ac:dyDescent="0.25">
      <c r="A14815" s="2">
        <v>14810</v>
      </c>
      <c r="B14815" s="11" t="str">
        <f>"00698186"</f>
        <v>00698186</v>
      </c>
    </row>
    <row r="14816" spans="1:2" x14ac:dyDescent="0.25">
      <c r="A14816" s="2">
        <v>14811</v>
      </c>
      <c r="B14816" s="11" t="str">
        <f>"00698235"</f>
        <v>00698235</v>
      </c>
    </row>
    <row r="14817" spans="1:2" x14ac:dyDescent="0.25">
      <c r="A14817" s="2">
        <v>14812</v>
      </c>
      <c r="B14817" s="11" t="str">
        <f>"00698268"</f>
        <v>00698268</v>
      </c>
    </row>
    <row r="14818" spans="1:2" x14ac:dyDescent="0.25">
      <c r="A14818" s="2">
        <v>14813</v>
      </c>
      <c r="B14818" s="11" t="str">
        <f>"00698269"</f>
        <v>00698269</v>
      </c>
    </row>
    <row r="14819" spans="1:2" x14ac:dyDescent="0.25">
      <c r="A14819" s="2">
        <v>14814</v>
      </c>
      <c r="B14819" s="11" t="str">
        <f>"00698304"</f>
        <v>00698304</v>
      </c>
    </row>
    <row r="14820" spans="1:2" x14ac:dyDescent="0.25">
      <c r="A14820" s="2">
        <v>14815</v>
      </c>
      <c r="B14820" s="11" t="str">
        <f>"00698312"</f>
        <v>00698312</v>
      </c>
    </row>
    <row r="14821" spans="1:2" x14ac:dyDescent="0.25">
      <c r="A14821" s="2">
        <v>14816</v>
      </c>
      <c r="B14821" s="11" t="str">
        <f>"00698337"</f>
        <v>00698337</v>
      </c>
    </row>
    <row r="14822" spans="1:2" x14ac:dyDescent="0.25">
      <c r="A14822" s="2">
        <v>14817</v>
      </c>
      <c r="B14822" s="11" t="str">
        <f>"00698341"</f>
        <v>00698341</v>
      </c>
    </row>
    <row r="14823" spans="1:2" x14ac:dyDescent="0.25">
      <c r="A14823" s="2">
        <v>14818</v>
      </c>
      <c r="B14823" s="11" t="str">
        <f>"00698351"</f>
        <v>00698351</v>
      </c>
    </row>
    <row r="14824" spans="1:2" x14ac:dyDescent="0.25">
      <c r="A14824" s="2">
        <v>14819</v>
      </c>
      <c r="B14824" s="11" t="str">
        <f>"00698365"</f>
        <v>00698365</v>
      </c>
    </row>
    <row r="14825" spans="1:2" x14ac:dyDescent="0.25">
      <c r="A14825" s="2">
        <v>14820</v>
      </c>
      <c r="B14825" s="11" t="str">
        <f>"00698371"</f>
        <v>00698371</v>
      </c>
    </row>
    <row r="14826" spans="1:2" x14ac:dyDescent="0.25">
      <c r="A14826" s="2">
        <v>14821</v>
      </c>
      <c r="B14826" s="11" t="str">
        <f>"00698386"</f>
        <v>00698386</v>
      </c>
    </row>
    <row r="14827" spans="1:2" x14ac:dyDescent="0.25">
      <c r="A14827" s="2">
        <v>14822</v>
      </c>
      <c r="B14827" s="11" t="str">
        <f>"00698395"</f>
        <v>00698395</v>
      </c>
    </row>
    <row r="14828" spans="1:2" x14ac:dyDescent="0.25">
      <c r="A14828" s="2">
        <v>14823</v>
      </c>
      <c r="B14828" s="11" t="str">
        <f>"00698417"</f>
        <v>00698417</v>
      </c>
    </row>
    <row r="14829" spans="1:2" x14ac:dyDescent="0.25">
      <c r="A14829" s="2">
        <v>14824</v>
      </c>
      <c r="B14829" s="11" t="str">
        <f>"00698421"</f>
        <v>00698421</v>
      </c>
    </row>
    <row r="14830" spans="1:2" x14ac:dyDescent="0.25">
      <c r="A14830" s="2">
        <v>14825</v>
      </c>
      <c r="B14830" s="11" t="str">
        <f>"00698433"</f>
        <v>00698433</v>
      </c>
    </row>
    <row r="14831" spans="1:2" x14ac:dyDescent="0.25">
      <c r="A14831" s="2">
        <v>14826</v>
      </c>
      <c r="B14831" s="11" t="str">
        <f>"00698444"</f>
        <v>00698444</v>
      </c>
    </row>
    <row r="14832" spans="1:2" x14ac:dyDescent="0.25">
      <c r="A14832" s="2">
        <v>14827</v>
      </c>
      <c r="B14832" s="11" t="str">
        <f>"00698445"</f>
        <v>00698445</v>
      </c>
    </row>
    <row r="14833" spans="1:2" x14ac:dyDescent="0.25">
      <c r="A14833" s="2">
        <v>14828</v>
      </c>
      <c r="B14833" s="11" t="str">
        <f>"00698452"</f>
        <v>00698452</v>
      </c>
    </row>
    <row r="14834" spans="1:2" x14ac:dyDescent="0.25">
      <c r="A14834" s="2">
        <v>14829</v>
      </c>
      <c r="B14834" s="11" t="str">
        <f>"00698545"</f>
        <v>00698545</v>
      </c>
    </row>
    <row r="14835" spans="1:2" x14ac:dyDescent="0.25">
      <c r="A14835" s="2">
        <v>14830</v>
      </c>
      <c r="B14835" s="11" t="str">
        <f>"00698547"</f>
        <v>00698547</v>
      </c>
    </row>
    <row r="14836" spans="1:2" x14ac:dyDescent="0.25">
      <c r="A14836" s="2">
        <v>14831</v>
      </c>
      <c r="B14836" s="11" t="str">
        <f>"00698643"</f>
        <v>00698643</v>
      </c>
    </row>
    <row r="14837" spans="1:2" x14ac:dyDescent="0.25">
      <c r="A14837" s="2">
        <v>14832</v>
      </c>
      <c r="B14837" s="11" t="str">
        <f>"00698658"</f>
        <v>00698658</v>
      </c>
    </row>
    <row r="14838" spans="1:2" x14ac:dyDescent="0.25">
      <c r="A14838" s="2">
        <v>14833</v>
      </c>
      <c r="B14838" s="11" t="str">
        <f>"00698668"</f>
        <v>00698668</v>
      </c>
    </row>
    <row r="14839" spans="1:2" x14ac:dyDescent="0.25">
      <c r="A14839" s="2">
        <v>14834</v>
      </c>
      <c r="B14839" s="11" t="str">
        <f>"00698673"</f>
        <v>00698673</v>
      </c>
    </row>
    <row r="14840" spans="1:2" x14ac:dyDescent="0.25">
      <c r="A14840" s="2">
        <v>14835</v>
      </c>
      <c r="B14840" s="11" t="str">
        <f>"00698703"</f>
        <v>00698703</v>
      </c>
    </row>
    <row r="14841" spans="1:2" x14ac:dyDescent="0.25">
      <c r="A14841" s="2">
        <v>14836</v>
      </c>
      <c r="B14841" s="11" t="str">
        <f>"00698710"</f>
        <v>00698710</v>
      </c>
    </row>
    <row r="14842" spans="1:2" x14ac:dyDescent="0.25">
      <c r="A14842" s="2">
        <v>14837</v>
      </c>
      <c r="B14842" s="11" t="str">
        <f>"00698726"</f>
        <v>00698726</v>
      </c>
    </row>
    <row r="14843" spans="1:2" x14ac:dyDescent="0.25">
      <c r="A14843" s="2">
        <v>14838</v>
      </c>
      <c r="B14843" s="11" t="str">
        <f>"00698761"</f>
        <v>00698761</v>
      </c>
    </row>
    <row r="14844" spans="1:2" x14ac:dyDescent="0.25">
      <c r="A14844" s="2">
        <v>14839</v>
      </c>
      <c r="B14844" s="11" t="str">
        <f>"00698820"</f>
        <v>00698820</v>
      </c>
    </row>
    <row r="14845" spans="1:2" x14ac:dyDescent="0.25">
      <c r="A14845" s="2">
        <v>14840</v>
      </c>
      <c r="B14845" s="11" t="str">
        <f>"00698824"</f>
        <v>00698824</v>
      </c>
    </row>
    <row r="14846" spans="1:2" x14ac:dyDescent="0.25">
      <c r="A14846" s="2">
        <v>14841</v>
      </c>
      <c r="B14846" s="11" t="str">
        <f>"00698850"</f>
        <v>00698850</v>
      </c>
    </row>
    <row r="14847" spans="1:2" x14ac:dyDescent="0.25">
      <c r="A14847" s="2">
        <v>14842</v>
      </c>
      <c r="B14847" s="11" t="str">
        <f>"00698852"</f>
        <v>00698852</v>
      </c>
    </row>
    <row r="14848" spans="1:2" x14ac:dyDescent="0.25">
      <c r="A14848" s="2">
        <v>14843</v>
      </c>
      <c r="B14848" s="11" t="str">
        <f>"00698875"</f>
        <v>00698875</v>
      </c>
    </row>
    <row r="14849" spans="1:2" x14ac:dyDescent="0.25">
      <c r="A14849" s="2">
        <v>14844</v>
      </c>
      <c r="B14849" s="11" t="str">
        <f>"00698892"</f>
        <v>00698892</v>
      </c>
    </row>
    <row r="14850" spans="1:2" x14ac:dyDescent="0.25">
      <c r="A14850" s="2">
        <v>14845</v>
      </c>
      <c r="B14850" s="11" t="str">
        <f>"00698899"</f>
        <v>00698899</v>
      </c>
    </row>
    <row r="14851" spans="1:2" x14ac:dyDescent="0.25">
      <c r="A14851" s="2">
        <v>14846</v>
      </c>
      <c r="B14851" s="11" t="str">
        <f>"00698941"</f>
        <v>00698941</v>
      </c>
    </row>
    <row r="14852" spans="1:2" x14ac:dyDescent="0.25">
      <c r="A14852" s="2">
        <v>14847</v>
      </c>
      <c r="B14852" s="11" t="str">
        <f>"00699039"</f>
        <v>00699039</v>
      </c>
    </row>
    <row r="14853" spans="1:2" x14ac:dyDescent="0.25">
      <c r="A14853" s="2">
        <v>14848</v>
      </c>
      <c r="B14853" s="11" t="str">
        <f>"00699072"</f>
        <v>00699072</v>
      </c>
    </row>
    <row r="14854" spans="1:2" x14ac:dyDescent="0.25">
      <c r="A14854" s="2">
        <v>14849</v>
      </c>
      <c r="B14854" s="11" t="str">
        <f>"00699076"</f>
        <v>00699076</v>
      </c>
    </row>
    <row r="14855" spans="1:2" x14ac:dyDescent="0.25">
      <c r="A14855" s="2">
        <v>14850</v>
      </c>
      <c r="B14855" s="11" t="str">
        <f>"00699091"</f>
        <v>00699091</v>
      </c>
    </row>
    <row r="14856" spans="1:2" x14ac:dyDescent="0.25">
      <c r="A14856" s="2">
        <v>14851</v>
      </c>
      <c r="B14856" s="11" t="str">
        <f>"00699120"</f>
        <v>00699120</v>
      </c>
    </row>
    <row r="14857" spans="1:2" x14ac:dyDescent="0.25">
      <c r="A14857" s="2">
        <v>14852</v>
      </c>
      <c r="B14857" s="11" t="str">
        <f>"00699131"</f>
        <v>00699131</v>
      </c>
    </row>
    <row r="14858" spans="1:2" x14ac:dyDescent="0.25">
      <c r="A14858" s="2">
        <v>14853</v>
      </c>
      <c r="B14858" s="11" t="str">
        <f>"00699146"</f>
        <v>00699146</v>
      </c>
    </row>
    <row r="14859" spans="1:2" x14ac:dyDescent="0.25">
      <c r="A14859" s="2">
        <v>14854</v>
      </c>
      <c r="B14859" s="11" t="str">
        <f>"00699202"</f>
        <v>00699202</v>
      </c>
    </row>
    <row r="14860" spans="1:2" x14ac:dyDescent="0.25">
      <c r="A14860" s="2">
        <v>14855</v>
      </c>
      <c r="B14860" s="11" t="str">
        <f>"00699205"</f>
        <v>00699205</v>
      </c>
    </row>
    <row r="14861" spans="1:2" x14ac:dyDescent="0.25">
      <c r="A14861" s="2">
        <v>14856</v>
      </c>
      <c r="B14861" s="11" t="str">
        <f>"00699232"</f>
        <v>00699232</v>
      </c>
    </row>
    <row r="14862" spans="1:2" x14ac:dyDescent="0.25">
      <c r="A14862" s="2">
        <v>14857</v>
      </c>
      <c r="B14862" s="11" t="str">
        <f>"00699235"</f>
        <v>00699235</v>
      </c>
    </row>
    <row r="14863" spans="1:2" x14ac:dyDescent="0.25">
      <c r="A14863" s="2">
        <v>14858</v>
      </c>
      <c r="B14863" s="11" t="str">
        <f>"00699252"</f>
        <v>00699252</v>
      </c>
    </row>
    <row r="14864" spans="1:2" x14ac:dyDescent="0.25">
      <c r="A14864" s="2">
        <v>14859</v>
      </c>
      <c r="B14864" s="11" t="str">
        <f>"00699328"</f>
        <v>00699328</v>
      </c>
    </row>
    <row r="14865" spans="1:2" x14ac:dyDescent="0.25">
      <c r="A14865" s="2">
        <v>14860</v>
      </c>
      <c r="B14865" s="11" t="str">
        <f>"00699363"</f>
        <v>00699363</v>
      </c>
    </row>
    <row r="14866" spans="1:2" x14ac:dyDescent="0.25">
      <c r="A14866" s="2">
        <v>14861</v>
      </c>
      <c r="B14866" s="11" t="str">
        <f>"00699382"</f>
        <v>00699382</v>
      </c>
    </row>
    <row r="14867" spans="1:2" x14ac:dyDescent="0.25">
      <c r="A14867" s="2">
        <v>14862</v>
      </c>
      <c r="B14867" s="11" t="str">
        <f>"00699390"</f>
        <v>00699390</v>
      </c>
    </row>
    <row r="14868" spans="1:2" x14ac:dyDescent="0.25">
      <c r="A14868" s="2">
        <v>14863</v>
      </c>
      <c r="B14868" s="11" t="str">
        <f>"00699400"</f>
        <v>00699400</v>
      </c>
    </row>
    <row r="14869" spans="1:2" x14ac:dyDescent="0.25">
      <c r="A14869" s="2">
        <v>14864</v>
      </c>
      <c r="B14869" s="11" t="str">
        <f>"00699451"</f>
        <v>00699451</v>
      </c>
    </row>
    <row r="14870" spans="1:2" x14ac:dyDescent="0.25">
      <c r="A14870" s="2">
        <v>14865</v>
      </c>
      <c r="B14870" s="11" t="str">
        <f>"00699565"</f>
        <v>00699565</v>
      </c>
    </row>
    <row r="14871" spans="1:2" x14ac:dyDescent="0.25">
      <c r="A14871" s="2">
        <v>14866</v>
      </c>
      <c r="B14871" s="11" t="str">
        <f>"00699597"</f>
        <v>00699597</v>
      </c>
    </row>
    <row r="14872" spans="1:2" x14ac:dyDescent="0.25">
      <c r="A14872" s="2">
        <v>14867</v>
      </c>
      <c r="B14872" s="11" t="str">
        <f>"00699598"</f>
        <v>00699598</v>
      </c>
    </row>
    <row r="14873" spans="1:2" x14ac:dyDescent="0.25">
      <c r="A14873" s="2">
        <v>14868</v>
      </c>
      <c r="B14873" s="11" t="str">
        <f>"00699635"</f>
        <v>00699635</v>
      </c>
    </row>
    <row r="14874" spans="1:2" x14ac:dyDescent="0.25">
      <c r="A14874" s="2">
        <v>14869</v>
      </c>
      <c r="B14874" s="11" t="str">
        <f>"00699654"</f>
        <v>00699654</v>
      </c>
    </row>
    <row r="14875" spans="1:2" x14ac:dyDescent="0.25">
      <c r="A14875" s="2">
        <v>14870</v>
      </c>
      <c r="B14875" s="11" t="str">
        <f>"00699669"</f>
        <v>00699669</v>
      </c>
    </row>
    <row r="14876" spans="1:2" x14ac:dyDescent="0.25">
      <c r="A14876" s="2">
        <v>14871</v>
      </c>
      <c r="B14876" s="11" t="str">
        <f>"00699674"</f>
        <v>00699674</v>
      </c>
    </row>
    <row r="14877" spans="1:2" x14ac:dyDescent="0.25">
      <c r="A14877" s="2">
        <v>14872</v>
      </c>
      <c r="B14877" s="11" t="str">
        <f>"00699726"</f>
        <v>00699726</v>
      </c>
    </row>
    <row r="14878" spans="1:2" x14ac:dyDescent="0.25">
      <c r="A14878" s="2">
        <v>14873</v>
      </c>
      <c r="B14878" s="11" t="str">
        <f>"00699751"</f>
        <v>00699751</v>
      </c>
    </row>
    <row r="14879" spans="1:2" x14ac:dyDescent="0.25">
      <c r="A14879" s="2">
        <v>14874</v>
      </c>
      <c r="B14879" s="11" t="str">
        <f>"00699758"</f>
        <v>00699758</v>
      </c>
    </row>
    <row r="14880" spans="1:2" x14ac:dyDescent="0.25">
      <c r="A14880" s="2">
        <v>14875</v>
      </c>
      <c r="B14880" s="11" t="str">
        <f>"00699775"</f>
        <v>00699775</v>
      </c>
    </row>
    <row r="14881" spans="1:2" x14ac:dyDescent="0.25">
      <c r="A14881" s="2">
        <v>14876</v>
      </c>
      <c r="B14881" s="11" t="str">
        <f>"00699782"</f>
        <v>00699782</v>
      </c>
    </row>
    <row r="14882" spans="1:2" x14ac:dyDescent="0.25">
      <c r="A14882" s="2">
        <v>14877</v>
      </c>
      <c r="B14882" s="11" t="str">
        <f>"00699813"</f>
        <v>00699813</v>
      </c>
    </row>
    <row r="14883" spans="1:2" x14ac:dyDescent="0.25">
      <c r="A14883" s="2">
        <v>14878</v>
      </c>
      <c r="B14883" s="11" t="str">
        <f>"00699842"</f>
        <v>00699842</v>
      </c>
    </row>
    <row r="14884" spans="1:2" x14ac:dyDescent="0.25">
      <c r="A14884" s="2">
        <v>14879</v>
      </c>
      <c r="B14884" s="11" t="str">
        <f>"00699855"</f>
        <v>00699855</v>
      </c>
    </row>
    <row r="14885" spans="1:2" x14ac:dyDescent="0.25">
      <c r="A14885" s="2">
        <v>14880</v>
      </c>
      <c r="B14885" s="11" t="str">
        <f>"00699856"</f>
        <v>00699856</v>
      </c>
    </row>
    <row r="14886" spans="1:2" x14ac:dyDescent="0.25">
      <c r="A14886" s="2">
        <v>14881</v>
      </c>
      <c r="B14886" s="11" t="str">
        <f>"00699894"</f>
        <v>00699894</v>
      </c>
    </row>
    <row r="14887" spans="1:2" x14ac:dyDescent="0.25">
      <c r="A14887" s="2">
        <v>14882</v>
      </c>
      <c r="B14887" s="11" t="str">
        <f>"00699902"</f>
        <v>00699902</v>
      </c>
    </row>
    <row r="14888" spans="1:2" x14ac:dyDescent="0.25">
      <c r="A14888" s="2">
        <v>14883</v>
      </c>
      <c r="B14888" s="11" t="str">
        <f>"00699906"</f>
        <v>00699906</v>
      </c>
    </row>
    <row r="14889" spans="1:2" x14ac:dyDescent="0.25">
      <c r="A14889" s="2">
        <v>14884</v>
      </c>
      <c r="B14889" s="11" t="str">
        <f>"00699909"</f>
        <v>00699909</v>
      </c>
    </row>
    <row r="14890" spans="1:2" x14ac:dyDescent="0.25">
      <c r="A14890" s="2">
        <v>14885</v>
      </c>
      <c r="B14890" s="11" t="str">
        <f>"00699975"</f>
        <v>00699975</v>
      </c>
    </row>
    <row r="14891" spans="1:2" x14ac:dyDescent="0.25">
      <c r="A14891" s="2">
        <v>14886</v>
      </c>
      <c r="B14891" s="11" t="str">
        <f>"00700005"</f>
        <v>00700005</v>
      </c>
    </row>
    <row r="14892" spans="1:2" x14ac:dyDescent="0.25">
      <c r="A14892" s="2">
        <v>14887</v>
      </c>
      <c r="B14892" s="11" t="str">
        <f>"00700042"</f>
        <v>00700042</v>
      </c>
    </row>
    <row r="14893" spans="1:2" x14ac:dyDescent="0.25">
      <c r="A14893" s="2">
        <v>14888</v>
      </c>
      <c r="B14893" s="11" t="str">
        <f>"00700073"</f>
        <v>00700073</v>
      </c>
    </row>
    <row r="14894" spans="1:2" x14ac:dyDescent="0.25">
      <c r="A14894" s="2">
        <v>14889</v>
      </c>
      <c r="B14894" s="11" t="str">
        <f>"00700085"</f>
        <v>00700085</v>
      </c>
    </row>
    <row r="14895" spans="1:2" x14ac:dyDescent="0.25">
      <c r="A14895" s="2">
        <v>14890</v>
      </c>
      <c r="B14895" s="11" t="str">
        <f>"00700086"</f>
        <v>00700086</v>
      </c>
    </row>
    <row r="14896" spans="1:2" x14ac:dyDescent="0.25">
      <c r="A14896" s="2">
        <v>14891</v>
      </c>
      <c r="B14896" s="11" t="str">
        <f>"00700092"</f>
        <v>00700092</v>
      </c>
    </row>
    <row r="14897" spans="1:2" x14ac:dyDescent="0.25">
      <c r="A14897" s="2">
        <v>14892</v>
      </c>
      <c r="B14897" s="11" t="str">
        <f>"00700098"</f>
        <v>00700098</v>
      </c>
    </row>
    <row r="14898" spans="1:2" x14ac:dyDescent="0.25">
      <c r="A14898" s="2">
        <v>14893</v>
      </c>
      <c r="B14898" s="11" t="str">
        <f>"00700105"</f>
        <v>00700105</v>
      </c>
    </row>
    <row r="14899" spans="1:2" x14ac:dyDescent="0.25">
      <c r="A14899" s="2">
        <v>14894</v>
      </c>
      <c r="B14899" s="11" t="str">
        <f>"00700314"</f>
        <v>00700314</v>
      </c>
    </row>
    <row r="14900" spans="1:2" x14ac:dyDescent="0.25">
      <c r="A14900" s="2">
        <v>14895</v>
      </c>
      <c r="B14900" s="11" t="str">
        <f>"00700318"</f>
        <v>00700318</v>
      </c>
    </row>
    <row r="14901" spans="1:2" x14ac:dyDescent="0.25">
      <c r="A14901" s="2">
        <v>14896</v>
      </c>
      <c r="B14901" s="11" t="str">
        <f>"00700336"</f>
        <v>00700336</v>
      </c>
    </row>
    <row r="14902" spans="1:2" x14ac:dyDescent="0.25">
      <c r="A14902" s="2">
        <v>14897</v>
      </c>
      <c r="B14902" s="11" t="str">
        <f>"00700350"</f>
        <v>00700350</v>
      </c>
    </row>
    <row r="14903" spans="1:2" x14ac:dyDescent="0.25">
      <c r="A14903" s="2">
        <v>14898</v>
      </c>
      <c r="B14903" s="11" t="str">
        <f>"00700373"</f>
        <v>00700373</v>
      </c>
    </row>
    <row r="14904" spans="1:2" x14ac:dyDescent="0.25">
      <c r="A14904" s="2">
        <v>14899</v>
      </c>
      <c r="B14904" s="11" t="str">
        <f>"00700391"</f>
        <v>00700391</v>
      </c>
    </row>
    <row r="14905" spans="1:2" x14ac:dyDescent="0.25">
      <c r="A14905" s="2">
        <v>14900</v>
      </c>
      <c r="B14905" s="11" t="str">
        <f>"00700410"</f>
        <v>00700410</v>
      </c>
    </row>
    <row r="14906" spans="1:2" x14ac:dyDescent="0.25">
      <c r="A14906" s="2">
        <v>14901</v>
      </c>
      <c r="B14906" s="11" t="str">
        <f>"00700440"</f>
        <v>00700440</v>
      </c>
    </row>
    <row r="14907" spans="1:2" x14ac:dyDescent="0.25">
      <c r="A14907" s="2">
        <v>14902</v>
      </c>
      <c r="B14907" s="11" t="str">
        <f>"00700443"</f>
        <v>00700443</v>
      </c>
    </row>
    <row r="14908" spans="1:2" x14ac:dyDescent="0.25">
      <c r="A14908" s="2">
        <v>14903</v>
      </c>
      <c r="B14908" s="11" t="str">
        <f>"00700512"</f>
        <v>00700512</v>
      </c>
    </row>
    <row r="14909" spans="1:2" x14ac:dyDescent="0.25">
      <c r="A14909" s="2">
        <v>14904</v>
      </c>
      <c r="B14909" s="11" t="str">
        <f>"00700520"</f>
        <v>00700520</v>
      </c>
    </row>
    <row r="14910" spans="1:2" x14ac:dyDescent="0.25">
      <c r="A14910" s="2">
        <v>14905</v>
      </c>
      <c r="B14910" s="11" t="str">
        <f>"00700522"</f>
        <v>00700522</v>
      </c>
    </row>
    <row r="14911" spans="1:2" x14ac:dyDescent="0.25">
      <c r="A14911" s="2">
        <v>14906</v>
      </c>
      <c r="B14911" s="11" t="str">
        <f>"00700550"</f>
        <v>00700550</v>
      </c>
    </row>
    <row r="14912" spans="1:2" x14ac:dyDescent="0.25">
      <c r="A14912" s="2">
        <v>14907</v>
      </c>
      <c r="B14912" s="11" t="str">
        <f>"00700557"</f>
        <v>00700557</v>
      </c>
    </row>
    <row r="14913" spans="1:2" x14ac:dyDescent="0.25">
      <c r="A14913" s="2">
        <v>14908</v>
      </c>
      <c r="B14913" s="11" t="str">
        <f>"00700574"</f>
        <v>00700574</v>
      </c>
    </row>
    <row r="14914" spans="1:2" x14ac:dyDescent="0.25">
      <c r="A14914" s="2">
        <v>14909</v>
      </c>
      <c r="B14914" s="11" t="str">
        <f>"00700575"</f>
        <v>00700575</v>
      </c>
    </row>
    <row r="14915" spans="1:2" x14ac:dyDescent="0.25">
      <c r="A14915" s="2">
        <v>14910</v>
      </c>
      <c r="B14915" s="11" t="str">
        <f>"00700593"</f>
        <v>00700593</v>
      </c>
    </row>
    <row r="14916" spans="1:2" x14ac:dyDescent="0.25">
      <c r="A14916" s="2">
        <v>14911</v>
      </c>
      <c r="B14916" s="11" t="str">
        <f>"00700613"</f>
        <v>00700613</v>
      </c>
    </row>
    <row r="14917" spans="1:2" x14ac:dyDescent="0.25">
      <c r="A14917" s="2">
        <v>14912</v>
      </c>
      <c r="B14917" s="11" t="str">
        <f>"00700653"</f>
        <v>00700653</v>
      </c>
    </row>
    <row r="14918" spans="1:2" x14ac:dyDescent="0.25">
      <c r="A14918" s="2">
        <v>14913</v>
      </c>
      <c r="B14918" s="11" t="str">
        <f>"00700654"</f>
        <v>00700654</v>
      </c>
    </row>
    <row r="14919" spans="1:2" x14ac:dyDescent="0.25">
      <c r="A14919" s="2">
        <v>14914</v>
      </c>
      <c r="B14919" s="11" t="str">
        <f>"00700663"</f>
        <v>00700663</v>
      </c>
    </row>
    <row r="14920" spans="1:2" x14ac:dyDescent="0.25">
      <c r="A14920" s="2">
        <v>14915</v>
      </c>
      <c r="B14920" s="11" t="str">
        <f>"00700678"</f>
        <v>00700678</v>
      </c>
    </row>
    <row r="14921" spans="1:2" x14ac:dyDescent="0.25">
      <c r="A14921" s="2">
        <v>14916</v>
      </c>
      <c r="B14921" s="11" t="str">
        <f>"00700716"</f>
        <v>00700716</v>
      </c>
    </row>
    <row r="14922" spans="1:2" x14ac:dyDescent="0.25">
      <c r="A14922" s="2">
        <v>14917</v>
      </c>
      <c r="B14922" s="11" t="str">
        <f>"00700720"</f>
        <v>00700720</v>
      </c>
    </row>
    <row r="14923" spans="1:2" x14ac:dyDescent="0.25">
      <c r="A14923" s="2">
        <v>14918</v>
      </c>
      <c r="B14923" s="11" t="str">
        <f>"00700749"</f>
        <v>00700749</v>
      </c>
    </row>
    <row r="14924" spans="1:2" x14ac:dyDescent="0.25">
      <c r="A14924" s="2">
        <v>14919</v>
      </c>
      <c r="B14924" s="11" t="str">
        <f>"00700776"</f>
        <v>00700776</v>
      </c>
    </row>
    <row r="14925" spans="1:2" x14ac:dyDescent="0.25">
      <c r="A14925" s="2">
        <v>14920</v>
      </c>
      <c r="B14925" s="11" t="str">
        <f>"00700797"</f>
        <v>00700797</v>
      </c>
    </row>
    <row r="14926" spans="1:2" x14ac:dyDescent="0.25">
      <c r="A14926" s="2">
        <v>14921</v>
      </c>
      <c r="B14926" s="11" t="str">
        <f>"00700813"</f>
        <v>00700813</v>
      </c>
    </row>
    <row r="14927" spans="1:2" x14ac:dyDescent="0.25">
      <c r="A14927" s="2">
        <v>14922</v>
      </c>
      <c r="B14927" s="11" t="str">
        <f>"00700843"</f>
        <v>00700843</v>
      </c>
    </row>
    <row r="14928" spans="1:2" x14ac:dyDescent="0.25">
      <c r="A14928" s="2">
        <v>14923</v>
      </c>
      <c r="B14928" s="11" t="str">
        <f>"00700846"</f>
        <v>00700846</v>
      </c>
    </row>
    <row r="14929" spans="1:2" x14ac:dyDescent="0.25">
      <c r="A14929" s="2">
        <v>14924</v>
      </c>
      <c r="B14929" s="11" t="str">
        <f>"00700858"</f>
        <v>00700858</v>
      </c>
    </row>
    <row r="14930" spans="1:2" x14ac:dyDescent="0.25">
      <c r="A14930" s="2">
        <v>14925</v>
      </c>
      <c r="B14930" s="11" t="str">
        <f>"00700864"</f>
        <v>00700864</v>
      </c>
    </row>
    <row r="14931" spans="1:2" x14ac:dyDescent="0.25">
      <c r="A14931" s="2">
        <v>14926</v>
      </c>
      <c r="B14931" s="11" t="str">
        <f>"00701005"</f>
        <v>00701005</v>
      </c>
    </row>
    <row r="14932" spans="1:2" x14ac:dyDescent="0.25">
      <c r="A14932" s="2">
        <v>14927</v>
      </c>
      <c r="B14932" s="11" t="str">
        <f>"00701018"</f>
        <v>00701018</v>
      </c>
    </row>
    <row r="14933" spans="1:2" x14ac:dyDescent="0.25">
      <c r="A14933" s="2">
        <v>14928</v>
      </c>
      <c r="B14933" s="11" t="str">
        <f>"00701083"</f>
        <v>00701083</v>
      </c>
    </row>
    <row r="14934" spans="1:2" x14ac:dyDescent="0.25">
      <c r="A14934" s="2">
        <v>14929</v>
      </c>
      <c r="B14934" s="11" t="str">
        <f>"00701143"</f>
        <v>00701143</v>
      </c>
    </row>
    <row r="14935" spans="1:2" x14ac:dyDescent="0.25">
      <c r="A14935" s="2">
        <v>14930</v>
      </c>
      <c r="B14935" s="11" t="str">
        <f>"00701149"</f>
        <v>00701149</v>
      </c>
    </row>
    <row r="14936" spans="1:2" x14ac:dyDescent="0.25">
      <c r="A14936" s="2">
        <v>14931</v>
      </c>
      <c r="B14936" s="11" t="str">
        <f>"00701168"</f>
        <v>00701168</v>
      </c>
    </row>
    <row r="14937" spans="1:2" x14ac:dyDescent="0.25">
      <c r="A14937" s="2">
        <v>14932</v>
      </c>
      <c r="B14937" s="11" t="str">
        <f>"00701183"</f>
        <v>00701183</v>
      </c>
    </row>
    <row r="14938" spans="1:2" x14ac:dyDescent="0.25">
      <c r="A14938" s="2">
        <v>14933</v>
      </c>
      <c r="B14938" s="11" t="str">
        <f>"00701186"</f>
        <v>00701186</v>
      </c>
    </row>
    <row r="14939" spans="1:2" x14ac:dyDescent="0.25">
      <c r="A14939" s="2">
        <v>14934</v>
      </c>
      <c r="B14939" s="11" t="str">
        <f>"00701238"</f>
        <v>00701238</v>
      </c>
    </row>
    <row r="14940" spans="1:2" x14ac:dyDescent="0.25">
      <c r="A14940" s="2">
        <v>14935</v>
      </c>
      <c r="B14940" s="11" t="str">
        <f>"00701247"</f>
        <v>00701247</v>
      </c>
    </row>
    <row r="14941" spans="1:2" x14ac:dyDescent="0.25">
      <c r="A14941" s="2">
        <v>14936</v>
      </c>
      <c r="B14941" s="11" t="str">
        <f>"00701254"</f>
        <v>00701254</v>
      </c>
    </row>
    <row r="14942" spans="1:2" x14ac:dyDescent="0.25">
      <c r="A14942" s="2">
        <v>14937</v>
      </c>
      <c r="B14942" s="11" t="str">
        <f>"00701315"</f>
        <v>00701315</v>
      </c>
    </row>
    <row r="14943" spans="1:2" x14ac:dyDescent="0.25">
      <c r="A14943" s="2">
        <v>14938</v>
      </c>
      <c r="B14943" s="11" t="str">
        <f>"00701319"</f>
        <v>00701319</v>
      </c>
    </row>
    <row r="14944" spans="1:2" x14ac:dyDescent="0.25">
      <c r="A14944" s="2">
        <v>14939</v>
      </c>
      <c r="B14944" s="11" t="str">
        <f>"00701378"</f>
        <v>00701378</v>
      </c>
    </row>
    <row r="14945" spans="1:2" x14ac:dyDescent="0.25">
      <c r="A14945" s="2">
        <v>14940</v>
      </c>
      <c r="B14945" s="11" t="str">
        <f>"00701385"</f>
        <v>00701385</v>
      </c>
    </row>
    <row r="14946" spans="1:2" x14ac:dyDescent="0.25">
      <c r="A14946" s="2">
        <v>14941</v>
      </c>
      <c r="B14946" s="11" t="str">
        <f>"00701392"</f>
        <v>00701392</v>
      </c>
    </row>
    <row r="14947" spans="1:2" x14ac:dyDescent="0.25">
      <c r="A14947" s="2">
        <v>14942</v>
      </c>
      <c r="B14947" s="11" t="str">
        <f>"00701412"</f>
        <v>00701412</v>
      </c>
    </row>
    <row r="14948" spans="1:2" x14ac:dyDescent="0.25">
      <c r="A14948" s="2">
        <v>14943</v>
      </c>
      <c r="B14948" s="11" t="str">
        <f>"00701421"</f>
        <v>00701421</v>
      </c>
    </row>
    <row r="14949" spans="1:2" x14ac:dyDescent="0.25">
      <c r="A14949" s="2">
        <v>14944</v>
      </c>
      <c r="B14949" s="11" t="str">
        <f>"00701457"</f>
        <v>00701457</v>
      </c>
    </row>
    <row r="14950" spans="1:2" x14ac:dyDescent="0.25">
      <c r="A14950" s="2">
        <v>14945</v>
      </c>
      <c r="B14950" s="11" t="str">
        <f>"00701482"</f>
        <v>00701482</v>
      </c>
    </row>
    <row r="14951" spans="1:2" x14ac:dyDescent="0.25">
      <c r="A14951" s="2">
        <v>14946</v>
      </c>
      <c r="B14951" s="11" t="str">
        <f>"00701497"</f>
        <v>00701497</v>
      </c>
    </row>
    <row r="14952" spans="1:2" x14ac:dyDescent="0.25">
      <c r="A14952" s="2">
        <v>14947</v>
      </c>
      <c r="B14952" s="11" t="str">
        <f>"00701510"</f>
        <v>00701510</v>
      </c>
    </row>
    <row r="14953" spans="1:2" x14ac:dyDescent="0.25">
      <c r="A14953" s="2">
        <v>14948</v>
      </c>
      <c r="B14953" s="11" t="str">
        <f>"00701516"</f>
        <v>00701516</v>
      </c>
    </row>
    <row r="14954" spans="1:2" x14ac:dyDescent="0.25">
      <c r="A14954" s="2">
        <v>14949</v>
      </c>
      <c r="B14954" s="11" t="str">
        <f>"00701536"</f>
        <v>00701536</v>
      </c>
    </row>
    <row r="14955" spans="1:2" x14ac:dyDescent="0.25">
      <c r="A14955" s="2">
        <v>14950</v>
      </c>
      <c r="B14955" s="11" t="str">
        <f>"00701544"</f>
        <v>00701544</v>
      </c>
    </row>
    <row r="14956" spans="1:2" x14ac:dyDescent="0.25">
      <c r="A14956" s="2">
        <v>14951</v>
      </c>
      <c r="B14956" s="11" t="str">
        <f>"00701545"</f>
        <v>00701545</v>
      </c>
    </row>
    <row r="14957" spans="1:2" x14ac:dyDescent="0.25">
      <c r="A14957" s="2">
        <v>14952</v>
      </c>
      <c r="B14957" s="11" t="str">
        <f>"00701569"</f>
        <v>00701569</v>
      </c>
    </row>
    <row r="14958" spans="1:2" x14ac:dyDescent="0.25">
      <c r="A14958" s="2">
        <v>14953</v>
      </c>
      <c r="B14958" s="11" t="str">
        <f>"00701593"</f>
        <v>00701593</v>
      </c>
    </row>
    <row r="14959" spans="1:2" x14ac:dyDescent="0.25">
      <c r="A14959" s="2">
        <v>14954</v>
      </c>
      <c r="B14959" s="11" t="str">
        <f>"00701651"</f>
        <v>00701651</v>
      </c>
    </row>
    <row r="14960" spans="1:2" x14ac:dyDescent="0.25">
      <c r="A14960" s="2">
        <v>14955</v>
      </c>
      <c r="B14960" s="11" t="str">
        <f>"00701719"</f>
        <v>00701719</v>
      </c>
    </row>
    <row r="14961" spans="1:2" x14ac:dyDescent="0.25">
      <c r="A14961" s="2">
        <v>14956</v>
      </c>
      <c r="B14961" s="11" t="str">
        <f>"00701746"</f>
        <v>00701746</v>
      </c>
    </row>
    <row r="14962" spans="1:2" x14ac:dyDescent="0.25">
      <c r="A14962" s="2">
        <v>14957</v>
      </c>
      <c r="B14962" s="11" t="str">
        <f>"00701758"</f>
        <v>00701758</v>
      </c>
    </row>
    <row r="14963" spans="1:2" x14ac:dyDescent="0.25">
      <c r="A14963" s="2">
        <v>14958</v>
      </c>
      <c r="B14963" s="11" t="str">
        <f>"00701767"</f>
        <v>00701767</v>
      </c>
    </row>
    <row r="14964" spans="1:2" x14ac:dyDescent="0.25">
      <c r="A14964" s="2">
        <v>14959</v>
      </c>
      <c r="B14964" s="11" t="str">
        <f>"00701774"</f>
        <v>00701774</v>
      </c>
    </row>
    <row r="14965" spans="1:2" x14ac:dyDescent="0.25">
      <c r="A14965" s="2">
        <v>14960</v>
      </c>
      <c r="B14965" s="11" t="str">
        <f>"00701828"</f>
        <v>00701828</v>
      </c>
    </row>
    <row r="14966" spans="1:2" x14ac:dyDescent="0.25">
      <c r="A14966" s="2">
        <v>14961</v>
      </c>
      <c r="B14966" s="11" t="str">
        <f>"00701840"</f>
        <v>00701840</v>
      </c>
    </row>
    <row r="14967" spans="1:2" x14ac:dyDescent="0.25">
      <c r="A14967" s="2">
        <v>14962</v>
      </c>
      <c r="B14967" s="11" t="str">
        <f>"00701875"</f>
        <v>00701875</v>
      </c>
    </row>
    <row r="14968" spans="1:2" x14ac:dyDescent="0.25">
      <c r="A14968" s="2">
        <v>14963</v>
      </c>
      <c r="B14968" s="11" t="str">
        <f>"00701879"</f>
        <v>00701879</v>
      </c>
    </row>
    <row r="14969" spans="1:2" x14ac:dyDescent="0.25">
      <c r="A14969" s="2">
        <v>14964</v>
      </c>
      <c r="B14969" s="11" t="str">
        <f>"00701886"</f>
        <v>00701886</v>
      </c>
    </row>
    <row r="14970" spans="1:2" x14ac:dyDescent="0.25">
      <c r="A14970" s="2">
        <v>14965</v>
      </c>
      <c r="B14970" s="11" t="str">
        <f>"00701908"</f>
        <v>00701908</v>
      </c>
    </row>
    <row r="14971" spans="1:2" x14ac:dyDescent="0.25">
      <c r="A14971" s="2">
        <v>14966</v>
      </c>
      <c r="B14971" s="11" t="str">
        <f>"00701910"</f>
        <v>00701910</v>
      </c>
    </row>
    <row r="14972" spans="1:2" x14ac:dyDescent="0.25">
      <c r="A14972" s="2">
        <v>14967</v>
      </c>
      <c r="B14972" s="11" t="str">
        <f>"00701932"</f>
        <v>00701932</v>
      </c>
    </row>
    <row r="14973" spans="1:2" x14ac:dyDescent="0.25">
      <c r="A14973" s="2">
        <v>14968</v>
      </c>
      <c r="B14973" s="11" t="str">
        <f>"00701943"</f>
        <v>00701943</v>
      </c>
    </row>
    <row r="14974" spans="1:2" x14ac:dyDescent="0.25">
      <c r="A14974" s="2">
        <v>14969</v>
      </c>
      <c r="B14974" s="11" t="str">
        <f>"00702003"</f>
        <v>00702003</v>
      </c>
    </row>
    <row r="14975" spans="1:2" x14ac:dyDescent="0.25">
      <c r="A14975" s="2">
        <v>14970</v>
      </c>
      <c r="B14975" s="11" t="str">
        <f>"00702095"</f>
        <v>00702095</v>
      </c>
    </row>
    <row r="14976" spans="1:2" x14ac:dyDescent="0.25">
      <c r="A14976" s="2">
        <v>14971</v>
      </c>
      <c r="B14976" s="11" t="str">
        <f>"00702101"</f>
        <v>00702101</v>
      </c>
    </row>
    <row r="14977" spans="1:2" x14ac:dyDescent="0.25">
      <c r="A14977" s="2">
        <v>14972</v>
      </c>
      <c r="B14977" s="11" t="str">
        <f>"00702128"</f>
        <v>00702128</v>
      </c>
    </row>
    <row r="14978" spans="1:2" x14ac:dyDescent="0.25">
      <c r="A14978" s="2">
        <v>14973</v>
      </c>
      <c r="B14978" s="11" t="str">
        <f>"00702166"</f>
        <v>00702166</v>
      </c>
    </row>
    <row r="14979" spans="1:2" x14ac:dyDescent="0.25">
      <c r="A14979" s="2">
        <v>14974</v>
      </c>
      <c r="B14979" s="11" t="str">
        <f>"00702201"</f>
        <v>00702201</v>
      </c>
    </row>
    <row r="14980" spans="1:2" x14ac:dyDescent="0.25">
      <c r="A14980" s="2">
        <v>14975</v>
      </c>
      <c r="B14980" s="11" t="str">
        <f>"00702242"</f>
        <v>00702242</v>
      </c>
    </row>
    <row r="14981" spans="1:2" x14ac:dyDescent="0.25">
      <c r="A14981" s="2">
        <v>14976</v>
      </c>
      <c r="B14981" s="11" t="str">
        <f>"00702281"</f>
        <v>00702281</v>
      </c>
    </row>
    <row r="14982" spans="1:2" x14ac:dyDescent="0.25">
      <c r="A14982" s="2">
        <v>14977</v>
      </c>
      <c r="B14982" s="11" t="str">
        <f>"00702289"</f>
        <v>00702289</v>
      </c>
    </row>
    <row r="14983" spans="1:2" x14ac:dyDescent="0.25">
      <c r="A14983" s="2">
        <v>14978</v>
      </c>
      <c r="B14983" s="11" t="str">
        <f>"00702308"</f>
        <v>00702308</v>
      </c>
    </row>
    <row r="14984" spans="1:2" x14ac:dyDescent="0.25">
      <c r="A14984" s="2">
        <v>14979</v>
      </c>
      <c r="B14984" s="11" t="str">
        <f>"00702373"</f>
        <v>00702373</v>
      </c>
    </row>
    <row r="14985" spans="1:2" x14ac:dyDescent="0.25">
      <c r="A14985" s="2">
        <v>14980</v>
      </c>
      <c r="B14985" s="11" t="str">
        <f>"00702433"</f>
        <v>00702433</v>
      </c>
    </row>
    <row r="14986" spans="1:2" x14ac:dyDescent="0.25">
      <c r="A14986" s="2">
        <v>14981</v>
      </c>
      <c r="B14986" s="11" t="str">
        <f>"00702481"</f>
        <v>00702481</v>
      </c>
    </row>
    <row r="14987" spans="1:2" x14ac:dyDescent="0.25">
      <c r="A14987" s="2">
        <v>14982</v>
      </c>
      <c r="B14987" s="11" t="str">
        <f>"00702526"</f>
        <v>00702526</v>
      </c>
    </row>
    <row r="14988" spans="1:2" x14ac:dyDescent="0.25">
      <c r="A14988" s="2">
        <v>14983</v>
      </c>
      <c r="B14988" s="11" t="str">
        <f>"00702605"</f>
        <v>00702605</v>
      </c>
    </row>
    <row r="14989" spans="1:2" x14ac:dyDescent="0.25">
      <c r="A14989" s="2">
        <v>14984</v>
      </c>
      <c r="B14989" s="11" t="str">
        <f>"00702624"</f>
        <v>00702624</v>
      </c>
    </row>
    <row r="14990" spans="1:2" x14ac:dyDescent="0.25">
      <c r="A14990" s="2">
        <v>14985</v>
      </c>
      <c r="B14990" s="11" t="str">
        <f>"00702685"</f>
        <v>00702685</v>
      </c>
    </row>
    <row r="14991" spans="1:2" x14ac:dyDescent="0.25">
      <c r="A14991" s="2">
        <v>14986</v>
      </c>
      <c r="B14991" s="11" t="str">
        <f>"00702710"</f>
        <v>00702710</v>
      </c>
    </row>
    <row r="14992" spans="1:2" x14ac:dyDescent="0.25">
      <c r="A14992" s="2">
        <v>14987</v>
      </c>
      <c r="B14992" s="11" t="str">
        <f>"00702721"</f>
        <v>00702721</v>
      </c>
    </row>
    <row r="14993" spans="1:2" x14ac:dyDescent="0.25">
      <c r="A14993" s="2">
        <v>14988</v>
      </c>
      <c r="B14993" s="11" t="str">
        <f>"00702734"</f>
        <v>00702734</v>
      </c>
    </row>
    <row r="14994" spans="1:2" x14ac:dyDescent="0.25">
      <c r="A14994" s="2">
        <v>14989</v>
      </c>
      <c r="B14994" s="11" t="str">
        <f>"00702739"</f>
        <v>00702739</v>
      </c>
    </row>
    <row r="14995" spans="1:2" x14ac:dyDescent="0.25">
      <c r="A14995" s="2">
        <v>14990</v>
      </c>
      <c r="B14995" s="11" t="str">
        <f>"00702805"</f>
        <v>00702805</v>
      </c>
    </row>
    <row r="14996" spans="1:2" x14ac:dyDescent="0.25">
      <c r="A14996" s="2">
        <v>14991</v>
      </c>
      <c r="B14996" s="11" t="str">
        <f>"00702847"</f>
        <v>00702847</v>
      </c>
    </row>
    <row r="14997" spans="1:2" x14ac:dyDescent="0.25">
      <c r="A14997" s="2">
        <v>14992</v>
      </c>
      <c r="B14997" s="11" t="str">
        <f>"00702848"</f>
        <v>00702848</v>
      </c>
    </row>
    <row r="14998" spans="1:2" x14ac:dyDescent="0.25">
      <c r="A14998" s="2">
        <v>14993</v>
      </c>
      <c r="B14998" s="11" t="str">
        <f>"00702871"</f>
        <v>00702871</v>
      </c>
    </row>
    <row r="14999" spans="1:2" x14ac:dyDescent="0.25">
      <c r="A14999" s="2">
        <v>14994</v>
      </c>
      <c r="B14999" s="11" t="str">
        <f>"00702888"</f>
        <v>00702888</v>
      </c>
    </row>
    <row r="15000" spans="1:2" x14ac:dyDescent="0.25">
      <c r="A15000" s="2">
        <v>14995</v>
      </c>
      <c r="B15000" s="11" t="str">
        <f>"00702897"</f>
        <v>00702897</v>
      </c>
    </row>
    <row r="15001" spans="1:2" x14ac:dyDescent="0.25">
      <c r="A15001" s="2">
        <v>14996</v>
      </c>
      <c r="B15001" s="11" t="str">
        <f>"00702898"</f>
        <v>00702898</v>
      </c>
    </row>
    <row r="15002" spans="1:2" x14ac:dyDescent="0.25">
      <c r="A15002" s="2">
        <v>14997</v>
      </c>
      <c r="B15002" s="11" t="str">
        <f>"00702900"</f>
        <v>00702900</v>
      </c>
    </row>
    <row r="15003" spans="1:2" x14ac:dyDescent="0.25">
      <c r="A15003" s="2">
        <v>14998</v>
      </c>
      <c r="B15003" s="11" t="str">
        <f>"00702902"</f>
        <v>00702902</v>
      </c>
    </row>
    <row r="15004" spans="1:2" x14ac:dyDescent="0.25">
      <c r="A15004" s="2">
        <v>14999</v>
      </c>
      <c r="B15004" s="11" t="str">
        <f>"00702903"</f>
        <v>00702903</v>
      </c>
    </row>
    <row r="15005" spans="1:2" x14ac:dyDescent="0.25">
      <c r="A15005" s="2">
        <v>15000</v>
      </c>
      <c r="B15005" s="11" t="str">
        <f>"00702906"</f>
        <v>00702906</v>
      </c>
    </row>
    <row r="15006" spans="1:2" x14ac:dyDescent="0.25">
      <c r="A15006" s="2">
        <v>15001</v>
      </c>
      <c r="B15006" s="11" t="str">
        <f>"00702928"</f>
        <v>00702928</v>
      </c>
    </row>
    <row r="15007" spans="1:2" x14ac:dyDescent="0.25">
      <c r="A15007" s="2">
        <v>15002</v>
      </c>
      <c r="B15007" s="11" t="str">
        <f>"00702985"</f>
        <v>00702985</v>
      </c>
    </row>
    <row r="15008" spans="1:2" x14ac:dyDescent="0.25">
      <c r="A15008" s="2">
        <v>15003</v>
      </c>
      <c r="B15008" s="11" t="str">
        <f>"00702997"</f>
        <v>00702997</v>
      </c>
    </row>
    <row r="15009" spans="1:2" x14ac:dyDescent="0.25">
      <c r="A15009" s="2">
        <v>15004</v>
      </c>
      <c r="B15009" s="11" t="str">
        <f>"00703038"</f>
        <v>00703038</v>
      </c>
    </row>
    <row r="15010" spans="1:2" x14ac:dyDescent="0.25">
      <c r="A15010" s="2">
        <v>15005</v>
      </c>
      <c r="B15010" s="11" t="str">
        <f>"00703048"</f>
        <v>00703048</v>
      </c>
    </row>
    <row r="15011" spans="1:2" x14ac:dyDescent="0.25">
      <c r="A15011" s="2">
        <v>15006</v>
      </c>
      <c r="B15011" s="11" t="str">
        <f>"00703071"</f>
        <v>00703071</v>
      </c>
    </row>
    <row r="15012" spans="1:2" x14ac:dyDescent="0.25">
      <c r="A15012" s="2">
        <v>15007</v>
      </c>
      <c r="B15012" s="11" t="str">
        <f>"00703081"</f>
        <v>00703081</v>
      </c>
    </row>
    <row r="15013" spans="1:2" x14ac:dyDescent="0.25">
      <c r="A15013" s="2">
        <v>15008</v>
      </c>
      <c r="B15013" s="11" t="str">
        <f>"00703084"</f>
        <v>00703084</v>
      </c>
    </row>
    <row r="15014" spans="1:2" x14ac:dyDescent="0.25">
      <c r="A15014" s="2">
        <v>15009</v>
      </c>
      <c r="B15014" s="11" t="str">
        <f>"00703114"</f>
        <v>00703114</v>
      </c>
    </row>
    <row r="15015" spans="1:2" x14ac:dyDescent="0.25">
      <c r="A15015" s="2">
        <v>15010</v>
      </c>
      <c r="B15015" s="11" t="str">
        <f>"00703124"</f>
        <v>00703124</v>
      </c>
    </row>
    <row r="15016" spans="1:2" x14ac:dyDescent="0.25">
      <c r="A15016" s="2">
        <v>15011</v>
      </c>
      <c r="B15016" s="11" t="str">
        <f>"00703161"</f>
        <v>00703161</v>
      </c>
    </row>
    <row r="15017" spans="1:2" x14ac:dyDescent="0.25">
      <c r="A15017" s="2">
        <v>15012</v>
      </c>
      <c r="B15017" s="11" t="str">
        <f>"00703165"</f>
        <v>00703165</v>
      </c>
    </row>
    <row r="15018" spans="1:2" x14ac:dyDescent="0.25">
      <c r="A15018" s="2">
        <v>15013</v>
      </c>
      <c r="B15018" s="11" t="str">
        <f>"00703167"</f>
        <v>00703167</v>
      </c>
    </row>
    <row r="15019" spans="1:2" x14ac:dyDescent="0.25">
      <c r="A15019" s="2">
        <v>15014</v>
      </c>
      <c r="B15019" s="11" t="str">
        <f>"00703248"</f>
        <v>00703248</v>
      </c>
    </row>
    <row r="15020" spans="1:2" x14ac:dyDescent="0.25">
      <c r="A15020" s="2">
        <v>15015</v>
      </c>
      <c r="B15020" s="11" t="str">
        <f>"00703347"</f>
        <v>00703347</v>
      </c>
    </row>
    <row r="15021" spans="1:2" x14ac:dyDescent="0.25">
      <c r="A15021" s="2">
        <v>15016</v>
      </c>
      <c r="B15021" s="11" t="str">
        <f>"00703360"</f>
        <v>00703360</v>
      </c>
    </row>
    <row r="15022" spans="1:2" x14ac:dyDescent="0.25">
      <c r="A15022" s="2">
        <v>15017</v>
      </c>
      <c r="B15022" s="11" t="str">
        <f>"00703474"</f>
        <v>00703474</v>
      </c>
    </row>
    <row r="15023" spans="1:2" x14ac:dyDescent="0.25">
      <c r="A15023" s="2">
        <v>15018</v>
      </c>
      <c r="B15023" s="11" t="str">
        <f>"00703491"</f>
        <v>00703491</v>
      </c>
    </row>
    <row r="15024" spans="1:2" x14ac:dyDescent="0.25">
      <c r="A15024" s="2">
        <v>15019</v>
      </c>
      <c r="B15024" s="11" t="str">
        <f>"00703532"</f>
        <v>00703532</v>
      </c>
    </row>
    <row r="15025" spans="1:2" x14ac:dyDescent="0.25">
      <c r="A15025" s="2">
        <v>15020</v>
      </c>
      <c r="B15025" s="11" t="str">
        <f>"00703586"</f>
        <v>00703586</v>
      </c>
    </row>
    <row r="15026" spans="1:2" x14ac:dyDescent="0.25">
      <c r="A15026" s="2">
        <v>15021</v>
      </c>
      <c r="B15026" s="11" t="str">
        <f>"00703589"</f>
        <v>00703589</v>
      </c>
    </row>
    <row r="15027" spans="1:2" x14ac:dyDescent="0.25">
      <c r="A15027" s="2">
        <v>15022</v>
      </c>
      <c r="B15027" s="11" t="str">
        <f>"00703597"</f>
        <v>00703597</v>
      </c>
    </row>
    <row r="15028" spans="1:2" x14ac:dyDescent="0.25">
      <c r="A15028" s="2">
        <v>15023</v>
      </c>
      <c r="B15028" s="11" t="str">
        <f>"00703604"</f>
        <v>00703604</v>
      </c>
    </row>
    <row r="15029" spans="1:2" x14ac:dyDescent="0.25">
      <c r="A15029" s="2">
        <v>15024</v>
      </c>
      <c r="B15029" s="11" t="str">
        <f>"00703612"</f>
        <v>00703612</v>
      </c>
    </row>
    <row r="15030" spans="1:2" x14ac:dyDescent="0.25">
      <c r="A15030" s="2">
        <v>15025</v>
      </c>
      <c r="B15030" s="11" t="str">
        <f>"00703615"</f>
        <v>00703615</v>
      </c>
    </row>
    <row r="15031" spans="1:2" x14ac:dyDescent="0.25">
      <c r="A15031" s="2">
        <v>15026</v>
      </c>
      <c r="B15031" s="11" t="str">
        <f>"00703640"</f>
        <v>00703640</v>
      </c>
    </row>
    <row r="15032" spans="1:2" x14ac:dyDescent="0.25">
      <c r="A15032" s="2">
        <v>15027</v>
      </c>
      <c r="B15032" s="11" t="str">
        <f>"00703659"</f>
        <v>00703659</v>
      </c>
    </row>
    <row r="15033" spans="1:2" x14ac:dyDescent="0.25">
      <c r="A15033" s="2">
        <v>15028</v>
      </c>
      <c r="B15033" s="11" t="str">
        <f>"00703660"</f>
        <v>00703660</v>
      </c>
    </row>
    <row r="15034" spans="1:2" x14ac:dyDescent="0.25">
      <c r="A15034" s="2">
        <v>15029</v>
      </c>
      <c r="B15034" s="11" t="str">
        <f>"00703664"</f>
        <v>00703664</v>
      </c>
    </row>
    <row r="15035" spans="1:2" x14ac:dyDescent="0.25">
      <c r="A15035" s="2">
        <v>15030</v>
      </c>
      <c r="B15035" s="11" t="str">
        <f>"00703730"</f>
        <v>00703730</v>
      </c>
    </row>
    <row r="15036" spans="1:2" x14ac:dyDescent="0.25">
      <c r="A15036" s="2">
        <v>15031</v>
      </c>
      <c r="B15036" s="11" t="str">
        <f>"00703747"</f>
        <v>00703747</v>
      </c>
    </row>
    <row r="15037" spans="1:2" x14ac:dyDescent="0.25">
      <c r="A15037" s="2">
        <v>15032</v>
      </c>
      <c r="B15037" s="11" t="str">
        <f>"00703786"</f>
        <v>00703786</v>
      </c>
    </row>
    <row r="15038" spans="1:2" x14ac:dyDescent="0.25">
      <c r="A15038" s="2">
        <v>15033</v>
      </c>
      <c r="B15038" s="11" t="str">
        <f>"00703812"</f>
        <v>00703812</v>
      </c>
    </row>
    <row r="15039" spans="1:2" x14ac:dyDescent="0.25">
      <c r="A15039" s="2">
        <v>15034</v>
      </c>
      <c r="B15039" s="11" t="str">
        <f>"00703827"</f>
        <v>00703827</v>
      </c>
    </row>
    <row r="15040" spans="1:2" x14ac:dyDescent="0.25">
      <c r="A15040" s="2">
        <v>15035</v>
      </c>
      <c r="B15040" s="11" t="str">
        <f>"00703845"</f>
        <v>00703845</v>
      </c>
    </row>
    <row r="15041" spans="1:2" x14ac:dyDescent="0.25">
      <c r="A15041" s="2">
        <v>15036</v>
      </c>
      <c r="B15041" s="11" t="str">
        <f>"00703871"</f>
        <v>00703871</v>
      </c>
    </row>
    <row r="15042" spans="1:2" x14ac:dyDescent="0.25">
      <c r="A15042" s="2">
        <v>15037</v>
      </c>
      <c r="B15042" s="11" t="str">
        <f>"00703894"</f>
        <v>00703894</v>
      </c>
    </row>
    <row r="15043" spans="1:2" x14ac:dyDescent="0.25">
      <c r="A15043" s="2">
        <v>15038</v>
      </c>
      <c r="B15043" s="11" t="str">
        <f>"00703956"</f>
        <v>00703956</v>
      </c>
    </row>
    <row r="15044" spans="1:2" x14ac:dyDescent="0.25">
      <c r="A15044" s="2">
        <v>15039</v>
      </c>
      <c r="B15044" s="11" t="str">
        <f>"00703958"</f>
        <v>00703958</v>
      </c>
    </row>
    <row r="15045" spans="1:2" x14ac:dyDescent="0.25">
      <c r="A15045" s="2">
        <v>15040</v>
      </c>
      <c r="B15045" s="11" t="str">
        <f>"00703961"</f>
        <v>00703961</v>
      </c>
    </row>
    <row r="15046" spans="1:2" x14ac:dyDescent="0.25">
      <c r="A15046" s="2">
        <v>15041</v>
      </c>
      <c r="B15046" s="11" t="str">
        <f>"00703974"</f>
        <v>00703974</v>
      </c>
    </row>
    <row r="15047" spans="1:2" x14ac:dyDescent="0.25">
      <c r="A15047" s="2">
        <v>15042</v>
      </c>
      <c r="B15047" s="11" t="str">
        <f>"00704015"</f>
        <v>00704015</v>
      </c>
    </row>
    <row r="15048" spans="1:2" x14ac:dyDescent="0.25">
      <c r="A15048" s="2">
        <v>15043</v>
      </c>
      <c r="B15048" s="11" t="str">
        <f>"00704041"</f>
        <v>00704041</v>
      </c>
    </row>
    <row r="15049" spans="1:2" x14ac:dyDescent="0.25">
      <c r="A15049" s="2">
        <v>15044</v>
      </c>
      <c r="B15049" s="11" t="str">
        <f>"00704064"</f>
        <v>00704064</v>
      </c>
    </row>
    <row r="15050" spans="1:2" x14ac:dyDescent="0.25">
      <c r="A15050" s="2">
        <v>15045</v>
      </c>
      <c r="B15050" s="11" t="str">
        <f>"00704134"</f>
        <v>00704134</v>
      </c>
    </row>
    <row r="15051" spans="1:2" x14ac:dyDescent="0.25">
      <c r="A15051" s="2">
        <v>15046</v>
      </c>
      <c r="B15051" s="11" t="str">
        <f>"00704156"</f>
        <v>00704156</v>
      </c>
    </row>
    <row r="15052" spans="1:2" x14ac:dyDescent="0.25">
      <c r="A15052" s="2">
        <v>15047</v>
      </c>
      <c r="B15052" s="11" t="str">
        <f>"00704188"</f>
        <v>00704188</v>
      </c>
    </row>
    <row r="15053" spans="1:2" x14ac:dyDescent="0.25">
      <c r="A15053" s="2">
        <v>15048</v>
      </c>
      <c r="B15053" s="11" t="str">
        <f>"00704225"</f>
        <v>00704225</v>
      </c>
    </row>
    <row r="15054" spans="1:2" x14ac:dyDescent="0.25">
      <c r="A15054" s="2">
        <v>15049</v>
      </c>
      <c r="B15054" s="11" t="str">
        <f>"00704226"</f>
        <v>00704226</v>
      </c>
    </row>
    <row r="15055" spans="1:2" x14ac:dyDescent="0.25">
      <c r="A15055" s="2">
        <v>15050</v>
      </c>
      <c r="B15055" s="11" t="str">
        <f>"00704249"</f>
        <v>00704249</v>
      </c>
    </row>
    <row r="15056" spans="1:2" x14ac:dyDescent="0.25">
      <c r="A15056" s="2">
        <v>15051</v>
      </c>
      <c r="B15056" s="11" t="str">
        <f>"00704298"</f>
        <v>00704298</v>
      </c>
    </row>
    <row r="15057" spans="1:2" x14ac:dyDescent="0.25">
      <c r="A15057" s="2">
        <v>15052</v>
      </c>
      <c r="B15057" s="11" t="str">
        <f>"00704340"</f>
        <v>00704340</v>
      </c>
    </row>
    <row r="15058" spans="1:2" x14ac:dyDescent="0.25">
      <c r="A15058" s="2">
        <v>15053</v>
      </c>
      <c r="B15058" s="11" t="str">
        <f>"00704344"</f>
        <v>00704344</v>
      </c>
    </row>
    <row r="15059" spans="1:2" x14ac:dyDescent="0.25">
      <c r="A15059" s="2">
        <v>15054</v>
      </c>
      <c r="B15059" s="11" t="str">
        <f>"00704387"</f>
        <v>00704387</v>
      </c>
    </row>
    <row r="15060" spans="1:2" x14ac:dyDescent="0.25">
      <c r="A15060" s="2">
        <v>15055</v>
      </c>
      <c r="B15060" s="11" t="str">
        <f>"00704388"</f>
        <v>00704388</v>
      </c>
    </row>
    <row r="15061" spans="1:2" x14ac:dyDescent="0.25">
      <c r="A15061" s="2">
        <v>15056</v>
      </c>
      <c r="B15061" s="11" t="str">
        <f>"00704399"</f>
        <v>00704399</v>
      </c>
    </row>
    <row r="15062" spans="1:2" x14ac:dyDescent="0.25">
      <c r="A15062" s="2">
        <v>15057</v>
      </c>
      <c r="B15062" s="11" t="str">
        <f>"00704416"</f>
        <v>00704416</v>
      </c>
    </row>
    <row r="15063" spans="1:2" x14ac:dyDescent="0.25">
      <c r="A15063" s="2">
        <v>15058</v>
      </c>
      <c r="B15063" s="11" t="str">
        <f>"00704445"</f>
        <v>00704445</v>
      </c>
    </row>
    <row r="15064" spans="1:2" x14ac:dyDescent="0.25">
      <c r="A15064" s="2">
        <v>15059</v>
      </c>
      <c r="B15064" s="11" t="str">
        <f>"00704473"</f>
        <v>00704473</v>
      </c>
    </row>
    <row r="15065" spans="1:2" x14ac:dyDescent="0.25">
      <c r="A15065" s="2">
        <v>15060</v>
      </c>
      <c r="B15065" s="11" t="str">
        <f>"00704494"</f>
        <v>00704494</v>
      </c>
    </row>
    <row r="15066" spans="1:2" x14ac:dyDescent="0.25">
      <c r="A15066" s="2">
        <v>15061</v>
      </c>
      <c r="B15066" s="11" t="str">
        <f>"00704547"</f>
        <v>00704547</v>
      </c>
    </row>
    <row r="15067" spans="1:2" x14ac:dyDescent="0.25">
      <c r="A15067" s="2">
        <v>15062</v>
      </c>
      <c r="B15067" s="11" t="str">
        <f>"00704595"</f>
        <v>00704595</v>
      </c>
    </row>
    <row r="15068" spans="1:2" x14ac:dyDescent="0.25">
      <c r="A15068" s="2">
        <v>15063</v>
      </c>
      <c r="B15068" s="11" t="str">
        <f>"00704609"</f>
        <v>00704609</v>
      </c>
    </row>
    <row r="15069" spans="1:2" x14ac:dyDescent="0.25">
      <c r="A15069" s="2">
        <v>15064</v>
      </c>
      <c r="B15069" s="11" t="str">
        <f>"00704695"</f>
        <v>00704695</v>
      </c>
    </row>
    <row r="15070" spans="1:2" x14ac:dyDescent="0.25">
      <c r="A15070" s="2">
        <v>15065</v>
      </c>
      <c r="B15070" s="11" t="str">
        <f>"00704739"</f>
        <v>00704739</v>
      </c>
    </row>
    <row r="15071" spans="1:2" x14ac:dyDescent="0.25">
      <c r="A15071" s="2">
        <v>15066</v>
      </c>
      <c r="B15071" s="11" t="str">
        <f>"00704741"</f>
        <v>00704741</v>
      </c>
    </row>
    <row r="15072" spans="1:2" x14ac:dyDescent="0.25">
      <c r="A15072" s="2">
        <v>15067</v>
      </c>
      <c r="B15072" s="11" t="str">
        <f>"00704796"</f>
        <v>00704796</v>
      </c>
    </row>
    <row r="15073" spans="1:2" x14ac:dyDescent="0.25">
      <c r="A15073" s="2">
        <v>15068</v>
      </c>
      <c r="B15073" s="11" t="str">
        <f>"00704802"</f>
        <v>00704802</v>
      </c>
    </row>
    <row r="15074" spans="1:2" x14ac:dyDescent="0.25">
      <c r="A15074" s="2">
        <v>15069</v>
      </c>
      <c r="B15074" s="11" t="str">
        <f>"00704869"</f>
        <v>00704869</v>
      </c>
    </row>
    <row r="15075" spans="1:2" x14ac:dyDescent="0.25">
      <c r="A15075" s="2">
        <v>15070</v>
      </c>
      <c r="B15075" s="11" t="str">
        <f>"00704892"</f>
        <v>00704892</v>
      </c>
    </row>
    <row r="15076" spans="1:2" x14ac:dyDescent="0.25">
      <c r="A15076" s="2">
        <v>15071</v>
      </c>
      <c r="B15076" s="11" t="str">
        <f>"00704897"</f>
        <v>00704897</v>
      </c>
    </row>
    <row r="15077" spans="1:2" x14ac:dyDescent="0.25">
      <c r="A15077" s="2">
        <v>15072</v>
      </c>
      <c r="B15077" s="11" t="str">
        <f>"00704927"</f>
        <v>00704927</v>
      </c>
    </row>
    <row r="15078" spans="1:2" x14ac:dyDescent="0.25">
      <c r="A15078" s="2">
        <v>15073</v>
      </c>
      <c r="B15078" s="11" t="str">
        <f>"00704939"</f>
        <v>00704939</v>
      </c>
    </row>
    <row r="15079" spans="1:2" x14ac:dyDescent="0.25">
      <c r="A15079" s="2">
        <v>15074</v>
      </c>
      <c r="B15079" s="11" t="str">
        <f>"00704960"</f>
        <v>00704960</v>
      </c>
    </row>
    <row r="15080" spans="1:2" x14ac:dyDescent="0.25">
      <c r="A15080" s="2">
        <v>15075</v>
      </c>
      <c r="B15080" s="11" t="str">
        <f>"00705033"</f>
        <v>00705033</v>
      </c>
    </row>
    <row r="15081" spans="1:2" x14ac:dyDescent="0.25">
      <c r="A15081" s="2">
        <v>15076</v>
      </c>
      <c r="B15081" s="11" t="str">
        <f>"00705044"</f>
        <v>00705044</v>
      </c>
    </row>
    <row r="15082" spans="1:2" x14ac:dyDescent="0.25">
      <c r="A15082" s="2">
        <v>15077</v>
      </c>
      <c r="B15082" s="11" t="str">
        <f>"00705059"</f>
        <v>00705059</v>
      </c>
    </row>
    <row r="15083" spans="1:2" x14ac:dyDescent="0.25">
      <c r="A15083" s="2">
        <v>15078</v>
      </c>
      <c r="B15083" s="11" t="str">
        <f>"00705071"</f>
        <v>00705071</v>
      </c>
    </row>
    <row r="15084" spans="1:2" x14ac:dyDescent="0.25">
      <c r="A15084" s="2">
        <v>15079</v>
      </c>
      <c r="B15084" s="11" t="str">
        <f>"00705097"</f>
        <v>00705097</v>
      </c>
    </row>
    <row r="15085" spans="1:2" x14ac:dyDescent="0.25">
      <c r="A15085" s="2">
        <v>15080</v>
      </c>
      <c r="B15085" s="11" t="str">
        <f>"00705188"</f>
        <v>00705188</v>
      </c>
    </row>
    <row r="15086" spans="1:2" x14ac:dyDescent="0.25">
      <c r="A15086" s="2">
        <v>15081</v>
      </c>
      <c r="B15086" s="11" t="str">
        <f>"00705215"</f>
        <v>00705215</v>
      </c>
    </row>
    <row r="15087" spans="1:2" x14ac:dyDescent="0.25">
      <c r="A15087" s="2">
        <v>15082</v>
      </c>
      <c r="B15087" s="11" t="str">
        <f>"00705244"</f>
        <v>00705244</v>
      </c>
    </row>
    <row r="15088" spans="1:2" x14ac:dyDescent="0.25">
      <c r="A15088" s="2">
        <v>15083</v>
      </c>
      <c r="B15088" s="11" t="str">
        <f>"00705289"</f>
        <v>00705289</v>
      </c>
    </row>
    <row r="15089" spans="1:2" x14ac:dyDescent="0.25">
      <c r="A15089" s="2">
        <v>15084</v>
      </c>
      <c r="B15089" s="11" t="str">
        <f>"00705307"</f>
        <v>00705307</v>
      </c>
    </row>
    <row r="15090" spans="1:2" x14ac:dyDescent="0.25">
      <c r="A15090" s="2">
        <v>15085</v>
      </c>
      <c r="B15090" s="11" t="str">
        <f>"00705327"</f>
        <v>00705327</v>
      </c>
    </row>
    <row r="15091" spans="1:2" x14ac:dyDescent="0.25">
      <c r="A15091" s="2">
        <v>15086</v>
      </c>
      <c r="B15091" s="11" t="str">
        <f>"00705335"</f>
        <v>00705335</v>
      </c>
    </row>
    <row r="15092" spans="1:2" x14ac:dyDescent="0.25">
      <c r="A15092" s="2">
        <v>15087</v>
      </c>
      <c r="B15092" s="11" t="str">
        <f>"00705346"</f>
        <v>00705346</v>
      </c>
    </row>
    <row r="15093" spans="1:2" x14ac:dyDescent="0.25">
      <c r="A15093" s="2">
        <v>15088</v>
      </c>
      <c r="B15093" s="11" t="str">
        <f>"00705382"</f>
        <v>00705382</v>
      </c>
    </row>
    <row r="15094" spans="1:2" x14ac:dyDescent="0.25">
      <c r="A15094" s="2">
        <v>15089</v>
      </c>
      <c r="B15094" s="11" t="str">
        <f>"00705415"</f>
        <v>00705415</v>
      </c>
    </row>
    <row r="15095" spans="1:2" x14ac:dyDescent="0.25">
      <c r="A15095" s="2">
        <v>15090</v>
      </c>
      <c r="B15095" s="11" t="str">
        <f>"00705421"</f>
        <v>00705421</v>
      </c>
    </row>
    <row r="15096" spans="1:2" x14ac:dyDescent="0.25">
      <c r="A15096" s="2">
        <v>15091</v>
      </c>
      <c r="B15096" s="11" t="str">
        <f>"00705439"</f>
        <v>00705439</v>
      </c>
    </row>
    <row r="15097" spans="1:2" x14ac:dyDescent="0.25">
      <c r="A15097" s="2">
        <v>15092</v>
      </c>
      <c r="B15097" s="11" t="str">
        <f>"00705449"</f>
        <v>00705449</v>
      </c>
    </row>
    <row r="15098" spans="1:2" x14ac:dyDescent="0.25">
      <c r="A15098" s="2">
        <v>15093</v>
      </c>
      <c r="B15098" s="11" t="str">
        <f>"00705472"</f>
        <v>00705472</v>
      </c>
    </row>
    <row r="15099" spans="1:2" x14ac:dyDescent="0.25">
      <c r="A15099" s="2">
        <v>15094</v>
      </c>
      <c r="B15099" s="11" t="str">
        <f>"00705523"</f>
        <v>00705523</v>
      </c>
    </row>
    <row r="15100" spans="1:2" x14ac:dyDescent="0.25">
      <c r="A15100" s="2">
        <v>15095</v>
      </c>
      <c r="B15100" s="11" t="str">
        <f>"00705562"</f>
        <v>00705562</v>
      </c>
    </row>
    <row r="15101" spans="1:2" x14ac:dyDescent="0.25">
      <c r="A15101" s="2">
        <v>15096</v>
      </c>
      <c r="B15101" s="11" t="str">
        <f>"00705573"</f>
        <v>00705573</v>
      </c>
    </row>
    <row r="15102" spans="1:2" x14ac:dyDescent="0.25">
      <c r="A15102" s="2">
        <v>15097</v>
      </c>
      <c r="B15102" s="11" t="str">
        <f>"00705603"</f>
        <v>00705603</v>
      </c>
    </row>
    <row r="15103" spans="1:2" x14ac:dyDescent="0.25">
      <c r="A15103" s="2">
        <v>15098</v>
      </c>
      <c r="B15103" s="11" t="str">
        <f>"00705662"</f>
        <v>00705662</v>
      </c>
    </row>
    <row r="15104" spans="1:2" x14ac:dyDescent="0.25">
      <c r="A15104" s="2">
        <v>15099</v>
      </c>
      <c r="B15104" s="11" t="str">
        <f>"00705670"</f>
        <v>00705670</v>
      </c>
    </row>
    <row r="15105" spans="1:2" x14ac:dyDescent="0.25">
      <c r="A15105" s="2">
        <v>15100</v>
      </c>
      <c r="B15105" s="11" t="str">
        <f>"00705697"</f>
        <v>00705697</v>
      </c>
    </row>
    <row r="15106" spans="1:2" x14ac:dyDescent="0.25">
      <c r="A15106" s="2">
        <v>15101</v>
      </c>
      <c r="B15106" s="11" t="str">
        <f>"00705709"</f>
        <v>00705709</v>
      </c>
    </row>
    <row r="15107" spans="1:2" x14ac:dyDescent="0.25">
      <c r="A15107" s="2">
        <v>15102</v>
      </c>
      <c r="B15107" s="11" t="str">
        <f>"00705729"</f>
        <v>00705729</v>
      </c>
    </row>
    <row r="15108" spans="1:2" x14ac:dyDescent="0.25">
      <c r="A15108" s="2">
        <v>15103</v>
      </c>
      <c r="B15108" s="11" t="str">
        <f>"00705732"</f>
        <v>00705732</v>
      </c>
    </row>
    <row r="15109" spans="1:2" x14ac:dyDescent="0.25">
      <c r="A15109" s="2">
        <v>15104</v>
      </c>
      <c r="B15109" s="11" t="str">
        <f>"00705761"</f>
        <v>00705761</v>
      </c>
    </row>
    <row r="15110" spans="1:2" x14ac:dyDescent="0.25">
      <c r="A15110" s="2">
        <v>15105</v>
      </c>
      <c r="B15110" s="11" t="str">
        <f>"00705781"</f>
        <v>00705781</v>
      </c>
    </row>
    <row r="15111" spans="1:2" x14ac:dyDescent="0.25">
      <c r="A15111" s="2">
        <v>15106</v>
      </c>
      <c r="B15111" s="11" t="str">
        <f>"00705809"</f>
        <v>00705809</v>
      </c>
    </row>
    <row r="15112" spans="1:2" x14ac:dyDescent="0.25">
      <c r="A15112" s="2">
        <v>15107</v>
      </c>
      <c r="B15112" s="11" t="str">
        <f>"00705818"</f>
        <v>00705818</v>
      </c>
    </row>
    <row r="15113" spans="1:2" x14ac:dyDescent="0.25">
      <c r="A15113" s="2">
        <v>15108</v>
      </c>
      <c r="B15113" s="11" t="str">
        <f>"00705835"</f>
        <v>00705835</v>
      </c>
    </row>
    <row r="15114" spans="1:2" x14ac:dyDescent="0.25">
      <c r="A15114" s="2">
        <v>15109</v>
      </c>
      <c r="B15114" s="11" t="str">
        <f>"00705868"</f>
        <v>00705868</v>
      </c>
    </row>
    <row r="15115" spans="1:2" x14ac:dyDescent="0.25">
      <c r="A15115" s="2">
        <v>15110</v>
      </c>
      <c r="B15115" s="11" t="str">
        <f>"00705882"</f>
        <v>00705882</v>
      </c>
    </row>
    <row r="15116" spans="1:2" x14ac:dyDescent="0.25">
      <c r="A15116" s="2">
        <v>15111</v>
      </c>
      <c r="B15116" s="11" t="str">
        <f>"00705898"</f>
        <v>00705898</v>
      </c>
    </row>
    <row r="15117" spans="1:2" x14ac:dyDescent="0.25">
      <c r="A15117" s="2">
        <v>15112</v>
      </c>
      <c r="B15117" s="11" t="str">
        <f>"00705900"</f>
        <v>00705900</v>
      </c>
    </row>
    <row r="15118" spans="1:2" x14ac:dyDescent="0.25">
      <c r="A15118" s="2">
        <v>15113</v>
      </c>
      <c r="B15118" s="11" t="str">
        <f>"00705941"</f>
        <v>00705941</v>
      </c>
    </row>
    <row r="15119" spans="1:2" x14ac:dyDescent="0.25">
      <c r="A15119" s="2">
        <v>15114</v>
      </c>
      <c r="B15119" s="11" t="str">
        <f>"00705944"</f>
        <v>00705944</v>
      </c>
    </row>
    <row r="15120" spans="1:2" x14ac:dyDescent="0.25">
      <c r="A15120" s="2">
        <v>15115</v>
      </c>
      <c r="B15120" s="11" t="str">
        <f>"00705957"</f>
        <v>00705957</v>
      </c>
    </row>
    <row r="15121" spans="1:2" x14ac:dyDescent="0.25">
      <c r="A15121" s="2">
        <v>15116</v>
      </c>
      <c r="B15121" s="11" t="str">
        <f>"00705973"</f>
        <v>00705973</v>
      </c>
    </row>
    <row r="15122" spans="1:2" x14ac:dyDescent="0.25">
      <c r="A15122" s="2">
        <v>15117</v>
      </c>
      <c r="B15122" s="11" t="str">
        <f>"00706001"</f>
        <v>00706001</v>
      </c>
    </row>
    <row r="15123" spans="1:2" x14ac:dyDescent="0.25">
      <c r="A15123" s="2">
        <v>15118</v>
      </c>
      <c r="B15123" s="11" t="str">
        <f>"00706010"</f>
        <v>00706010</v>
      </c>
    </row>
    <row r="15124" spans="1:2" x14ac:dyDescent="0.25">
      <c r="A15124" s="2">
        <v>15119</v>
      </c>
      <c r="B15124" s="11" t="str">
        <f>"00706026"</f>
        <v>00706026</v>
      </c>
    </row>
    <row r="15125" spans="1:2" x14ac:dyDescent="0.25">
      <c r="A15125" s="2">
        <v>15120</v>
      </c>
      <c r="B15125" s="11" t="str">
        <f>"00706040"</f>
        <v>00706040</v>
      </c>
    </row>
    <row r="15126" spans="1:2" x14ac:dyDescent="0.25">
      <c r="A15126" s="2">
        <v>15121</v>
      </c>
      <c r="B15126" s="11" t="str">
        <f>"00706157"</f>
        <v>00706157</v>
      </c>
    </row>
    <row r="15127" spans="1:2" x14ac:dyDescent="0.25">
      <c r="A15127" s="2">
        <v>15122</v>
      </c>
      <c r="B15127" s="11" t="str">
        <f>"00706211"</f>
        <v>00706211</v>
      </c>
    </row>
    <row r="15128" spans="1:2" x14ac:dyDescent="0.25">
      <c r="A15128" s="2">
        <v>15123</v>
      </c>
      <c r="B15128" s="11" t="str">
        <f>"00708403"</f>
        <v>00708403</v>
      </c>
    </row>
    <row r="15129" spans="1:2" x14ac:dyDescent="0.25">
      <c r="A15129" s="2">
        <v>15124</v>
      </c>
      <c r="B15129" s="11" t="str">
        <f>"00708510"</f>
        <v>00708510</v>
      </c>
    </row>
    <row r="15130" spans="1:2" x14ac:dyDescent="0.25">
      <c r="A15130" s="2">
        <v>15125</v>
      </c>
      <c r="B15130" s="11" t="str">
        <f>"00708522"</f>
        <v>00708522</v>
      </c>
    </row>
    <row r="15131" spans="1:2" x14ac:dyDescent="0.25">
      <c r="A15131" s="2">
        <v>15126</v>
      </c>
      <c r="B15131" s="11" t="str">
        <f>"00708533"</f>
        <v>00708533</v>
      </c>
    </row>
    <row r="15132" spans="1:2" x14ac:dyDescent="0.25">
      <c r="A15132" s="2">
        <v>15127</v>
      </c>
      <c r="B15132" s="11" t="str">
        <f>"00708547"</f>
        <v>00708547</v>
      </c>
    </row>
    <row r="15133" spans="1:2" x14ac:dyDescent="0.25">
      <c r="A15133" s="2">
        <v>15128</v>
      </c>
      <c r="B15133" s="11" t="str">
        <f>"00708625"</f>
        <v>00708625</v>
      </c>
    </row>
    <row r="15134" spans="1:2" x14ac:dyDescent="0.25">
      <c r="A15134" s="2">
        <v>15129</v>
      </c>
      <c r="B15134" s="11" t="str">
        <f>"00708687"</f>
        <v>00708687</v>
      </c>
    </row>
    <row r="15135" spans="1:2" x14ac:dyDescent="0.25">
      <c r="A15135" s="2">
        <v>15130</v>
      </c>
      <c r="B15135" s="11" t="str">
        <f>"00708761"</f>
        <v>00708761</v>
      </c>
    </row>
    <row r="15136" spans="1:2" x14ac:dyDescent="0.25">
      <c r="A15136" s="2">
        <v>15131</v>
      </c>
      <c r="B15136" s="11" t="str">
        <f>"00708823"</f>
        <v>00708823</v>
      </c>
    </row>
    <row r="15137" spans="1:2" x14ac:dyDescent="0.25">
      <c r="A15137" s="2">
        <v>15132</v>
      </c>
      <c r="B15137" s="11" t="str">
        <f>"00708824"</f>
        <v>00708824</v>
      </c>
    </row>
    <row r="15138" spans="1:2" x14ac:dyDescent="0.25">
      <c r="A15138" s="2">
        <v>15133</v>
      </c>
      <c r="B15138" s="11" t="str">
        <f>"00708829"</f>
        <v>00708829</v>
      </c>
    </row>
    <row r="15139" spans="1:2" x14ac:dyDescent="0.25">
      <c r="A15139" s="2">
        <v>15134</v>
      </c>
      <c r="B15139" s="11" t="str">
        <f>"00708830"</f>
        <v>00708830</v>
      </c>
    </row>
    <row r="15140" spans="1:2" x14ac:dyDescent="0.25">
      <c r="A15140" s="2">
        <v>15135</v>
      </c>
      <c r="B15140" s="11" t="str">
        <f>"00708841"</f>
        <v>00708841</v>
      </c>
    </row>
    <row r="15141" spans="1:2" x14ac:dyDescent="0.25">
      <c r="A15141" s="2">
        <v>15136</v>
      </c>
      <c r="B15141" s="11" t="str">
        <f>"00708873"</f>
        <v>00708873</v>
      </c>
    </row>
    <row r="15142" spans="1:2" x14ac:dyDescent="0.25">
      <c r="A15142" s="2">
        <v>15137</v>
      </c>
      <c r="B15142" s="11" t="str">
        <f>"00708946"</f>
        <v>00708946</v>
      </c>
    </row>
    <row r="15143" spans="1:2" x14ac:dyDescent="0.25">
      <c r="A15143" s="2">
        <v>15138</v>
      </c>
      <c r="B15143" s="11" t="str">
        <f>"00708973"</f>
        <v>00708973</v>
      </c>
    </row>
    <row r="15144" spans="1:2" x14ac:dyDescent="0.25">
      <c r="A15144" s="2">
        <v>15139</v>
      </c>
      <c r="B15144" s="11" t="str">
        <f>"00709000"</f>
        <v>00709000</v>
      </c>
    </row>
    <row r="15145" spans="1:2" x14ac:dyDescent="0.25">
      <c r="A15145" s="2">
        <v>15140</v>
      </c>
      <c r="B15145" s="11" t="str">
        <f>"00709030"</f>
        <v>00709030</v>
      </c>
    </row>
    <row r="15146" spans="1:2" x14ac:dyDescent="0.25">
      <c r="A15146" s="2">
        <v>15141</v>
      </c>
      <c r="B15146" s="11" t="str">
        <f>"00709037"</f>
        <v>00709037</v>
      </c>
    </row>
    <row r="15147" spans="1:2" x14ac:dyDescent="0.25">
      <c r="A15147" s="2">
        <v>15142</v>
      </c>
      <c r="B15147" s="11" t="str">
        <f>"00709049"</f>
        <v>00709049</v>
      </c>
    </row>
    <row r="15148" spans="1:2" x14ac:dyDescent="0.25">
      <c r="A15148" s="2">
        <v>15143</v>
      </c>
      <c r="B15148" s="11" t="str">
        <f>"00709101"</f>
        <v>00709101</v>
      </c>
    </row>
    <row r="15149" spans="1:2" x14ac:dyDescent="0.25">
      <c r="A15149" s="2">
        <v>15144</v>
      </c>
      <c r="B15149" s="11" t="str">
        <f>"00709106"</f>
        <v>00709106</v>
      </c>
    </row>
    <row r="15150" spans="1:2" x14ac:dyDescent="0.25">
      <c r="A15150" s="2">
        <v>15145</v>
      </c>
      <c r="B15150" s="11" t="str">
        <f>"00709110"</f>
        <v>00709110</v>
      </c>
    </row>
    <row r="15151" spans="1:2" x14ac:dyDescent="0.25">
      <c r="A15151" s="2">
        <v>15146</v>
      </c>
      <c r="B15151" s="11" t="str">
        <f>"00709203"</f>
        <v>00709203</v>
      </c>
    </row>
    <row r="15152" spans="1:2" x14ac:dyDescent="0.25">
      <c r="A15152" s="2">
        <v>15147</v>
      </c>
      <c r="B15152" s="11" t="str">
        <f>"00709246"</f>
        <v>00709246</v>
      </c>
    </row>
    <row r="15153" spans="1:2" x14ac:dyDescent="0.25">
      <c r="A15153" s="2">
        <v>15148</v>
      </c>
      <c r="B15153" s="11" t="str">
        <f>"00709253"</f>
        <v>00709253</v>
      </c>
    </row>
    <row r="15154" spans="1:2" x14ac:dyDescent="0.25">
      <c r="A15154" s="2">
        <v>15149</v>
      </c>
      <c r="B15154" s="11" t="str">
        <f>"00709321"</f>
        <v>00709321</v>
      </c>
    </row>
    <row r="15155" spans="1:2" x14ac:dyDescent="0.25">
      <c r="A15155" s="2">
        <v>15150</v>
      </c>
      <c r="B15155" s="11" t="str">
        <f>"00709363"</f>
        <v>00709363</v>
      </c>
    </row>
    <row r="15156" spans="1:2" x14ac:dyDescent="0.25">
      <c r="A15156" s="2">
        <v>15151</v>
      </c>
      <c r="B15156" s="11" t="str">
        <f>"00709365"</f>
        <v>00709365</v>
      </c>
    </row>
    <row r="15157" spans="1:2" x14ac:dyDescent="0.25">
      <c r="A15157" s="2">
        <v>15152</v>
      </c>
      <c r="B15157" s="11" t="str">
        <f>"00709408"</f>
        <v>00709408</v>
      </c>
    </row>
    <row r="15158" spans="1:2" x14ac:dyDescent="0.25">
      <c r="A15158" s="2">
        <v>15153</v>
      </c>
      <c r="B15158" s="11" t="str">
        <f>"00709466"</f>
        <v>00709466</v>
      </c>
    </row>
    <row r="15159" spans="1:2" x14ac:dyDescent="0.25">
      <c r="A15159" s="2">
        <v>15154</v>
      </c>
      <c r="B15159" s="11" t="str">
        <f>"00709471"</f>
        <v>00709471</v>
      </c>
    </row>
    <row r="15160" spans="1:2" x14ac:dyDescent="0.25">
      <c r="A15160" s="2">
        <v>15155</v>
      </c>
      <c r="B15160" s="11" t="str">
        <f>"00709483"</f>
        <v>00709483</v>
      </c>
    </row>
    <row r="15161" spans="1:2" x14ac:dyDescent="0.25">
      <c r="A15161" s="2">
        <v>15156</v>
      </c>
      <c r="B15161" s="11" t="str">
        <f>"00709490"</f>
        <v>00709490</v>
      </c>
    </row>
    <row r="15162" spans="1:2" x14ac:dyDescent="0.25">
      <c r="A15162" s="2">
        <v>15157</v>
      </c>
      <c r="B15162" s="11" t="str">
        <f>"00709552"</f>
        <v>00709552</v>
      </c>
    </row>
    <row r="15163" spans="1:2" x14ac:dyDescent="0.25">
      <c r="A15163" s="2">
        <v>15158</v>
      </c>
      <c r="B15163" s="11" t="str">
        <f>"00709625"</f>
        <v>00709625</v>
      </c>
    </row>
    <row r="15164" spans="1:2" x14ac:dyDescent="0.25">
      <c r="A15164" s="2">
        <v>15159</v>
      </c>
      <c r="B15164" s="11" t="str">
        <f>"00709695"</f>
        <v>00709695</v>
      </c>
    </row>
    <row r="15165" spans="1:2" x14ac:dyDescent="0.25">
      <c r="A15165" s="2">
        <v>15160</v>
      </c>
      <c r="B15165" s="11" t="str">
        <f>"00709697"</f>
        <v>00709697</v>
      </c>
    </row>
    <row r="15166" spans="1:2" x14ac:dyDescent="0.25">
      <c r="A15166" s="2">
        <v>15161</v>
      </c>
      <c r="B15166" s="11" t="str">
        <f>"00709709"</f>
        <v>00709709</v>
      </c>
    </row>
    <row r="15167" spans="1:2" x14ac:dyDescent="0.25">
      <c r="A15167" s="2">
        <v>15162</v>
      </c>
      <c r="B15167" s="11" t="str">
        <f>"00709723"</f>
        <v>00709723</v>
      </c>
    </row>
    <row r="15168" spans="1:2" x14ac:dyDescent="0.25">
      <c r="A15168" s="2">
        <v>15163</v>
      </c>
      <c r="B15168" s="11" t="str">
        <f>"00709736"</f>
        <v>00709736</v>
      </c>
    </row>
    <row r="15169" spans="1:2" x14ac:dyDescent="0.25">
      <c r="A15169" s="2">
        <v>15164</v>
      </c>
      <c r="B15169" s="11" t="str">
        <f>"00709787"</f>
        <v>00709787</v>
      </c>
    </row>
    <row r="15170" spans="1:2" x14ac:dyDescent="0.25">
      <c r="A15170" s="2">
        <v>15165</v>
      </c>
      <c r="B15170" s="11" t="str">
        <f>"00709793"</f>
        <v>00709793</v>
      </c>
    </row>
    <row r="15171" spans="1:2" x14ac:dyDescent="0.25">
      <c r="A15171" s="2">
        <v>15166</v>
      </c>
      <c r="B15171" s="11" t="str">
        <f>"00709808"</f>
        <v>00709808</v>
      </c>
    </row>
    <row r="15172" spans="1:2" x14ac:dyDescent="0.25">
      <c r="A15172" s="2">
        <v>15167</v>
      </c>
      <c r="B15172" s="11" t="str">
        <f>"00709813"</f>
        <v>00709813</v>
      </c>
    </row>
    <row r="15173" spans="1:2" x14ac:dyDescent="0.25">
      <c r="A15173" s="2">
        <v>15168</v>
      </c>
      <c r="B15173" s="11" t="str">
        <f>"00709882"</f>
        <v>00709882</v>
      </c>
    </row>
    <row r="15174" spans="1:2" x14ac:dyDescent="0.25">
      <c r="A15174" s="2">
        <v>15169</v>
      </c>
      <c r="B15174" s="11" t="str">
        <f>"00709890"</f>
        <v>00709890</v>
      </c>
    </row>
    <row r="15175" spans="1:2" x14ac:dyDescent="0.25">
      <c r="A15175" s="2">
        <v>15170</v>
      </c>
      <c r="B15175" s="11" t="str">
        <f>"00709950"</f>
        <v>00709950</v>
      </c>
    </row>
    <row r="15176" spans="1:2" x14ac:dyDescent="0.25">
      <c r="A15176" s="2">
        <v>15171</v>
      </c>
      <c r="B15176" s="11" t="str">
        <f>"00709991"</f>
        <v>00709991</v>
      </c>
    </row>
    <row r="15177" spans="1:2" x14ac:dyDescent="0.25">
      <c r="A15177" s="2">
        <v>15172</v>
      </c>
      <c r="B15177" s="11" t="str">
        <f>"00710047"</f>
        <v>00710047</v>
      </c>
    </row>
    <row r="15178" spans="1:2" x14ac:dyDescent="0.25">
      <c r="A15178" s="2">
        <v>15173</v>
      </c>
      <c r="B15178" s="11" t="str">
        <f>"00710084"</f>
        <v>00710084</v>
      </c>
    </row>
    <row r="15179" spans="1:2" x14ac:dyDescent="0.25">
      <c r="A15179" s="2">
        <v>15174</v>
      </c>
      <c r="B15179" s="11" t="str">
        <f>"00710114"</f>
        <v>00710114</v>
      </c>
    </row>
    <row r="15180" spans="1:2" x14ac:dyDescent="0.25">
      <c r="A15180" s="2">
        <v>15175</v>
      </c>
      <c r="B15180" s="11" t="str">
        <f>"00710156"</f>
        <v>00710156</v>
      </c>
    </row>
    <row r="15181" spans="1:2" x14ac:dyDescent="0.25">
      <c r="A15181" s="2">
        <v>15176</v>
      </c>
      <c r="B15181" s="11" t="str">
        <f>"00710170"</f>
        <v>00710170</v>
      </c>
    </row>
    <row r="15182" spans="1:2" x14ac:dyDescent="0.25">
      <c r="A15182" s="2">
        <v>15177</v>
      </c>
      <c r="B15182" s="11" t="str">
        <f>"00710383"</f>
        <v>00710383</v>
      </c>
    </row>
    <row r="15183" spans="1:2" x14ac:dyDescent="0.25">
      <c r="A15183" s="2">
        <v>15178</v>
      </c>
      <c r="B15183" s="11" t="str">
        <f>"00710404"</f>
        <v>00710404</v>
      </c>
    </row>
    <row r="15184" spans="1:2" x14ac:dyDescent="0.25">
      <c r="A15184" s="2">
        <v>15179</v>
      </c>
      <c r="B15184" s="11" t="str">
        <f>"00710437"</f>
        <v>00710437</v>
      </c>
    </row>
    <row r="15185" spans="1:2" x14ac:dyDescent="0.25">
      <c r="A15185" s="2">
        <v>15180</v>
      </c>
      <c r="B15185" s="11" t="str">
        <f>"00710452"</f>
        <v>00710452</v>
      </c>
    </row>
    <row r="15186" spans="1:2" x14ac:dyDescent="0.25">
      <c r="A15186" s="2">
        <v>15181</v>
      </c>
      <c r="B15186" s="11" t="str">
        <f>"00710488"</f>
        <v>00710488</v>
      </c>
    </row>
    <row r="15187" spans="1:2" x14ac:dyDescent="0.25">
      <c r="A15187" s="2">
        <v>15182</v>
      </c>
      <c r="B15187" s="11" t="str">
        <f>"00710524"</f>
        <v>00710524</v>
      </c>
    </row>
    <row r="15188" spans="1:2" x14ac:dyDescent="0.25">
      <c r="A15188" s="2">
        <v>15183</v>
      </c>
      <c r="B15188" s="11" t="str">
        <f>"00710537"</f>
        <v>00710537</v>
      </c>
    </row>
    <row r="15189" spans="1:2" x14ac:dyDescent="0.25">
      <c r="A15189" s="2">
        <v>15184</v>
      </c>
      <c r="B15189" s="11" t="str">
        <f>"00710615"</f>
        <v>00710615</v>
      </c>
    </row>
    <row r="15190" spans="1:2" x14ac:dyDescent="0.25">
      <c r="A15190" s="2">
        <v>15185</v>
      </c>
      <c r="B15190" s="11" t="str">
        <f>"00710634"</f>
        <v>00710634</v>
      </c>
    </row>
    <row r="15191" spans="1:2" x14ac:dyDescent="0.25">
      <c r="A15191" s="2">
        <v>15186</v>
      </c>
      <c r="B15191" s="11" t="str">
        <f>"00710676"</f>
        <v>00710676</v>
      </c>
    </row>
    <row r="15192" spans="1:2" x14ac:dyDescent="0.25">
      <c r="A15192" s="2">
        <v>15187</v>
      </c>
      <c r="B15192" s="11" t="str">
        <f>"00710858"</f>
        <v>00710858</v>
      </c>
    </row>
    <row r="15193" spans="1:2" x14ac:dyDescent="0.25">
      <c r="A15193" s="2">
        <v>15188</v>
      </c>
      <c r="B15193" s="11" t="str">
        <f>"00710950"</f>
        <v>00710950</v>
      </c>
    </row>
    <row r="15194" spans="1:2" x14ac:dyDescent="0.25">
      <c r="A15194" s="2">
        <v>15189</v>
      </c>
      <c r="B15194" s="11" t="str">
        <f>"00711324"</f>
        <v>00711324</v>
      </c>
    </row>
    <row r="15195" spans="1:2" x14ac:dyDescent="0.25">
      <c r="A15195" s="2">
        <v>15190</v>
      </c>
      <c r="B15195" s="11" t="str">
        <f>"00711325"</f>
        <v>00711325</v>
      </c>
    </row>
    <row r="15196" spans="1:2" x14ac:dyDescent="0.25">
      <c r="A15196" s="2">
        <v>15191</v>
      </c>
      <c r="B15196" s="11" t="str">
        <f>"00711363"</f>
        <v>00711363</v>
      </c>
    </row>
    <row r="15197" spans="1:2" x14ac:dyDescent="0.25">
      <c r="A15197" s="2">
        <v>15192</v>
      </c>
      <c r="B15197" s="11" t="str">
        <f>"00711414"</f>
        <v>00711414</v>
      </c>
    </row>
    <row r="15198" spans="1:2" x14ac:dyDescent="0.25">
      <c r="A15198" s="2">
        <v>15193</v>
      </c>
      <c r="B15198" s="11" t="str">
        <f>"00711438"</f>
        <v>00711438</v>
      </c>
    </row>
    <row r="15199" spans="1:2" x14ac:dyDescent="0.25">
      <c r="A15199" s="2">
        <v>15194</v>
      </c>
      <c r="B15199" s="11" t="str">
        <f>"00711444"</f>
        <v>00711444</v>
      </c>
    </row>
    <row r="15200" spans="1:2" x14ac:dyDescent="0.25">
      <c r="A15200" s="2">
        <v>15195</v>
      </c>
      <c r="B15200" s="11" t="str">
        <f>"00711448"</f>
        <v>00711448</v>
      </c>
    </row>
    <row r="15201" spans="1:2" x14ac:dyDescent="0.25">
      <c r="A15201" s="2">
        <v>15196</v>
      </c>
      <c r="B15201" s="11" t="str">
        <f>"00711455"</f>
        <v>00711455</v>
      </c>
    </row>
    <row r="15202" spans="1:2" x14ac:dyDescent="0.25">
      <c r="A15202" s="2">
        <v>15197</v>
      </c>
      <c r="B15202" s="11" t="str">
        <f>"00711456"</f>
        <v>00711456</v>
      </c>
    </row>
    <row r="15203" spans="1:2" x14ac:dyDescent="0.25">
      <c r="A15203" s="2">
        <v>15198</v>
      </c>
      <c r="B15203" s="11" t="str">
        <f>"00711503"</f>
        <v>00711503</v>
      </c>
    </row>
    <row r="15204" spans="1:2" x14ac:dyDescent="0.25">
      <c r="A15204" s="2">
        <v>15199</v>
      </c>
      <c r="B15204" s="11" t="str">
        <f>"00711513"</f>
        <v>00711513</v>
      </c>
    </row>
    <row r="15205" spans="1:2" x14ac:dyDescent="0.25">
      <c r="A15205" s="2">
        <v>15200</v>
      </c>
      <c r="B15205" s="11" t="str">
        <f>"00711520"</f>
        <v>00711520</v>
      </c>
    </row>
    <row r="15206" spans="1:2" x14ac:dyDescent="0.25">
      <c r="A15206" s="2">
        <v>15201</v>
      </c>
      <c r="B15206" s="11" t="str">
        <f>"00711539"</f>
        <v>00711539</v>
      </c>
    </row>
    <row r="15207" spans="1:2" x14ac:dyDescent="0.25">
      <c r="A15207" s="2">
        <v>15202</v>
      </c>
      <c r="B15207" s="11" t="str">
        <f>"00711597"</f>
        <v>00711597</v>
      </c>
    </row>
    <row r="15208" spans="1:2" x14ac:dyDescent="0.25">
      <c r="A15208" s="2">
        <v>15203</v>
      </c>
      <c r="B15208" s="11" t="str">
        <f>"00711625"</f>
        <v>00711625</v>
      </c>
    </row>
    <row r="15209" spans="1:2" x14ac:dyDescent="0.25">
      <c r="A15209" s="2">
        <v>15204</v>
      </c>
      <c r="B15209" s="11" t="str">
        <f>"00711691"</f>
        <v>00711691</v>
      </c>
    </row>
    <row r="15210" spans="1:2" x14ac:dyDescent="0.25">
      <c r="A15210" s="2">
        <v>15205</v>
      </c>
      <c r="B15210" s="11" t="str">
        <f>"00711736"</f>
        <v>00711736</v>
      </c>
    </row>
    <row r="15211" spans="1:2" x14ac:dyDescent="0.25">
      <c r="A15211" s="2">
        <v>15206</v>
      </c>
      <c r="B15211" s="11" t="str">
        <f>"00711738"</f>
        <v>00711738</v>
      </c>
    </row>
    <row r="15212" spans="1:2" x14ac:dyDescent="0.25">
      <c r="A15212" s="2">
        <v>15207</v>
      </c>
      <c r="B15212" s="11" t="str">
        <f>"00711739"</f>
        <v>00711739</v>
      </c>
    </row>
    <row r="15213" spans="1:2" x14ac:dyDescent="0.25">
      <c r="A15213" s="2">
        <v>15208</v>
      </c>
      <c r="B15213" s="11" t="str">
        <f>"00711756"</f>
        <v>00711756</v>
      </c>
    </row>
    <row r="15214" spans="1:2" x14ac:dyDescent="0.25">
      <c r="A15214" s="2">
        <v>15209</v>
      </c>
      <c r="B15214" s="11" t="str">
        <f>"00711768"</f>
        <v>00711768</v>
      </c>
    </row>
    <row r="15215" spans="1:2" x14ac:dyDescent="0.25">
      <c r="A15215" s="2">
        <v>15210</v>
      </c>
      <c r="B15215" s="11" t="str">
        <f>"00711828"</f>
        <v>00711828</v>
      </c>
    </row>
    <row r="15216" spans="1:2" x14ac:dyDescent="0.25">
      <c r="A15216" s="2">
        <v>15211</v>
      </c>
      <c r="B15216" s="11" t="str">
        <f>"00711900"</f>
        <v>00711900</v>
      </c>
    </row>
    <row r="15217" spans="1:2" x14ac:dyDescent="0.25">
      <c r="A15217" s="2">
        <v>15212</v>
      </c>
      <c r="B15217" s="11" t="str">
        <f>"00712005"</f>
        <v>00712005</v>
      </c>
    </row>
    <row r="15218" spans="1:2" x14ac:dyDescent="0.25">
      <c r="A15218" s="2">
        <v>15213</v>
      </c>
      <c r="B15218" s="11" t="str">
        <f>"00712078"</f>
        <v>00712078</v>
      </c>
    </row>
    <row r="15219" spans="1:2" x14ac:dyDescent="0.25">
      <c r="A15219" s="2">
        <v>15214</v>
      </c>
      <c r="B15219" s="11" t="str">
        <f>"00712082"</f>
        <v>00712082</v>
      </c>
    </row>
    <row r="15220" spans="1:2" x14ac:dyDescent="0.25">
      <c r="A15220" s="2">
        <v>15215</v>
      </c>
      <c r="B15220" s="11" t="str">
        <f>"00712162"</f>
        <v>00712162</v>
      </c>
    </row>
    <row r="15221" spans="1:2" x14ac:dyDescent="0.25">
      <c r="A15221" s="2">
        <v>15216</v>
      </c>
      <c r="B15221" s="11" t="str">
        <f>"00712177"</f>
        <v>00712177</v>
      </c>
    </row>
    <row r="15222" spans="1:2" x14ac:dyDescent="0.25">
      <c r="A15222" s="2">
        <v>15217</v>
      </c>
      <c r="B15222" s="11" t="str">
        <f>"00712190"</f>
        <v>00712190</v>
      </c>
    </row>
    <row r="15223" spans="1:2" x14ac:dyDescent="0.25">
      <c r="A15223" s="2">
        <v>15218</v>
      </c>
      <c r="B15223" s="11" t="str">
        <f>"00712199"</f>
        <v>00712199</v>
      </c>
    </row>
    <row r="15224" spans="1:2" x14ac:dyDescent="0.25">
      <c r="A15224" s="2">
        <v>15219</v>
      </c>
      <c r="B15224" s="11" t="str">
        <f>"00712201"</f>
        <v>00712201</v>
      </c>
    </row>
    <row r="15225" spans="1:2" x14ac:dyDescent="0.25">
      <c r="A15225" s="2">
        <v>15220</v>
      </c>
      <c r="B15225" s="11" t="str">
        <f>"00712205"</f>
        <v>00712205</v>
      </c>
    </row>
    <row r="15226" spans="1:2" x14ac:dyDescent="0.25">
      <c r="A15226" s="2">
        <v>15221</v>
      </c>
      <c r="B15226" s="11" t="str">
        <f>"00712236"</f>
        <v>00712236</v>
      </c>
    </row>
    <row r="15227" spans="1:2" x14ac:dyDescent="0.25">
      <c r="A15227" s="2">
        <v>15222</v>
      </c>
      <c r="B15227" s="11" t="str">
        <f>"00712326"</f>
        <v>00712326</v>
      </c>
    </row>
    <row r="15228" spans="1:2" x14ac:dyDescent="0.25">
      <c r="A15228" s="2">
        <v>15223</v>
      </c>
      <c r="B15228" s="11" t="str">
        <f>"00712415"</f>
        <v>00712415</v>
      </c>
    </row>
    <row r="15229" spans="1:2" x14ac:dyDescent="0.25">
      <c r="A15229" s="2">
        <v>15224</v>
      </c>
      <c r="B15229" s="11" t="str">
        <f>"00712429"</f>
        <v>00712429</v>
      </c>
    </row>
    <row r="15230" spans="1:2" x14ac:dyDescent="0.25">
      <c r="A15230" s="2">
        <v>15225</v>
      </c>
      <c r="B15230" s="11" t="str">
        <f>"00712483"</f>
        <v>00712483</v>
      </c>
    </row>
    <row r="15231" spans="1:2" x14ac:dyDescent="0.25">
      <c r="A15231" s="2">
        <v>15226</v>
      </c>
      <c r="B15231" s="11" t="str">
        <f>"00712485"</f>
        <v>00712485</v>
      </c>
    </row>
    <row r="15232" spans="1:2" x14ac:dyDescent="0.25">
      <c r="A15232" s="2">
        <v>15227</v>
      </c>
      <c r="B15232" s="11" t="str">
        <f>"00712523"</f>
        <v>00712523</v>
      </c>
    </row>
    <row r="15233" spans="1:2" x14ac:dyDescent="0.25">
      <c r="A15233" s="2">
        <v>15228</v>
      </c>
      <c r="B15233" s="11" t="str">
        <f>"00712542"</f>
        <v>00712542</v>
      </c>
    </row>
    <row r="15234" spans="1:2" x14ac:dyDescent="0.25">
      <c r="A15234" s="2">
        <v>15229</v>
      </c>
      <c r="B15234" s="11" t="str">
        <f>"00712660"</f>
        <v>00712660</v>
      </c>
    </row>
    <row r="15235" spans="1:2" x14ac:dyDescent="0.25">
      <c r="A15235" s="2">
        <v>15230</v>
      </c>
      <c r="B15235" s="11" t="str">
        <f>"00712666"</f>
        <v>00712666</v>
      </c>
    </row>
    <row r="15236" spans="1:2" x14ac:dyDescent="0.25">
      <c r="A15236" s="2">
        <v>15231</v>
      </c>
      <c r="B15236" s="11" t="str">
        <f>"00712691"</f>
        <v>00712691</v>
      </c>
    </row>
    <row r="15237" spans="1:2" x14ac:dyDescent="0.25">
      <c r="A15237" s="2">
        <v>15232</v>
      </c>
      <c r="B15237" s="11" t="str">
        <f>"00712717"</f>
        <v>00712717</v>
      </c>
    </row>
    <row r="15238" spans="1:2" x14ac:dyDescent="0.25">
      <c r="A15238" s="2">
        <v>15233</v>
      </c>
      <c r="B15238" s="11" t="str">
        <f>"00712756"</f>
        <v>00712756</v>
      </c>
    </row>
    <row r="15239" spans="1:2" x14ac:dyDescent="0.25">
      <c r="A15239" s="2">
        <v>15234</v>
      </c>
      <c r="B15239" s="11" t="str">
        <f>"00712766"</f>
        <v>00712766</v>
      </c>
    </row>
    <row r="15240" spans="1:2" x14ac:dyDescent="0.25">
      <c r="A15240" s="2">
        <v>15235</v>
      </c>
      <c r="B15240" s="11" t="str">
        <f>"00712772"</f>
        <v>00712772</v>
      </c>
    </row>
    <row r="15241" spans="1:2" x14ac:dyDescent="0.25">
      <c r="A15241" s="2">
        <v>15236</v>
      </c>
      <c r="B15241" s="11" t="str">
        <f>"00712774"</f>
        <v>00712774</v>
      </c>
    </row>
    <row r="15242" spans="1:2" x14ac:dyDescent="0.25">
      <c r="A15242" s="2">
        <v>15237</v>
      </c>
      <c r="B15242" s="11" t="str">
        <f>"00712800"</f>
        <v>00712800</v>
      </c>
    </row>
    <row r="15243" spans="1:2" x14ac:dyDescent="0.25">
      <c r="A15243" s="2">
        <v>15238</v>
      </c>
      <c r="B15243" s="11" t="str">
        <f>"00712804"</f>
        <v>00712804</v>
      </c>
    </row>
    <row r="15244" spans="1:2" x14ac:dyDescent="0.25">
      <c r="A15244" s="2">
        <v>15239</v>
      </c>
      <c r="B15244" s="11" t="str">
        <f>"00712832"</f>
        <v>00712832</v>
      </c>
    </row>
    <row r="15245" spans="1:2" x14ac:dyDescent="0.25">
      <c r="A15245" s="2">
        <v>15240</v>
      </c>
      <c r="B15245" s="11" t="str">
        <f>"00712836"</f>
        <v>00712836</v>
      </c>
    </row>
    <row r="15246" spans="1:2" x14ac:dyDescent="0.25">
      <c r="A15246" s="2">
        <v>15241</v>
      </c>
      <c r="B15246" s="11" t="str">
        <f>"00712974"</f>
        <v>00712974</v>
      </c>
    </row>
    <row r="15247" spans="1:2" x14ac:dyDescent="0.25">
      <c r="A15247" s="2">
        <v>15242</v>
      </c>
      <c r="B15247" s="11" t="str">
        <f>"00713007"</f>
        <v>00713007</v>
      </c>
    </row>
    <row r="15248" spans="1:2" x14ac:dyDescent="0.25">
      <c r="A15248" s="2">
        <v>15243</v>
      </c>
      <c r="B15248" s="11" t="str">
        <f>"00713025"</f>
        <v>00713025</v>
      </c>
    </row>
    <row r="15249" spans="1:2" x14ac:dyDescent="0.25">
      <c r="A15249" s="2">
        <v>15244</v>
      </c>
      <c r="B15249" s="11" t="str">
        <f>"00713070"</f>
        <v>00713070</v>
      </c>
    </row>
    <row r="15250" spans="1:2" x14ac:dyDescent="0.25">
      <c r="A15250" s="2">
        <v>15245</v>
      </c>
      <c r="B15250" s="11" t="str">
        <f>"00713093"</f>
        <v>00713093</v>
      </c>
    </row>
    <row r="15251" spans="1:2" x14ac:dyDescent="0.25">
      <c r="A15251" s="2">
        <v>15246</v>
      </c>
      <c r="B15251" s="11" t="str">
        <f>"00713098"</f>
        <v>00713098</v>
      </c>
    </row>
    <row r="15252" spans="1:2" x14ac:dyDescent="0.25">
      <c r="A15252" s="2">
        <v>15247</v>
      </c>
      <c r="B15252" s="11" t="str">
        <f>"00713099"</f>
        <v>00713099</v>
      </c>
    </row>
    <row r="15253" spans="1:2" x14ac:dyDescent="0.25">
      <c r="A15253" s="2">
        <v>15248</v>
      </c>
      <c r="B15253" s="11" t="str">
        <f>"00713106"</f>
        <v>00713106</v>
      </c>
    </row>
    <row r="15254" spans="1:2" x14ac:dyDescent="0.25">
      <c r="A15254" s="2">
        <v>15249</v>
      </c>
      <c r="B15254" s="11" t="str">
        <f>"00713112"</f>
        <v>00713112</v>
      </c>
    </row>
    <row r="15255" spans="1:2" x14ac:dyDescent="0.25">
      <c r="A15255" s="2">
        <v>15250</v>
      </c>
      <c r="B15255" s="11" t="str">
        <f>"00713127"</f>
        <v>00713127</v>
      </c>
    </row>
    <row r="15256" spans="1:2" x14ac:dyDescent="0.25">
      <c r="A15256" s="2">
        <v>15251</v>
      </c>
      <c r="B15256" s="11" t="str">
        <f>"00713192"</f>
        <v>00713192</v>
      </c>
    </row>
    <row r="15257" spans="1:2" x14ac:dyDescent="0.25">
      <c r="A15257" s="2">
        <v>15252</v>
      </c>
      <c r="B15257" s="11" t="str">
        <f>"00713219"</f>
        <v>00713219</v>
      </c>
    </row>
    <row r="15258" spans="1:2" x14ac:dyDescent="0.25">
      <c r="A15258" s="2">
        <v>15253</v>
      </c>
      <c r="B15258" s="11" t="str">
        <f>"00713237"</f>
        <v>00713237</v>
      </c>
    </row>
    <row r="15259" spans="1:2" x14ac:dyDescent="0.25">
      <c r="A15259" s="2">
        <v>15254</v>
      </c>
      <c r="B15259" s="11" t="str">
        <f>"00713343"</f>
        <v>00713343</v>
      </c>
    </row>
    <row r="15260" spans="1:2" x14ac:dyDescent="0.25">
      <c r="A15260" s="2">
        <v>15255</v>
      </c>
      <c r="B15260" s="11" t="str">
        <f>"00713385"</f>
        <v>00713385</v>
      </c>
    </row>
    <row r="15261" spans="1:2" x14ac:dyDescent="0.25">
      <c r="A15261" s="2">
        <v>15256</v>
      </c>
      <c r="B15261" s="11" t="str">
        <f>"00713399"</f>
        <v>00713399</v>
      </c>
    </row>
    <row r="15262" spans="1:2" x14ac:dyDescent="0.25">
      <c r="A15262" s="2">
        <v>15257</v>
      </c>
      <c r="B15262" s="11" t="str">
        <f>"00713430"</f>
        <v>00713430</v>
      </c>
    </row>
    <row r="15263" spans="1:2" x14ac:dyDescent="0.25">
      <c r="A15263" s="2">
        <v>15258</v>
      </c>
      <c r="B15263" s="11" t="str">
        <f>"00713467"</f>
        <v>00713467</v>
      </c>
    </row>
    <row r="15264" spans="1:2" x14ac:dyDescent="0.25">
      <c r="A15264" s="2">
        <v>15259</v>
      </c>
      <c r="B15264" s="11" t="str">
        <f>"00713490"</f>
        <v>00713490</v>
      </c>
    </row>
    <row r="15265" spans="1:2" x14ac:dyDescent="0.25">
      <c r="A15265" s="2">
        <v>15260</v>
      </c>
      <c r="B15265" s="11" t="str">
        <f>"00713499"</f>
        <v>00713499</v>
      </c>
    </row>
    <row r="15266" spans="1:2" x14ac:dyDescent="0.25">
      <c r="A15266" s="2">
        <v>15261</v>
      </c>
      <c r="B15266" s="11" t="str">
        <f>"00713567"</f>
        <v>00713567</v>
      </c>
    </row>
    <row r="15267" spans="1:2" x14ac:dyDescent="0.25">
      <c r="A15267" s="2">
        <v>15262</v>
      </c>
      <c r="B15267" s="11" t="str">
        <f>"00713615"</f>
        <v>00713615</v>
      </c>
    </row>
    <row r="15268" spans="1:2" x14ac:dyDescent="0.25">
      <c r="A15268" s="2">
        <v>15263</v>
      </c>
      <c r="B15268" s="11" t="str">
        <f>"00713622"</f>
        <v>00713622</v>
      </c>
    </row>
    <row r="15269" spans="1:2" x14ac:dyDescent="0.25">
      <c r="A15269" s="2">
        <v>15264</v>
      </c>
      <c r="B15269" s="11" t="str">
        <f>"00713675"</f>
        <v>00713675</v>
      </c>
    </row>
    <row r="15270" spans="1:2" x14ac:dyDescent="0.25">
      <c r="A15270" s="2">
        <v>15265</v>
      </c>
      <c r="B15270" s="11" t="str">
        <f>"00713736"</f>
        <v>00713736</v>
      </c>
    </row>
    <row r="15271" spans="1:2" x14ac:dyDescent="0.25">
      <c r="A15271" s="2">
        <v>15266</v>
      </c>
      <c r="B15271" s="11" t="str">
        <f>"00713777"</f>
        <v>00713777</v>
      </c>
    </row>
    <row r="15272" spans="1:2" x14ac:dyDescent="0.25">
      <c r="A15272" s="2">
        <v>15267</v>
      </c>
      <c r="B15272" s="11" t="str">
        <f>"00713795"</f>
        <v>00713795</v>
      </c>
    </row>
    <row r="15273" spans="1:2" x14ac:dyDescent="0.25">
      <c r="A15273" s="2">
        <v>15268</v>
      </c>
      <c r="B15273" s="11" t="str">
        <f>"00713814"</f>
        <v>00713814</v>
      </c>
    </row>
    <row r="15274" spans="1:2" x14ac:dyDescent="0.25">
      <c r="A15274" s="2">
        <v>15269</v>
      </c>
      <c r="B15274" s="11" t="str">
        <f>"00713828"</f>
        <v>00713828</v>
      </c>
    </row>
    <row r="15275" spans="1:2" x14ac:dyDescent="0.25">
      <c r="A15275" s="2">
        <v>15270</v>
      </c>
      <c r="B15275" s="11" t="str">
        <f>"00713829"</f>
        <v>00713829</v>
      </c>
    </row>
    <row r="15276" spans="1:2" x14ac:dyDescent="0.25">
      <c r="A15276" s="2">
        <v>15271</v>
      </c>
      <c r="B15276" s="11" t="str">
        <f>"00713950"</f>
        <v>00713950</v>
      </c>
    </row>
    <row r="15277" spans="1:2" x14ac:dyDescent="0.25">
      <c r="A15277" s="2">
        <v>15272</v>
      </c>
      <c r="B15277" s="11" t="str">
        <f>"00713964"</f>
        <v>00713964</v>
      </c>
    </row>
    <row r="15278" spans="1:2" x14ac:dyDescent="0.25">
      <c r="A15278" s="2">
        <v>15273</v>
      </c>
      <c r="B15278" s="11" t="str">
        <f>"00713989"</f>
        <v>00713989</v>
      </c>
    </row>
    <row r="15279" spans="1:2" x14ac:dyDescent="0.25">
      <c r="A15279" s="2">
        <v>15274</v>
      </c>
      <c r="B15279" s="11" t="str">
        <f>"00714084"</f>
        <v>00714084</v>
      </c>
    </row>
    <row r="15280" spans="1:2" x14ac:dyDescent="0.25">
      <c r="A15280" s="2">
        <v>15275</v>
      </c>
      <c r="B15280" s="11" t="str">
        <f>"00714091"</f>
        <v>00714091</v>
      </c>
    </row>
    <row r="15281" spans="1:2" x14ac:dyDescent="0.25">
      <c r="A15281" s="2">
        <v>15276</v>
      </c>
      <c r="B15281" s="11" t="str">
        <f>"00714157"</f>
        <v>00714157</v>
      </c>
    </row>
    <row r="15282" spans="1:2" x14ac:dyDescent="0.25">
      <c r="A15282" s="2">
        <v>15277</v>
      </c>
      <c r="B15282" s="11" t="str">
        <f>"00714205"</f>
        <v>00714205</v>
      </c>
    </row>
    <row r="15283" spans="1:2" x14ac:dyDescent="0.25">
      <c r="A15283" s="2">
        <v>15278</v>
      </c>
      <c r="B15283" s="11" t="str">
        <f>"00714241"</f>
        <v>00714241</v>
      </c>
    </row>
    <row r="15284" spans="1:2" x14ac:dyDescent="0.25">
      <c r="A15284" s="2">
        <v>15279</v>
      </c>
      <c r="B15284" s="11" t="str">
        <f>"00714259"</f>
        <v>00714259</v>
      </c>
    </row>
    <row r="15285" spans="1:2" x14ac:dyDescent="0.25">
      <c r="A15285" s="2">
        <v>15280</v>
      </c>
      <c r="B15285" s="11" t="str">
        <f>"00714334"</f>
        <v>00714334</v>
      </c>
    </row>
    <row r="15286" spans="1:2" x14ac:dyDescent="0.25">
      <c r="A15286" s="2">
        <v>15281</v>
      </c>
      <c r="B15286" s="11" t="str">
        <f>"00714353"</f>
        <v>00714353</v>
      </c>
    </row>
    <row r="15287" spans="1:2" x14ac:dyDescent="0.25">
      <c r="A15287" s="2">
        <v>15282</v>
      </c>
      <c r="B15287" s="11" t="str">
        <f>"00714450"</f>
        <v>00714450</v>
      </c>
    </row>
    <row r="15288" spans="1:2" x14ac:dyDescent="0.25">
      <c r="A15288" s="2">
        <v>15283</v>
      </c>
      <c r="B15288" s="11" t="str">
        <f>"00714533"</f>
        <v>00714533</v>
      </c>
    </row>
    <row r="15289" spans="1:2" x14ac:dyDescent="0.25">
      <c r="A15289" s="2">
        <v>15284</v>
      </c>
      <c r="B15289" s="11" t="str">
        <f>"00714575"</f>
        <v>00714575</v>
      </c>
    </row>
    <row r="15290" spans="1:2" x14ac:dyDescent="0.25">
      <c r="A15290" s="2">
        <v>15285</v>
      </c>
      <c r="B15290" s="11" t="str">
        <f>"00714595"</f>
        <v>00714595</v>
      </c>
    </row>
    <row r="15291" spans="1:2" x14ac:dyDescent="0.25">
      <c r="A15291" s="2">
        <v>15286</v>
      </c>
      <c r="B15291" s="11" t="str">
        <f>"00714602"</f>
        <v>00714602</v>
      </c>
    </row>
    <row r="15292" spans="1:2" x14ac:dyDescent="0.25">
      <c r="A15292" s="2">
        <v>15287</v>
      </c>
      <c r="B15292" s="11" t="str">
        <f>"00714681"</f>
        <v>00714681</v>
      </c>
    </row>
    <row r="15293" spans="1:2" x14ac:dyDescent="0.25">
      <c r="A15293" s="2">
        <v>15288</v>
      </c>
      <c r="B15293" s="11" t="str">
        <f>"00714804"</f>
        <v>00714804</v>
      </c>
    </row>
    <row r="15294" spans="1:2" x14ac:dyDescent="0.25">
      <c r="A15294" s="2">
        <v>15289</v>
      </c>
      <c r="B15294" s="11" t="str">
        <f>"00714821"</f>
        <v>00714821</v>
      </c>
    </row>
    <row r="15295" spans="1:2" x14ac:dyDescent="0.25">
      <c r="A15295" s="2">
        <v>15290</v>
      </c>
      <c r="B15295" s="11" t="str">
        <f>"00714870"</f>
        <v>00714870</v>
      </c>
    </row>
    <row r="15296" spans="1:2" x14ac:dyDescent="0.25">
      <c r="A15296" s="2">
        <v>15291</v>
      </c>
      <c r="B15296" s="11" t="str">
        <f>"00714878"</f>
        <v>00714878</v>
      </c>
    </row>
    <row r="15297" spans="1:2" x14ac:dyDescent="0.25">
      <c r="A15297" s="2">
        <v>15292</v>
      </c>
      <c r="B15297" s="11" t="str">
        <f>"00714892"</f>
        <v>00714892</v>
      </c>
    </row>
    <row r="15298" spans="1:2" x14ac:dyDescent="0.25">
      <c r="A15298" s="2">
        <v>15293</v>
      </c>
      <c r="B15298" s="11" t="str">
        <f>"00714951"</f>
        <v>00714951</v>
      </c>
    </row>
    <row r="15299" spans="1:2" x14ac:dyDescent="0.25">
      <c r="A15299" s="2">
        <v>15294</v>
      </c>
      <c r="B15299" s="11" t="str">
        <f>"00714973"</f>
        <v>00714973</v>
      </c>
    </row>
    <row r="15300" spans="1:2" x14ac:dyDescent="0.25">
      <c r="A15300" s="2">
        <v>15295</v>
      </c>
      <c r="B15300" s="11" t="str">
        <f>"00715009"</f>
        <v>00715009</v>
      </c>
    </row>
    <row r="15301" spans="1:2" x14ac:dyDescent="0.25">
      <c r="A15301" s="2">
        <v>15296</v>
      </c>
      <c r="B15301" s="11" t="str">
        <f>"00715056"</f>
        <v>00715056</v>
      </c>
    </row>
    <row r="15302" spans="1:2" x14ac:dyDescent="0.25">
      <c r="A15302" s="2">
        <v>15297</v>
      </c>
      <c r="B15302" s="11" t="str">
        <f>"00715079"</f>
        <v>00715079</v>
      </c>
    </row>
    <row r="15303" spans="1:2" x14ac:dyDescent="0.25">
      <c r="A15303" s="2">
        <v>15298</v>
      </c>
      <c r="B15303" s="11" t="str">
        <f>"00715155"</f>
        <v>00715155</v>
      </c>
    </row>
    <row r="15304" spans="1:2" x14ac:dyDescent="0.25">
      <c r="A15304" s="2">
        <v>15299</v>
      </c>
      <c r="B15304" s="11" t="str">
        <f>"00715216"</f>
        <v>00715216</v>
      </c>
    </row>
    <row r="15305" spans="1:2" x14ac:dyDescent="0.25">
      <c r="A15305" s="2">
        <v>15300</v>
      </c>
      <c r="B15305" s="11" t="str">
        <f>"00715276"</f>
        <v>00715276</v>
      </c>
    </row>
    <row r="15306" spans="1:2" x14ac:dyDescent="0.25">
      <c r="A15306" s="2">
        <v>15301</v>
      </c>
      <c r="B15306" s="11" t="str">
        <f>"00715287"</f>
        <v>00715287</v>
      </c>
    </row>
    <row r="15307" spans="1:2" x14ac:dyDescent="0.25">
      <c r="A15307" s="2">
        <v>15302</v>
      </c>
      <c r="B15307" s="11" t="str">
        <f>"00715465"</f>
        <v>00715465</v>
      </c>
    </row>
    <row r="15308" spans="1:2" x14ac:dyDescent="0.25">
      <c r="A15308" s="2">
        <v>15303</v>
      </c>
      <c r="B15308" s="11" t="str">
        <f>"00715494"</f>
        <v>00715494</v>
      </c>
    </row>
    <row r="15309" spans="1:2" x14ac:dyDescent="0.25">
      <c r="A15309" s="2">
        <v>15304</v>
      </c>
      <c r="B15309" s="11" t="str">
        <f>"00715684"</f>
        <v>00715684</v>
      </c>
    </row>
    <row r="15310" spans="1:2" x14ac:dyDescent="0.25">
      <c r="A15310" s="2">
        <v>15305</v>
      </c>
      <c r="B15310" s="11" t="str">
        <f>"00715701"</f>
        <v>00715701</v>
      </c>
    </row>
    <row r="15311" spans="1:2" x14ac:dyDescent="0.25">
      <c r="A15311" s="2">
        <v>15306</v>
      </c>
      <c r="B15311" s="11" t="str">
        <f>"00715777"</f>
        <v>00715777</v>
      </c>
    </row>
    <row r="15312" spans="1:2" x14ac:dyDescent="0.25">
      <c r="A15312" s="2">
        <v>15307</v>
      </c>
      <c r="B15312" s="11" t="str">
        <f>"00715852"</f>
        <v>00715852</v>
      </c>
    </row>
    <row r="15313" spans="1:2" x14ac:dyDescent="0.25">
      <c r="A15313" s="2">
        <v>15308</v>
      </c>
      <c r="B15313" s="11" t="str">
        <f>"00715855"</f>
        <v>00715855</v>
      </c>
    </row>
    <row r="15314" spans="1:2" x14ac:dyDescent="0.25">
      <c r="A15314" s="2">
        <v>15309</v>
      </c>
      <c r="B15314" s="11" t="str">
        <f>"00715930"</f>
        <v>00715930</v>
      </c>
    </row>
    <row r="15315" spans="1:2" x14ac:dyDescent="0.25">
      <c r="A15315" s="2">
        <v>15310</v>
      </c>
      <c r="B15315" s="11" t="str">
        <f>"00715983"</f>
        <v>00715983</v>
      </c>
    </row>
    <row r="15316" spans="1:2" x14ac:dyDescent="0.25">
      <c r="A15316" s="2">
        <v>15311</v>
      </c>
      <c r="B15316" s="11" t="str">
        <f>"00716053"</f>
        <v>00716053</v>
      </c>
    </row>
    <row r="15317" spans="1:2" x14ac:dyDescent="0.25">
      <c r="A15317" s="2">
        <v>15312</v>
      </c>
      <c r="B15317" s="11" t="str">
        <f>"00716106"</f>
        <v>00716106</v>
      </c>
    </row>
    <row r="15318" spans="1:2" x14ac:dyDescent="0.25">
      <c r="A15318" s="2">
        <v>15313</v>
      </c>
      <c r="B15318" s="11" t="str">
        <f>"00716122"</f>
        <v>00716122</v>
      </c>
    </row>
    <row r="15319" spans="1:2" x14ac:dyDescent="0.25">
      <c r="A15319" s="2">
        <v>15314</v>
      </c>
      <c r="B15319" s="11" t="str">
        <f>"00716168"</f>
        <v>00716168</v>
      </c>
    </row>
    <row r="15320" spans="1:2" x14ac:dyDescent="0.25">
      <c r="A15320" s="2">
        <v>15315</v>
      </c>
      <c r="B15320" s="11" t="str">
        <f>"00716186"</f>
        <v>00716186</v>
      </c>
    </row>
    <row r="15321" spans="1:2" x14ac:dyDescent="0.25">
      <c r="A15321" s="2">
        <v>15316</v>
      </c>
      <c r="B15321" s="11" t="str">
        <f>"00716260"</f>
        <v>00716260</v>
      </c>
    </row>
    <row r="15322" spans="1:2" x14ac:dyDescent="0.25">
      <c r="A15322" s="2">
        <v>15317</v>
      </c>
      <c r="B15322" s="11" t="str">
        <f>"00716305"</f>
        <v>00716305</v>
      </c>
    </row>
    <row r="15323" spans="1:2" x14ac:dyDescent="0.25">
      <c r="A15323" s="2">
        <v>15318</v>
      </c>
      <c r="B15323" s="11" t="str">
        <f>"00716332"</f>
        <v>00716332</v>
      </c>
    </row>
    <row r="15324" spans="1:2" x14ac:dyDescent="0.25">
      <c r="A15324" s="2">
        <v>15319</v>
      </c>
      <c r="B15324" s="11" t="str">
        <f>"00716427"</f>
        <v>00716427</v>
      </c>
    </row>
    <row r="15325" spans="1:2" x14ac:dyDescent="0.25">
      <c r="A15325" s="2">
        <v>15320</v>
      </c>
      <c r="B15325" s="11" t="str">
        <f>"00716480"</f>
        <v>00716480</v>
      </c>
    </row>
    <row r="15326" spans="1:2" x14ac:dyDescent="0.25">
      <c r="A15326" s="2">
        <v>15321</v>
      </c>
      <c r="B15326" s="11" t="str">
        <f>"00716491"</f>
        <v>00716491</v>
      </c>
    </row>
    <row r="15327" spans="1:2" x14ac:dyDescent="0.25">
      <c r="A15327" s="2">
        <v>15322</v>
      </c>
      <c r="B15327" s="11" t="str">
        <f>"00716519"</f>
        <v>00716519</v>
      </c>
    </row>
    <row r="15328" spans="1:2" x14ac:dyDescent="0.25">
      <c r="A15328" s="2">
        <v>15323</v>
      </c>
      <c r="B15328" s="11" t="str">
        <f>"00716520"</f>
        <v>00716520</v>
      </c>
    </row>
    <row r="15329" spans="1:2" x14ac:dyDescent="0.25">
      <c r="A15329" s="2">
        <v>15324</v>
      </c>
      <c r="B15329" s="11" t="str">
        <f>"00716522"</f>
        <v>00716522</v>
      </c>
    </row>
    <row r="15330" spans="1:2" x14ac:dyDescent="0.25">
      <c r="A15330" s="2">
        <v>15325</v>
      </c>
      <c r="B15330" s="11" t="str">
        <f>"00716553"</f>
        <v>00716553</v>
      </c>
    </row>
    <row r="15331" spans="1:2" x14ac:dyDescent="0.25">
      <c r="A15331" s="2">
        <v>15326</v>
      </c>
      <c r="B15331" s="11" t="str">
        <f>"00716614"</f>
        <v>00716614</v>
      </c>
    </row>
    <row r="15332" spans="1:2" x14ac:dyDescent="0.25">
      <c r="A15332" s="2">
        <v>15327</v>
      </c>
      <c r="B15332" s="11" t="str">
        <f>"00716636"</f>
        <v>00716636</v>
      </c>
    </row>
    <row r="15333" spans="1:2" x14ac:dyDescent="0.25">
      <c r="A15333" s="2">
        <v>15328</v>
      </c>
      <c r="B15333" s="11" t="str">
        <f>"00716637"</f>
        <v>00716637</v>
      </c>
    </row>
    <row r="15334" spans="1:2" x14ac:dyDescent="0.25">
      <c r="A15334" s="2">
        <v>15329</v>
      </c>
      <c r="B15334" s="11" t="str">
        <f>"00716694"</f>
        <v>00716694</v>
      </c>
    </row>
    <row r="15335" spans="1:2" x14ac:dyDescent="0.25">
      <c r="A15335" s="2">
        <v>15330</v>
      </c>
      <c r="B15335" s="11" t="str">
        <f>"00716721"</f>
        <v>00716721</v>
      </c>
    </row>
    <row r="15336" spans="1:2" x14ac:dyDescent="0.25">
      <c r="A15336" s="2">
        <v>15331</v>
      </c>
      <c r="B15336" s="11" t="str">
        <f>"00716738"</f>
        <v>00716738</v>
      </c>
    </row>
    <row r="15337" spans="1:2" x14ac:dyDescent="0.25">
      <c r="A15337" s="2">
        <v>15332</v>
      </c>
      <c r="B15337" s="11" t="str">
        <f>"00716751"</f>
        <v>00716751</v>
      </c>
    </row>
    <row r="15338" spans="1:2" x14ac:dyDescent="0.25">
      <c r="A15338" s="2">
        <v>15333</v>
      </c>
      <c r="B15338" s="11" t="str">
        <f>"00716776"</f>
        <v>00716776</v>
      </c>
    </row>
    <row r="15339" spans="1:2" x14ac:dyDescent="0.25">
      <c r="A15339" s="2">
        <v>15334</v>
      </c>
      <c r="B15339" s="11" t="str">
        <f>"00716785"</f>
        <v>00716785</v>
      </c>
    </row>
    <row r="15340" spans="1:2" x14ac:dyDescent="0.25">
      <c r="A15340" s="2">
        <v>15335</v>
      </c>
      <c r="B15340" s="11" t="str">
        <f>"00716842"</f>
        <v>00716842</v>
      </c>
    </row>
    <row r="15341" spans="1:2" x14ac:dyDescent="0.25">
      <c r="A15341" s="2">
        <v>15336</v>
      </c>
      <c r="B15341" s="11" t="str">
        <f>"00716868"</f>
        <v>00716868</v>
      </c>
    </row>
    <row r="15342" spans="1:2" x14ac:dyDescent="0.25">
      <c r="A15342" s="2">
        <v>15337</v>
      </c>
      <c r="B15342" s="11" t="str">
        <f>"00716897"</f>
        <v>00716897</v>
      </c>
    </row>
    <row r="15343" spans="1:2" x14ac:dyDescent="0.25">
      <c r="A15343" s="2">
        <v>15338</v>
      </c>
      <c r="B15343" s="11" t="str">
        <f>"00716918"</f>
        <v>00716918</v>
      </c>
    </row>
    <row r="15344" spans="1:2" x14ac:dyDescent="0.25">
      <c r="A15344" s="2">
        <v>15339</v>
      </c>
      <c r="B15344" s="11" t="str">
        <f>"00716921"</f>
        <v>00716921</v>
      </c>
    </row>
    <row r="15345" spans="1:2" x14ac:dyDescent="0.25">
      <c r="A15345" s="2">
        <v>15340</v>
      </c>
      <c r="B15345" s="11" t="str">
        <f>"00716948"</f>
        <v>00716948</v>
      </c>
    </row>
    <row r="15346" spans="1:2" x14ac:dyDescent="0.25">
      <c r="A15346" s="2">
        <v>15341</v>
      </c>
      <c r="B15346" s="11" t="str">
        <f>"00716954"</f>
        <v>00716954</v>
      </c>
    </row>
    <row r="15347" spans="1:2" x14ac:dyDescent="0.25">
      <c r="A15347" s="2">
        <v>15342</v>
      </c>
      <c r="B15347" s="11" t="str">
        <f>"00716968"</f>
        <v>00716968</v>
      </c>
    </row>
    <row r="15348" spans="1:2" x14ac:dyDescent="0.25">
      <c r="A15348" s="2">
        <v>15343</v>
      </c>
      <c r="B15348" s="11" t="str">
        <f>"00716979"</f>
        <v>00716979</v>
      </c>
    </row>
    <row r="15349" spans="1:2" x14ac:dyDescent="0.25">
      <c r="A15349" s="2">
        <v>15344</v>
      </c>
      <c r="B15349" s="11" t="str">
        <f>"00716994"</f>
        <v>00716994</v>
      </c>
    </row>
    <row r="15350" spans="1:2" x14ac:dyDescent="0.25">
      <c r="A15350" s="2">
        <v>15345</v>
      </c>
      <c r="B15350" s="11" t="str">
        <f>"00717023"</f>
        <v>00717023</v>
      </c>
    </row>
    <row r="15351" spans="1:2" x14ac:dyDescent="0.25">
      <c r="A15351" s="2">
        <v>15346</v>
      </c>
      <c r="B15351" s="11" t="str">
        <f>"00717092"</f>
        <v>00717092</v>
      </c>
    </row>
    <row r="15352" spans="1:2" x14ac:dyDescent="0.25">
      <c r="A15352" s="2">
        <v>15347</v>
      </c>
      <c r="B15352" s="11" t="str">
        <f>"00717157"</f>
        <v>00717157</v>
      </c>
    </row>
    <row r="15353" spans="1:2" x14ac:dyDescent="0.25">
      <c r="A15353" s="2">
        <v>15348</v>
      </c>
      <c r="B15353" s="11" t="str">
        <f>"00717226"</f>
        <v>00717226</v>
      </c>
    </row>
    <row r="15354" spans="1:2" x14ac:dyDescent="0.25">
      <c r="A15354" s="2">
        <v>15349</v>
      </c>
      <c r="B15354" s="11" t="str">
        <f>"00717239"</f>
        <v>00717239</v>
      </c>
    </row>
    <row r="15355" spans="1:2" x14ac:dyDescent="0.25">
      <c r="A15355" s="2">
        <v>15350</v>
      </c>
      <c r="B15355" s="11" t="str">
        <f>"00717289"</f>
        <v>00717289</v>
      </c>
    </row>
    <row r="15356" spans="1:2" x14ac:dyDescent="0.25">
      <c r="A15356" s="2">
        <v>15351</v>
      </c>
      <c r="B15356" s="11" t="str">
        <f>"00717411"</f>
        <v>00717411</v>
      </c>
    </row>
    <row r="15357" spans="1:2" x14ac:dyDescent="0.25">
      <c r="A15357" s="2">
        <v>15352</v>
      </c>
      <c r="B15357" s="11" t="str">
        <f>"00717503"</f>
        <v>00717503</v>
      </c>
    </row>
    <row r="15358" spans="1:2" x14ac:dyDescent="0.25">
      <c r="A15358" s="2">
        <v>15353</v>
      </c>
      <c r="B15358" s="11" t="str">
        <f>"00717735"</f>
        <v>00717735</v>
      </c>
    </row>
    <row r="15359" spans="1:2" x14ac:dyDescent="0.25">
      <c r="A15359" s="2">
        <v>15354</v>
      </c>
      <c r="B15359" s="11" t="str">
        <f>"00717747"</f>
        <v>00717747</v>
      </c>
    </row>
    <row r="15360" spans="1:2" x14ac:dyDescent="0.25">
      <c r="A15360" s="2">
        <v>15355</v>
      </c>
      <c r="B15360" s="11" t="str">
        <f>"00717786"</f>
        <v>00717786</v>
      </c>
    </row>
    <row r="15361" spans="1:2" x14ac:dyDescent="0.25">
      <c r="A15361" s="2">
        <v>15356</v>
      </c>
      <c r="B15361" s="11" t="str">
        <f>"00717793"</f>
        <v>00717793</v>
      </c>
    </row>
    <row r="15362" spans="1:2" x14ac:dyDescent="0.25">
      <c r="A15362" s="2">
        <v>15357</v>
      </c>
      <c r="B15362" s="11" t="str">
        <f>"00717797"</f>
        <v>00717797</v>
      </c>
    </row>
    <row r="15363" spans="1:2" x14ac:dyDescent="0.25">
      <c r="A15363" s="2">
        <v>15358</v>
      </c>
      <c r="B15363" s="11" t="str">
        <f>"00717798"</f>
        <v>00717798</v>
      </c>
    </row>
    <row r="15364" spans="1:2" x14ac:dyDescent="0.25">
      <c r="A15364" s="2">
        <v>15359</v>
      </c>
      <c r="B15364" s="11" t="str">
        <f>"00717837"</f>
        <v>00717837</v>
      </c>
    </row>
    <row r="15365" spans="1:2" x14ac:dyDescent="0.25">
      <c r="A15365" s="2">
        <v>15360</v>
      </c>
      <c r="B15365" s="11" t="str">
        <f>"00717905"</f>
        <v>00717905</v>
      </c>
    </row>
    <row r="15366" spans="1:2" x14ac:dyDescent="0.25">
      <c r="A15366" s="2">
        <v>15361</v>
      </c>
      <c r="B15366" s="11" t="str">
        <f>"00718030"</f>
        <v>00718030</v>
      </c>
    </row>
    <row r="15367" spans="1:2" x14ac:dyDescent="0.25">
      <c r="A15367" s="2">
        <v>15362</v>
      </c>
      <c r="B15367" s="11" t="str">
        <f>"00718052"</f>
        <v>00718052</v>
      </c>
    </row>
    <row r="15368" spans="1:2" x14ac:dyDescent="0.25">
      <c r="A15368" s="2">
        <v>15363</v>
      </c>
      <c r="B15368" s="11" t="str">
        <f>"00718057"</f>
        <v>00718057</v>
      </c>
    </row>
    <row r="15369" spans="1:2" x14ac:dyDescent="0.25">
      <c r="A15369" s="2">
        <v>15364</v>
      </c>
      <c r="B15369" s="11" t="str">
        <f>"00718061"</f>
        <v>00718061</v>
      </c>
    </row>
    <row r="15370" spans="1:2" x14ac:dyDescent="0.25">
      <c r="A15370" s="2">
        <v>15365</v>
      </c>
      <c r="B15370" s="11" t="str">
        <f>"00718112"</f>
        <v>00718112</v>
      </c>
    </row>
    <row r="15371" spans="1:2" x14ac:dyDescent="0.25">
      <c r="A15371" s="2">
        <v>15366</v>
      </c>
      <c r="B15371" s="11" t="str">
        <f>"00718212"</f>
        <v>00718212</v>
      </c>
    </row>
    <row r="15372" spans="1:2" x14ac:dyDescent="0.25">
      <c r="A15372" s="2">
        <v>15367</v>
      </c>
      <c r="B15372" s="11" t="str">
        <f>"00718243"</f>
        <v>00718243</v>
      </c>
    </row>
    <row r="15373" spans="1:2" x14ac:dyDescent="0.25">
      <c r="A15373" s="2">
        <v>15368</v>
      </c>
      <c r="B15373" s="11" t="str">
        <f>"00718280"</f>
        <v>00718280</v>
      </c>
    </row>
    <row r="15374" spans="1:2" x14ac:dyDescent="0.25">
      <c r="A15374" s="2">
        <v>15369</v>
      </c>
      <c r="B15374" s="11" t="str">
        <f>"00718340"</f>
        <v>00718340</v>
      </c>
    </row>
    <row r="15375" spans="1:2" x14ac:dyDescent="0.25">
      <c r="A15375" s="2">
        <v>15370</v>
      </c>
      <c r="B15375" s="11" t="str">
        <f>"00718343"</f>
        <v>00718343</v>
      </c>
    </row>
    <row r="15376" spans="1:2" x14ac:dyDescent="0.25">
      <c r="A15376" s="2">
        <v>15371</v>
      </c>
      <c r="B15376" s="11" t="str">
        <f>"00718344"</f>
        <v>00718344</v>
      </c>
    </row>
    <row r="15377" spans="1:2" x14ac:dyDescent="0.25">
      <c r="A15377" s="2">
        <v>15372</v>
      </c>
      <c r="B15377" s="11" t="str">
        <f>"00718345"</f>
        <v>00718345</v>
      </c>
    </row>
    <row r="15378" spans="1:2" x14ac:dyDescent="0.25">
      <c r="A15378" s="2">
        <v>15373</v>
      </c>
      <c r="B15378" s="11" t="str">
        <f>"00718475"</f>
        <v>00718475</v>
      </c>
    </row>
    <row r="15379" spans="1:2" x14ac:dyDescent="0.25">
      <c r="A15379" s="2">
        <v>15374</v>
      </c>
      <c r="B15379" s="11" t="str">
        <f>"00718479"</f>
        <v>00718479</v>
      </c>
    </row>
    <row r="15380" spans="1:2" x14ac:dyDescent="0.25">
      <c r="A15380" s="2">
        <v>15375</v>
      </c>
      <c r="B15380" s="11" t="str">
        <f>"00718529"</f>
        <v>00718529</v>
      </c>
    </row>
    <row r="15381" spans="1:2" x14ac:dyDescent="0.25">
      <c r="A15381" s="2">
        <v>15376</v>
      </c>
      <c r="B15381" s="11" t="str">
        <f>"00718560"</f>
        <v>00718560</v>
      </c>
    </row>
    <row r="15382" spans="1:2" x14ac:dyDescent="0.25">
      <c r="A15382" s="2">
        <v>15377</v>
      </c>
      <c r="B15382" s="11" t="str">
        <f>"00718663"</f>
        <v>00718663</v>
      </c>
    </row>
    <row r="15383" spans="1:2" x14ac:dyDescent="0.25">
      <c r="A15383" s="2">
        <v>15378</v>
      </c>
      <c r="B15383" s="11" t="str">
        <f>"00718701"</f>
        <v>00718701</v>
      </c>
    </row>
    <row r="15384" spans="1:2" x14ac:dyDescent="0.25">
      <c r="A15384" s="2">
        <v>15379</v>
      </c>
      <c r="B15384" s="11" t="str">
        <f>"00718749"</f>
        <v>00718749</v>
      </c>
    </row>
    <row r="15385" spans="1:2" x14ac:dyDescent="0.25">
      <c r="A15385" s="2">
        <v>15380</v>
      </c>
      <c r="B15385" s="11" t="str">
        <f>"00718767"</f>
        <v>00718767</v>
      </c>
    </row>
    <row r="15386" spans="1:2" x14ac:dyDescent="0.25">
      <c r="A15386" s="2">
        <v>15381</v>
      </c>
      <c r="B15386" s="11" t="str">
        <f>"00718805"</f>
        <v>00718805</v>
      </c>
    </row>
    <row r="15387" spans="1:2" x14ac:dyDescent="0.25">
      <c r="A15387" s="2">
        <v>15382</v>
      </c>
      <c r="B15387" s="11" t="str">
        <f>"00718822"</f>
        <v>00718822</v>
      </c>
    </row>
    <row r="15388" spans="1:2" x14ac:dyDescent="0.25">
      <c r="A15388" s="2">
        <v>15383</v>
      </c>
      <c r="B15388" s="11" t="str">
        <f>"00718830"</f>
        <v>00718830</v>
      </c>
    </row>
    <row r="15389" spans="1:2" x14ac:dyDescent="0.25">
      <c r="A15389" s="2">
        <v>15384</v>
      </c>
      <c r="B15389" s="11" t="str">
        <f>"00718875"</f>
        <v>00718875</v>
      </c>
    </row>
    <row r="15390" spans="1:2" x14ac:dyDescent="0.25">
      <c r="A15390" s="2">
        <v>15385</v>
      </c>
      <c r="B15390" s="11" t="str">
        <f>"00718891"</f>
        <v>00718891</v>
      </c>
    </row>
    <row r="15391" spans="1:2" x14ac:dyDescent="0.25">
      <c r="A15391" s="2">
        <v>15386</v>
      </c>
      <c r="B15391" s="11" t="str">
        <f>"00718937"</f>
        <v>00718937</v>
      </c>
    </row>
    <row r="15392" spans="1:2" x14ac:dyDescent="0.25">
      <c r="A15392" s="2">
        <v>15387</v>
      </c>
      <c r="B15392" s="11" t="str">
        <f>"00718944"</f>
        <v>00718944</v>
      </c>
    </row>
    <row r="15393" spans="1:2" x14ac:dyDescent="0.25">
      <c r="A15393" s="2">
        <v>15388</v>
      </c>
      <c r="B15393" s="11" t="str">
        <f>"00718976"</f>
        <v>00718976</v>
      </c>
    </row>
    <row r="15394" spans="1:2" x14ac:dyDescent="0.25">
      <c r="A15394" s="2">
        <v>15389</v>
      </c>
      <c r="B15394" s="11" t="str">
        <f>"00718980"</f>
        <v>00718980</v>
      </c>
    </row>
    <row r="15395" spans="1:2" x14ac:dyDescent="0.25">
      <c r="A15395" s="2">
        <v>15390</v>
      </c>
      <c r="B15395" s="11" t="str">
        <f>"00719001"</f>
        <v>00719001</v>
      </c>
    </row>
    <row r="15396" spans="1:2" x14ac:dyDescent="0.25">
      <c r="A15396" s="2">
        <v>15391</v>
      </c>
      <c r="B15396" s="11" t="str">
        <f>"00719008"</f>
        <v>00719008</v>
      </c>
    </row>
    <row r="15397" spans="1:2" x14ac:dyDescent="0.25">
      <c r="A15397" s="2">
        <v>15392</v>
      </c>
      <c r="B15397" s="11" t="str">
        <f>"00719022"</f>
        <v>00719022</v>
      </c>
    </row>
    <row r="15398" spans="1:2" x14ac:dyDescent="0.25">
      <c r="A15398" s="2">
        <v>15393</v>
      </c>
      <c r="B15398" s="11" t="str">
        <f>"00719067"</f>
        <v>00719067</v>
      </c>
    </row>
    <row r="15399" spans="1:2" x14ac:dyDescent="0.25">
      <c r="A15399" s="2">
        <v>15394</v>
      </c>
      <c r="B15399" s="11" t="str">
        <f>"00719181"</f>
        <v>00719181</v>
      </c>
    </row>
    <row r="15400" spans="1:2" x14ac:dyDescent="0.25">
      <c r="A15400" s="2">
        <v>15395</v>
      </c>
      <c r="B15400" s="11" t="str">
        <f>"00719200"</f>
        <v>00719200</v>
      </c>
    </row>
    <row r="15401" spans="1:2" x14ac:dyDescent="0.25">
      <c r="A15401" s="2">
        <v>15396</v>
      </c>
      <c r="B15401" s="11" t="str">
        <f>"00719208"</f>
        <v>00719208</v>
      </c>
    </row>
    <row r="15402" spans="1:2" x14ac:dyDescent="0.25">
      <c r="A15402" s="2">
        <v>15397</v>
      </c>
      <c r="B15402" s="11" t="str">
        <f>"00719221"</f>
        <v>00719221</v>
      </c>
    </row>
    <row r="15403" spans="1:2" x14ac:dyDescent="0.25">
      <c r="A15403" s="2">
        <v>15398</v>
      </c>
      <c r="B15403" s="11" t="str">
        <f>"00719354"</f>
        <v>00719354</v>
      </c>
    </row>
    <row r="15404" spans="1:2" x14ac:dyDescent="0.25">
      <c r="A15404" s="2">
        <v>15399</v>
      </c>
      <c r="B15404" s="11" t="str">
        <f>"00719385"</f>
        <v>00719385</v>
      </c>
    </row>
    <row r="15405" spans="1:2" x14ac:dyDescent="0.25">
      <c r="A15405" s="2">
        <v>15400</v>
      </c>
      <c r="B15405" s="11" t="str">
        <f>"00719460"</f>
        <v>00719460</v>
      </c>
    </row>
    <row r="15406" spans="1:2" x14ac:dyDescent="0.25">
      <c r="A15406" s="2">
        <v>15401</v>
      </c>
      <c r="B15406" s="11" t="str">
        <f>"00719567"</f>
        <v>00719567</v>
      </c>
    </row>
    <row r="15407" spans="1:2" x14ac:dyDescent="0.25">
      <c r="A15407" s="2">
        <v>15402</v>
      </c>
      <c r="B15407" s="11" t="str">
        <f>"00719736"</f>
        <v>00719736</v>
      </c>
    </row>
    <row r="15408" spans="1:2" x14ac:dyDescent="0.25">
      <c r="A15408" s="2">
        <v>15403</v>
      </c>
      <c r="B15408" s="11" t="str">
        <f>"00719749"</f>
        <v>00719749</v>
      </c>
    </row>
    <row r="15409" spans="1:2" x14ac:dyDescent="0.25">
      <c r="A15409" s="2">
        <v>15404</v>
      </c>
      <c r="B15409" s="11" t="str">
        <f>"00719819"</f>
        <v>00719819</v>
      </c>
    </row>
    <row r="15410" spans="1:2" x14ac:dyDescent="0.25">
      <c r="A15410" s="2">
        <v>15405</v>
      </c>
      <c r="B15410" s="11" t="str">
        <f>"00719858"</f>
        <v>00719858</v>
      </c>
    </row>
    <row r="15411" spans="1:2" x14ac:dyDescent="0.25">
      <c r="A15411" s="2">
        <v>15406</v>
      </c>
      <c r="B15411" s="11" t="str">
        <f>"00719881"</f>
        <v>00719881</v>
      </c>
    </row>
    <row r="15412" spans="1:2" x14ac:dyDescent="0.25">
      <c r="A15412" s="2">
        <v>15407</v>
      </c>
      <c r="B15412" s="11" t="str">
        <f>"00719974"</f>
        <v>00719974</v>
      </c>
    </row>
    <row r="15413" spans="1:2" x14ac:dyDescent="0.25">
      <c r="A15413" s="2">
        <v>15408</v>
      </c>
      <c r="B15413" s="11" t="str">
        <f>"00719979"</f>
        <v>00719979</v>
      </c>
    </row>
    <row r="15414" spans="1:2" x14ac:dyDescent="0.25">
      <c r="A15414" s="2">
        <v>15409</v>
      </c>
      <c r="B15414" s="11" t="str">
        <f>"00720104"</f>
        <v>00720104</v>
      </c>
    </row>
    <row r="15415" spans="1:2" x14ac:dyDescent="0.25">
      <c r="A15415" s="2">
        <v>15410</v>
      </c>
      <c r="B15415" s="11" t="str">
        <f>"00720127"</f>
        <v>00720127</v>
      </c>
    </row>
    <row r="15416" spans="1:2" x14ac:dyDescent="0.25">
      <c r="A15416" s="2">
        <v>15411</v>
      </c>
      <c r="B15416" s="11" t="str">
        <f>"00720134"</f>
        <v>00720134</v>
      </c>
    </row>
    <row r="15417" spans="1:2" x14ac:dyDescent="0.25">
      <c r="A15417" s="2">
        <v>15412</v>
      </c>
      <c r="B15417" s="11" t="str">
        <f>"00720138"</f>
        <v>00720138</v>
      </c>
    </row>
    <row r="15418" spans="1:2" x14ac:dyDescent="0.25">
      <c r="A15418" s="2">
        <v>15413</v>
      </c>
      <c r="B15418" s="11" t="str">
        <f>"00720175"</f>
        <v>00720175</v>
      </c>
    </row>
    <row r="15419" spans="1:2" x14ac:dyDescent="0.25">
      <c r="A15419" s="2">
        <v>15414</v>
      </c>
      <c r="B15419" s="11" t="str">
        <f>"00720209"</f>
        <v>00720209</v>
      </c>
    </row>
    <row r="15420" spans="1:2" x14ac:dyDescent="0.25">
      <c r="A15420" s="2">
        <v>15415</v>
      </c>
      <c r="B15420" s="11" t="str">
        <f>"00720224"</f>
        <v>00720224</v>
      </c>
    </row>
    <row r="15421" spans="1:2" x14ac:dyDescent="0.25">
      <c r="A15421" s="2">
        <v>15416</v>
      </c>
      <c r="B15421" s="11" t="str">
        <f>"00720241"</f>
        <v>00720241</v>
      </c>
    </row>
    <row r="15422" spans="1:2" x14ac:dyDescent="0.25">
      <c r="A15422" s="2">
        <v>15417</v>
      </c>
      <c r="B15422" s="11" t="str">
        <f>"00720245"</f>
        <v>00720245</v>
      </c>
    </row>
    <row r="15423" spans="1:2" x14ac:dyDescent="0.25">
      <c r="A15423" s="2">
        <v>15418</v>
      </c>
      <c r="B15423" s="11" t="str">
        <f>"00720279"</f>
        <v>00720279</v>
      </c>
    </row>
    <row r="15424" spans="1:2" x14ac:dyDescent="0.25">
      <c r="A15424" s="2">
        <v>15419</v>
      </c>
      <c r="B15424" s="11" t="str">
        <f>"00720306"</f>
        <v>00720306</v>
      </c>
    </row>
    <row r="15425" spans="1:2" x14ac:dyDescent="0.25">
      <c r="A15425" s="2">
        <v>15420</v>
      </c>
      <c r="B15425" s="11" t="str">
        <f>"00720324"</f>
        <v>00720324</v>
      </c>
    </row>
    <row r="15426" spans="1:2" x14ac:dyDescent="0.25">
      <c r="A15426" s="2">
        <v>15421</v>
      </c>
      <c r="B15426" s="11" t="str">
        <f>"00720378"</f>
        <v>00720378</v>
      </c>
    </row>
    <row r="15427" spans="1:2" x14ac:dyDescent="0.25">
      <c r="A15427" s="2">
        <v>15422</v>
      </c>
      <c r="B15427" s="11" t="str">
        <f>"00720401"</f>
        <v>00720401</v>
      </c>
    </row>
    <row r="15428" spans="1:2" x14ac:dyDescent="0.25">
      <c r="A15428" s="2">
        <v>15423</v>
      </c>
      <c r="B15428" s="11" t="str">
        <f>"00720485"</f>
        <v>00720485</v>
      </c>
    </row>
    <row r="15429" spans="1:2" x14ac:dyDescent="0.25">
      <c r="A15429" s="2">
        <v>15424</v>
      </c>
      <c r="B15429" s="11" t="str">
        <f>"00720508"</f>
        <v>00720508</v>
      </c>
    </row>
    <row r="15430" spans="1:2" x14ac:dyDescent="0.25">
      <c r="A15430" s="2">
        <v>15425</v>
      </c>
      <c r="B15430" s="11" t="str">
        <f>"00720548"</f>
        <v>00720548</v>
      </c>
    </row>
    <row r="15431" spans="1:2" x14ac:dyDescent="0.25">
      <c r="A15431" s="2">
        <v>15426</v>
      </c>
      <c r="B15431" s="11" t="str">
        <f>"00720676"</f>
        <v>00720676</v>
      </c>
    </row>
    <row r="15432" spans="1:2" x14ac:dyDescent="0.25">
      <c r="A15432" s="2">
        <v>15427</v>
      </c>
      <c r="B15432" s="11" t="str">
        <f>"00720742"</f>
        <v>00720742</v>
      </c>
    </row>
    <row r="15433" spans="1:2" x14ac:dyDescent="0.25">
      <c r="A15433" s="2">
        <v>15428</v>
      </c>
      <c r="B15433" s="11" t="str">
        <f>"00720743"</f>
        <v>00720743</v>
      </c>
    </row>
    <row r="15434" spans="1:2" x14ac:dyDescent="0.25">
      <c r="A15434" s="2">
        <v>15429</v>
      </c>
      <c r="B15434" s="11" t="str">
        <f>"00721050"</f>
        <v>00721050</v>
      </c>
    </row>
    <row r="15435" spans="1:2" x14ac:dyDescent="0.25">
      <c r="A15435" s="2">
        <v>15430</v>
      </c>
      <c r="B15435" s="11" t="str">
        <f>"00721123"</f>
        <v>00721123</v>
      </c>
    </row>
    <row r="15436" spans="1:2" x14ac:dyDescent="0.25">
      <c r="A15436" s="2">
        <v>15431</v>
      </c>
      <c r="B15436" s="11" t="str">
        <f>"00721130"</f>
        <v>00721130</v>
      </c>
    </row>
    <row r="15437" spans="1:2" x14ac:dyDescent="0.25">
      <c r="A15437" s="2">
        <v>15432</v>
      </c>
      <c r="B15437" s="11" t="str">
        <f>"00721138"</f>
        <v>00721138</v>
      </c>
    </row>
    <row r="15438" spans="1:2" x14ac:dyDescent="0.25">
      <c r="A15438" s="2">
        <v>15433</v>
      </c>
      <c r="B15438" s="11" t="str">
        <f>"00721155"</f>
        <v>00721155</v>
      </c>
    </row>
    <row r="15439" spans="1:2" x14ac:dyDescent="0.25">
      <c r="A15439" s="2">
        <v>15434</v>
      </c>
      <c r="B15439" s="11" t="str">
        <f>"00721222"</f>
        <v>00721222</v>
      </c>
    </row>
    <row r="15440" spans="1:2" x14ac:dyDescent="0.25">
      <c r="A15440" s="2">
        <v>15435</v>
      </c>
      <c r="B15440" s="11" t="str">
        <f>"00721241"</f>
        <v>00721241</v>
      </c>
    </row>
    <row r="15441" spans="1:2" x14ac:dyDescent="0.25">
      <c r="A15441" s="2">
        <v>15436</v>
      </c>
      <c r="B15441" s="11" t="str">
        <f>"00721247"</f>
        <v>00721247</v>
      </c>
    </row>
    <row r="15442" spans="1:2" x14ac:dyDescent="0.25">
      <c r="A15442" s="2">
        <v>15437</v>
      </c>
      <c r="B15442" s="11" t="str">
        <f>"00721290"</f>
        <v>00721290</v>
      </c>
    </row>
    <row r="15443" spans="1:2" x14ac:dyDescent="0.25">
      <c r="A15443" s="2">
        <v>15438</v>
      </c>
      <c r="B15443" s="11" t="str">
        <f>"00721349"</f>
        <v>00721349</v>
      </c>
    </row>
    <row r="15444" spans="1:2" x14ac:dyDescent="0.25">
      <c r="A15444" s="2">
        <v>15439</v>
      </c>
      <c r="B15444" s="11" t="str">
        <f>"00721372"</f>
        <v>00721372</v>
      </c>
    </row>
    <row r="15445" spans="1:2" x14ac:dyDescent="0.25">
      <c r="A15445" s="2">
        <v>15440</v>
      </c>
      <c r="B15445" s="11" t="str">
        <f>"00721386"</f>
        <v>00721386</v>
      </c>
    </row>
    <row r="15446" spans="1:2" x14ac:dyDescent="0.25">
      <c r="A15446" s="2">
        <v>15441</v>
      </c>
      <c r="B15446" s="11" t="str">
        <f>"00721403"</f>
        <v>00721403</v>
      </c>
    </row>
    <row r="15447" spans="1:2" x14ac:dyDescent="0.25">
      <c r="A15447" s="2">
        <v>15442</v>
      </c>
      <c r="B15447" s="11" t="str">
        <f>"00721436"</f>
        <v>00721436</v>
      </c>
    </row>
    <row r="15448" spans="1:2" x14ac:dyDescent="0.25">
      <c r="A15448" s="2">
        <v>15443</v>
      </c>
      <c r="B15448" s="11" t="str">
        <f>"00721447"</f>
        <v>00721447</v>
      </c>
    </row>
    <row r="15449" spans="1:2" x14ac:dyDescent="0.25">
      <c r="A15449" s="2">
        <v>15444</v>
      </c>
      <c r="B15449" s="11" t="str">
        <f>"00721564"</f>
        <v>00721564</v>
      </c>
    </row>
    <row r="15450" spans="1:2" x14ac:dyDescent="0.25">
      <c r="A15450" s="2">
        <v>15445</v>
      </c>
      <c r="B15450" s="11" t="str">
        <f>"00721652"</f>
        <v>00721652</v>
      </c>
    </row>
    <row r="15451" spans="1:2" x14ac:dyDescent="0.25">
      <c r="A15451" s="2">
        <v>15446</v>
      </c>
      <c r="B15451" s="11" t="str">
        <f>"00721678"</f>
        <v>00721678</v>
      </c>
    </row>
    <row r="15452" spans="1:2" x14ac:dyDescent="0.25">
      <c r="A15452" s="2">
        <v>15447</v>
      </c>
      <c r="B15452" s="11" t="str">
        <f>"00721688"</f>
        <v>00721688</v>
      </c>
    </row>
    <row r="15453" spans="1:2" x14ac:dyDescent="0.25">
      <c r="A15453" s="2">
        <v>15448</v>
      </c>
      <c r="B15453" s="11" t="str">
        <f>"00721727"</f>
        <v>00721727</v>
      </c>
    </row>
    <row r="15454" spans="1:2" x14ac:dyDescent="0.25">
      <c r="A15454" s="2">
        <v>15449</v>
      </c>
      <c r="B15454" s="11" t="str">
        <f>"00721865"</f>
        <v>00721865</v>
      </c>
    </row>
    <row r="15455" spans="1:2" x14ac:dyDescent="0.25">
      <c r="A15455" s="2">
        <v>15450</v>
      </c>
      <c r="B15455" s="11" t="str">
        <f>"00721902"</f>
        <v>00721902</v>
      </c>
    </row>
    <row r="15456" spans="1:2" x14ac:dyDescent="0.25">
      <c r="A15456" s="2">
        <v>15451</v>
      </c>
      <c r="B15456" s="11" t="str">
        <f>"00721981"</f>
        <v>00721981</v>
      </c>
    </row>
    <row r="15457" spans="1:2" x14ac:dyDescent="0.25">
      <c r="A15457" s="2">
        <v>15452</v>
      </c>
      <c r="B15457" s="11" t="str">
        <f>"00721987"</f>
        <v>00721987</v>
      </c>
    </row>
    <row r="15458" spans="1:2" x14ac:dyDescent="0.25">
      <c r="A15458" s="2">
        <v>15453</v>
      </c>
      <c r="B15458" s="11" t="str">
        <f>"00722011"</f>
        <v>00722011</v>
      </c>
    </row>
    <row r="15459" spans="1:2" x14ac:dyDescent="0.25">
      <c r="A15459" s="2">
        <v>15454</v>
      </c>
      <c r="B15459" s="11" t="str">
        <f>"00722012"</f>
        <v>00722012</v>
      </c>
    </row>
    <row r="15460" spans="1:2" x14ac:dyDescent="0.25">
      <c r="A15460" s="2">
        <v>15455</v>
      </c>
      <c r="B15460" s="11" t="str">
        <f>"00722042"</f>
        <v>00722042</v>
      </c>
    </row>
    <row r="15461" spans="1:2" x14ac:dyDescent="0.25">
      <c r="A15461" s="2">
        <v>15456</v>
      </c>
      <c r="B15461" s="11" t="str">
        <f>"00722093"</f>
        <v>00722093</v>
      </c>
    </row>
    <row r="15462" spans="1:2" x14ac:dyDescent="0.25">
      <c r="A15462" s="2">
        <v>15457</v>
      </c>
      <c r="B15462" s="11" t="str">
        <f>"00722199"</f>
        <v>00722199</v>
      </c>
    </row>
    <row r="15463" spans="1:2" x14ac:dyDescent="0.25">
      <c r="A15463" s="2">
        <v>15458</v>
      </c>
      <c r="B15463" s="11" t="str">
        <f>"00722363"</f>
        <v>00722363</v>
      </c>
    </row>
    <row r="15464" spans="1:2" x14ac:dyDescent="0.25">
      <c r="A15464" s="2">
        <v>15459</v>
      </c>
      <c r="B15464" s="11" t="str">
        <f>"00722394"</f>
        <v>00722394</v>
      </c>
    </row>
    <row r="15465" spans="1:2" x14ac:dyDescent="0.25">
      <c r="A15465" s="2">
        <v>15460</v>
      </c>
      <c r="B15465" s="11" t="str">
        <f>"00722492"</f>
        <v>00722492</v>
      </c>
    </row>
    <row r="15466" spans="1:2" x14ac:dyDescent="0.25">
      <c r="A15466" s="2">
        <v>15461</v>
      </c>
      <c r="B15466" s="11" t="str">
        <f>"00722504"</f>
        <v>00722504</v>
      </c>
    </row>
    <row r="15467" spans="1:2" x14ac:dyDescent="0.25">
      <c r="A15467" s="2">
        <v>15462</v>
      </c>
      <c r="B15467" s="11" t="str">
        <f>"00722519"</f>
        <v>00722519</v>
      </c>
    </row>
    <row r="15468" spans="1:2" x14ac:dyDescent="0.25">
      <c r="A15468" s="2">
        <v>15463</v>
      </c>
      <c r="B15468" s="11" t="str">
        <f>"00722562"</f>
        <v>00722562</v>
      </c>
    </row>
    <row r="15469" spans="1:2" x14ac:dyDescent="0.25">
      <c r="A15469" s="2">
        <v>15464</v>
      </c>
      <c r="B15469" s="11" t="str">
        <f>"00722639"</f>
        <v>00722639</v>
      </c>
    </row>
    <row r="15470" spans="1:2" x14ac:dyDescent="0.25">
      <c r="A15470" s="2">
        <v>15465</v>
      </c>
      <c r="B15470" s="11" t="str">
        <f>"00722650"</f>
        <v>00722650</v>
      </c>
    </row>
    <row r="15471" spans="1:2" x14ac:dyDescent="0.25">
      <c r="A15471" s="2">
        <v>15466</v>
      </c>
      <c r="B15471" s="11" t="str">
        <f>"00722682"</f>
        <v>00722682</v>
      </c>
    </row>
    <row r="15472" spans="1:2" x14ac:dyDescent="0.25">
      <c r="A15472" s="2">
        <v>15467</v>
      </c>
      <c r="B15472" s="11" t="str">
        <f>"00722717"</f>
        <v>00722717</v>
      </c>
    </row>
    <row r="15473" spans="1:2" x14ac:dyDescent="0.25">
      <c r="A15473" s="2">
        <v>15468</v>
      </c>
      <c r="B15473" s="11" t="str">
        <f>"00722788"</f>
        <v>00722788</v>
      </c>
    </row>
    <row r="15474" spans="1:2" x14ac:dyDescent="0.25">
      <c r="A15474" s="2">
        <v>15469</v>
      </c>
      <c r="B15474" s="11" t="str">
        <f>"00722802"</f>
        <v>00722802</v>
      </c>
    </row>
    <row r="15475" spans="1:2" x14ac:dyDescent="0.25">
      <c r="A15475" s="2">
        <v>15470</v>
      </c>
      <c r="B15475" s="11" t="str">
        <f>"00722840"</f>
        <v>00722840</v>
      </c>
    </row>
    <row r="15476" spans="1:2" x14ac:dyDescent="0.25">
      <c r="A15476" s="2">
        <v>15471</v>
      </c>
      <c r="B15476" s="11" t="str">
        <f>"00722841"</f>
        <v>00722841</v>
      </c>
    </row>
    <row r="15477" spans="1:2" x14ac:dyDescent="0.25">
      <c r="A15477" s="2">
        <v>15472</v>
      </c>
      <c r="B15477" s="11" t="str">
        <f>"00722862"</f>
        <v>00722862</v>
      </c>
    </row>
    <row r="15478" spans="1:2" x14ac:dyDescent="0.25">
      <c r="A15478" s="2">
        <v>15473</v>
      </c>
      <c r="B15478" s="11" t="str">
        <f>"00722901"</f>
        <v>00722901</v>
      </c>
    </row>
    <row r="15479" spans="1:2" x14ac:dyDescent="0.25">
      <c r="A15479" s="2">
        <v>15474</v>
      </c>
      <c r="B15479" s="11" t="str">
        <f>"00723003"</f>
        <v>00723003</v>
      </c>
    </row>
    <row r="15480" spans="1:2" x14ac:dyDescent="0.25">
      <c r="A15480" s="2">
        <v>15475</v>
      </c>
      <c r="B15480" s="11" t="str">
        <f>"00723058"</f>
        <v>00723058</v>
      </c>
    </row>
    <row r="15481" spans="1:2" x14ac:dyDescent="0.25">
      <c r="A15481" s="2">
        <v>15476</v>
      </c>
      <c r="B15481" s="11" t="str">
        <f>"00723065"</f>
        <v>00723065</v>
      </c>
    </row>
    <row r="15482" spans="1:2" x14ac:dyDescent="0.25">
      <c r="A15482" s="2">
        <v>15477</v>
      </c>
      <c r="B15482" s="11" t="str">
        <f>"00723067"</f>
        <v>00723067</v>
      </c>
    </row>
    <row r="15483" spans="1:2" x14ac:dyDescent="0.25">
      <c r="A15483" s="2">
        <v>15478</v>
      </c>
      <c r="B15483" s="11" t="str">
        <f>"00723182"</f>
        <v>00723182</v>
      </c>
    </row>
    <row r="15484" spans="1:2" x14ac:dyDescent="0.25">
      <c r="A15484" s="2">
        <v>15479</v>
      </c>
      <c r="B15484" s="11" t="str">
        <f>"00723230"</f>
        <v>00723230</v>
      </c>
    </row>
    <row r="15485" spans="1:2" x14ac:dyDescent="0.25">
      <c r="A15485" s="2">
        <v>15480</v>
      </c>
      <c r="B15485" s="11" t="str">
        <f>"00723281"</f>
        <v>00723281</v>
      </c>
    </row>
    <row r="15486" spans="1:2" x14ac:dyDescent="0.25">
      <c r="A15486" s="2">
        <v>15481</v>
      </c>
      <c r="B15486" s="11" t="str">
        <f>"00723291"</f>
        <v>00723291</v>
      </c>
    </row>
    <row r="15487" spans="1:2" x14ac:dyDescent="0.25">
      <c r="A15487" s="2">
        <v>15482</v>
      </c>
      <c r="B15487" s="11" t="str">
        <f>"00723296"</f>
        <v>00723296</v>
      </c>
    </row>
    <row r="15488" spans="1:2" x14ac:dyDescent="0.25">
      <c r="A15488" s="2">
        <v>15483</v>
      </c>
      <c r="B15488" s="11" t="str">
        <f>"00723301"</f>
        <v>00723301</v>
      </c>
    </row>
    <row r="15489" spans="1:2" x14ac:dyDescent="0.25">
      <c r="A15489" s="2">
        <v>15484</v>
      </c>
      <c r="B15489" s="11" t="str">
        <f>"00723327"</f>
        <v>00723327</v>
      </c>
    </row>
    <row r="15490" spans="1:2" x14ac:dyDescent="0.25">
      <c r="A15490" s="2">
        <v>15485</v>
      </c>
      <c r="B15490" s="11" t="str">
        <f>"00723379"</f>
        <v>00723379</v>
      </c>
    </row>
    <row r="15491" spans="1:2" x14ac:dyDescent="0.25">
      <c r="A15491" s="2">
        <v>15486</v>
      </c>
      <c r="B15491" s="11" t="str">
        <f>"00723381"</f>
        <v>00723381</v>
      </c>
    </row>
    <row r="15492" spans="1:2" x14ac:dyDescent="0.25">
      <c r="A15492" s="2">
        <v>15487</v>
      </c>
      <c r="B15492" s="11" t="str">
        <f>"00723442"</f>
        <v>00723442</v>
      </c>
    </row>
    <row r="15493" spans="1:2" x14ac:dyDescent="0.25">
      <c r="A15493" s="2">
        <v>15488</v>
      </c>
      <c r="B15493" s="11" t="str">
        <f>"00723504"</f>
        <v>00723504</v>
      </c>
    </row>
    <row r="15494" spans="1:2" x14ac:dyDescent="0.25">
      <c r="A15494" s="2">
        <v>15489</v>
      </c>
      <c r="B15494" s="11" t="str">
        <f>"00723528"</f>
        <v>00723528</v>
      </c>
    </row>
    <row r="15495" spans="1:2" x14ac:dyDescent="0.25">
      <c r="A15495" s="2">
        <v>15490</v>
      </c>
      <c r="B15495" s="11" t="str">
        <f>"00723566"</f>
        <v>00723566</v>
      </c>
    </row>
    <row r="15496" spans="1:2" x14ac:dyDescent="0.25">
      <c r="A15496" s="2">
        <v>15491</v>
      </c>
      <c r="B15496" s="11" t="str">
        <f>"00723584"</f>
        <v>00723584</v>
      </c>
    </row>
    <row r="15497" spans="1:2" x14ac:dyDescent="0.25">
      <c r="A15497" s="2">
        <v>15492</v>
      </c>
      <c r="B15497" s="11" t="str">
        <f>"00723587"</f>
        <v>00723587</v>
      </c>
    </row>
    <row r="15498" spans="1:2" x14ac:dyDescent="0.25">
      <c r="A15498" s="2">
        <v>15493</v>
      </c>
      <c r="B15498" s="11" t="str">
        <f>"00723602"</f>
        <v>00723602</v>
      </c>
    </row>
    <row r="15499" spans="1:2" x14ac:dyDescent="0.25">
      <c r="A15499" s="2">
        <v>15494</v>
      </c>
      <c r="B15499" s="11" t="str">
        <f>"00723683"</f>
        <v>00723683</v>
      </c>
    </row>
    <row r="15500" spans="1:2" x14ac:dyDescent="0.25">
      <c r="A15500" s="2">
        <v>15495</v>
      </c>
      <c r="B15500" s="11" t="str">
        <f>"00723750"</f>
        <v>00723750</v>
      </c>
    </row>
    <row r="15501" spans="1:2" x14ac:dyDescent="0.25">
      <c r="A15501" s="2">
        <v>15496</v>
      </c>
      <c r="B15501" s="11" t="str">
        <f>"00723760"</f>
        <v>00723760</v>
      </c>
    </row>
    <row r="15502" spans="1:2" x14ac:dyDescent="0.25">
      <c r="A15502" s="2">
        <v>15497</v>
      </c>
      <c r="B15502" s="11" t="str">
        <f>"00723779"</f>
        <v>00723779</v>
      </c>
    </row>
    <row r="15503" spans="1:2" x14ac:dyDescent="0.25">
      <c r="A15503" s="2">
        <v>15498</v>
      </c>
      <c r="B15503" s="11" t="str">
        <f>"00723848"</f>
        <v>00723848</v>
      </c>
    </row>
    <row r="15504" spans="1:2" x14ac:dyDescent="0.25">
      <c r="A15504" s="2">
        <v>15499</v>
      </c>
      <c r="B15504" s="11" t="str">
        <f>"00723853"</f>
        <v>00723853</v>
      </c>
    </row>
    <row r="15505" spans="1:2" x14ac:dyDescent="0.25">
      <c r="A15505" s="2">
        <v>15500</v>
      </c>
      <c r="B15505" s="11" t="str">
        <f>"00723865"</f>
        <v>00723865</v>
      </c>
    </row>
    <row r="15506" spans="1:2" x14ac:dyDescent="0.25">
      <c r="A15506" s="2">
        <v>15501</v>
      </c>
      <c r="B15506" s="11" t="str">
        <f>"00723899"</f>
        <v>00723899</v>
      </c>
    </row>
    <row r="15507" spans="1:2" x14ac:dyDescent="0.25">
      <c r="A15507" s="2">
        <v>15502</v>
      </c>
      <c r="B15507" s="11" t="str">
        <f>"00723904"</f>
        <v>00723904</v>
      </c>
    </row>
    <row r="15508" spans="1:2" x14ac:dyDescent="0.25">
      <c r="A15508" s="2">
        <v>15503</v>
      </c>
      <c r="B15508" s="11" t="str">
        <f>"00723939"</f>
        <v>00723939</v>
      </c>
    </row>
    <row r="15509" spans="1:2" x14ac:dyDescent="0.25">
      <c r="A15509" s="2">
        <v>15504</v>
      </c>
      <c r="B15509" s="11" t="str">
        <f>"00723971"</f>
        <v>00723971</v>
      </c>
    </row>
    <row r="15510" spans="1:2" x14ac:dyDescent="0.25">
      <c r="A15510" s="2">
        <v>15505</v>
      </c>
      <c r="B15510" s="11" t="str">
        <f>"00723981"</f>
        <v>00723981</v>
      </c>
    </row>
    <row r="15511" spans="1:2" x14ac:dyDescent="0.25">
      <c r="A15511" s="2">
        <v>15506</v>
      </c>
      <c r="B15511" s="11" t="str">
        <f>"00723995"</f>
        <v>00723995</v>
      </c>
    </row>
    <row r="15512" spans="1:2" x14ac:dyDescent="0.25">
      <c r="A15512" s="2">
        <v>15507</v>
      </c>
      <c r="B15512" s="11" t="str">
        <f>"00724048"</f>
        <v>00724048</v>
      </c>
    </row>
    <row r="15513" spans="1:2" x14ac:dyDescent="0.25">
      <c r="A15513" s="2">
        <v>15508</v>
      </c>
      <c r="B15513" s="11" t="str">
        <f>"00724090"</f>
        <v>00724090</v>
      </c>
    </row>
    <row r="15514" spans="1:2" x14ac:dyDescent="0.25">
      <c r="A15514" s="2">
        <v>15509</v>
      </c>
      <c r="B15514" s="11" t="str">
        <f>"00724100"</f>
        <v>00724100</v>
      </c>
    </row>
    <row r="15515" spans="1:2" x14ac:dyDescent="0.25">
      <c r="A15515" s="2">
        <v>15510</v>
      </c>
      <c r="B15515" s="11" t="str">
        <f>"00724155"</f>
        <v>00724155</v>
      </c>
    </row>
    <row r="15516" spans="1:2" x14ac:dyDescent="0.25">
      <c r="A15516" s="2">
        <v>15511</v>
      </c>
      <c r="B15516" s="11" t="str">
        <f>"00724182"</f>
        <v>00724182</v>
      </c>
    </row>
    <row r="15517" spans="1:2" x14ac:dyDescent="0.25">
      <c r="A15517" s="2">
        <v>15512</v>
      </c>
      <c r="B15517" s="11" t="str">
        <f>"00724210"</f>
        <v>00724210</v>
      </c>
    </row>
    <row r="15518" spans="1:2" x14ac:dyDescent="0.25">
      <c r="A15518" s="2">
        <v>15513</v>
      </c>
      <c r="B15518" s="11" t="str">
        <f>"00724302"</f>
        <v>00724302</v>
      </c>
    </row>
    <row r="15519" spans="1:2" x14ac:dyDescent="0.25">
      <c r="A15519" s="2">
        <v>15514</v>
      </c>
      <c r="B15519" s="11" t="str">
        <f>"00724317"</f>
        <v>00724317</v>
      </c>
    </row>
    <row r="15520" spans="1:2" x14ac:dyDescent="0.25">
      <c r="A15520" s="2">
        <v>15515</v>
      </c>
      <c r="B15520" s="11" t="str">
        <f>"00724323"</f>
        <v>00724323</v>
      </c>
    </row>
    <row r="15521" spans="1:2" x14ac:dyDescent="0.25">
      <c r="A15521" s="2">
        <v>15516</v>
      </c>
      <c r="B15521" s="11" t="str">
        <f>"00724346"</f>
        <v>00724346</v>
      </c>
    </row>
    <row r="15522" spans="1:2" x14ac:dyDescent="0.25">
      <c r="A15522" s="2">
        <v>15517</v>
      </c>
      <c r="B15522" s="11" t="str">
        <f>"00724348"</f>
        <v>00724348</v>
      </c>
    </row>
    <row r="15523" spans="1:2" x14ac:dyDescent="0.25">
      <c r="A15523" s="2">
        <v>15518</v>
      </c>
      <c r="B15523" s="11" t="str">
        <f>"00724359"</f>
        <v>00724359</v>
      </c>
    </row>
    <row r="15524" spans="1:2" x14ac:dyDescent="0.25">
      <c r="A15524" s="2">
        <v>15519</v>
      </c>
      <c r="B15524" s="11" t="str">
        <f>"00724451"</f>
        <v>00724451</v>
      </c>
    </row>
    <row r="15525" spans="1:2" x14ac:dyDescent="0.25">
      <c r="A15525" s="2">
        <v>15520</v>
      </c>
      <c r="B15525" s="11" t="str">
        <f>"00724452"</f>
        <v>00724452</v>
      </c>
    </row>
    <row r="15526" spans="1:2" x14ac:dyDescent="0.25">
      <c r="A15526" s="2">
        <v>15521</v>
      </c>
      <c r="B15526" s="11" t="str">
        <f>"00724641"</f>
        <v>00724641</v>
      </c>
    </row>
    <row r="15527" spans="1:2" x14ac:dyDescent="0.25">
      <c r="A15527" s="2">
        <v>15522</v>
      </c>
      <c r="B15527" s="11" t="str">
        <f>"00724687"</f>
        <v>00724687</v>
      </c>
    </row>
    <row r="15528" spans="1:2" x14ac:dyDescent="0.25">
      <c r="A15528" s="2">
        <v>15523</v>
      </c>
      <c r="B15528" s="11" t="str">
        <f>"00724715"</f>
        <v>00724715</v>
      </c>
    </row>
    <row r="15529" spans="1:2" x14ac:dyDescent="0.25">
      <c r="A15529" s="2">
        <v>15524</v>
      </c>
      <c r="B15529" s="11" t="str">
        <f>"00724784"</f>
        <v>00724784</v>
      </c>
    </row>
    <row r="15530" spans="1:2" x14ac:dyDescent="0.25">
      <c r="A15530" s="2">
        <v>15525</v>
      </c>
      <c r="B15530" s="11" t="str">
        <f>"00724828"</f>
        <v>00724828</v>
      </c>
    </row>
    <row r="15531" spans="1:2" x14ac:dyDescent="0.25">
      <c r="A15531" s="2">
        <v>15526</v>
      </c>
      <c r="B15531" s="11" t="str">
        <f>"00724858"</f>
        <v>00724858</v>
      </c>
    </row>
    <row r="15532" spans="1:2" x14ac:dyDescent="0.25">
      <c r="A15532" s="2">
        <v>15527</v>
      </c>
      <c r="B15532" s="11" t="str">
        <f>"00724886"</f>
        <v>00724886</v>
      </c>
    </row>
    <row r="15533" spans="1:2" x14ac:dyDescent="0.25">
      <c r="A15533" s="2">
        <v>15528</v>
      </c>
      <c r="B15533" s="11" t="str">
        <f>"00724894"</f>
        <v>00724894</v>
      </c>
    </row>
    <row r="15534" spans="1:2" x14ac:dyDescent="0.25">
      <c r="A15534" s="2">
        <v>15529</v>
      </c>
      <c r="B15534" s="11" t="str">
        <f>"00724979"</f>
        <v>00724979</v>
      </c>
    </row>
    <row r="15535" spans="1:2" x14ac:dyDescent="0.25">
      <c r="A15535" s="2">
        <v>15530</v>
      </c>
      <c r="B15535" s="11" t="str">
        <f>"00725056"</f>
        <v>00725056</v>
      </c>
    </row>
    <row r="15536" spans="1:2" x14ac:dyDescent="0.25">
      <c r="A15536" s="2">
        <v>15531</v>
      </c>
      <c r="B15536" s="11" t="str">
        <f>"00725091"</f>
        <v>00725091</v>
      </c>
    </row>
    <row r="15537" spans="1:2" x14ac:dyDescent="0.25">
      <c r="A15537" s="2">
        <v>15532</v>
      </c>
      <c r="B15537" s="11" t="str">
        <f>"00725218"</f>
        <v>00725218</v>
      </c>
    </row>
    <row r="15538" spans="1:2" x14ac:dyDescent="0.25">
      <c r="A15538" s="2">
        <v>15533</v>
      </c>
      <c r="B15538" s="11" t="str">
        <f>"00725305"</f>
        <v>00725305</v>
      </c>
    </row>
    <row r="15539" spans="1:2" x14ac:dyDescent="0.25">
      <c r="A15539" s="2">
        <v>15534</v>
      </c>
      <c r="B15539" s="11" t="str">
        <f>"00725364"</f>
        <v>00725364</v>
      </c>
    </row>
    <row r="15540" spans="1:2" x14ac:dyDescent="0.25">
      <c r="A15540" s="2">
        <v>15535</v>
      </c>
      <c r="B15540" s="11" t="str">
        <f>"00725462"</f>
        <v>00725462</v>
      </c>
    </row>
    <row r="15541" spans="1:2" x14ac:dyDescent="0.25">
      <c r="A15541" s="2">
        <v>15536</v>
      </c>
      <c r="B15541" s="11" t="str">
        <f>"00725469"</f>
        <v>00725469</v>
      </c>
    </row>
    <row r="15542" spans="1:2" x14ac:dyDescent="0.25">
      <c r="A15542" s="2">
        <v>15537</v>
      </c>
      <c r="B15542" s="11" t="str">
        <f>"00725471"</f>
        <v>00725471</v>
      </c>
    </row>
    <row r="15543" spans="1:2" x14ac:dyDescent="0.25">
      <c r="A15543" s="2">
        <v>15538</v>
      </c>
      <c r="B15543" s="11" t="str">
        <f>"00725552"</f>
        <v>00725552</v>
      </c>
    </row>
    <row r="15544" spans="1:2" x14ac:dyDescent="0.25">
      <c r="A15544" s="2">
        <v>15539</v>
      </c>
      <c r="B15544" s="11" t="str">
        <f>"00725574"</f>
        <v>00725574</v>
      </c>
    </row>
    <row r="15545" spans="1:2" x14ac:dyDescent="0.25">
      <c r="A15545" s="2">
        <v>15540</v>
      </c>
      <c r="B15545" s="11" t="str">
        <f>"00725643"</f>
        <v>00725643</v>
      </c>
    </row>
    <row r="15546" spans="1:2" x14ac:dyDescent="0.25">
      <c r="A15546" s="2">
        <v>15541</v>
      </c>
      <c r="B15546" s="11" t="str">
        <f>"00725652"</f>
        <v>00725652</v>
      </c>
    </row>
    <row r="15547" spans="1:2" x14ac:dyDescent="0.25">
      <c r="A15547" s="2">
        <v>15542</v>
      </c>
      <c r="B15547" s="11" t="str">
        <f>"00725677"</f>
        <v>00725677</v>
      </c>
    </row>
    <row r="15548" spans="1:2" x14ac:dyDescent="0.25">
      <c r="A15548" s="2">
        <v>15543</v>
      </c>
      <c r="B15548" s="11" t="str">
        <f>"00725723"</f>
        <v>00725723</v>
      </c>
    </row>
    <row r="15549" spans="1:2" x14ac:dyDescent="0.25">
      <c r="A15549" s="2">
        <v>15544</v>
      </c>
      <c r="B15549" s="11" t="str">
        <f>"00725741"</f>
        <v>00725741</v>
      </c>
    </row>
    <row r="15550" spans="1:2" x14ac:dyDescent="0.25">
      <c r="A15550" s="2">
        <v>15545</v>
      </c>
      <c r="B15550" s="11" t="str">
        <f>"00725770"</f>
        <v>00725770</v>
      </c>
    </row>
    <row r="15551" spans="1:2" x14ac:dyDescent="0.25">
      <c r="A15551" s="2">
        <v>15546</v>
      </c>
      <c r="B15551" s="11" t="str">
        <f>"00725779"</f>
        <v>00725779</v>
      </c>
    </row>
    <row r="15552" spans="1:2" x14ac:dyDescent="0.25">
      <c r="A15552" s="2">
        <v>15547</v>
      </c>
      <c r="B15552" s="11" t="str">
        <f>"00725968"</f>
        <v>00725968</v>
      </c>
    </row>
    <row r="15553" spans="1:2" x14ac:dyDescent="0.25">
      <c r="A15553" s="2">
        <v>15548</v>
      </c>
      <c r="B15553" s="11" t="str">
        <f>"00725989"</f>
        <v>00725989</v>
      </c>
    </row>
    <row r="15554" spans="1:2" x14ac:dyDescent="0.25">
      <c r="A15554" s="2">
        <v>15549</v>
      </c>
      <c r="B15554" s="11" t="str">
        <f>"00725998"</f>
        <v>00725998</v>
      </c>
    </row>
    <row r="15555" spans="1:2" x14ac:dyDescent="0.25">
      <c r="A15555" s="2">
        <v>15550</v>
      </c>
      <c r="B15555" s="11" t="str">
        <f>"00726044"</f>
        <v>00726044</v>
      </c>
    </row>
    <row r="15556" spans="1:2" x14ac:dyDescent="0.25">
      <c r="A15556" s="2">
        <v>15551</v>
      </c>
      <c r="B15556" s="11" t="str">
        <f>"00726069"</f>
        <v>00726069</v>
      </c>
    </row>
    <row r="15557" spans="1:2" x14ac:dyDescent="0.25">
      <c r="A15557" s="2">
        <v>15552</v>
      </c>
      <c r="B15557" s="11" t="str">
        <f>"00726111"</f>
        <v>00726111</v>
      </c>
    </row>
    <row r="15558" spans="1:2" x14ac:dyDescent="0.25">
      <c r="A15558" s="2">
        <v>15553</v>
      </c>
      <c r="B15558" s="11" t="str">
        <f>"00726255"</f>
        <v>00726255</v>
      </c>
    </row>
    <row r="15559" spans="1:2" x14ac:dyDescent="0.25">
      <c r="A15559" s="2">
        <v>15554</v>
      </c>
      <c r="B15559" s="11" t="str">
        <f>"00726312"</f>
        <v>00726312</v>
      </c>
    </row>
    <row r="15560" spans="1:2" x14ac:dyDescent="0.25">
      <c r="A15560" s="2">
        <v>15555</v>
      </c>
      <c r="B15560" s="11" t="str">
        <f>"00726323"</f>
        <v>00726323</v>
      </c>
    </row>
    <row r="15561" spans="1:2" x14ac:dyDescent="0.25">
      <c r="A15561" s="2">
        <v>15556</v>
      </c>
      <c r="B15561" s="11" t="str">
        <f>"00726325"</f>
        <v>00726325</v>
      </c>
    </row>
    <row r="15562" spans="1:2" x14ac:dyDescent="0.25">
      <c r="A15562" s="2">
        <v>15557</v>
      </c>
      <c r="B15562" s="11" t="str">
        <f>"00726341"</f>
        <v>00726341</v>
      </c>
    </row>
    <row r="15563" spans="1:2" x14ac:dyDescent="0.25">
      <c r="A15563" s="2">
        <v>15558</v>
      </c>
      <c r="B15563" s="11" t="str">
        <f>"00726350"</f>
        <v>00726350</v>
      </c>
    </row>
    <row r="15564" spans="1:2" x14ac:dyDescent="0.25">
      <c r="A15564" s="2">
        <v>15559</v>
      </c>
      <c r="B15564" s="11" t="str">
        <f>"00726464"</f>
        <v>00726464</v>
      </c>
    </row>
    <row r="15565" spans="1:2" x14ac:dyDescent="0.25">
      <c r="A15565" s="2">
        <v>15560</v>
      </c>
      <c r="B15565" s="11" t="str">
        <f>"00726471"</f>
        <v>00726471</v>
      </c>
    </row>
    <row r="15566" spans="1:2" x14ac:dyDescent="0.25">
      <c r="A15566" s="2">
        <v>15561</v>
      </c>
      <c r="B15566" s="11" t="str">
        <f>"00726477"</f>
        <v>00726477</v>
      </c>
    </row>
    <row r="15567" spans="1:2" x14ac:dyDescent="0.25">
      <c r="A15567" s="2">
        <v>15562</v>
      </c>
      <c r="B15567" s="11" t="str">
        <f>"00726504"</f>
        <v>00726504</v>
      </c>
    </row>
    <row r="15568" spans="1:2" x14ac:dyDescent="0.25">
      <c r="A15568" s="2">
        <v>15563</v>
      </c>
      <c r="B15568" s="11" t="str">
        <f>"00726530"</f>
        <v>00726530</v>
      </c>
    </row>
    <row r="15569" spans="1:2" x14ac:dyDescent="0.25">
      <c r="A15569" s="2">
        <v>15564</v>
      </c>
      <c r="B15569" s="11" t="str">
        <f>"00726541"</f>
        <v>00726541</v>
      </c>
    </row>
    <row r="15570" spans="1:2" x14ac:dyDescent="0.25">
      <c r="A15570" s="2">
        <v>15565</v>
      </c>
      <c r="B15570" s="11" t="str">
        <f>"00726554"</f>
        <v>00726554</v>
      </c>
    </row>
    <row r="15571" spans="1:2" x14ac:dyDescent="0.25">
      <c r="A15571" s="2">
        <v>15566</v>
      </c>
      <c r="B15571" s="11" t="str">
        <f>"00726603"</f>
        <v>00726603</v>
      </c>
    </row>
    <row r="15572" spans="1:2" x14ac:dyDescent="0.25">
      <c r="A15572" s="2">
        <v>15567</v>
      </c>
      <c r="B15572" s="11" t="str">
        <f>"00726608"</f>
        <v>00726608</v>
      </c>
    </row>
    <row r="15573" spans="1:2" x14ac:dyDescent="0.25">
      <c r="A15573" s="2">
        <v>15568</v>
      </c>
      <c r="B15573" s="11" t="str">
        <f>"00726645"</f>
        <v>00726645</v>
      </c>
    </row>
    <row r="15574" spans="1:2" x14ac:dyDescent="0.25">
      <c r="A15574" s="2">
        <v>15569</v>
      </c>
      <c r="B15574" s="11" t="str">
        <f>"00726747"</f>
        <v>00726747</v>
      </c>
    </row>
    <row r="15575" spans="1:2" x14ac:dyDescent="0.25">
      <c r="A15575" s="2">
        <v>15570</v>
      </c>
      <c r="B15575" s="11" t="str">
        <f>"00726804"</f>
        <v>00726804</v>
      </c>
    </row>
    <row r="15576" spans="1:2" x14ac:dyDescent="0.25">
      <c r="A15576" s="2">
        <v>15571</v>
      </c>
      <c r="B15576" s="11" t="str">
        <f>"00726806"</f>
        <v>00726806</v>
      </c>
    </row>
    <row r="15577" spans="1:2" x14ac:dyDescent="0.25">
      <c r="A15577" s="2">
        <v>15572</v>
      </c>
      <c r="B15577" s="11" t="str">
        <f>"00726808"</f>
        <v>00726808</v>
      </c>
    </row>
    <row r="15578" spans="1:2" x14ac:dyDescent="0.25">
      <c r="A15578" s="2">
        <v>15573</v>
      </c>
      <c r="B15578" s="11" t="str">
        <f>"00726811"</f>
        <v>00726811</v>
      </c>
    </row>
    <row r="15579" spans="1:2" x14ac:dyDescent="0.25">
      <c r="A15579" s="2">
        <v>15574</v>
      </c>
      <c r="B15579" s="11" t="str">
        <f>"00726851"</f>
        <v>00726851</v>
      </c>
    </row>
    <row r="15580" spans="1:2" x14ac:dyDescent="0.25">
      <c r="A15580" s="2">
        <v>15575</v>
      </c>
      <c r="B15580" s="11" t="str">
        <f>"00726901"</f>
        <v>00726901</v>
      </c>
    </row>
    <row r="15581" spans="1:2" x14ac:dyDescent="0.25">
      <c r="A15581" s="2">
        <v>15576</v>
      </c>
      <c r="B15581" s="11" t="str">
        <f>"00726903"</f>
        <v>00726903</v>
      </c>
    </row>
    <row r="15582" spans="1:2" x14ac:dyDescent="0.25">
      <c r="A15582" s="2">
        <v>15577</v>
      </c>
      <c r="B15582" s="11" t="str">
        <f>"00726984"</f>
        <v>00726984</v>
      </c>
    </row>
    <row r="15583" spans="1:2" x14ac:dyDescent="0.25">
      <c r="A15583" s="2">
        <v>15578</v>
      </c>
      <c r="B15583" s="11" t="str">
        <f>"00727008"</f>
        <v>00727008</v>
      </c>
    </row>
    <row r="15584" spans="1:2" x14ac:dyDescent="0.25">
      <c r="A15584" s="2">
        <v>15579</v>
      </c>
      <c r="B15584" s="11" t="str">
        <f>"00727084"</f>
        <v>00727084</v>
      </c>
    </row>
    <row r="15585" spans="1:2" x14ac:dyDescent="0.25">
      <c r="A15585" s="2">
        <v>15580</v>
      </c>
      <c r="B15585" s="11" t="str">
        <f>"00727108"</f>
        <v>00727108</v>
      </c>
    </row>
    <row r="15586" spans="1:2" x14ac:dyDescent="0.25">
      <c r="A15586" s="2">
        <v>15581</v>
      </c>
      <c r="B15586" s="11" t="str">
        <f>"00727141"</f>
        <v>00727141</v>
      </c>
    </row>
    <row r="15587" spans="1:2" x14ac:dyDescent="0.25">
      <c r="A15587" s="2">
        <v>15582</v>
      </c>
      <c r="B15587" s="11" t="str">
        <f>"00727143"</f>
        <v>00727143</v>
      </c>
    </row>
    <row r="15588" spans="1:2" x14ac:dyDescent="0.25">
      <c r="A15588" s="2">
        <v>15583</v>
      </c>
      <c r="B15588" s="11" t="str">
        <f>"00727171"</f>
        <v>00727171</v>
      </c>
    </row>
    <row r="15589" spans="1:2" x14ac:dyDescent="0.25">
      <c r="A15589" s="2">
        <v>15584</v>
      </c>
      <c r="B15589" s="11" t="str">
        <f>"00727210"</f>
        <v>00727210</v>
      </c>
    </row>
    <row r="15590" spans="1:2" x14ac:dyDescent="0.25">
      <c r="A15590" s="2">
        <v>15585</v>
      </c>
      <c r="B15590" s="11" t="str">
        <f>"00727233"</f>
        <v>00727233</v>
      </c>
    </row>
    <row r="15591" spans="1:2" x14ac:dyDescent="0.25">
      <c r="A15591" s="2">
        <v>15586</v>
      </c>
      <c r="B15591" s="11" t="str">
        <f>"00727269"</f>
        <v>00727269</v>
      </c>
    </row>
    <row r="15592" spans="1:2" x14ac:dyDescent="0.25">
      <c r="A15592" s="2">
        <v>15587</v>
      </c>
      <c r="B15592" s="11" t="str">
        <f>"00727282"</f>
        <v>00727282</v>
      </c>
    </row>
    <row r="15593" spans="1:2" x14ac:dyDescent="0.25">
      <c r="A15593" s="2">
        <v>15588</v>
      </c>
      <c r="B15593" s="11" t="str">
        <f>"00727286"</f>
        <v>00727286</v>
      </c>
    </row>
    <row r="15594" spans="1:2" x14ac:dyDescent="0.25">
      <c r="A15594" s="2">
        <v>15589</v>
      </c>
      <c r="B15594" s="11" t="str">
        <f>"00727332"</f>
        <v>00727332</v>
      </c>
    </row>
    <row r="15595" spans="1:2" x14ac:dyDescent="0.25">
      <c r="A15595" s="2">
        <v>15590</v>
      </c>
      <c r="B15595" s="11" t="str">
        <f>"00727397"</f>
        <v>00727397</v>
      </c>
    </row>
    <row r="15596" spans="1:2" x14ac:dyDescent="0.25">
      <c r="A15596" s="2">
        <v>15591</v>
      </c>
      <c r="B15596" s="11" t="str">
        <f>"00727402"</f>
        <v>00727402</v>
      </c>
    </row>
    <row r="15597" spans="1:2" x14ac:dyDescent="0.25">
      <c r="A15597" s="2">
        <v>15592</v>
      </c>
      <c r="B15597" s="11" t="str">
        <f>"00727460"</f>
        <v>00727460</v>
      </c>
    </row>
    <row r="15598" spans="1:2" x14ac:dyDescent="0.25">
      <c r="A15598" s="2">
        <v>15593</v>
      </c>
      <c r="B15598" s="11" t="str">
        <f>"00727484"</f>
        <v>00727484</v>
      </c>
    </row>
    <row r="15599" spans="1:2" x14ac:dyDescent="0.25">
      <c r="A15599" s="2">
        <v>15594</v>
      </c>
      <c r="B15599" s="11" t="str">
        <f>"00727589"</f>
        <v>00727589</v>
      </c>
    </row>
    <row r="15600" spans="1:2" x14ac:dyDescent="0.25">
      <c r="A15600" s="2">
        <v>15595</v>
      </c>
      <c r="B15600" s="11" t="str">
        <f>"00727616"</f>
        <v>00727616</v>
      </c>
    </row>
    <row r="15601" spans="1:2" x14ac:dyDescent="0.25">
      <c r="A15601" s="2">
        <v>15596</v>
      </c>
      <c r="B15601" s="11" t="str">
        <f>"00727619"</f>
        <v>00727619</v>
      </c>
    </row>
    <row r="15602" spans="1:2" x14ac:dyDescent="0.25">
      <c r="A15602" s="2">
        <v>15597</v>
      </c>
      <c r="B15602" s="11" t="str">
        <f>"00727631"</f>
        <v>00727631</v>
      </c>
    </row>
    <row r="15603" spans="1:2" x14ac:dyDescent="0.25">
      <c r="A15603" s="2">
        <v>15598</v>
      </c>
      <c r="B15603" s="11" t="str">
        <f>"00727698"</f>
        <v>00727698</v>
      </c>
    </row>
    <row r="15604" spans="1:2" x14ac:dyDescent="0.25">
      <c r="A15604" s="2">
        <v>15599</v>
      </c>
      <c r="B15604" s="11" t="str">
        <f>"00727699"</f>
        <v>00727699</v>
      </c>
    </row>
    <row r="15605" spans="1:2" x14ac:dyDescent="0.25">
      <c r="A15605" s="2">
        <v>15600</v>
      </c>
      <c r="B15605" s="11" t="str">
        <f>"00727713"</f>
        <v>00727713</v>
      </c>
    </row>
    <row r="15606" spans="1:2" x14ac:dyDescent="0.25">
      <c r="A15606" s="2">
        <v>15601</v>
      </c>
      <c r="B15606" s="11" t="str">
        <f>"00727729"</f>
        <v>00727729</v>
      </c>
    </row>
    <row r="15607" spans="1:2" x14ac:dyDescent="0.25">
      <c r="A15607" s="2">
        <v>15602</v>
      </c>
      <c r="B15607" s="11" t="str">
        <f>"00727757"</f>
        <v>00727757</v>
      </c>
    </row>
    <row r="15608" spans="1:2" x14ac:dyDescent="0.25">
      <c r="A15608" s="2">
        <v>15603</v>
      </c>
      <c r="B15608" s="11" t="str">
        <f>"00727845"</f>
        <v>00727845</v>
      </c>
    </row>
    <row r="15609" spans="1:2" x14ac:dyDescent="0.25">
      <c r="A15609" s="2">
        <v>15604</v>
      </c>
      <c r="B15609" s="11" t="str">
        <f>"00727858"</f>
        <v>00727858</v>
      </c>
    </row>
    <row r="15610" spans="1:2" x14ac:dyDescent="0.25">
      <c r="A15610" s="2">
        <v>15605</v>
      </c>
      <c r="B15610" s="11" t="str">
        <f>"00727900"</f>
        <v>00727900</v>
      </c>
    </row>
    <row r="15611" spans="1:2" x14ac:dyDescent="0.25">
      <c r="A15611" s="2">
        <v>15606</v>
      </c>
      <c r="B15611" s="11" t="str">
        <f>"00727902"</f>
        <v>00727902</v>
      </c>
    </row>
    <row r="15612" spans="1:2" x14ac:dyDescent="0.25">
      <c r="A15612" s="2">
        <v>15607</v>
      </c>
      <c r="B15612" s="11" t="str">
        <f>"00727904"</f>
        <v>00727904</v>
      </c>
    </row>
    <row r="15613" spans="1:2" x14ac:dyDescent="0.25">
      <c r="A15613" s="2">
        <v>15608</v>
      </c>
      <c r="B15613" s="11" t="str">
        <f>"00727918"</f>
        <v>00727918</v>
      </c>
    </row>
    <row r="15614" spans="1:2" x14ac:dyDescent="0.25">
      <c r="A15614" s="2">
        <v>15609</v>
      </c>
      <c r="B15614" s="11" t="str">
        <f>"00727948"</f>
        <v>00727948</v>
      </c>
    </row>
    <row r="15615" spans="1:2" x14ac:dyDescent="0.25">
      <c r="A15615" s="2">
        <v>15610</v>
      </c>
      <c r="B15615" s="11" t="str">
        <f>"00727992"</f>
        <v>00727992</v>
      </c>
    </row>
    <row r="15616" spans="1:2" x14ac:dyDescent="0.25">
      <c r="A15616" s="2">
        <v>15611</v>
      </c>
      <c r="B15616" s="11" t="str">
        <f>"00727998"</f>
        <v>00727998</v>
      </c>
    </row>
    <row r="15617" spans="1:2" x14ac:dyDescent="0.25">
      <c r="A15617" s="2">
        <v>15612</v>
      </c>
      <c r="B15617" s="11" t="str">
        <f>"00728008"</f>
        <v>00728008</v>
      </c>
    </row>
    <row r="15618" spans="1:2" x14ac:dyDescent="0.25">
      <c r="A15618" s="2">
        <v>15613</v>
      </c>
      <c r="B15618" s="11" t="str">
        <f>"00728115"</f>
        <v>00728115</v>
      </c>
    </row>
    <row r="15619" spans="1:2" x14ac:dyDescent="0.25">
      <c r="A15619" s="2">
        <v>15614</v>
      </c>
      <c r="B15619" s="11" t="str">
        <f>"00728210"</f>
        <v>00728210</v>
      </c>
    </row>
    <row r="15620" spans="1:2" x14ac:dyDescent="0.25">
      <c r="A15620" s="2">
        <v>15615</v>
      </c>
      <c r="B15620" s="11" t="str">
        <f>"00728219"</f>
        <v>00728219</v>
      </c>
    </row>
    <row r="15621" spans="1:2" x14ac:dyDescent="0.25">
      <c r="A15621" s="2">
        <v>15616</v>
      </c>
      <c r="B15621" s="11" t="str">
        <f>"00728230"</f>
        <v>00728230</v>
      </c>
    </row>
    <row r="15622" spans="1:2" x14ac:dyDescent="0.25">
      <c r="A15622" s="2">
        <v>15617</v>
      </c>
      <c r="B15622" s="11" t="str">
        <f>"00728242"</f>
        <v>00728242</v>
      </c>
    </row>
    <row r="15623" spans="1:2" x14ac:dyDescent="0.25">
      <c r="A15623" s="2">
        <v>15618</v>
      </c>
      <c r="B15623" s="11" t="str">
        <f>"00728334"</f>
        <v>00728334</v>
      </c>
    </row>
    <row r="15624" spans="1:2" x14ac:dyDescent="0.25">
      <c r="A15624" s="2">
        <v>15619</v>
      </c>
      <c r="B15624" s="11" t="str">
        <f>"00728342"</f>
        <v>00728342</v>
      </c>
    </row>
    <row r="15625" spans="1:2" x14ac:dyDescent="0.25">
      <c r="A15625" s="2">
        <v>15620</v>
      </c>
      <c r="B15625" s="11" t="str">
        <f>"00728431"</f>
        <v>00728431</v>
      </c>
    </row>
    <row r="15626" spans="1:2" x14ac:dyDescent="0.25">
      <c r="A15626" s="2">
        <v>15621</v>
      </c>
      <c r="B15626" s="11" t="str">
        <f>"00728447"</f>
        <v>00728447</v>
      </c>
    </row>
    <row r="15627" spans="1:2" x14ac:dyDescent="0.25">
      <c r="A15627" s="2">
        <v>15622</v>
      </c>
      <c r="B15627" s="11" t="str">
        <f>"00728461"</f>
        <v>00728461</v>
      </c>
    </row>
    <row r="15628" spans="1:2" x14ac:dyDescent="0.25">
      <c r="A15628" s="2">
        <v>15623</v>
      </c>
      <c r="B15628" s="11" t="str">
        <f>"00728466"</f>
        <v>00728466</v>
      </c>
    </row>
    <row r="15629" spans="1:2" x14ac:dyDescent="0.25">
      <c r="A15629" s="2">
        <v>15624</v>
      </c>
      <c r="B15629" s="11" t="str">
        <f>"00728495"</f>
        <v>00728495</v>
      </c>
    </row>
    <row r="15630" spans="1:2" x14ac:dyDescent="0.25">
      <c r="A15630" s="2">
        <v>15625</v>
      </c>
      <c r="B15630" s="11" t="str">
        <f>"00728508"</f>
        <v>00728508</v>
      </c>
    </row>
    <row r="15631" spans="1:2" x14ac:dyDescent="0.25">
      <c r="A15631" s="2">
        <v>15626</v>
      </c>
      <c r="B15631" s="11" t="str">
        <f>"00728517"</f>
        <v>00728517</v>
      </c>
    </row>
    <row r="15632" spans="1:2" x14ac:dyDescent="0.25">
      <c r="A15632" s="2">
        <v>15627</v>
      </c>
      <c r="B15632" s="11" t="str">
        <f>"00728545"</f>
        <v>00728545</v>
      </c>
    </row>
    <row r="15633" spans="1:2" x14ac:dyDescent="0.25">
      <c r="A15633" s="2">
        <v>15628</v>
      </c>
      <c r="B15633" s="11" t="str">
        <f>"00728555"</f>
        <v>00728555</v>
      </c>
    </row>
    <row r="15634" spans="1:2" x14ac:dyDescent="0.25">
      <c r="A15634" s="2">
        <v>15629</v>
      </c>
      <c r="B15634" s="11" t="str">
        <f>"00728564"</f>
        <v>00728564</v>
      </c>
    </row>
    <row r="15635" spans="1:2" x14ac:dyDescent="0.25">
      <c r="A15635" s="2">
        <v>15630</v>
      </c>
      <c r="B15635" s="11" t="str">
        <f>"00728587"</f>
        <v>00728587</v>
      </c>
    </row>
    <row r="15636" spans="1:2" x14ac:dyDescent="0.25">
      <c r="A15636" s="2">
        <v>15631</v>
      </c>
      <c r="B15636" s="11" t="str">
        <f>"00728593"</f>
        <v>00728593</v>
      </c>
    </row>
    <row r="15637" spans="1:2" x14ac:dyDescent="0.25">
      <c r="A15637" s="2">
        <v>15632</v>
      </c>
      <c r="B15637" s="11" t="str">
        <f>"00728620"</f>
        <v>00728620</v>
      </c>
    </row>
    <row r="15638" spans="1:2" x14ac:dyDescent="0.25">
      <c r="A15638" s="2">
        <v>15633</v>
      </c>
      <c r="B15638" s="11" t="str">
        <f>"00728645"</f>
        <v>00728645</v>
      </c>
    </row>
    <row r="15639" spans="1:2" x14ac:dyDescent="0.25">
      <c r="A15639" s="2">
        <v>15634</v>
      </c>
      <c r="B15639" s="11" t="str">
        <f>"00728666"</f>
        <v>00728666</v>
      </c>
    </row>
    <row r="15640" spans="1:2" x14ac:dyDescent="0.25">
      <c r="A15640" s="2">
        <v>15635</v>
      </c>
      <c r="B15640" s="11" t="str">
        <f>"00728769"</f>
        <v>00728769</v>
      </c>
    </row>
    <row r="15641" spans="1:2" x14ac:dyDescent="0.25">
      <c r="A15641" s="2">
        <v>15636</v>
      </c>
      <c r="B15641" s="11" t="str">
        <f>"00728845"</f>
        <v>00728845</v>
      </c>
    </row>
    <row r="15642" spans="1:2" x14ac:dyDescent="0.25">
      <c r="A15642" s="2">
        <v>15637</v>
      </c>
      <c r="B15642" s="11" t="str">
        <f>"00728882"</f>
        <v>00728882</v>
      </c>
    </row>
    <row r="15643" spans="1:2" x14ac:dyDescent="0.25">
      <c r="A15643" s="2">
        <v>15638</v>
      </c>
      <c r="B15643" s="11" t="str">
        <f>"00729007"</f>
        <v>00729007</v>
      </c>
    </row>
    <row r="15644" spans="1:2" x14ac:dyDescent="0.25">
      <c r="A15644" s="2">
        <v>15639</v>
      </c>
      <c r="B15644" s="11" t="str">
        <f>"00729012"</f>
        <v>00729012</v>
      </c>
    </row>
    <row r="15645" spans="1:2" x14ac:dyDescent="0.25">
      <c r="A15645" s="2">
        <v>15640</v>
      </c>
      <c r="B15645" s="11" t="str">
        <f>"00729068"</f>
        <v>00729068</v>
      </c>
    </row>
    <row r="15646" spans="1:2" x14ac:dyDescent="0.25">
      <c r="A15646" s="2">
        <v>15641</v>
      </c>
      <c r="B15646" s="11" t="str">
        <f>"00729126"</f>
        <v>00729126</v>
      </c>
    </row>
    <row r="15647" spans="1:2" x14ac:dyDescent="0.25">
      <c r="A15647" s="2">
        <v>15642</v>
      </c>
      <c r="B15647" s="11" t="str">
        <f>"00729209"</f>
        <v>00729209</v>
      </c>
    </row>
    <row r="15648" spans="1:2" x14ac:dyDescent="0.25">
      <c r="A15648" s="2">
        <v>15643</v>
      </c>
      <c r="B15648" s="11" t="str">
        <f>"00729216"</f>
        <v>00729216</v>
      </c>
    </row>
    <row r="15649" spans="1:2" x14ac:dyDescent="0.25">
      <c r="A15649" s="2">
        <v>15644</v>
      </c>
      <c r="B15649" s="11" t="str">
        <f>"00729222"</f>
        <v>00729222</v>
      </c>
    </row>
    <row r="15650" spans="1:2" x14ac:dyDescent="0.25">
      <c r="A15650" s="2">
        <v>15645</v>
      </c>
      <c r="B15650" s="11" t="str">
        <f>"00729225"</f>
        <v>00729225</v>
      </c>
    </row>
    <row r="15651" spans="1:2" x14ac:dyDescent="0.25">
      <c r="A15651" s="2">
        <v>15646</v>
      </c>
      <c r="B15651" s="11" t="str">
        <f>"00729283"</f>
        <v>00729283</v>
      </c>
    </row>
    <row r="15652" spans="1:2" x14ac:dyDescent="0.25">
      <c r="A15652" s="2">
        <v>15647</v>
      </c>
      <c r="B15652" s="11" t="str">
        <f>"00729356"</f>
        <v>00729356</v>
      </c>
    </row>
    <row r="15653" spans="1:2" x14ac:dyDescent="0.25">
      <c r="A15653" s="2">
        <v>15648</v>
      </c>
      <c r="B15653" s="11" t="str">
        <f>"00729376"</f>
        <v>00729376</v>
      </c>
    </row>
    <row r="15654" spans="1:2" x14ac:dyDescent="0.25">
      <c r="A15654" s="2">
        <v>15649</v>
      </c>
      <c r="B15654" s="11" t="str">
        <f>"00729381"</f>
        <v>00729381</v>
      </c>
    </row>
    <row r="15655" spans="1:2" x14ac:dyDescent="0.25">
      <c r="A15655" s="2">
        <v>15650</v>
      </c>
      <c r="B15655" s="11" t="str">
        <f>"00729396"</f>
        <v>00729396</v>
      </c>
    </row>
    <row r="15656" spans="1:2" x14ac:dyDescent="0.25">
      <c r="A15656" s="2">
        <v>15651</v>
      </c>
      <c r="B15656" s="11" t="str">
        <f>"00729487"</f>
        <v>00729487</v>
      </c>
    </row>
    <row r="15657" spans="1:2" x14ac:dyDescent="0.25">
      <c r="A15657" s="2">
        <v>15652</v>
      </c>
      <c r="B15657" s="11" t="str">
        <f>"00729524"</f>
        <v>00729524</v>
      </c>
    </row>
    <row r="15658" spans="1:2" x14ac:dyDescent="0.25">
      <c r="A15658" s="2">
        <v>15653</v>
      </c>
      <c r="B15658" s="11" t="str">
        <f>"00729585"</f>
        <v>00729585</v>
      </c>
    </row>
    <row r="15659" spans="1:2" x14ac:dyDescent="0.25">
      <c r="A15659" s="2">
        <v>15654</v>
      </c>
      <c r="B15659" s="11" t="str">
        <f>"00729591"</f>
        <v>00729591</v>
      </c>
    </row>
    <row r="15660" spans="1:2" x14ac:dyDescent="0.25">
      <c r="A15660" s="2">
        <v>15655</v>
      </c>
      <c r="B15660" s="11" t="str">
        <f>"00729629"</f>
        <v>00729629</v>
      </c>
    </row>
    <row r="15661" spans="1:2" x14ac:dyDescent="0.25">
      <c r="A15661" s="2">
        <v>15656</v>
      </c>
      <c r="B15661" s="11" t="str">
        <f>"00729652"</f>
        <v>00729652</v>
      </c>
    </row>
    <row r="15662" spans="1:2" x14ac:dyDescent="0.25">
      <c r="A15662" s="2">
        <v>15657</v>
      </c>
      <c r="B15662" s="11" t="str">
        <f>"00729675"</f>
        <v>00729675</v>
      </c>
    </row>
    <row r="15663" spans="1:2" x14ac:dyDescent="0.25">
      <c r="A15663" s="2">
        <v>15658</v>
      </c>
      <c r="B15663" s="11" t="str">
        <f>"00729693"</f>
        <v>00729693</v>
      </c>
    </row>
    <row r="15664" spans="1:2" x14ac:dyDescent="0.25">
      <c r="A15664" s="2">
        <v>15659</v>
      </c>
      <c r="B15664" s="11" t="str">
        <f>"00729727"</f>
        <v>00729727</v>
      </c>
    </row>
    <row r="15665" spans="1:2" x14ac:dyDescent="0.25">
      <c r="A15665" s="2">
        <v>15660</v>
      </c>
      <c r="B15665" s="11" t="str">
        <f>"00729748"</f>
        <v>00729748</v>
      </c>
    </row>
    <row r="15666" spans="1:2" x14ac:dyDescent="0.25">
      <c r="A15666" s="2">
        <v>15661</v>
      </c>
      <c r="B15666" s="11" t="str">
        <f>"00729802"</f>
        <v>00729802</v>
      </c>
    </row>
    <row r="15667" spans="1:2" x14ac:dyDescent="0.25">
      <c r="A15667" s="2">
        <v>15662</v>
      </c>
      <c r="B15667" s="11" t="str">
        <f>"00730000"</f>
        <v>00730000</v>
      </c>
    </row>
    <row r="15668" spans="1:2" x14ac:dyDescent="0.25">
      <c r="A15668" s="2">
        <v>15663</v>
      </c>
      <c r="B15668" s="11" t="str">
        <f>"00730032"</f>
        <v>00730032</v>
      </c>
    </row>
    <row r="15669" spans="1:2" x14ac:dyDescent="0.25">
      <c r="A15669" s="2">
        <v>15664</v>
      </c>
      <c r="B15669" s="11" t="str">
        <f>"00730040"</f>
        <v>00730040</v>
      </c>
    </row>
    <row r="15670" spans="1:2" x14ac:dyDescent="0.25">
      <c r="A15670" s="2">
        <v>15665</v>
      </c>
      <c r="B15670" s="11" t="str">
        <f>"00730073"</f>
        <v>00730073</v>
      </c>
    </row>
    <row r="15671" spans="1:2" x14ac:dyDescent="0.25">
      <c r="A15671" s="2">
        <v>15666</v>
      </c>
      <c r="B15671" s="11" t="str">
        <f>"00730078"</f>
        <v>00730078</v>
      </c>
    </row>
    <row r="15672" spans="1:2" x14ac:dyDescent="0.25">
      <c r="A15672" s="2">
        <v>15667</v>
      </c>
      <c r="B15672" s="11" t="str">
        <f>"00730107"</f>
        <v>00730107</v>
      </c>
    </row>
    <row r="15673" spans="1:2" x14ac:dyDescent="0.25">
      <c r="A15673" s="2">
        <v>15668</v>
      </c>
      <c r="B15673" s="11" t="str">
        <f>"00730138"</f>
        <v>00730138</v>
      </c>
    </row>
    <row r="15674" spans="1:2" x14ac:dyDescent="0.25">
      <c r="A15674" s="2">
        <v>15669</v>
      </c>
      <c r="B15674" s="11" t="str">
        <f>"00730159"</f>
        <v>00730159</v>
      </c>
    </row>
    <row r="15675" spans="1:2" x14ac:dyDescent="0.25">
      <c r="A15675" s="2">
        <v>15670</v>
      </c>
      <c r="B15675" s="11" t="str">
        <f>"00730175"</f>
        <v>00730175</v>
      </c>
    </row>
    <row r="15676" spans="1:2" x14ac:dyDescent="0.25">
      <c r="A15676" s="2">
        <v>15671</v>
      </c>
      <c r="B15676" s="11" t="str">
        <f>"00730233"</f>
        <v>00730233</v>
      </c>
    </row>
    <row r="15677" spans="1:2" x14ac:dyDescent="0.25">
      <c r="A15677" s="2">
        <v>15672</v>
      </c>
      <c r="B15677" s="11" t="str">
        <f>"00730244"</f>
        <v>00730244</v>
      </c>
    </row>
    <row r="15678" spans="1:2" x14ac:dyDescent="0.25">
      <c r="A15678" s="2">
        <v>15673</v>
      </c>
      <c r="B15678" s="11" t="str">
        <f>"00730308"</f>
        <v>00730308</v>
      </c>
    </row>
    <row r="15679" spans="1:2" x14ac:dyDescent="0.25">
      <c r="A15679" s="2">
        <v>15674</v>
      </c>
      <c r="B15679" s="11" t="str">
        <f>"00730314"</f>
        <v>00730314</v>
      </c>
    </row>
    <row r="15680" spans="1:2" x14ac:dyDescent="0.25">
      <c r="A15680" s="2">
        <v>15675</v>
      </c>
      <c r="B15680" s="11" t="str">
        <f>"00730329"</f>
        <v>00730329</v>
      </c>
    </row>
    <row r="15681" spans="1:2" x14ac:dyDescent="0.25">
      <c r="A15681" s="2">
        <v>15676</v>
      </c>
      <c r="B15681" s="11" t="str">
        <f>"00730379"</f>
        <v>00730379</v>
      </c>
    </row>
    <row r="15682" spans="1:2" x14ac:dyDescent="0.25">
      <c r="A15682" s="2">
        <v>15677</v>
      </c>
      <c r="B15682" s="11" t="str">
        <f>"00730447"</f>
        <v>00730447</v>
      </c>
    </row>
    <row r="15683" spans="1:2" x14ac:dyDescent="0.25">
      <c r="A15683" s="2">
        <v>15678</v>
      </c>
      <c r="B15683" s="11" t="str">
        <f>"00730553"</f>
        <v>00730553</v>
      </c>
    </row>
    <row r="15684" spans="1:2" x14ac:dyDescent="0.25">
      <c r="A15684" s="2">
        <v>15679</v>
      </c>
      <c r="B15684" s="11" t="str">
        <f>"00730555"</f>
        <v>00730555</v>
      </c>
    </row>
    <row r="15685" spans="1:2" x14ac:dyDescent="0.25">
      <c r="A15685" s="2">
        <v>15680</v>
      </c>
      <c r="B15685" s="11" t="str">
        <f>"00730580"</f>
        <v>00730580</v>
      </c>
    </row>
    <row r="15686" spans="1:2" x14ac:dyDescent="0.25">
      <c r="A15686" s="2">
        <v>15681</v>
      </c>
      <c r="B15686" s="11" t="str">
        <f>"00730679"</f>
        <v>00730679</v>
      </c>
    </row>
    <row r="15687" spans="1:2" x14ac:dyDescent="0.25">
      <c r="A15687" s="2">
        <v>15682</v>
      </c>
      <c r="B15687" s="11" t="str">
        <f>"00730698"</f>
        <v>00730698</v>
      </c>
    </row>
    <row r="15688" spans="1:2" x14ac:dyDescent="0.25">
      <c r="A15688" s="2">
        <v>15683</v>
      </c>
      <c r="B15688" s="11" t="str">
        <f>"00730731"</f>
        <v>00730731</v>
      </c>
    </row>
    <row r="15689" spans="1:2" x14ac:dyDescent="0.25">
      <c r="A15689" s="2">
        <v>15684</v>
      </c>
      <c r="B15689" s="11" t="str">
        <f>"00730744"</f>
        <v>00730744</v>
      </c>
    </row>
    <row r="15690" spans="1:2" x14ac:dyDescent="0.25">
      <c r="A15690" s="2">
        <v>15685</v>
      </c>
      <c r="B15690" s="11" t="str">
        <f>"00730747"</f>
        <v>00730747</v>
      </c>
    </row>
    <row r="15691" spans="1:2" x14ac:dyDescent="0.25">
      <c r="A15691" s="2">
        <v>15686</v>
      </c>
      <c r="B15691" s="11" t="str">
        <f>"00730756"</f>
        <v>00730756</v>
      </c>
    </row>
    <row r="15692" spans="1:2" x14ac:dyDescent="0.25">
      <c r="A15692" s="2">
        <v>15687</v>
      </c>
      <c r="B15692" s="11" t="str">
        <f>"00730784"</f>
        <v>00730784</v>
      </c>
    </row>
    <row r="15693" spans="1:2" x14ac:dyDescent="0.25">
      <c r="A15693" s="2">
        <v>15688</v>
      </c>
      <c r="B15693" s="11" t="str">
        <f>"00730788"</f>
        <v>00730788</v>
      </c>
    </row>
    <row r="15694" spans="1:2" x14ac:dyDescent="0.25">
      <c r="A15694" s="2">
        <v>15689</v>
      </c>
      <c r="B15694" s="11" t="str">
        <f>"00730846"</f>
        <v>00730846</v>
      </c>
    </row>
    <row r="15695" spans="1:2" x14ac:dyDescent="0.25">
      <c r="A15695" s="2">
        <v>15690</v>
      </c>
      <c r="B15695" s="11" t="str">
        <f>"00730850"</f>
        <v>00730850</v>
      </c>
    </row>
    <row r="15696" spans="1:2" x14ac:dyDescent="0.25">
      <c r="A15696" s="2">
        <v>15691</v>
      </c>
      <c r="B15696" s="11" t="str">
        <f>"00730901"</f>
        <v>00730901</v>
      </c>
    </row>
    <row r="15697" spans="1:2" x14ac:dyDescent="0.25">
      <c r="A15697" s="2">
        <v>15692</v>
      </c>
      <c r="B15697" s="11" t="str">
        <f>"00730902"</f>
        <v>00730902</v>
      </c>
    </row>
    <row r="15698" spans="1:2" x14ac:dyDescent="0.25">
      <c r="A15698" s="2">
        <v>15693</v>
      </c>
      <c r="B15698" s="11" t="str">
        <f>"00730928"</f>
        <v>00730928</v>
      </c>
    </row>
    <row r="15699" spans="1:2" x14ac:dyDescent="0.25">
      <c r="A15699" s="2">
        <v>15694</v>
      </c>
      <c r="B15699" s="11" t="str">
        <f>"00730934"</f>
        <v>00730934</v>
      </c>
    </row>
    <row r="15700" spans="1:2" x14ac:dyDescent="0.25">
      <c r="A15700" s="2">
        <v>15695</v>
      </c>
      <c r="B15700" s="11" t="str">
        <f>"00730972"</f>
        <v>00730972</v>
      </c>
    </row>
    <row r="15701" spans="1:2" x14ac:dyDescent="0.25">
      <c r="A15701" s="2">
        <v>15696</v>
      </c>
      <c r="B15701" s="11" t="str">
        <f>"00731037"</f>
        <v>00731037</v>
      </c>
    </row>
    <row r="15702" spans="1:2" x14ac:dyDescent="0.25">
      <c r="A15702" s="2">
        <v>15697</v>
      </c>
      <c r="B15702" s="11" t="str">
        <f>"00731059"</f>
        <v>00731059</v>
      </c>
    </row>
    <row r="15703" spans="1:2" x14ac:dyDescent="0.25">
      <c r="A15703" s="2">
        <v>15698</v>
      </c>
      <c r="B15703" s="11" t="str">
        <f>"00731069"</f>
        <v>00731069</v>
      </c>
    </row>
    <row r="15704" spans="1:2" x14ac:dyDescent="0.25">
      <c r="A15704" s="2">
        <v>15699</v>
      </c>
      <c r="B15704" s="11" t="str">
        <f>"00731084"</f>
        <v>00731084</v>
      </c>
    </row>
    <row r="15705" spans="1:2" x14ac:dyDescent="0.25">
      <c r="A15705" s="2">
        <v>15700</v>
      </c>
      <c r="B15705" s="11" t="str">
        <f>"00731134"</f>
        <v>00731134</v>
      </c>
    </row>
    <row r="15706" spans="1:2" x14ac:dyDescent="0.25">
      <c r="A15706" s="2">
        <v>15701</v>
      </c>
      <c r="B15706" s="11" t="str">
        <f>"00731137"</f>
        <v>00731137</v>
      </c>
    </row>
    <row r="15707" spans="1:2" x14ac:dyDescent="0.25">
      <c r="A15707" s="2">
        <v>15702</v>
      </c>
      <c r="B15707" s="11" t="str">
        <f>"00731181"</f>
        <v>00731181</v>
      </c>
    </row>
    <row r="15708" spans="1:2" x14ac:dyDescent="0.25">
      <c r="A15708" s="2">
        <v>15703</v>
      </c>
      <c r="B15708" s="11" t="str">
        <f>"00731193"</f>
        <v>00731193</v>
      </c>
    </row>
    <row r="15709" spans="1:2" x14ac:dyDescent="0.25">
      <c r="A15709" s="2">
        <v>15704</v>
      </c>
      <c r="B15709" s="11" t="str">
        <f>"00731269"</f>
        <v>00731269</v>
      </c>
    </row>
    <row r="15710" spans="1:2" x14ac:dyDescent="0.25">
      <c r="A15710" s="2">
        <v>15705</v>
      </c>
      <c r="B15710" s="11" t="str">
        <f>"00731270"</f>
        <v>00731270</v>
      </c>
    </row>
    <row r="15711" spans="1:2" x14ac:dyDescent="0.25">
      <c r="A15711" s="2">
        <v>15706</v>
      </c>
      <c r="B15711" s="11" t="str">
        <f>"00731279"</f>
        <v>00731279</v>
      </c>
    </row>
    <row r="15712" spans="1:2" x14ac:dyDescent="0.25">
      <c r="A15712" s="2">
        <v>15707</v>
      </c>
      <c r="B15712" s="11" t="str">
        <f>"00731305"</f>
        <v>00731305</v>
      </c>
    </row>
    <row r="15713" spans="1:2" x14ac:dyDescent="0.25">
      <c r="A15713" s="2">
        <v>15708</v>
      </c>
      <c r="B15713" s="11" t="str">
        <f>"00731311"</f>
        <v>00731311</v>
      </c>
    </row>
    <row r="15714" spans="1:2" x14ac:dyDescent="0.25">
      <c r="A15714" s="2">
        <v>15709</v>
      </c>
      <c r="B15714" s="11" t="str">
        <f>"00731395"</f>
        <v>00731395</v>
      </c>
    </row>
    <row r="15715" spans="1:2" x14ac:dyDescent="0.25">
      <c r="A15715" s="2">
        <v>15710</v>
      </c>
      <c r="B15715" s="11" t="str">
        <f>"00731407"</f>
        <v>00731407</v>
      </c>
    </row>
    <row r="15716" spans="1:2" x14ac:dyDescent="0.25">
      <c r="A15716" s="2">
        <v>15711</v>
      </c>
      <c r="B15716" s="11" t="str">
        <f>"00732583"</f>
        <v>00732583</v>
      </c>
    </row>
    <row r="15717" spans="1:2" x14ac:dyDescent="0.25">
      <c r="A15717" s="2">
        <v>15712</v>
      </c>
      <c r="B15717" s="11" t="str">
        <f>"00732598"</f>
        <v>00732598</v>
      </c>
    </row>
    <row r="15718" spans="1:2" x14ac:dyDescent="0.25">
      <c r="A15718" s="2">
        <v>15713</v>
      </c>
      <c r="B15718" s="11" t="str">
        <f>"00732602"</f>
        <v>00732602</v>
      </c>
    </row>
    <row r="15719" spans="1:2" x14ac:dyDescent="0.25">
      <c r="A15719" s="2">
        <v>15714</v>
      </c>
      <c r="B15719" s="11" t="str">
        <f>"00732610"</f>
        <v>00732610</v>
      </c>
    </row>
    <row r="15720" spans="1:2" x14ac:dyDescent="0.25">
      <c r="A15720" s="2">
        <v>15715</v>
      </c>
      <c r="B15720" s="11" t="str">
        <f>"00732623"</f>
        <v>00732623</v>
      </c>
    </row>
    <row r="15721" spans="1:2" x14ac:dyDescent="0.25">
      <c r="A15721" s="2">
        <v>15716</v>
      </c>
      <c r="B15721" s="11" t="str">
        <f>"00732643"</f>
        <v>00732643</v>
      </c>
    </row>
    <row r="15722" spans="1:2" x14ac:dyDescent="0.25">
      <c r="A15722" s="2">
        <v>15717</v>
      </c>
      <c r="B15722" s="11" t="str">
        <f>"00732649"</f>
        <v>00732649</v>
      </c>
    </row>
    <row r="15723" spans="1:2" x14ac:dyDescent="0.25">
      <c r="A15723" s="2">
        <v>15718</v>
      </c>
      <c r="B15723" s="11" t="str">
        <f>"00732670"</f>
        <v>00732670</v>
      </c>
    </row>
    <row r="15724" spans="1:2" x14ac:dyDescent="0.25">
      <c r="A15724" s="2">
        <v>15719</v>
      </c>
      <c r="B15724" s="11" t="str">
        <f>"00732681"</f>
        <v>00732681</v>
      </c>
    </row>
    <row r="15725" spans="1:2" x14ac:dyDescent="0.25">
      <c r="A15725" s="2">
        <v>15720</v>
      </c>
      <c r="B15725" s="11" t="str">
        <f>"00732699"</f>
        <v>00732699</v>
      </c>
    </row>
    <row r="15726" spans="1:2" x14ac:dyDescent="0.25">
      <c r="A15726" s="2">
        <v>15721</v>
      </c>
      <c r="B15726" s="11" t="str">
        <f>"00732705"</f>
        <v>00732705</v>
      </c>
    </row>
    <row r="15727" spans="1:2" x14ac:dyDescent="0.25">
      <c r="A15727" s="2">
        <v>15722</v>
      </c>
      <c r="B15727" s="11" t="str">
        <f>"00732725"</f>
        <v>00732725</v>
      </c>
    </row>
    <row r="15728" spans="1:2" x14ac:dyDescent="0.25">
      <c r="A15728" s="2">
        <v>15723</v>
      </c>
      <c r="B15728" s="11" t="str">
        <f>"00732899"</f>
        <v>00732899</v>
      </c>
    </row>
    <row r="15729" spans="1:2" x14ac:dyDescent="0.25">
      <c r="A15729" s="2">
        <v>15724</v>
      </c>
      <c r="B15729" s="11" t="str">
        <f>"00732903"</f>
        <v>00732903</v>
      </c>
    </row>
    <row r="15730" spans="1:2" x14ac:dyDescent="0.25">
      <c r="A15730" s="2">
        <v>15725</v>
      </c>
      <c r="B15730" s="11" t="str">
        <f>"00732964"</f>
        <v>00732964</v>
      </c>
    </row>
    <row r="15731" spans="1:2" x14ac:dyDescent="0.25">
      <c r="A15731" s="2">
        <v>15726</v>
      </c>
      <c r="B15731" s="11" t="str">
        <f>"00733015"</f>
        <v>00733015</v>
      </c>
    </row>
    <row r="15732" spans="1:2" x14ac:dyDescent="0.25">
      <c r="A15732" s="2">
        <v>15727</v>
      </c>
      <c r="B15732" s="11" t="str">
        <f>"00733056"</f>
        <v>00733056</v>
      </c>
    </row>
    <row r="15733" spans="1:2" x14ac:dyDescent="0.25">
      <c r="A15733" s="2">
        <v>15728</v>
      </c>
      <c r="B15733" s="11" t="str">
        <f>"00733160"</f>
        <v>00733160</v>
      </c>
    </row>
    <row r="15734" spans="1:2" x14ac:dyDescent="0.25">
      <c r="A15734" s="2">
        <v>15729</v>
      </c>
      <c r="B15734" s="11" t="str">
        <f>"00733187"</f>
        <v>00733187</v>
      </c>
    </row>
    <row r="15735" spans="1:2" x14ac:dyDescent="0.25">
      <c r="A15735" s="2">
        <v>15730</v>
      </c>
      <c r="B15735" s="11" t="str">
        <f>"00733237"</f>
        <v>00733237</v>
      </c>
    </row>
    <row r="15736" spans="1:2" x14ac:dyDescent="0.25">
      <c r="A15736" s="2">
        <v>15731</v>
      </c>
      <c r="B15736" s="11" t="str">
        <f>"00733291"</f>
        <v>00733291</v>
      </c>
    </row>
    <row r="15737" spans="1:2" x14ac:dyDescent="0.25">
      <c r="A15737" s="2">
        <v>15732</v>
      </c>
      <c r="B15737" s="11" t="str">
        <f>"00733293"</f>
        <v>00733293</v>
      </c>
    </row>
    <row r="15738" spans="1:2" x14ac:dyDescent="0.25">
      <c r="A15738" s="2">
        <v>15733</v>
      </c>
      <c r="B15738" s="11" t="str">
        <f>"00733308"</f>
        <v>00733308</v>
      </c>
    </row>
    <row r="15739" spans="1:2" x14ac:dyDescent="0.25">
      <c r="A15739" s="2">
        <v>15734</v>
      </c>
      <c r="B15739" s="11" t="str">
        <f>"00733310"</f>
        <v>00733310</v>
      </c>
    </row>
    <row r="15740" spans="1:2" x14ac:dyDescent="0.25">
      <c r="A15740" s="2">
        <v>15735</v>
      </c>
      <c r="B15740" s="11" t="str">
        <f>"00733339"</f>
        <v>00733339</v>
      </c>
    </row>
    <row r="15741" spans="1:2" x14ac:dyDescent="0.25">
      <c r="A15741" s="2">
        <v>15736</v>
      </c>
      <c r="B15741" s="11" t="str">
        <f>"00733349"</f>
        <v>00733349</v>
      </c>
    </row>
    <row r="15742" spans="1:2" x14ac:dyDescent="0.25">
      <c r="A15742" s="2">
        <v>15737</v>
      </c>
      <c r="B15742" s="11" t="str">
        <f>"00733376"</f>
        <v>00733376</v>
      </c>
    </row>
    <row r="15743" spans="1:2" x14ac:dyDescent="0.25">
      <c r="A15743" s="2">
        <v>15738</v>
      </c>
      <c r="B15743" s="11" t="str">
        <f>"00733380"</f>
        <v>00733380</v>
      </c>
    </row>
    <row r="15744" spans="1:2" x14ac:dyDescent="0.25">
      <c r="A15744" s="2">
        <v>15739</v>
      </c>
      <c r="B15744" s="11" t="str">
        <f>"00733420"</f>
        <v>00733420</v>
      </c>
    </row>
    <row r="15745" spans="1:2" x14ac:dyDescent="0.25">
      <c r="A15745" s="2">
        <v>15740</v>
      </c>
      <c r="B15745" s="11" t="str">
        <f>"00733429"</f>
        <v>00733429</v>
      </c>
    </row>
    <row r="15746" spans="1:2" x14ac:dyDescent="0.25">
      <c r="A15746" s="2">
        <v>15741</v>
      </c>
      <c r="B15746" s="11" t="str">
        <f>"00733431"</f>
        <v>00733431</v>
      </c>
    </row>
    <row r="15747" spans="1:2" x14ac:dyDescent="0.25">
      <c r="A15747" s="2">
        <v>15742</v>
      </c>
      <c r="B15747" s="11" t="str">
        <f>"00733434"</f>
        <v>00733434</v>
      </c>
    </row>
    <row r="15748" spans="1:2" x14ac:dyDescent="0.25">
      <c r="A15748" s="2">
        <v>15743</v>
      </c>
      <c r="B15748" s="11" t="str">
        <f>"00733494"</f>
        <v>00733494</v>
      </c>
    </row>
    <row r="15749" spans="1:2" x14ac:dyDescent="0.25">
      <c r="A15749" s="2">
        <v>15744</v>
      </c>
      <c r="B15749" s="11" t="str">
        <f>"00733553"</f>
        <v>00733553</v>
      </c>
    </row>
    <row r="15750" spans="1:2" x14ac:dyDescent="0.25">
      <c r="A15750" s="2">
        <v>15745</v>
      </c>
      <c r="B15750" s="11" t="str">
        <f>"00733588"</f>
        <v>00733588</v>
      </c>
    </row>
    <row r="15751" spans="1:2" x14ac:dyDescent="0.25">
      <c r="A15751" s="2">
        <v>15746</v>
      </c>
      <c r="B15751" s="11" t="str">
        <f>"00733662"</f>
        <v>00733662</v>
      </c>
    </row>
    <row r="15752" spans="1:2" x14ac:dyDescent="0.25">
      <c r="A15752" s="2">
        <v>15747</v>
      </c>
      <c r="B15752" s="11" t="str">
        <f>"00733686"</f>
        <v>00733686</v>
      </c>
    </row>
    <row r="15753" spans="1:2" x14ac:dyDescent="0.25">
      <c r="A15753" s="2">
        <v>15748</v>
      </c>
      <c r="B15753" s="11" t="str">
        <f>"00733700"</f>
        <v>00733700</v>
      </c>
    </row>
    <row r="15754" spans="1:2" x14ac:dyDescent="0.25">
      <c r="A15754" s="2">
        <v>15749</v>
      </c>
      <c r="B15754" s="11" t="str">
        <f>"00733702"</f>
        <v>00733702</v>
      </c>
    </row>
    <row r="15755" spans="1:2" x14ac:dyDescent="0.25">
      <c r="A15755" s="2">
        <v>15750</v>
      </c>
      <c r="B15755" s="11" t="str">
        <f>"00733706"</f>
        <v>00733706</v>
      </c>
    </row>
    <row r="15756" spans="1:2" x14ac:dyDescent="0.25">
      <c r="A15756" s="2">
        <v>15751</v>
      </c>
      <c r="B15756" s="11" t="str">
        <f>"00733732"</f>
        <v>00733732</v>
      </c>
    </row>
    <row r="15757" spans="1:2" x14ac:dyDescent="0.25">
      <c r="A15757" s="2">
        <v>15752</v>
      </c>
      <c r="B15757" s="11" t="str">
        <f>"00733789"</f>
        <v>00733789</v>
      </c>
    </row>
    <row r="15758" spans="1:2" x14ac:dyDescent="0.25">
      <c r="A15758" s="2">
        <v>15753</v>
      </c>
      <c r="B15758" s="11" t="str">
        <f>"00733796"</f>
        <v>00733796</v>
      </c>
    </row>
    <row r="15759" spans="1:2" x14ac:dyDescent="0.25">
      <c r="A15759" s="2">
        <v>15754</v>
      </c>
      <c r="B15759" s="11" t="str">
        <f>"00733824"</f>
        <v>00733824</v>
      </c>
    </row>
    <row r="15760" spans="1:2" x14ac:dyDescent="0.25">
      <c r="A15760" s="2">
        <v>15755</v>
      </c>
      <c r="B15760" s="11" t="str">
        <f>"00733908"</f>
        <v>00733908</v>
      </c>
    </row>
    <row r="15761" spans="1:2" x14ac:dyDescent="0.25">
      <c r="A15761" s="2">
        <v>15756</v>
      </c>
      <c r="B15761" s="11" t="str">
        <f>"00733922"</f>
        <v>00733922</v>
      </c>
    </row>
    <row r="15762" spans="1:2" x14ac:dyDescent="0.25">
      <c r="A15762" s="2">
        <v>15757</v>
      </c>
      <c r="B15762" s="11" t="str">
        <f>"00733990"</f>
        <v>00733990</v>
      </c>
    </row>
    <row r="15763" spans="1:2" x14ac:dyDescent="0.25">
      <c r="A15763" s="2">
        <v>15758</v>
      </c>
      <c r="B15763" s="11" t="str">
        <f>"00733997"</f>
        <v>00733997</v>
      </c>
    </row>
    <row r="15764" spans="1:2" x14ac:dyDescent="0.25">
      <c r="A15764" s="2">
        <v>15759</v>
      </c>
      <c r="B15764" s="11" t="str">
        <f>"00734004"</f>
        <v>00734004</v>
      </c>
    </row>
    <row r="15765" spans="1:2" x14ac:dyDescent="0.25">
      <c r="A15765" s="2">
        <v>15760</v>
      </c>
      <c r="B15765" s="11" t="str">
        <f>"00734006"</f>
        <v>00734006</v>
      </c>
    </row>
    <row r="15766" spans="1:2" x14ac:dyDescent="0.25">
      <c r="A15766" s="2">
        <v>15761</v>
      </c>
      <c r="B15766" s="11" t="str">
        <f>"00734064"</f>
        <v>00734064</v>
      </c>
    </row>
    <row r="15767" spans="1:2" x14ac:dyDescent="0.25">
      <c r="A15767" s="2">
        <v>15762</v>
      </c>
      <c r="B15767" s="11" t="str">
        <f>"00734076"</f>
        <v>00734076</v>
      </c>
    </row>
    <row r="15768" spans="1:2" x14ac:dyDescent="0.25">
      <c r="A15768" s="2">
        <v>15763</v>
      </c>
      <c r="B15768" s="11" t="str">
        <f>"00734109"</f>
        <v>00734109</v>
      </c>
    </row>
    <row r="15769" spans="1:2" x14ac:dyDescent="0.25">
      <c r="A15769" s="2">
        <v>15764</v>
      </c>
      <c r="B15769" s="11" t="str">
        <f>"00734154"</f>
        <v>00734154</v>
      </c>
    </row>
    <row r="15770" spans="1:2" x14ac:dyDescent="0.25">
      <c r="A15770" s="2">
        <v>15765</v>
      </c>
      <c r="B15770" s="11" t="str">
        <f>"00734232"</f>
        <v>00734232</v>
      </c>
    </row>
    <row r="15771" spans="1:2" x14ac:dyDescent="0.25">
      <c r="A15771" s="2">
        <v>15766</v>
      </c>
      <c r="B15771" s="11" t="str">
        <f>"00734258"</f>
        <v>00734258</v>
      </c>
    </row>
    <row r="15772" spans="1:2" x14ac:dyDescent="0.25">
      <c r="A15772" s="2">
        <v>15767</v>
      </c>
      <c r="B15772" s="11" t="str">
        <f>"00734323"</f>
        <v>00734323</v>
      </c>
    </row>
    <row r="15773" spans="1:2" x14ac:dyDescent="0.25">
      <c r="A15773" s="2">
        <v>15768</v>
      </c>
      <c r="B15773" s="11" t="str">
        <f>"00734331"</f>
        <v>00734331</v>
      </c>
    </row>
    <row r="15774" spans="1:2" x14ac:dyDescent="0.25">
      <c r="A15774" s="2">
        <v>15769</v>
      </c>
      <c r="B15774" s="11" t="str">
        <f>"00734428"</f>
        <v>00734428</v>
      </c>
    </row>
    <row r="15775" spans="1:2" x14ac:dyDescent="0.25">
      <c r="A15775" s="2">
        <v>15770</v>
      </c>
      <c r="B15775" s="11" t="str">
        <f>"00734485"</f>
        <v>00734485</v>
      </c>
    </row>
    <row r="15776" spans="1:2" x14ac:dyDescent="0.25">
      <c r="A15776" s="2">
        <v>15771</v>
      </c>
      <c r="B15776" s="11" t="str">
        <f>"00734520"</f>
        <v>00734520</v>
      </c>
    </row>
    <row r="15777" spans="1:2" x14ac:dyDescent="0.25">
      <c r="A15777" s="2">
        <v>15772</v>
      </c>
      <c r="B15777" s="11" t="str">
        <f>"00734525"</f>
        <v>00734525</v>
      </c>
    </row>
    <row r="15778" spans="1:2" x14ac:dyDescent="0.25">
      <c r="A15778" s="2">
        <v>15773</v>
      </c>
      <c r="B15778" s="11" t="str">
        <f>"00734576"</f>
        <v>00734576</v>
      </c>
    </row>
    <row r="15779" spans="1:2" x14ac:dyDescent="0.25">
      <c r="A15779" s="2">
        <v>15774</v>
      </c>
      <c r="B15779" s="11" t="str">
        <f>"00734601"</f>
        <v>00734601</v>
      </c>
    </row>
    <row r="15780" spans="1:2" x14ac:dyDescent="0.25">
      <c r="A15780" s="2">
        <v>15775</v>
      </c>
      <c r="B15780" s="11" t="str">
        <f>"00734608"</f>
        <v>00734608</v>
      </c>
    </row>
    <row r="15781" spans="1:2" x14ac:dyDescent="0.25">
      <c r="A15781" s="2">
        <v>15776</v>
      </c>
      <c r="B15781" s="11" t="str">
        <f>"00734629"</f>
        <v>00734629</v>
      </c>
    </row>
    <row r="15782" spans="1:2" x14ac:dyDescent="0.25">
      <c r="A15782" s="2">
        <v>15777</v>
      </c>
      <c r="B15782" s="11" t="str">
        <f>"00734638"</f>
        <v>00734638</v>
      </c>
    </row>
    <row r="15783" spans="1:2" x14ac:dyDescent="0.25">
      <c r="A15783" s="2">
        <v>15778</v>
      </c>
      <c r="B15783" s="11" t="str">
        <f>"00734708"</f>
        <v>00734708</v>
      </c>
    </row>
    <row r="15784" spans="1:2" x14ac:dyDescent="0.25">
      <c r="A15784" s="2">
        <v>15779</v>
      </c>
      <c r="B15784" s="11" t="str">
        <f>"00734715"</f>
        <v>00734715</v>
      </c>
    </row>
    <row r="15785" spans="1:2" x14ac:dyDescent="0.25">
      <c r="A15785" s="2">
        <v>15780</v>
      </c>
      <c r="B15785" s="11" t="str">
        <f>"00734760"</f>
        <v>00734760</v>
      </c>
    </row>
    <row r="15786" spans="1:2" x14ac:dyDescent="0.25">
      <c r="A15786" s="2">
        <v>15781</v>
      </c>
      <c r="B15786" s="11" t="str">
        <f>"00734795"</f>
        <v>00734795</v>
      </c>
    </row>
    <row r="15787" spans="1:2" x14ac:dyDescent="0.25">
      <c r="A15787" s="2">
        <v>15782</v>
      </c>
      <c r="B15787" s="11" t="str">
        <f>"00734800"</f>
        <v>00734800</v>
      </c>
    </row>
    <row r="15788" spans="1:2" x14ac:dyDescent="0.25">
      <c r="A15788" s="2">
        <v>15783</v>
      </c>
      <c r="B15788" s="11" t="str">
        <f>"00734818"</f>
        <v>00734818</v>
      </c>
    </row>
    <row r="15789" spans="1:2" x14ac:dyDescent="0.25">
      <c r="A15789" s="2">
        <v>15784</v>
      </c>
      <c r="B15789" s="11" t="str">
        <f>"00734943"</f>
        <v>00734943</v>
      </c>
    </row>
    <row r="15790" spans="1:2" x14ac:dyDescent="0.25">
      <c r="A15790" s="2">
        <v>15785</v>
      </c>
      <c r="B15790" s="11" t="str">
        <f>"00734961"</f>
        <v>00734961</v>
      </c>
    </row>
    <row r="15791" spans="1:2" x14ac:dyDescent="0.25">
      <c r="A15791" s="2">
        <v>15786</v>
      </c>
      <c r="B15791" s="11" t="str">
        <f>"00734973"</f>
        <v>00734973</v>
      </c>
    </row>
    <row r="15792" spans="1:2" x14ac:dyDescent="0.25">
      <c r="A15792" s="2">
        <v>15787</v>
      </c>
      <c r="B15792" s="11" t="str">
        <f>"00735053"</f>
        <v>00735053</v>
      </c>
    </row>
    <row r="15793" spans="1:2" x14ac:dyDescent="0.25">
      <c r="A15793" s="2">
        <v>15788</v>
      </c>
      <c r="B15793" s="11" t="str">
        <f>"00735060"</f>
        <v>00735060</v>
      </c>
    </row>
    <row r="15794" spans="1:2" x14ac:dyDescent="0.25">
      <c r="A15794" s="2">
        <v>15789</v>
      </c>
      <c r="B15794" s="11" t="str">
        <f>"00735100"</f>
        <v>00735100</v>
      </c>
    </row>
    <row r="15795" spans="1:2" x14ac:dyDescent="0.25">
      <c r="A15795" s="2">
        <v>15790</v>
      </c>
      <c r="B15795" s="11" t="str">
        <f>"00735119"</f>
        <v>00735119</v>
      </c>
    </row>
    <row r="15796" spans="1:2" x14ac:dyDescent="0.25">
      <c r="A15796" s="2">
        <v>15791</v>
      </c>
      <c r="B15796" s="11" t="str">
        <f>"00735132"</f>
        <v>00735132</v>
      </c>
    </row>
    <row r="15797" spans="1:2" x14ac:dyDescent="0.25">
      <c r="A15797" s="2">
        <v>15792</v>
      </c>
      <c r="B15797" s="11" t="str">
        <f>"00735150"</f>
        <v>00735150</v>
      </c>
    </row>
    <row r="15798" spans="1:2" x14ac:dyDescent="0.25">
      <c r="A15798" s="2">
        <v>15793</v>
      </c>
      <c r="B15798" s="11" t="str">
        <f>"00735264"</f>
        <v>00735264</v>
      </c>
    </row>
    <row r="15799" spans="1:2" x14ac:dyDescent="0.25">
      <c r="A15799" s="2">
        <v>15794</v>
      </c>
      <c r="B15799" s="11" t="str">
        <f>"00735332"</f>
        <v>00735332</v>
      </c>
    </row>
    <row r="15800" spans="1:2" x14ac:dyDescent="0.25">
      <c r="A15800" s="2">
        <v>15795</v>
      </c>
      <c r="B15800" s="11" t="str">
        <f>"00735349"</f>
        <v>00735349</v>
      </c>
    </row>
    <row r="15801" spans="1:2" x14ac:dyDescent="0.25">
      <c r="A15801" s="2">
        <v>15796</v>
      </c>
      <c r="B15801" s="11" t="str">
        <f>"00735392"</f>
        <v>00735392</v>
      </c>
    </row>
    <row r="15802" spans="1:2" x14ac:dyDescent="0.25">
      <c r="A15802" s="2">
        <v>15797</v>
      </c>
      <c r="B15802" s="11" t="str">
        <f>"00735425"</f>
        <v>00735425</v>
      </c>
    </row>
    <row r="15803" spans="1:2" x14ac:dyDescent="0.25">
      <c r="A15803" s="2">
        <v>15798</v>
      </c>
      <c r="B15803" s="11" t="str">
        <f>"00735428"</f>
        <v>00735428</v>
      </c>
    </row>
    <row r="15804" spans="1:2" x14ac:dyDescent="0.25">
      <c r="A15804" s="2">
        <v>15799</v>
      </c>
      <c r="B15804" s="11" t="str">
        <f>"00735473"</f>
        <v>00735473</v>
      </c>
    </row>
    <row r="15805" spans="1:2" x14ac:dyDescent="0.25">
      <c r="A15805" s="2">
        <v>15800</v>
      </c>
      <c r="B15805" s="11" t="str">
        <f>"00735554"</f>
        <v>00735554</v>
      </c>
    </row>
    <row r="15806" spans="1:2" x14ac:dyDescent="0.25">
      <c r="A15806" s="2">
        <v>15801</v>
      </c>
      <c r="B15806" s="11" t="str">
        <f>"00735624"</f>
        <v>00735624</v>
      </c>
    </row>
    <row r="15807" spans="1:2" x14ac:dyDescent="0.25">
      <c r="A15807" s="2">
        <v>15802</v>
      </c>
      <c r="B15807" s="11" t="str">
        <f>"00735631"</f>
        <v>00735631</v>
      </c>
    </row>
    <row r="15808" spans="1:2" x14ac:dyDescent="0.25">
      <c r="A15808" s="2">
        <v>15803</v>
      </c>
      <c r="B15808" s="11" t="str">
        <f>"00735644"</f>
        <v>00735644</v>
      </c>
    </row>
    <row r="15809" spans="1:2" x14ac:dyDescent="0.25">
      <c r="A15809" s="2">
        <v>15804</v>
      </c>
      <c r="B15809" s="11" t="str">
        <f>"00735661"</f>
        <v>00735661</v>
      </c>
    </row>
    <row r="15810" spans="1:2" x14ac:dyDescent="0.25">
      <c r="A15810" s="2">
        <v>15805</v>
      </c>
      <c r="B15810" s="11" t="str">
        <f>"00735665"</f>
        <v>00735665</v>
      </c>
    </row>
    <row r="15811" spans="1:2" x14ac:dyDescent="0.25">
      <c r="A15811" s="2">
        <v>15806</v>
      </c>
      <c r="B15811" s="11" t="str">
        <f>"00735676"</f>
        <v>00735676</v>
      </c>
    </row>
    <row r="15812" spans="1:2" x14ac:dyDescent="0.25">
      <c r="A15812" s="2">
        <v>15807</v>
      </c>
      <c r="B15812" s="11" t="str">
        <f>"00735678"</f>
        <v>00735678</v>
      </c>
    </row>
    <row r="15813" spans="1:2" x14ac:dyDescent="0.25">
      <c r="A15813" s="2">
        <v>15808</v>
      </c>
      <c r="B15813" s="11" t="str">
        <f>"00735765"</f>
        <v>00735765</v>
      </c>
    </row>
    <row r="15814" spans="1:2" x14ac:dyDescent="0.25">
      <c r="A15814" s="2">
        <v>15809</v>
      </c>
      <c r="B15814" s="11" t="str">
        <f>"00735789"</f>
        <v>00735789</v>
      </c>
    </row>
    <row r="15815" spans="1:2" x14ac:dyDescent="0.25">
      <c r="A15815" s="2">
        <v>15810</v>
      </c>
      <c r="B15815" s="11" t="str">
        <f>"00735836"</f>
        <v>00735836</v>
      </c>
    </row>
    <row r="15816" spans="1:2" x14ac:dyDescent="0.25">
      <c r="A15816" s="2">
        <v>15811</v>
      </c>
      <c r="B15816" s="11" t="str">
        <f>"00735851"</f>
        <v>00735851</v>
      </c>
    </row>
    <row r="15817" spans="1:2" x14ac:dyDescent="0.25">
      <c r="A15817" s="2">
        <v>15812</v>
      </c>
      <c r="B15817" s="11" t="str">
        <f>"00735860"</f>
        <v>00735860</v>
      </c>
    </row>
    <row r="15818" spans="1:2" x14ac:dyDescent="0.25">
      <c r="A15818" s="2">
        <v>15813</v>
      </c>
      <c r="B15818" s="11" t="str">
        <f>"00735921"</f>
        <v>00735921</v>
      </c>
    </row>
    <row r="15819" spans="1:2" x14ac:dyDescent="0.25">
      <c r="A15819" s="2">
        <v>15814</v>
      </c>
      <c r="B15819" s="11" t="str">
        <f>"00735976"</f>
        <v>00735976</v>
      </c>
    </row>
    <row r="15820" spans="1:2" x14ac:dyDescent="0.25">
      <c r="A15820" s="2">
        <v>15815</v>
      </c>
      <c r="B15820" s="11" t="str">
        <f>"00736059"</f>
        <v>00736059</v>
      </c>
    </row>
    <row r="15821" spans="1:2" x14ac:dyDescent="0.25">
      <c r="A15821" s="2">
        <v>15816</v>
      </c>
      <c r="B15821" s="11" t="str">
        <f>"00736095"</f>
        <v>00736095</v>
      </c>
    </row>
    <row r="15822" spans="1:2" x14ac:dyDescent="0.25">
      <c r="A15822" s="2">
        <v>15817</v>
      </c>
      <c r="B15822" s="11" t="str">
        <f>"00736115"</f>
        <v>00736115</v>
      </c>
    </row>
    <row r="15823" spans="1:2" x14ac:dyDescent="0.25">
      <c r="A15823" s="2">
        <v>15818</v>
      </c>
      <c r="B15823" s="11" t="str">
        <f>"00736124"</f>
        <v>00736124</v>
      </c>
    </row>
    <row r="15824" spans="1:2" x14ac:dyDescent="0.25">
      <c r="A15824" s="2">
        <v>15819</v>
      </c>
      <c r="B15824" s="11" t="str">
        <f>"00736151"</f>
        <v>00736151</v>
      </c>
    </row>
    <row r="15825" spans="1:2" x14ac:dyDescent="0.25">
      <c r="A15825" s="2">
        <v>15820</v>
      </c>
      <c r="B15825" s="11" t="str">
        <f>"00736184"</f>
        <v>00736184</v>
      </c>
    </row>
    <row r="15826" spans="1:2" x14ac:dyDescent="0.25">
      <c r="A15826" s="2">
        <v>15821</v>
      </c>
      <c r="B15826" s="11" t="str">
        <f>"00736202"</f>
        <v>00736202</v>
      </c>
    </row>
    <row r="15827" spans="1:2" x14ac:dyDescent="0.25">
      <c r="A15827" s="2">
        <v>15822</v>
      </c>
      <c r="B15827" s="11" t="str">
        <f>"00736228"</f>
        <v>00736228</v>
      </c>
    </row>
    <row r="15828" spans="1:2" x14ac:dyDescent="0.25">
      <c r="A15828" s="2">
        <v>15823</v>
      </c>
      <c r="B15828" s="11" t="str">
        <f>"00736232"</f>
        <v>00736232</v>
      </c>
    </row>
    <row r="15829" spans="1:2" x14ac:dyDescent="0.25">
      <c r="A15829" s="2">
        <v>15824</v>
      </c>
      <c r="B15829" s="11" t="str">
        <f>"00736258"</f>
        <v>00736258</v>
      </c>
    </row>
    <row r="15830" spans="1:2" x14ac:dyDescent="0.25">
      <c r="A15830" s="2">
        <v>15825</v>
      </c>
      <c r="B15830" s="11" t="str">
        <f>"00736260"</f>
        <v>00736260</v>
      </c>
    </row>
    <row r="15831" spans="1:2" x14ac:dyDescent="0.25">
      <c r="A15831" s="2">
        <v>15826</v>
      </c>
      <c r="B15831" s="11" t="str">
        <f>"00736276"</f>
        <v>00736276</v>
      </c>
    </row>
    <row r="15832" spans="1:2" x14ac:dyDescent="0.25">
      <c r="A15832" s="2">
        <v>15827</v>
      </c>
      <c r="B15832" s="11" t="str">
        <f>"00736362"</f>
        <v>00736362</v>
      </c>
    </row>
    <row r="15833" spans="1:2" x14ac:dyDescent="0.25">
      <c r="A15833" s="2">
        <v>15828</v>
      </c>
      <c r="B15833" s="11" t="str">
        <f>"00736386"</f>
        <v>00736386</v>
      </c>
    </row>
    <row r="15834" spans="1:2" x14ac:dyDescent="0.25">
      <c r="A15834" s="2">
        <v>15829</v>
      </c>
      <c r="B15834" s="11" t="str">
        <f>"00736421"</f>
        <v>00736421</v>
      </c>
    </row>
    <row r="15835" spans="1:2" x14ac:dyDescent="0.25">
      <c r="A15835" s="2">
        <v>15830</v>
      </c>
      <c r="B15835" s="11" t="str">
        <f>"00736443"</f>
        <v>00736443</v>
      </c>
    </row>
    <row r="15836" spans="1:2" x14ac:dyDescent="0.25">
      <c r="A15836" s="2">
        <v>15831</v>
      </c>
      <c r="B15836" s="11" t="str">
        <f>"00736457"</f>
        <v>00736457</v>
      </c>
    </row>
    <row r="15837" spans="1:2" x14ac:dyDescent="0.25">
      <c r="A15837" s="2">
        <v>15832</v>
      </c>
      <c r="B15837" s="11" t="str">
        <f>"00736562"</f>
        <v>00736562</v>
      </c>
    </row>
    <row r="15838" spans="1:2" x14ac:dyDescent="0.25">
      <c r="A15838" s="2">
        <v>15833</v>
      </c>
      <c r="B15838" s="11" t="str">
        <f>"00736609"</f>
        <v>00736609</v>
      </c>
    </row>
    <row r="15839" spans="1:2" x14ac:dyDescent="0.25">
      <c r="A15839" s="2">
        <v>15834</v>
      </c>
      <c r="B15839" s="11" t="str">
        <f>"00736628"</f>
        <v>00736628</v>
      </c>
    </row>
    <row r="15840" spans="1:2" x14ac:dyDescent="0.25">
      <c r="A15840" s="2">
        <v>15835</v>
      </c>
      <c r="B15840" s="11" t="str">
        <f>"00736629"</f>
        <v>00736629</v>
      </c>
    </row>
    <row r="15841" spans="1:2" x14ac:dyDescent="0.25">
      <c r="A15841" s="2">
        <v>15836</v>
      </c>
      <c r="B15841" s="11" t="str">
        <f>"00736637"</f>
        <v>00736637</v>
      </c>
    </row>
    <row r="15842" spans="1:2" x14ac:dyDescent="0.25">
      <c r="A15842" s="2">
        <v>15837</v>
      </c>
      <c r="B15842" s="11" t="str">
        <f>"00736657"</f>
        <v>00736657</v>
      </c>
    </row>
    <row r="15843" spans="1:2" x14ac:dyDescent="0.25">
      <c r="A15843" s="2">
        <v>15838</v>
      </c>
      <c r="B15843" s="11" t="str">
        <f>"00736669"</f>
        <v>00736669</v>
      </c>
    </row>
    <row r="15844" spans="1:2" x14ac:dyDescent="0.25">
      <c r="A15844" s="2">
        <v>15839</v>
      </c>
      <c r="B15844" s="11" t="str">
        <f>"00736692"</f>
        <v>00736692</v>
      </c>
    </row>
    <row r="15845" spans="1:2" x14ac:dyDescent="0.25">
      <c r="A15845" s="2">
        <v>15840</v>
      </c>
      <c r="B15845" s="11" t="str">
        <f>"00736735"</f>
        <v>00736735</v>
      </c>
    </row>
    <row r="15846" spans="1:2" x14ac:dyDescent="0.25">
      <c r="A15846" s="2">
        <v>15841</v>
      </c>
      <c r="B15846" s="11" t="str">
        <f>"00736738"</f>
        <v>00736738</v>
      </c>
    </row>
    <row r="15847" spans="1:2" x14ac:dyDescent="0.25">
      <c r="A15847" s="2">
        <v>15842</v>
      </c>
      <c r="B15847" s="11" t="str">
        <f>"00736786"</f>
        <v>00736786</v>
      </c>
    </row>
    <row r="15848" spans="1:2" x14ac:dyDescent="0.25">
      <c r="A15848" s="2">
        <v>15843</v>
      </c>
      <c r="B15848" s="11" t="str">
        <f>"00736792"</f>
        <v>00736792</v>
      </c>
    </row>
    <row r="15849" spans="1:2" x14ac:dyDescent="0.25">
      <c r="A15849" s="2">
        <v>15844</v>
      </c>
      <c r="B15849" s="11" t="str">
        <f>"00736833"</f>
        <v>00736833</v>
      </c>
    </row>
    <row r="15850" spans="1:2" x14ac:dyDescent="0.25">
      <c r="A15850" s="2">
        <v>15845</v>
      </c>
      <c r="B15850" s="11" t="str">
        <f>"00736876"</f>
        <v>00736876</v>
      </c>
    </row>
    <row r="15851" spans="1:2" x14ac:dyDescent="0.25">
      <c r="A15851" s="2">
        <v>15846</v>
      </c>
      <c r="B15851" s="11" t="str">
        <f>"00736892"</f>
        <v>00736892</v>
      </c>
    </row>
    <row r="15852" spans="1:2" x14ac:dyDescent="0.25">
      <c r="A15852" s="2">
        <v>15847</v>
      </c>
      <c r="B15852" s="11" t="str">
        <f>"00736927"</f>
        <v>00736927</v>
      </c>
    </row>
    <row r="15853" spans="1:2" x14ac:dyDescent="0.25">
      <c r="A15853" s="2">
        <v>15848</v>
      </c>
      <c r="B15853" s="11" t="str">
        <f>"00736953"</f>
        <v>00736953</v>
      </c>
    </row>
    <row r="15854" spans="1:2" x14ac:dyDescent="0.25">
      <c r="A15854" s="2">
        <v>15849</v>
      </c>
      <c r="B15854" s="11" t="str">
        <f>"00736970"</f>
        <v>00736970</v>
      </c>
    </row>
    <row r="15855" spans="1:2" x14ac:dyDescent="0.25">
      <c r="A15855" s="2">
        <v>15850</v>
      </c>
      <c r="B15855" s="11" t="str">
        <f>"00736972"</f>
        <v>00736972</v>
      </c>
    </row>
    <row r="15856" spans="1:2" x14ac:dyDescent="0.25">
      <c r="A15856" s="2">
        <v>15851</v>
      </c>
      <c r="B15856" s="11" t="str">
        <f>"00736981"</f>
        <v>00736981</v>
      </c>
    </row>
    <row r="15857" spans="1:2" x14ac:dyDescent="0.25">
      <c r="A15857" s="2">
        <v>15852</v>
      </c>
      <c r="B15857" s="11" t="str">
        <f>"00737005"</f>
        <v>00737005</v>
      </c>
    </row>
    <row r="15858" spans="1:2" x14ac:dyDescent="0.25">
      <c r="A15858" s="2">
        <v>15853</v>
      </c>
      <c r="B15858" s="11" t="str">
        <f>"00737014"</f>
        <v>00737014</v>
      </c>
    </row>
    <row r="15859" spans="1:2" x14ac:dyDescent="0.25">
      <c r="A15859" s="2">
        <v>15854</v>
      </c>
      <c r="B15859" s="11" t="str">
        <f>"00737020"</f>
        <v>00737020</v>
      </c>
    </row>
    <row r="15860" spans="1:2" x14ac:dyDescent="0.25">
      <c r="A15860" s="2">
        <v>15855</v>
      </c>
      <c r="B15860" s="11" t="str">
        <f>"00737036"</f>
        <v>00737036</v>
      </c>
    </row>
    <row r="15861" spans="1:2" x14ac:dyDescent="0.25">
      <c r="A15861" s="2">
        <v>15856</v>
      </c>
      <c r="B15861" s="11" t="str">
        <f>"00737038"</f>
        <v>00737038</v>
      </c>
    </row>
    <row r="15862" spans="1:2" x14ac:dyDescent="0.25">
      <c r="A15862" s="2">
        <v>15857</v>
      </c>
      <c r="B15862" s="11" t="str">
        <f>"00737043"</f>
        <v>00737043</v>
      </c>
    </row>
    <row r="15863" spans="1:2" x14ac:dyDescent="0.25">
      <c r="A15863" s="2">
        <v>15858</v>
      </c>
      <c r="B15863" s="11" t="str">
        <f>"00737053"</f>
        <v>00737053</v>
      </c>
    </row>
    <row r="15864" spans="1:2" x14ac:dyDescent="0.25">
      <c r="A15864" s="2">
        <v>15859</v>
      </c>
      <c r="B15864" s="11" t="str">
        <f>"00737096"</f>
        <v>00737096</v>
      </c>
    </row>
    <row r="15865" spans="1:2" x14ac:dyDescent="0.25">
      <c r="A15865" s="2">
        <v>15860</v>
      </c>
      <c r="B15865" s="11" t="str">
        <f>"00737116"</f>
        <v>00737116</v>
      </c>
    </row>
    <row r="15866" spans="1:2" x14ac:dyDescent="0.25">
      <c r="A15866" s="2">
        <v>15861</v>
      </c>
      <c r="B15866" s="11" t="str">
        <f>"00737210"</f>
        <v>00737210</v>
      </c>
    </row>
    <row r="15867" spans="1:2" x14ac:dyDescent="0.25">
      <c r="A15867" s="2">
        <v>15862</v>
      </c>
      <c r="B15867" s="11" t="str">
        <f>"00737242"</f>
        <v>00737242</v>
      </c>
    </row>
    <row r="15868" spans="1:2" x14ac:dyDescent="0.25">
      <c r="A15868" s="2">
        <v>15863</v>
      </c>
      <c r="B15868" s="11" t="str">
        <f>"00737269"</f>
        <v>00737269</v>
      </c>
    </row>
    <row r="15869" spans="1:2" x14ac:dyDescent="0.25">
      <c r="A15869" s="2">
        <v>15864</v>
      </c>
      <c r="B15869" s="11" t="str">
        <f>"00737301"</f>
        <v>00737301</v>
      </c>
    </row>
    <row r="15870" spans="1:2" x14ac:dyDescent="0.25">
      <c r="A15870" s="2">
        <v>15865</v>
      </c>
      <c r="B15870" s="11" t="str">
        <f>"00737328"</f>
        <v>00737328</v>
      </c>
    </row>
    <row r="15871" spans="1:2" x14ac:dyDescent="0.25">
      <c r="A15871" s="2">
        <v>15866</v>
      </c>
      <c r="B15871" s="11" t="str">
        <f>"00737342"</f>
        <v>00737342</v>
      </c>
    </row>
    <row r="15872" spans="1:2" x14ac:dyDescent="0.25">
      <c r="A15872" s="2">
        <v>15867</v>
      </c>
      <c r="B15872" s="11" t="str">
        <f>"00737360"</f>
        <v>00737360</v>
      </c>
    </row>
    <row r="15873" spans="1:2" x14ac:dyDescent="0.25">
      <c r="A15873" s="2">
        <v>15868</v>
      </c>
      <c r="B15873" s="11" t="str">
        <f>"00737384"</f>
        <v>00737384</v>
      </c>
    </row>
    <row r="15874" spans="1:2" x14ac:dyDescent="0.25">
      <c r="A15874" s="2">
        <v>15869</v>
      </c>
      <c r="B15874" s="11" t="str">
        <f>"00737400"</f>
        <v>00737400</v>
      </c>
    </row>
    <row r="15875" spans="1:2" x14ac:dyDescent="0.25">
      <c r="A15875" s="2">
        <v>15870</v>
      </c>
      <c r="B15875" s="11" t="str">
        <f>"00737466"</f>
        <v>00737466</v>
      </c>
    </row>
    <row r="15876" spans="1:2" x14ac:dyDescent="0.25">
      <c r="A15876" s="2">
        <v>15871</v>
      </c>
      <c r="B15876" s="11" t="str">
        <f>"00737484"</f>
        <v>00737484</v>
      </c>
    </row>
    <row r="15877" spans="1:2" x14ac:dyDescent="0.25">
      <c r="A15877" s="2">
        <v>15872</v>
      </c>
      <c r="B15877" s="11" t="str">
        <f>"00737504"</f>
        <v>00737504</v>
      </c>
    </row>
    <row r="15878" spans="1:2" x14ac:dyDescent="0.25">
      <c r="A15878" s="2">
        <v>15873</v>
      </c>
      <c r="B15878" s="11" t="str">
        <f>"00737513"</f>
        <v>00737513</v>
      </c>
    </row>
    <row r="15879" spans="1:2" x14ac:dyDescent="0.25">
      <c r="A15879" s="2">
        <v>15874</v>
      </c>
      <c r="B15879" s="11" t="str">
        <f>"00737527"</f>
        <v>00737527</v>
      </c>
    </row>
    <row r="15880" spans="1:2" x14ac:dyDescent="0.25">
      <c r="A15880" s="2">
        <v>15875</v>
      </c>
      <c r="B15880" s="11" t="str">
        <f>"00737547"</f>
        <v>00737547</v>
      </c>
    </row>
    <row r="15881" spans="1:2" x14ac:dyDescent="0.25">
      <c r="A15881" s="2">
        <v>15876</v>
      </c>
      <c r="B15881" s="11" t="str">
        <f>"00737558"</f>
        <v>00737558</v>
      </c>
    </row>
    <row r="15882" spans="1:2" x14ac:dyDescent="0.25">
      <c r="A15882" s="2">
        <v>15877</v>
      </c>
      <c r="B15882" s="11" t="str">
        <f>"00737567"</f>
        <v>00737567</v>
      </c>
    </row>
    <row r="15883" spans="1:2" x14ac:dyDescent="0.25">
      <c r="A15883" s="2">
        <v>15878</v>
      </c>
      <c r="B15883" s="11" t="str">
        <f>"00737579"</f>
        <v>00737579</v>
      </c>
    </row>
    <row r="15884" spans="1:2" x14ac:dyDescent="0.25">
      <c r="A15884" s="2">
        <v>15879</v>
      </c>
      <c r="B15884" s="11" t="str">
        <f>"00737641"</f>
        <v>00737641</v>
      </c>
    </row>
    <row r="15885" spans="1:2" x14ac:dyDescent="0.25">
      <c r="A15885" s="2">
        <v>15880</v>
      </c>
      <c r="B15885" s="11" t="str">
        <f>"00737711"</f>
        <v>00737711</v>
      </c>
    </row>
    <row r="15886" spans="1:2" x14ac:dyDescent="0.25">
      <c r="A15886" s="2">
        <v>15881</v>
      </c>
      <c r="B15886" s="11" t="str">
        <f>"00737715"</f>
        <v>00737715</v>
      </c>
    </row>
    <row r="15887" spans="1:2" x14ac:dyDescent="0.25">
      <c r="A15887" s="2">
        <v>15882</v>
      </c>
      <c r="B15887" s="11" t="str">
        <f>"00737737"</f>
        <v>00737737</v>
      </c>
    </row>
    <row r="15888" spans="1:2" x14ac:dyDescent="0.25">
      <c r="A15888" s="2">
        <v>15883</v>
      </c>
      <c r="B15888" s="11" t="str">
        <f>"00737740"</f>
        <v>00737740</v>
      </c>
    </row>
    <row r="15889" spans="1:2" x14ac:dyDescent="0.25">
      <c r="A15889" s="2">
        <v>15884</v>
      </c>
      <c r="B15889" s="11" t="str">
        <f>"00737743"</f>
        <v>00737743</v>
      </c>
    </row>
    <row r="15890" spans="1:2" x14ac:dyDescent="0.25">
      <c r="A15890" s="2">
        <v>15885</v>
      </c>
      <c r="B15890" s="11" t="str">
        <f>"00737755"</f>
        <v>00737755</v>
      </c>
    </row>
    <row r="15891" spans="1:2" x14ac:dyDescent="0.25">
      <c r="A15891" s="2">
        <v>15886</v>
      </c>
      <c r="B15891" s="11" t="str">
        <f>"00737770"</f>
        <v>00737770</v>
      </c>
    </row>
    <row r="15892" spans="1:2" x14ac:dyDescent="0.25">
      <c r="A15892" s="2">
        <v>15887</v>
      </c>
      <c r="B15892" s="11" t="str">
        <f>"00737773"</f>
        <v>00737773</v>
      </c>
    </row>
    <row r="15893" spans="1:2" x14ac:dyDescent="0.25">
      <c r="A15893" s="2">
        <v>15888</v>
      </c>
      <c r="B15893" s="11" t="str">
        <f>"00737775"</f>
        <v>00737775</v>
      </c>
    </row>
    <row r="15894" spans="1:2" x14ac:dyDescent="0.25">
      <c r="A15894" s="2">
        <v>15889</v>
      </c>
      <c r="B15894" s="11" t="str">
        <f>"00737828"</f>
        <v>00737828</v>
      </c>
    </row>
    <row r="15895" spans="1:2" x14ac:dyDescent="0.25">
      <c r="A15895" s="2">
        <v>15890</v>
      </c>
      <c r="B15895" s="11" t="str">
        <f>"00737863"</f>
        <v>00737863</v>
      </c>
    </row>
    <row r="15896" spans="1:2" x14ac:dyDescent="0.25">
      <c r="A15896" s="2">
        <v>15891</v>
      </c>
      <c r="B15896" s="11" t="str">
        <f>"00737913"</f>
        <v>00737913</v>
      </c>
    </row>
    <row r="15897" spans="1:2" x14ac:dyDescent="0.25">
      <c r="A15897" s="2">
        <v>15892</v>
      </c>
      <c r="B15897" s="11" t="str">
        <f>"00737984"</f>
        <v>00737984</v>
      </c>
    </row>
    <row r="15898" spans="1:2" x14ac:dyDescent="0.25">
      <c r="A15898" s="2">
        <v>15893</v>
      </c>
      <c r="B15898" s="11" t="str">
        <f>"00738118"</f>
        <v>00738118</v>
      </c>
    </row>
    <row r="15899" spans="1:2" x14ac:dyDescent="0.25">
      <c r="A15899" s="2">
        <v>15894</v>
      </c>
      <c r="B15899" s="11" t="str">
        <f>"00738132"</f>
        <v>00738132</v>
      </c>
    </row>
    <row r="15900" spans="1:2" x14ac:dyDescent="0.25">
      <c r="A15900" s="2">
        <v>15895</v>
      </c>
      <c r="B15900" s="11" t="str">
        <f>"00738137"</f>
        <v>00738137</v>
      </c>
    </row>
    <row r="15901" spans="1:2" x14ac:dyDescent="0.25">
      <c r="A15901" s="2">
        <v>15896</v>
      </c>
      <c r="B15901" s="11" t="str">
        <f>"00738153"</f>
        <v>00738153</v>
      </c>
    </row>
    <row r="15902" spans="1:2" x14ac:dyDescent="0.25">
      <c r="A15902" s="2">
        <v>15897</v>
      </c>
      <c r="B15902" s="11" t="str">
        <f>"00738174"</f>
        <v>00738174</v>
      </c>
    </row>
    <row r="15903" spans="1:2" x14ac:dyDescent="0.25">
      <c r="A15903" s="2">
        <v>15898</v>
      </c>
      <c r="B15903" s="11" t="str">
        <f>"00738185"</f>
        <v>00738185</v>
      </c>
    </row>
    <row r="15904" spans="1:2" x14ac:dyDescent="0.25">
      <c r="A15904" s="2">
        <v>15899</v>
      </c>
      <c r="B15904" s="11" t="str">
        <f>"00738266"</f>
        <v>00738266</v>
      </c>
    </row>
    <row r="15905" spans="1:2" x14ac:dyDescent="0.25">
      <c r="A15905" s="2">
        <v>15900</v>
      </c>
      <c r="B15905" s="11" t="str">
        <f>"00738283"</f>
        <v>00738283</v>
      </c>
    </row>
    <row r="15906" spans="1:2" x14ac:dyDescent="0.25">
      <c r="A15906" s="2">
        <v>15901</v>
      </c>
      <c r="B15906" s="11" t="str">
        <f>"00738299"</f>
        <v>00738299</v>
      </c>
    </row>
    <row r="15907" spans="1:2" x14ac:dyDescent="0.25">
      <c r="A15907" s="2">
        <v>15902</v>
      </c>
      <c r="B15907" s="11" t="str">
        <f>"00738311"</f>
        <v>00738311</v>
      </c>
    </row>
    <row r="15908" spans="1:2" x14ac:dyDescent="0.25">
      <c r="A15908" s="2">
        <v>15903</v>
      </c>
      <c r="B15908" s="11" t="str">
        <f>"00738363"</f>
        <v>00738363</v>
      </c>
    </row>
    <row r="15909" spans="1:2" x14ac:dyDescent="0.25">
      <c r="A15909" s="2">
        <v>15904</v>
      </c>
      <c r="B15909" s="11" t="str">
        <f>"00738364"</f>
        <v>00738364</v>
      </c>
    </row>
    <row r="15910" spans="1:2" x14ac:dyDescent="0.25">
      <c r="A15910" s="2">
        <v>15905</v>
      </c>
      <c r="B15910" s="11" t="str">
        <f>"00738372"</f>
        <v>00738372</v>
      </c>
    </row>
    <row r="15911" spans="1:2" x14ac:dyDescent="0.25">
      <c r="A15911" s="2">
        <v>15906</v>
      </c>
      <c r="B15911" s="11" t="str">
        <f>"00738401"</f>
        <v>00738401</v>
      </c>
    </row>
    <row r="15912" spans="1:2" x14ac:dyDescent="0.25">
      <c r="A15912" s="2">
        <v>15907</v>
      </c>
      <c r="B15912" s="11" t="str">
        <f>"00738493"</f>
        <v>00738493</v>
      </c>
    </row>
    <row r="15913" spans="1:2" x14ac:dyDescent="0.25">
      <c r="A15913" s="2">
        <v>15908</v>
      </c>
      <c r="B15913" s="11" t="str">
        <f>"00738510"</f>
        <v>00738510</v>
      </c>
    </row>
    <row r="15914" spans="1:2" x14ac:dyDescent="0.25">
      <c r="A15914" s="2">
        <v>15909</v>
      </c>
      <c r="B15914" s="11" t="str">
        <f>"00738512"</f>
        <v>00738512</v>
      </c>
    </row>
    <row r="15915" spans="1:2" x14ac:dyDescent="0.25">
      <c r="A15915" s="2">
        <v>15910</v>
      </c>
      <c r="B15915" s="11" t="str">
        <f>"00738523"</f>
        <v>00738523</v>
      </c>
    </row>
    <row r="15916" spans="1:2" x14ac:dyDescent="0.25">
      <c r="A15916" s="2">
        <v>15911</v>
      </c>
      <c r="B15916" s="11" t="str">
        <f>"00738550"</f>
        <v>00738550</v>
      </c>
    </row>
    <row r="15917" spans="1:2" x14ac:dyDescent="0.25">
      <c r="A15917" s="2">
        <v>15912</v>
      </c>
      <c r="B15917" s="11" t="str">
        <f>"00738635"</f>
        <v>00738635</v>
      </c>
    </row>
    <row r="15918" spans="1:2" x14ac:dyDescent="0.25">
      <c r="A15918" s="2">
        <v>15913</v>
      </c>
      <c r="B15918" s="11" t="str">
        <f>"00738679"</f>
        <v>00738679</v>
      </c>
    </row>
    <row r="15919" spans="1:2" x14ac:dyDescent="0.25">
      <c r="A15919" s="2">
        <v>15914</v>
      </c>
      <c r="B15919" s="11" t="str">
        <f>"00738680"</f>
        <v>00738680</v>
      </c>
    </row>
    <row r="15920" spans="1:2" x14ac:dyDescent="0.25">
      <c r="A15920" s="2">
        <v>15915</v>
      </c>
      <c r="B15920" s="11" t="str">
        <f>"00738687"</f>
        <v>00738687</v>
      </c>
    </row>
    <row r="15921" spans="1:2" x14ac:dyDescent="0.25">
      <c r="A15921" s="2">
        <v>15916</v>
      </c>
      <c r="B15921" s="11" t="str">
        <f>"00738697"</f>
        <v>00738697</v>
      </c>
    </row>
    <row r="15922" spans="1:2" x14ac:dyDescent="0.25">
      <c r="A15922" s="2">
        <v>15917</v>
      </c>
      <c r="B15922" s="11" t="str">
        <f>"00738717"</f>
        <v>00738717</v>
      </c>
    </row>
    <row r="15923" spans="1:2" x14ac:dyDescent="0.25">
      <c r="A15923" s="2">
        <v>15918</v>
      </c>
      <c r="B15923" s="11" t="str">
        <f>"00738728"</f>
        <v>00738728</v>
      </c>
    </row>
    <row r="15924" spans="1:2" x14ac:dyDescent="0.25">
      <c r="A15924" s="2">
        <v>15919</v>
      </c>
      <c r="B15924" s="11" t="str">
        <f>"00738744"</f>
        <v>00738744</v>
      </c>
    </row>
    <row r="15925" spans="1:2" x14ac:dyDescent="0.25">
      <c r="A15925" s="2">
        <v>15920</v>
      </c>
      <c r="B15925" s="11" t="str">
        <f>"00738836"</f>
        <v>00738836</v>
      </c>
    </row>
    <row r="15926" spans="1:2" x14ac:dyDescent="0.25">
      <c r="A15926" s="2">
        <v>15921</v>
      </c>
      <c r="B15926" s="11" t="str">
        <f>"00738865"</f>
        <v>00738865</v>
      </c>
    </row>
    <row r="15927" spans="1:2" x14ac:dyDescent="0.25">
      <c r="A15927" s="2">
        <v>15922</v>
      </c>
      <c r="B15927" s="11" t="str">
        <f>"00738910"</f>
        <v>00738910</v>
      </c>
    </row>
    <row r="15928" spans="1:2" x14ac:dyDescent="0.25">
      <c r="A15928" s="2">
        <v>15923</v>
      </c>
      <c r="B15928" s="11" t="str">
        <f>"00738912"</f>
        <v>00738912</v>
      </c>
    </row>
    <row r="15929" spans="1:2" x14ac:dyDescent="0.25">
      <c r="A15929" s="2">
        <v>15924</v>
      </c>
      <c r="B15929" s="11" t="str">
        <f>"00738916"</f>
        <v>00738916</v>
      </c>
    </row>
    <row r="15930" spans="1:2" x14ac:dyDescent="0.25">
      <c r="A15930" s="2">
        <v>15925</v>
      </c>
      <c r="B15930" s="11" t="str">
        <f>"00738950"</f>
        <v>00738950</v>
      </c>
    </row>
    <row r="15931" spans="1:2" x14ac:dyDescent="0.25">
      <c r="A15931" s="2">
        <v>15926</v>
      </c>
      <c r="B15931" s="11" t="str">
        <f>"00739010"</f>
        <v>00739010</v>
      </c>
    </row>
    <row r="15932" spans="1:2" x14ac:dyDescent="0.25">
      <c r="A15932" s="2">
        <v>15927</v>
      </c>
      <c r="B15932" s="11" t="str">
        <f>"00739026"</f>
        <v>00739026</v>
      </c>
    </row>
    <row r="15933" spans="1:2" x14ac:dyDescent="0.25">
      <c r="A15933" s="2">
        <v>15928</v>
      </c>
      <c r="B15933" s="11" t="str">
        <f>"00739028"</f>
        <v>00739028</v>
      </c>
    </row>
    <row r="15934" spans="1:2" x14ac:dyDescent="0.25">
      <c r="A15934" s="2">
        <v>15929</v>
      </c>
      <c r="B15934" s="11" t="str">
        <f>"00739051"</f>
        <v>00739051</v>
      </c>
    </row>
    <row r="15935" spans="1:2" x14ac:dyDescent="0.25">
      <c r="A15935" s="2">
        <v>15930</v>
      </c>
      <c r="B15935" s="11" t="str">
        <f>"00739076"</f>
        <v>00739076</v>
      </c>
    </row>
    <row r="15936" spans="1:2" x14ac:dyDescent="0.25">
      <c r="A15936" s="2">
        <v>15931</v>
      </c>
      <c r="B15936" s="11" t="str">
        <f>"00739084"</f>
        <v>00739084</v>
      </c>
    </row>
    <row r="15937" spans="1:2" x14ac:dyDescent="0.25">
      <c r="A15937" s="2">
        <v>15932</v>
      </c>
      <c r="B15937" s="11" t="str">
        <f>"00739112"</f>
        <v>00739112</v>
      </c>
    </row>
    <row r="15938" spans="1:2" x14ac:dyDescent="0.25">
      <c r="A15938" s="2">
        <v>15933</v>
      </c>
      <c r="B15938" s="11" t="str">
        <f>"00739133"</f>
        <v>00739133</v>
      </c>
    </row>
    <row r="15939" spans="1:2" x14ac:dyDescent="0.25">
      <c r="A15939" s="2">
        <v>15934</v>
      </c>
      <c r="B15939" s="11" t="str">
        <f>"00739216"</f>
        <v>00739216</v>
      </c>
    </row>
    <row r="15940" spans="1:2" x14ac:dyDescent="0.25">
      <c r="A15940" s="2">
        <v>15935</v>
      </c>
      <c r="B15940" s="11" t="str">
        <f>"00739233"</f>
        <v>00739233</v>
      </c>
    </row>
    <row r="15941" spans="1:2" x14ac:dyDescent="0.25">
      <c r="A15941" s="2">
        <v>15936</v>
      </c>
      <c r="B15941" s="11" t="str">
        <f>"00739234"</f>
        <v>00739234</v>
      </c>
    </row>
    <row r="15942" spans="1:2" x14ac:dyDescent="0.25">
      <c r="A15942" s="2">
        <v>15937</v>
      </c>
      <c r="B15942" s="11" t="str">
        <f>"00739238"</f>
        <v>00739238</v>
      </c>
    </row>
    <row r="15943" spans="1:2" x14ac:dyDescent="0.25">
      <c r="A15943" s="2">
        <v>15938</v>
      </c>
      <c r="B15943" s="11" t="str">
        <f>"00739283"</f>
        <v>00739283</v>
      </c>
    </row>
    <row r="15944" spans="1:2" x14ac:dyDescent="0.25">
      <c r="A15944" s="2">
        <v>15939</v>
      </c>
      <c r="B15944" s="11" t="str">
        <f>"00739365"</f>
        <v>00739365</v>
      </c>
    </row>
    <row r="15945" spans="1:2" x14ac:dyDescent="0.25">
      <c r="A15945" s="2">
        <v>15940</v>
      </c>
      <c r="B15945" s="11" t="str">
        <f>"00739407"</f>
        <v>00739407</v>
      </c>
    </row>
    <row r="15946" spans="1:2" x14ac:dyDescent="0.25">
      <c r="A15946" s="2">
        <v>15941</v>
      </c>
      <c r="B15946" s="11" t="str">
        <f>"00739434"</f>
        <v>00739434</v>
      </c>
    </row>
    <row r="15947" spans="1:2" x14ac:dyDescent="0.25">
      <c r="A15947" s="2">
        <v>15942</v>
      </c>
      <c r="B15947" s="11" t="str">
        <f>"00739501"</f>
        <v>00739501</v>
      </c>
    </row>
    <row r="15948" spans="1:2" x14ac:dyDescent="0.25">
      <c r="A15948" s="2">
        <v>15943</v>
      </c>
      <c r="B15948" s="11" t="str">
        <f>"00739516"</f>
        <v>00739516</v>
      </c>
    </row>
    <row r="15949" spans="1:2" x14ac:dyDescent="0.25">
      <c r="A15949" s="2">
        <v>15944</v>
      </c>
      <c r="B15949" s="11" t="str">
        <f>"00739636"</f>
        <v>00739636</v>
      </c>
    </row>
    <row r="15950" spans="1:2" x14ac:dyDescent="0.25">
      <c r="A15950" s="2">
        <v>15945</v>
      </c>
      <c r="B15950" s="11" t="str">
        <f>"00739653"</f>
        <v>00739653</v>
      </c>
    </row>
    <row r="15951" spans="1:2" x14ac:dyDescent="0.25">
      <c r="A15951" s="2">
        <v>15946</v>
      </c>
      <c r="B15951" s="11" t="str">
        <f>"00739676"</f>
        <v>00739676</v>
      </c>
    </row>
    <row r="15952" spans="1:2" x14ac:dyDescent="0.25">
      <c r="A15952" s="2">
        <v>15947</v>
      </c>
      <c r="B15952" s="11" t="str">
        <f>"00739695"</f>
        <v>00739695</v>
      </c>
    </row>
    <row r="15953" spans="1:2" x14ac:dyDescent="0.25">
      <c r="A15953" s="2">
        <v>15948</v>
      </c>
      <c r="B15953" s="11" t="str">
        <f>"00739709"</f>
        <v>00739709</v>
      </c>
    </row>
    <row r="15954" spans="1:2" x14ac:dyDescent="0.25">
      <c r="A15954" s="2">
        <v>15949</v>
      </c>
      <c r="B15954" s="11" t="str">
        <f>"00739717"</f>
        <v>00739717</v>
      </c>
    </row>
    <row r="15955" spans="1:2" x14ac:dyDescent="0.25">
      <c r="A15955" s="2">
        <v>15950</v>
      </c>
      <c r="B15955" s="11" t="str">
        <f>"00739877"</f>
        <v>00739877</v>
      </c>
    </row>
    <row r="15956" spans="1:2" x14ac:dyDescent="0.25">
      <c r="A15956" s="2">
        <v>15951</v>
      </c>
      <c r="B15956" s="11" t="str">
        <f>"00739949"</f>
        <v>00739949</v>
      </c>
    </row>
    <row r="15957" spans="1:2" x14ac:dyDescent="0.25">
      <c r="A15957" s="2">
        <v>15952</v>
      </c>
      <c r="B15957" s="11" t="str">
        <f>"00739952"</f>
        <v>00739952</v>
      </c>
    </row>
    <row r="15958" spans="1:2" x14ac:dyDescent="0.25">
      <c r="A15958" s="2">
        <v>15953</v>
      </c>
      <c r="B15958" s="11" t="str">
        <f>"00739971"</f>
        <v>00739971</v>
      </c>
    </row>
    <row r="15959" spans="1:2" x14ac:dyDescent="0.25">
      <c r="A15959" s="2">
        <v>15954</v>
      </c>
      <c r="B15959" s="11" t="str">
        <f>"00739996"</f>
        <v>00739996</v>
      </c>
    </row>
    <row r="15960" spans="1:2" x14ac:dyDescent="0.25">
      <c r="A15960" s="2">
        <v>15955</v>
      </c>
      <c r="B15960" s="11" t="str">
        <f>"00740022"</f>
        <v>00740022</v>
      </c>
    </row>
    <row r="15961" spans="1:2" x14ac:dyDescent="0.25">
      <c r="A15961" s="2">
        <v>15956</v>
      </c>
      <c r="B15961" s="11" t="str">
        <f>"00740029"</f>
        <v>00740029</v>
      </c>
    </row>
    <row r="15962" spans="1:2" x14ac:dyDescent="0.25">
      <c r="A15962" s="2">
        <v>15957</v>
      </c>
      <c r="B15962" s="11" t="str">
        <f>"00740097"</f>
        <v>00740097</v>
      </c>
    </row>
    <row r="15963" spans="1:2" x14ac:dyDescent="0.25">
      <c r="A15963" s="2">
        <v>15958</v>
      </c>
      <c r="B15963" s="11" t="str">
        <f>"00740174"</f>
        <v>00740174</v>
      </c>
    </row>
    <row r="15964" spans="1:2" x14ac:dyDescent="0.25">
      <c r="A15964" s="2">
        <v>15959</v>
      </c>
      <c r="B15964" s="11" t="str">
        <f>"00740275"</f>
        <v>00740275</v>
      </c>
    </row>
    <row r="15965" spans="1:2" x14ac:dyDescent="0.25">
      <c r="A15965" s="2">
        <v>15960</v>
      </c>
      <c r="B15965" s="11" t="str">
        <f>"00740300"</f>
        <v>00740300</v>
      </c>
    </row>
    <row r="15966" spans="1:2" x14ac:dyDescent="0.25">
      <c r="A15966" s="2">
        <v>15961</v>
      </c>
      <c r="B15966" s="11" t="str">
        <f>"00740324"</f>
        <v>00740324</v>
      </c>
    </row>
    <row r="15967" spans="1:2" x14ac:dyDescent="0.25">
      <c r="A15967" s="2">
        <v>15962</v>
      </c>
      <c r="B15967" s="11" t="str">
        <f>"00740352"</f>
        <v>00740352</v>
      </c>
    </row>
    <row r="15968" spans="1:2" x14ac:dyDescent="0.25">
      <c r="A15968" s="2">
        <v>15963</v>
      </c>
      <c r="B15968" s="11" t="str">
        <f>"00740379"</f>
        <v>00740379</v>
      </c>
    </row>
    <row r="15969" spans="1:2" x14ac:dyDescent="0.25">
      <c r="A15969" s="2">
        <v>15964</v>
      </c>
      <c r="B15969" s="11" t="str">
        <f>"00740394"</f>
        <v>00740394</v>
      </c>
    </row>
    <row r="15970" spans="1:2" x14ac:dyDescent="0.25">
      <c r="A15970" s="2">
        <v>15965</v>
      </c>
      <c r="B15970" s="11" t="str">
        <f>"00740484"</f>
        <v>00740484</v>
      </c>
    </row>
    <row r="15971" spans="1:2" x14ac:dyDescent="0.25">
      <c r="A15971" s="2">
        <v>15966</v>
      </c>
      <c r="B15971" s="11" t="str">
        <f>"00740547"</f>
        <v>00740547</v>
      </c>
    </row>
    <row r="15972" spans="1:2" x14ac:dyDescent="0.25">
      <c r="A15972" s="2">
        <v>15967</v>
      </c>
      <c r="B15972" s="11" t="str">
        <f>"00740587"</f>
        <v>00740587</v>
      </c>
    </row>
    <row r="15973" spans="1:2" x14ac:dyDescent="0.25">
      <c r="A15973" s="2">
        <v>15968</v>
      </c>
      <c r="B15973" s="11" t="str">
        <f>"00740647"</f>
        <v>00740647</v>
      </c>
    </row>
    <row r="15974" spans="1:2" x14ac:dyDescent="0.25">
      <c r="A15974" s="2">
        <v>15969</v>
      </c>
      <c r="B15974" s="11" t="str">
        <f>"00740745"</f>
        <v>00740745</v>
      </c>
    </row>
    <row r="15975" spans="1:2" x14ac:dyDescent="0.25">
      <c r="A15975" s="2">
        <v>15970</v>
      </c>
      <c r="B15975" s="11" t="str">
        <f>"00740767"</f>
        <v>00740767</v>
      </c>
    </row>
    <row r="15976" spans="1:2" x14ac:dyDescent="0.25">
      <c r="A15976" s="2">
        <v>15971</v>
      </c>
      <c r="B15976" s="11" t="str">
        <f>"00740769"</f>
        <v>00740769</v>
      </c>
    </row>
    <row r="15977" spans="1:2" x14ac:dyDescent="0.25">
      <c r="A15977" s="2">
        <v>15972</v>
      </c>
      <c r="B15977" s="11" t="str">
        <f>"00740799"</f>
        <v>00740799</v>
      </c>
    </row>
    <row r="15978" spans="1:2" x14ac:dyDescent="0.25">
      <c r="A15978" s="2">
        <v>15973</v>
      </c>
      <c r="B15978" s="11" t="str">
        <f>"00740801"</f>
        <v>00740801</v>
      </c>
    </row>
    <row r="15979" spans="1:2" x14ac:dyDescent="0.25">
      <c r="A15979" s="2">
        <v>15974</v>
      </c>
      <c r="B15979" s="11" t="str">
        <f>"00740805"</f>
        <v>00740805</v>
      </c>
    </row>
    <row r="15980" spans="1:2" x14ac:dyDescent="0.25">
      <c r="A15980" s="2">
        <v>15975</v>
      </c>
      <c r="B15980" s="11" t="str">
        <f>"00740820"</f>
        <v>00740820</v>
      </c>
    </row>
    <row r="15981" spans="1:2" x14ac:dyDescent="0.25">
      <c r="A15981" s="2">
        <v>15976</v>
      </c>
      <c r="B15981" s="11" t="str">
        <f>"00740908"</f>
        <v>00740908</v>
      </c>
    </row>
    <row r="15982" spans="1:2" x14ac:dyDescent="0.25">
      <c r="A15982" s="2">
        <v>15977</v>
      </c>
      <c r="B15982" s="11" t="str">
        <f>"00740968"</f>
        <v>00740968</v>
      </c>
    </row>
    <row r="15983" spans="1:2" x14ac:dyDescent="0.25">
      <c r="A15983" s="2">
        <v>15978</v>
      </c>
      <c r="B15983" s="11" t="str">
        <f>"00741077"</f>
        <v>00741077</v>
      </c>
    </row>
    <row r="15984" spans="1:2" x14ac:dyDescent="0.25">
      <c r="A15984" s="2">
        <v>15979</v>
      </c>
      <c r="B15984" s="11" t="str">
        <f>"00741109"</f>
        <v>00741109</v>
      </c>
    </row>
    <row r="15985" spans="1:2" x14ac:dyDescent="0.25">
      <c r="A15985" s="2">
        <v>15980</v>
      </c>
      <c r="B15985" s="11" t="str">
        <f>"00741113"</f>
        <v>00741113</v>
      </c>
    </row>
    <row r="15986" spans="1:2" x14ac:dyDescent="0.25">
      <c r="A15986" s="2">
        <v>15981</v>
      </c>
      <c r="B15986" s="11" t="str">
        <f>"00741114"</f>
        <v>00741114</v>
      </c>
    </row>
    <row r="15987" spans="1:2" x14ac:dyDescent="0.25">
      <c r="A15987" s="2">
        <v>15982</v>
      </c>
      <c r="B15987" s="11" t="str">
        <f>"00741244"</f>
        <v>00741244</v>
      </c>
    </row>
    <row r="15988" spans="1:2" x14ac:dyDescent="0.25">
      <c r="A15988" s="2">
        <v>15983</v>
      </c>
      <c r="B15988" s="11" t="str">
        <f>"00741275"</f>
        <v>00741275</v>
      </c>
    </row>
    <row r="15989" spans="1:2" x14ac:dyDescent="0.25">
      <c r="A15989" s="2">
        <v>15984</v>
      </c>
      <c r="B15989" s="11" t="str">
        <f>"00741325"</f>
        <v>00741325</v>
      </c>
    </row>
    <row r="15990" spans="1:2" x14ac:dyDescent="0.25">
      <c r="A15990" s="2">
        <v>15985</v>
      </c>
      <c r="B15990" s="11" t="str">
        <f>"00741367"</f>
        <v>00741367</v>
      </c>
    </row>
    <row r="15991" spans="1:2" x14ac:dyDescent="0.25">
      <c r="A15991" s="2">
        <v>15986</v>
      </c>
      <c r="B15991" s="11" t="str">
        <f>"00741398"</f>
        <v>00741398</v>
      </c>
    </row>
    <row r="15992" spans="1:2" x14ac:dyDescent="0.25">
      <c r="A15992" s="2">
        <v>15987</v>
      </c>
      <c r="B15992" s="11" t="str">
        <f>"00741426"</f>
        <v>00741426</v>
      </c>
    </row>
    <row r="15993" spans="1:2" x14ac:dyDescent="0.25">
      <c r="A15993" s="2">
        <v>15988</v>
      </c>
      <c r="B15993" s="11" t="str">
        <f>"00741497"</f>
        <v>00741497</v>
      </c>
    </row>
    <row r="15994" spans="1:2" x14ac:dyDescent="0.25">
      <c r="A15994" s="2">
        <v>15989</v>
      </c>
      <c r="B15994" s="11" t="str">
        <f>"00741519"</f>
        <v>00741519</v>
      </c>
    </row>
    <row r="15995" spans="1:2" x14ac:dyDescent="0.25">
      <c r="A15995" s="2">
        <v>15990</v>
      </c>
      <c r="B15995" s="11" t="str">
        <f>"00741520"</f>
        <v>00741520</v>
      </c>
    </row>
    <row r="15996" spans="1:2" x14ac:dyDescent="0.25">
      <c r="A15996" s="2">
        <v>15991</v>
      </c>
      <c r="B15996" s="11" t="str">
        <f>"00741526"</f>
        <v>00741526</v>
      </c>
    </row>
    <row r="15997" spans="1:2" x14ac:dyDescent="0.25">
      <c r="A15997" s="2">
        <v>15992</v>
      </c>
      <c r="B15997" s="11" t="str">
        <f>"00741531"</f>
        <v>00741531</v>
      </c>
    </row>
    <row r="15998" spans="1:2" x14ac:dyDescent="0.25">
      <c r="A15998" s="2">
        <v>15993</v>
      </c>
      <c r="B15998" s="11" t="str">
        <f>"00741589"</f>
        <v>00741589</v>
      </c>
    </row>
    <row r="15999" spans="1:2" x14ac:dyDescent="0.25">
      <c r="A15999" s="2">
        <v>15994</v>
      </c>
      <c r="B15999" s="11" t="str">
        <f>"00741600"</f>
        <v>00741600</v>
      </c>
    </row>
    <row r="16000" spans="1:2" x14ac:dyDescent="0.25">
      <c r="A16000" s="2">
        <v>15995</v>
      </c>
      <c r="B16000" s="11" t="str">
        <f>"00741605"</f>
        <v>00741605</v>
      </c>
    </row>
    <row r="16001" spans="1:2" x14ac:dyDescent="0.25">
      <c r="A16001" s="2">
        <v>15996</v>
      </c>
      <c r="B16001" s="11" t="str">
        <f>"00741628"</f>
        <v>00741628</v>
      </c>
    </row>
    <row r="16002" spans="1:2" x14ac:dyDescent="0.25">
      <c r="A16002" s="2">
        <v>15997</v>
      </c>
      <c r="B16002" s="11" t="str">
        <f>"00741687"</f>
        <v>00741687</v>
      </c>
    </row>
    <row r="16003" spans="1:2" x14ac:dyDescent="0.25">
      <c r="A16003" s="2">
        <v>15998</v>
      </c>
      <c r="B16003" s="11" t="str">
        <f>"00741688"</f>
        <v>00741688</v>
      </c>
    </row>
    <row r="16004" spans="1:2" x14ac:dyDescent="0.25">
      <c r="A16004" s="2">
        <v>15999</v>
      </c>
      <c r="B16004" s="11" t="str">
        <f>"00741742"</f>
        <v>00741742</v>
      </c>
    </row>
    <row r="16005" spans="1:2" x14ac:dyDescent="0.25">
      <c r="A16005" s="2">
        <v>16000</v>
      </c>
      <c r="B16005" s="11" t="str">
        <f>"00741801"</f>
        <v>00741801</v>
      </c>
    </row>
    <row r="16006" spans="1:2" x14ac:dyDescent="0.25">
      <c r="A16006" s="2">
        <v>16001</v>
      </c>
      <c r="B16006" s="11" t="str">
        <f>"00741806"</f>
        <v>00741806</v>
      </c>
    </row>
    <row r="16007" spans="1:2" x14ac:dyDescent="0.25">
      <c r="A16007" s="2">
        <v>16002</v>
      </c>
      <c r="B16007" s="11" t="str">
        <f>"00741862"</f>
        <v>00741862</v>
      </c>
    </row>
    <row r="16008" spans="1:2" x14ac:dyDescent="0.25">
      <c r="A16008" s="2">
        <v>16003</v>
      </c>
      <c r="B16008" s="11" t="str">
        <f>"00741879"</f>
        <v>00741879</v>
      </c>
    </row>
    <row r="16009" spans="1:2" x14ac:dyDescent="0.25">
      <c r="A16009" s="2">
        <v>16004</v>
      </c>
      <c r="B16009" s="11" t="str">
        <f>"00741884"</f>
        <v>00741884</v>
      </c>
    </row>
    <row r="16010" spans="1:2" x14ac:dyDescent="0.25">
      <c r="A16010" s="2">
        <v>16005</v>
      </c>
      <c r="B16010" s="11" t="str">
        <f>"00741895"</f>
        <v>00741895</v>
      </c>
    </row>
    <row r="16011" spans="1:2" x14ac:dyDescent="0.25">
      <c r="A16011" s="2">
        <v>16006</v>
      </c>
      <c r="B16011" s="11" t="str">
        <f>"00741925"</f>
        <v>00741925</v>
      </c>
    </row>
    <row r="16012" spans="1:2" x14ac:dyDescent="0.25">
      <c r="A16012" s="2">
        <v>16007</v>
      </c>
      <c r="B16012" s="11" t="str">
        <f>"00741953"</f>
        <v>00741953</v>
      </c>
    </row>
    <row r="16013" spans="1:2" x14ac:dyDescent="0.25">
      <c r="A16013" s="2">
        <v>16008</v>
      </c>
      <c r="B16013" s="11" t="str">
        <f>"00741962"</f>
        <v>00741962</v>
      </c>
    </row>
    <row r="16014" spans="1:2" x14ac:dyDescent="0.25">
      <c r="A16014" s="2">
        <v>16009</v>
      </c>
      <c r="B16014" s="11" t="str">
        <f>"00742000"</f>
        <v>00742000</v>
      </c>
    </row>
    <row r="16015" spans="1:2" x14ac:dyDescent="0.25">
      <c r="A16015" s="2">
        <v>16010</v>
      </c>
      <c r="B16015" s="11" t="str">
        <f>"00742014"</f>
        <v>00742014</v>
      </c>
    </row>
    <row r="16016" spans="1:2" x14ac:dyDescent="0.25">
      <c r="A16016" s="2">
        <v>16011</v>
      </c>
      <c r="B16016" s="11" t="str">
        <f>"00742063"</f>
        <v>00742063</v>
      </c>
    </row>
    <row r="16017" spans="1:2" x14ac:dyDescent="0.25">
      <c r="A16017" s="2">
        <v>16012</v>
      </c>
      <c r="B16017" s="11" t="str">
        <f>"00742068"</f>
        <v>00742068</v>
      </c>
    </row>
    <row r="16018" spans="1:2" x14ac:dyDescent="0.25">
      <c r="A16018" s="2">
        <v>16013</v>
      </c>
      <c r="B16018" s="11" t="str">
        <f>"00742096"</f>
        <v>00742096</v>
      </c>
    </row>
    <row r="16019" spans="1:2" x14ac:dyDescent="0.25">
      <c r="A16019" s="2">
        <v>16014</v>
      </c>
      <c r="B16019" s="11" t="str">
        <f>"00742158"</f>
        <v>00742158</v>
      </c>
    </row>
    <row r="16020" spans="1:2" x14ac:dyDescent="0.25">
      <c r="A16020" s="2">
        <v>16015</v>
      </c>
      <c r="B16020" s="11" t="str">
        <f>"00742171"</f>
        <v>00742171</v>
      </c>
    </row>
    <row r="16021" spans="1:2" x14ac:dyDescent="0.25">
      <c r="A16021" s="2">
        <v>16016</v>
      </c>
      <c r="B16021" s="11" t="str">
        <f>"00742175"</f>
        <v>00742175</v>
      </c>
    </row>
    <row r="16022" spans="1:2" x14ac:dyDescent="0.25">
      <c r="A16022" s="2">
        <v>16017</v>
      </c>
      <c r="B16022" s="11" t="str">
        <f>"00742179"</f>
        <v>00742179</v>
      </c>
    </row>
    <row r="16023" spans="1:2" x14ac:dyDescent="0.25">
      <c r="A16023" s="2">
        <v>16018</v>
      </c>
      <c r="B16023" s="11" t="str">
        <f>"00742200"</f>
        <v>00742200</v>
      </c>
    </row>
    <row r="16024" spans="1:2" x14ac:dyDescent="0.25">
      <c r="A16024" s="2">
        <v>16019</v>
      </c>
      <c r="B16024" s="11" t="str">
        <f>"00742214"</f>
        <v>00742214</v>
      </c>
    </row>
    <row r="16025" spans="1:2" x14ac:dyDescent="0.25">
      <c r="A16025" s="2">
        <v>16020</v>
      </c>
      <c r="B16025" s="11" t="str">
        <f>"00742220"</f>
        <v>00742220</v>
      </c>
    </row>
    <row r="16026" spans="1:2" x14ac:dyDescent="0.25">
      <c r="A16026" s="2">
        <v>16021</v>
      </c>
      <c r="B16026" s="11" t="str">
        <f>"00742225"</f>
        <v>00742225</v>
      </c>
    </row>
    <row r="16027" spans="1:2" x14ac:dyDescent="0.25">
      <c r="A16027" s="2">
        <v>16022</v>
      </c>
      <c r="B16027" s="11" t="str">
        <f>"00742251"</f>
        <v>00742251</v>
      </c>
    </row>
    <row r="16028" spans="1:2" x14ac:dyDescent="0.25">
      <c r="A16028" s="2">
        <v>16023</v>
      </c>
      <c r="B16028" s="11" t="str">
        <f>"00742263"</f>
        <v>00742263</v>
      </c>
    </row>
    <row r="16029" spans="1:2" x14ac:dyDescent="0.25">
      <c r="A16029" s="2">
        <v>16024</v>
      </c>
      <c r="B16029" s="11" t="str">
        <f>"00742268"</f>
        <v>00742268</v>
      </c>
    </row>
    <row r="16030" spans="1:2" x14ac:dyDescent="0.25">
      <c r="A16030" s="2">
        <v>16025</v>
      </c>
      <c r="B16030" s="11" t="str">
        <f>"00742270"</f>
        <v>00742270</v>
      </c>
    </row>
    <row r="16031" spans="1:2" x14ac:dyDescent="0.25">
      <c r="A16031" s="2">
        <v>16026</v>
      </c>
      <c r="B16031" s="11" t="str">
        <f>"00742347"</f>
        <v>00742347</v>
      </c>
    </row>
    <row r="16032" spans="1:2" x14ac:dyDescent="0.25">
      <c r="A16032" s="2">
        <v>16027</v>
      </c>
      <c r="B16032" s="11" t="str">
        <f>"00742377"</f>
        <v>00742377</v>
      </c>
    </row>
    <row r="16033" spans="1:2" x14ac:dyDescent="0.25">
      <c r="A16033" s="2">
        <v>16028</v>
      </c>
      <c r="B16033" s="11" t="str">
        <f>"00742407"</f>
        <v>00742407</v>
      </c>
    </row>
    <row r="16034" spans="1:2" x14ac:dyDescent="0.25">
      <c r="A16034" s="2">
        <v>16029</v>
      </c>
      <c r="B16034" s="11" t="str">
        <f>"00742479"</f>
        <v>00742479</v>
      </c>
    </row>
    <row r="16035" spans="1:2" x14ac:dyDescent="0.25">
      <c r="A16035" s="2">
        <v>16030</v>
      </c>
      <c r="B16035" s="11" t="str">
        <f>"00742507"</f>
        <v>00742507</v>
      </c>
    </row>
    <row r="16036" spans="1:2" x14ac:dyDescent="0.25">
      <c r="A16036" s="2">
        <v>16031</v>
      </c>
      <c r="B16036" s="11" t="str">
        <f>"00742511"</f>
        <v>00742511</v>
      </c>
    </row>
    <row r="16037" spans="1:2" x14ac:dyDescent="0.25">
      <c r="A16037" s="2">
        <v>16032</v>
      </c>
      <c r="B16037" s="11" t="str">
        <f>"00742535"</f>
        <v>00742535</v>
      </c>
    </row>
    <row r="16038" spans="1:2" x14ac:dyDescent="0.25">
      <c r="A16038" s="2">
        <v>16033</v>
      </c>
      <c r="B16038" s="11" t="str">
        <f>"00742554"</f>
        <v>00742554</v>
      </c>
    </row>
    <row r="16039" spans="1:2" x14ac:dyDescent="0.25">
      <c r="A16039" s="2">
        <v>16034</v>
      </c>
      <c r="B16039" s="11" t="str">
        <f>"00742665"</f>
        <v>00742665</v>
      </c>
    </row>
    <row r="16040" spans="1:2" x14ac:dyDescent="0.25">
      <c r="A16040" s="2">
        <v>16035</v>
      </c>
      <c r="B16040" s="11" t="str">
        <f>"00742776"</f>
        <v>00742776</v>
      </c>
    </row>
    <row r="16041" spans="1:2" x14ac:dyDescent="0.25">
      <c r="A16041" s="2">
        <v>16036</v>
      </c>
      <c r="B16041" s="11" t="str">
        <f>"00742796"</f>
        <v>00742796</v>
      </c>
    </row>
    <row r="16042" spans="1:2" x14ac:dyDescent="0.25">
      <c r="A16042" s="2">
        <v>16037</v>
      </c>
      <c r="B16042" s="11" t="str">
        <f>"00742866"</f>
        <v>00742866</v>
      </c>
    </row>
    <row r="16043" spans="1:2" x14ac:dyDescent="0.25">
      <c r="A16043" s="2">
        <v>16038</v>
      </c>
      <c r="B16043" s="11" t="str">
        <f>"00742877"</f>
        <v>00742877</v>
      </c>
    </row>
    <row r="16044" spans="1:2" x14ac:dyDescent="0.25">
      <c r="A16044" s="2">
        <v>16039</v>
      </c>
      <c r="B16044" s="11" t="str">
        <f>"00742906"</f>
        <v>00742906</v>
      </c>
    </row>
    <row r="16045" spans="1:2" x14ac:dyDescent="0.25">
      <c r="A16045" s="2">
        <v>16040</v>
      </c>
      <c r="B16045" s="11" t="str">
        <f>"00742945"</f>
        <v>00742945</v>
      </c>
    </row>
    <row r="16046" spans="1:2" x14ac:dyDescent="0.25">
      <c r="A16046" s="2">
        <v>16041</v>
      </c>
      <c r="B16046" s="11" t="str">
        <f>"00742977"</f>
        <v>00742977</v>
      </c>
    </row>
    <row r="16047" spans="1:2" x14ac:dyDescent="0.25">
      <c r="A16047" s="2">
        <v>16042</v>
      </c>
      <c r="B16047" s="11" t="str">
        <f>"00742978"</f>
        <v>00742978</v>
      </c>
    </row>
    <row r="16048" spans="1:2" x14ac:dyDescent="0.25">
      <c r="A16048" s="2">
        <v>16043</v>
      </c>
      <c r="B16048" s="11" t="str">
        <f>"00743022"</f>
        <v>00743022</v>
      </c>
    </row>
    <row r="16049" spans="1:2" x14ac:dyDescent="0.25">
      <c r="A16049" s="2">
        <v>16044</v>
      </c>
      <c r="B16049" s="11" t="str">
        <f>"00743039"</f>
        <v>00743039</v>
      </c>
    </row>
    <row r="16050" spans="1:2" x14ac:dyDescent="0.25">
      <c r="A16050" s="2">
        <v>16045</v>
      </c>
      <c r="B16050" s="11" t="str">
        <f>"00743066"</f>
        <v>00743066</v>
      </c>
    </row>
    <row r="16051" spans="1:2" x14ac:dyDescent="0.25">
      <c r="A16051" s="2">
        <v>16046</v>
      </c>
      <c r="B16051" s="11" t="str">
        <f>"00743094"</f>
        <v>00743094</v>
      </c>
    </row>
    <row r="16052" spans="1:2" x14ac:dyDescent="0.25">
      <c r="A16052" s="2">
        <v>16047</v>
      </c>
      <c r="B16052" s="11" t="str">
        <f>"00743098"</f>
        <v>00743098</v>
      </c>
    </row>
    <row r="16053" spans="1:2" x14ac:dyDescent="0.25">
      <c r="A16053" s="2">
        <v>16048</v>
      </c>
      <c r="B16053" s="11" t="str">
        <f>"00743103"</f>
        <v>00743103</v>
      </c>
    </row>
    <row r="16054" spans="1:2" x14ac:dyDescent="0.25">
      <c r="A16054" s="2">
        <v>16049</v>
      </c>
      <c r="B16054" s="11" t="str">
        <f>"00743119"</f>
        <v>00743119</v>
      </c>
    </row>
    <row r="16055" spans="1:2" x14ac:dyDescent="0.25">
      <c r="A16055" s="2">
        <v>16050</v>
      </c>
      <c r="B16055" s="11" t="str">
        <f>"00743215"</f>
        <v>00743215</v>
      </c>
    </row>
    <row r="16056" spans="1:2" x14ac:dyDescent="0.25">
      <c r="A16056" s="2">
        <v>16051</v>
      </c>
      <c r="B16056" s="11" t="str">
        <f>"00743225"</f>
        <v>00743225</v>
      </c>
    </row>
    <row r="16057" spans="1:2" x14ac:dyDescent="0.25">
      <c r="A16057" s="2">
        <v>16052</v>
      </c>
      <c r="B16057" s="11" t="str">
        <f>"00743238"</f>
        <v>00743238</v>
      </c>
    </row>
    <row r="16058" spans="1:2" x14ac:dyDescent="0.25">
      <c r="A16058" s="2">
        <v>16053</v>
      </c>
      <c r="B16058" s="11" t="str">
        <f>"00743315"</f>
        <v>00743315</v>
      </c>
    </row>
    <row r="16059" spans="1:2" x14ac:dyDescent="0.25">
      <c r="A16059" s="2">
        <v>16054</v>
      </c>
      <c r="B16059" s="11" t="str">
        <f>"00743384"</f>
        <v>00743384</v>
      </c>
    </row>
    <row r="16060" spans="1:2" x14ac:dyDescent="0.25">
      <c r="A16060" s="2">
        <v>16055</v>
      </c>
      <c r="B16060" s="11" t="str">
        <f>"00743401"</f>
        <v>00743401</v>
      </c>
    </row>
    <row r="16061" spans="1:2" x14ac:dyDescent="0.25">
      <c r="A16061" s="2">
        <v>16056</v>
      </c>
      <c r="B16061" s="11" t="str">
        <f>"00743409"</f>
        <v>00743409</v>
      </c>
    </row>
    <row r="16062" spans="1:2" x14ac:dyDescent="0.25">
      <c r="A16062" s="2">
        <v>16057</v>
      </c>
      <c r="B16062" s="11" t="str">
        <f>"00743456"</f>
        <v>00743456</v>
      </c>
    </row>
    <row r="16063" spans="1:2" x14ac:dyDescent="0.25">
      <c r="A16063" s="2">
        <v>16058</v>
      </c>
      <c r="B16063" s="11" t="str">
        <f>"00743478"</f>
        <v>00743478</v>
      </c>
    </row>
    <row r="16064" spans="1:2" x14ac:dyDescent="0.25">
      <c r="A16064" s="2">
        <v>16059</v>
      </c>
      <c r="B16064" s="11" t="str">
        <f>"00743513"</f>
        <v>00743513</v>
      </c>
    </row>
    <row r="16065" spans="1:2" x14ac:dyDescent="0.25">
      <c r="A16065" s="2">
        <v>16060</v>
      </c>
      <c r="B16065" s="11" t="str">
        <f>"00743520"</f>
        <v>00743520</v>
      </c>
    </row>
    <row r="16066" spans="1:2" x14ac:dyDescent="0.25">
      <c r="A16066" s="2">
        <v>16061</v>
      </c>
      <c r="B16066" s="11" t="str">
        <f>"00743628"</f>
        <v>00743628</v>
      </c>
    </row>
    <row r="16067" spans="1:2" x14ac:dyDescent="0.25">
      <c r="A16067" s="2">
        <v>16062</v>
      </c>
      <c r="B16067" s="11" t="str">
        <f>"00743629"</f>
        <v>00743629</v>
      </c>
    </row>
    <row r="16068" spans="1:2" x14ac:dyDescent="0.25">
      <c r="A16068" s="2">
        <v>16063</v>
      </c>
      <c r="B16068" s="11" t="str">
        <f>"00743649"</f>
        <v>00743649</v>
      </c>
    </row>
    <row r="16069" spans="1:2" x14ac:dyDescent="0.25">
      <c r="A16069" s="2">
        <v>16064</v>
      </c>
      <c r="B16069" s="11" t="str">
        <f>"00743673"</f>
        <v>00743673</v>
      </c>
    </row>
    <row r="16070" spans="1:2" x14ac:dyDescent="0.25">
      <c r="A16070" s="2">
        <v>16065</v>
      </c>
      <c r="B16070" s="11" t="str">
        <f>"00743736"</f>
        <v>00743736</v>
      </c>
    </row>
    <row r="16071" spans="1:2" x14ac:dyDescent="0.25">
      <c r="A16071" s="2">
        <v>16066</v>
      </c>
      <c r="B16071" s="11" t="str">
        <f>"00743808"</f>
        <v>00743808</v>
      </c>
    </row>
    <row r="16072" spans="1:2" x14ac:dyDescent="0.25">
      <c r="A16072" s="2">
        <v>16067</v>
      </c>
      <c r="B16072" s="11" t="str">
        <f>"00743820"</f>
        <v>00743820</v>
      </c>
    </row>
    <row r="16073" spans="1:2" x14ac:dyDescent="0.25">
      <c r="A16073" s="2">
        <v>16068</v>
      </c>
      <c r="B16073" s="11" t="str">
        <f>"00743860"</f>
        <v>00743860</v>
      </c>
    </row>
    <row r="16074" spans="1:2" x14ac:dyDescent="0.25">
      <c r="A16074" s="2">
        <v>16069</v>
      </c>
      <c r="B16074" s="11" t="str">
        <f>"00743875"</f>
        <v>00743875</v>
      </c>
    </row>
    <row r="16075" spans="1:2" x14ac:dyDescent="0.25">
      <c r="A16075" s="2">
        <v>16070</v>
      </c>
      <c r="B16075" s="11" t="str">
        <f>"00743885"</f>
        <v>00743885</v>
      </c>
    </row>
    <row r="16076" spans="1:2" x14ac:dyDescent="0.25">
      <c r="A16076" s="2">
        <v>16071</v>
      </c>
      <c r="B16076" s="11" t="str">
        <f>"00743936"</f>
        <v>00743936</v>
      </c>
    </row>
    <row r="16077" spans="1:2" x14ac:dyDescent="0.25">
      <c r="A16077" s="2">
        <v>16072</v>
      </c>
      <c r="B16077" s="11" t="str">
        <f>"00744087"</f>
        <v>00744087</v>
      </c>
    </row>
    <row r="16078" spans="1:2" x14ac:dyDescent="0.25">
      <c r="A16078" s="2">
        <v>16073</v>
      </c>
      <c r="B16078" s="11" t="str">
        <f>"00744088"</f>
        <v>00744088</v>
      </c>
    </row>
    <row r="16079" spans="1:2" x14ac:dyDescent="0.25">
      <c r="A16079" s="2">
        <v>16074</v>
      </c>
      <c r="B16079" s="11" t="str">
        <f>"00744108"</f>
        <v>00744108</v>
      </c>
    </row>
    <row r="16080" spans="1:2" x14ac:dyDescent="0.25">
      <c r="A16080" s="2">
        <v>16075</v>
      </c>
      <c r="B16080" s="11" t="str">
        <f>"00744203"</f>
        <v>00744203</v>
      </c>
    </row>
    <row r="16081" spans="1:2" x14ac:dyDescent="0.25">
      <c r="A16081" s="2">
        <v>16076</v>
      </c>
      <c r="B16081" s="11" t="str">
        <f>"00744322"</f>
        <v>00744322</v>
      </c>
    </row>
    <row r="16082" spans="1:2" x14ac:dyDescent="0.25">
      <c r="A16082" s="2">
        <v>16077</v>
      </c>
      <c r="B16082" s="11" t="str">
        <f>"00744333"</f>
        <v>00744333</v>
      </c>
    </row>
    <row r="16083" spans="1:2" x14ac:dyDescent="0.25">
      <c r="A16083" s="2">
        <v>16078</v>
      </c>
      <c r="B16083" s="11" t="str">
        <f>"00744343"</f>
        <v>00744343</v>
      </c>
    </row>
    <row r="16084" spans="1:2" x14ac:dyDescent="0.25">
      <c r="A16084" s="2">
        <v>16079</v>
      </c>
      <c r="B16084" s="11" t="str">
        <f>"00744366"</f>
        <v>00744366</v>
      </c>
    </row>
    <row r="16085" spans="1:2" x14ac:dyDescent="0.25">
      <c r="A16085" s="2">
        <v>16080</v>
      </c>
      <c r="B16085" s="11" t="str">
        <f>"00744417"</f>
        <v>00744417</v>
      </c>
    </row>
    <row r="16086" spans="1:2" x14ac:dyDescent="0.25">
      <c r="A16086" s="2">
        <v>16081</v>
      </c>
      <c r="B16086" s="11" t="str">
        <f>"00744459"</f>
        <v>00744459</v>
      </c>
    </row>
    <row r="16087" spans="1:2" x14ac:dyDescent="0.25">
      <c r="A16087" s="2">
        <v>16082</v>
      </c>
      <c r="B16087" s="11" t="str">
        <f>"00744462"</f>
        <v>00744462</v>
      </c>
    </row>
    <row r="16088" spans="1:2" x14ac:dyDescent="0.25">
      <c r="A16088" s="2">
        <v>16083</v>
      </c>
      <c r="B16088" s="11" t="str">
        <f>"00744485"</f>
        <v>00744485</v>
      </c>
    </row>
    <row r="16089" spans="1:2" x14ac:dyDescent="0.25">
      <c r="A16089" s="2">
        <v>16084</v>
      </c>
      <c r="B16089" s="11" t="str">
        <f>"00744502"</f>
        <v>00744502</v>
      </c>
    </row>
    <row r="16090" spans="1:2" x14ac:dyDescent="0.25">
      <c r="A16090" s="2">
        <v>16085</v>
      </c>
      <c r="B16090" s="11" t="str">
        <f>"00744524"</f>
        <v>00744524</v>
      </c>
    </row>
    <row r="16091" spans="1:2" x14ac:dyDescent="0.25">
      <c r="A16091" s="2">
        <v>16086</v>
      </c>
      <c r="B16091" s="11" t="str">
        <f>"00744555"</f>
        <v>00744555</v>
      </c>
    </row>
    <row r="16092" spans="1:2" x14ac:dyDescent="0.25">
      <c r="A16092" s="2">
        <v>16087</v>
      </c>
      <c r="B16092" s="11" t="str">
        <f>"00744568"</f>
        <v>00744568</v>
      </c>
    </row>
    <row r="16093" spans="1:2" x14ac:dyDescent="0.25">
      <c r="A16093" s="2">
        <v>16088</v>
      </c>
      <c r="B16093" s="11" t="str">
        <f>"00744607"</f>
        <v>00744607</v>
      </c>
    </row>
    <row r="16094" spans="1:2" x14ac:dyDescent="0.25">
      <c r="A16094" s="2">
        <v>16089</v>
      </c>
      <c r="B16094" s="11" t="str">
        <f>"00744615"</f>
        <v>00744615</v>
      </c>
    </row>
    <row r="16095" spans="1:2" x14ac:dyDescent="0.25">
      <c r="A16095" s="2">
        <v>16090</v>
      </c>
      <c r="B16095" s="11" t="str">
        <f>"00744635"</f>
        <v>00744635</v>
      </c>
    </row>
    <row r="16096" spans="1:2" x14ac:dyDescent="0.25">
      <c r="A16096" s="2">
        <v>16091</v>
      </c>
      <c r="B16096" s="11" t="str">
        <f>"00744666"</f>
        <v>00744666</v>
      </c>
    </row>
    <row r="16097" spans="1:2" x14ac:dyDescent="0.25">
      <c r="A16097" s="2">
        <v>16092</v>
      </c>
      <c r="B16097" s="11" t="str">
        <f>"00744696"</f>
        <v>00744696</v>
      </c>
    </row>
    <row r="16098" spans="1:2" x14ac:dyDescent="0.25">
      <c r="A16098" s="2">
        <v>16093</v>
      </c>
      <c r="B16098" s="11" t="str">
        <f>"00744759"</f>
        <v>00744759</v>
      </c>
    </row>
    <row r="16099" spans="1:2" x14ac:dyDescent="0.25">
      <c r="A16099" s="2">
        <v>16094</v>
      </c>
      <c r="B16099" s="11" t="str">
        <f>"00744763"</f>
        <v>00744763</v>
      </c>
    </row>
    <row r="16100" spans="1:2" x14ac:dyDescent="0.25">
      <c r="A16100" s="2">
        <v>16095</v>
      </c>
      <c r="B16100" s="11" t="str">
        <f>"00744771"</f>
        <v>00744771</v>
      </c>
    </row>
    <row r="16101" spans="1:2" x14ac:dyDescent="0.25">
      <c r="A16101" s="2">
        <v>16096</v>
      </c>
      <c r="B16101" s="11" t="str">
        <f>"00744793"</f>
        <v>00744793</v>
      </c>
    </row>
    <row r="16102" spans="1:2" x14ac:dyDescent="0.25">
      <c r="A16102" s="2">
        <v>16097</v>
      </c>
      <c r="B16102" s="11" t="str">
        <f>"00744836"</f>
        <v>00744836</v>
      </c>
    </row>
    <row r="16103" spans="1:2" x14ac:dyDescent="0.25">
      <c r="A16103" s="2">
        <v>16098</v>
      </c>
      <c r="B16103" s="11" t="str">
        <f>"00744899"</f>
        <v>00744899</v>
      </c>
    </row>
    <row r="16104" spans="1:2" x14ac:dyDescent="0.25">
      <c r="A16104" s="2">
        <v>16099</v>
      </c>
      <c r="B16104" s="11" t="str">
        <f>"00744947"</f>
        <v>00744947</v>
      </c>
    </row>
    <row r="16105" spans="1:2" x14ac:dyDescent="0.25">
      <c r="A16105" s="2">
        <v>16100</v>
      </c>
      <c r="B16105" s="11" t="str">
        <f>"00744980"</f>
        <v>00744980</v>
      </c>
    </row>
    <row r="16106" spans="1:2" x14ac:dyDescent="0.25">
      <c r="A16106" s="2">
        <v>16101</v>
      </c>
      <c r="B16106" s="11" t="str">
        <f>"00745017"</f>
        <v>00745017</v>
      </c>
    </row>
    <row r="16107" spans="1:2" x14ac:dyDescent="0.25">
      <c r="A16107" s="2">
        <v>16102</v>
      </c>
      <c r="B16107" s="11" t="str">
        <f>"00745021"</f>
        <v>00745021</v>
      </c>
    </row>
    <row r="16108" spans="1:2" x14ac:dyDescent="0.25">
      <c r="A16108" s="2">
        <v>16103</v>
      </c>
      <c r="B16108" s="11" t="str">
        <f>"00745176"</f>
        <v>00745176</v>
      </c>
    </row>
    <row r="16109" spans="1:2" x14ac:dyDescent="0.25">
      <c r="A16109" s="2">
        <v>16104</v>
      </c>
      <c r="B16109" s="11" t="str">
        <f>"00745243"</f>
        <v>00745243</v>
      </c>
    </row>
    <row r="16110" spans="1:2" x14ac:dyDescent="0.25">
      <c r="A16110" s="2">
        <v>16105</v>
      </c>
      <c r="B16110" s="11" t="str">
        <f>"00745268"</f>
        <v>00745268</v>
      </c>
    </row>
    <row r="16111" spans="1:2" x14ac:dyDescent="0.25">
      <c r="A16111" s="2">
        <v>16106</v>
      </c>
      <c r="B16111" s="11" t="str">
        <f>"00745556"</f>
        <v>00745556</v>
      </c>
    </row>
    <row r="16112" spans="1:2" x14ac:dyDescent="0.25">
      <c r="A16112" s="2">
        <v>16107</v>
      </c>
      <c r="B16112" s="11" t="str">
        <f>"00745580"</f>
        <v>00745580</v>
      </c>
    </row>
    <row r="16113" spans="1:2" x14ac:dyDescent="0.25">
      <c r="A16113" s="2">
        <v>16108</v>
      </c>
      <c r="B16113" s="11" t="str">
        <f>"00745584"</f>
        <v>00745584</v>
      </c>
    </row>
    <row r="16114" spans="1:2" x14ac:dyDescent="0.25">
      <c r="A16114" s="2">
        <v>16109</v>
      </c>
      <c r="B16114" s="11" t="str">
        <f>"00745628"</f>
        <v>00745628</v>
      </c>
    </row>
    <row r="16115" spans="1:2" x14ac:dyDescent="0.25">
      <c r="A16115" s="2">
        <v>16110</v>
      </c>
      <c r="B16115" s="11" t="str">
        <f>"00745633"</f>
        <v>00745633</v>
      </c>
    </row>
    <row r="16116" spans="1:2" x14ac:dyDescent="0.25">
      <c r="A16116" s="2">
        <v>16111</v>
      </c>
      <c r="B16116" s="11" t="str">
        <f>"00745654"</f>
        <v>00745654</v>
      </c>
    </row>
    <row r="16117" spans="1:2" x14ac:dyDescent="0.25">
      <c r="A16117" s="2">
        <v>16112</v>
      </c>
      <c r="B16117" s="11" t="str">
        <f>"00745665"</f>
        <v>00745665</v>
      </c>
    </row>
    <row r="16118" spans="1:2" x14ac:dyDescent="0.25">
      <c r="A16118" s="2">
        <v>16113</v>
      </c>
      <c r="B16118" s="11" t="str">
        <f>"00745706"</f>
        <v>00745706</v>
      </c>
    </row>
    <row r="16119" spans="1:2" x14ac:dyDescent="0.25">
      <c r="A16119" s="2">
        <v>16114</v>
      </c>
      <c r="B16119" s="11" t="str">
        <f>"00745707"</f>
        <v>00745707</v>
      </c>
    </row>
    <row r="16120" spans="1:2" x14ac:dyDescent="0.25">
      <c r="A16120" s="2">
        <v>16115</v>
      </c>
      <c r="B16120" s="11" t="str">
        <f>"00745723"</f>
        <v>00745723</v>
      </c>
    </row>
    <row r="16121" spans="1:2" x14ac:dyDescent="0.25">
      <c r="A16121" s="2">
        <v>16116</v>
      </c>
      <c r="B16121" s="11" t="str">
        <f>"00745732"</f>
        <v>00745732</v>
      </c>
    </row>
    <row r="16122" spans="1:2" x14ac:dyDescent="0.25">
      <c r="A16122" s="2">
        <v>16117</v>
      </c>
      <c r="B16122" s="11" t="str">
        <f>"00745750"</f>
        <v>00745750</v>
      </c>
    </row>
    <row r="16123" spans="1:2" x14ac:dyDescent="0.25">
      <c r="A16123" s="2">
        <v>16118</v>
      </c>
      <c r="B16123" s="11" t="str">
        <f>"00745752"</f>
        <v>00745752</v>
      </c>
    </row>
    <row r="16124" spans="1:2" x14ac:dyDescent="0.25">
      <c r="A16124" s="2">
        <v>16119</v>
      </c>
      <c r="B16124" s="11" t="str">
        <f>"00745756"</f>
        <v>00745756</v>
      </c>
    </row>
    <row r="16125" spans="1:2" x14ac:dyDescent="0.25">
      <c r="A16125" s="2">
        <v>16120</v>
      </c>
      <c r="B16125" s="11" t="str">
        <f>"00745791"</f>
        <v>00745791</v>
      </c>
    </row>
    <row r="16126" spans="1:2" x14ac:dyDescent="0.25">
      <c r="A16126" s="2">
        <v>16121</v>
      </c>
      <c r="B16126" s="11" t="str">
        <f>"00745792"</f>
        <v>00745792</v>
      </c>
    </row>
    <row r="16127" spans="1:2" x14ac:dyDescent="0.25">
      <c r="A16127" s="2">
        <v>16122</v>
      </c>
      <c r="B16127" s="11" t="str">
        <f>"00745852"</f>
        <v>00745852</v>
      </c>
    </row>
    <row r="16128" spans="1:2" x14ac:dyDescent="0.25">
      <c r="A16128" s="2">
        <v>16123</v>
      </c>
      <c r="B16128" s="11" t="str">
        <f>"00745929"</f>
        <v>00745929</v>
      </c>
    </row>
    <row r="16129" spans="1:2" x14ac:dyDescent="0.25">
      <c r="A16129" s="2">
        <v>16124</v>
      </c>
      <c r="B16129" s="11" t="str">
        <f>"00745946"</f>
        <v>00745946</v>
      </c>
    </row>
    <row r="16130" spans="1:2" x14ac:dyDescent="0.25">
      <c r="A16130" s="2">
        <v>16125</v>
      </c>
      <c r="B16130" s="11" t="str">
        <f>"00745978"</f>
        <v>00745978</v>
      </c>
    </row>
    <row r="16131" spans="1:2" x14ac:dyDescent="0.25">
      <c r="A16131" s="2">
        <v>16126</v>
      </c>
      <c r="B16131" s="11" t="str">
        <f>"00745981"</f>
        <v>00745981</v>
      </c>
    </row>
    <row r="16132" spans="1:2" x14ac:dyDescent="0.25">
      <c r="A16132" s="2">
        <v>16127</v>
      </c>
      <c r="B16132" s="11" t="str">
        <f>"00745992"</f>
        <v>00745992</v>
      </c>
    </row>
    <row r="16133" spans="1:2" x14ac:dyDescent="0.25">
      <c r="A16133" s="2">
        <v>16128</v>
      </c>
      <c r="B16133" s="11" t="str">
        <f>"00746073"</f>
        <v>00746073</v>
      </c>
    </row>
    <row r="16134" spans="1:2" x14ac:dyDescent="0.25">
      <c r="A16134" s="2">
        <v>16129</v>
      </c>
      <c r="B16134" s="11" t="str">
        <f>"00746084"</f>
        <v>00746084</v>
      </c>
    </row>
    <row r="16135" spans="1:2" x14ac:dyDescent="0.25">
      <c r="A16135" s="2">
        <v>16130</v>
      </c>
      <c r="B16135" s="11" t="str">
        <f>"00746111"</f>
        <v>00746111</v>
      </c>
    </row>
    <row r="16136" spans="1:2" x14ac:dyDescent="0.25">
      <c r="A16136" s="2">
        <v>16131</v>
      </c>
      <c r="B16136" s="11" t="str">
        <f>"00746115"</f>
        <v>00746115</v>
      </c>
    </row>
    <row r="16137" spans="1:2" x14ac:dyDescent="0.25">
      <c r="A16137" s="2">
        <v>16132</v>
      </c>
      <c r="B16137" s="11" t="str">
        <f>"00746129"</f>
        <v>00746129</v>
      </c>
    </row>
    <row r="16138" spans="1:2" x14ac:dyDescent="0.25">
      <c r="A16138" s="2">
        <v>16133</v>
      </c>
      <c r="B16138" s="11" t="str">
        <f>"00746141"</f>
        <v>00746141</v>
      </c>
    </row>
    <row r="16139" spans="1:2" x14ac:dyDescent="0.25">
      <c r="A16139" s="2">
        <v>16134</v>
      </c>
      <c r="B16139" s="11" t="str">
        <f>"00746147"</f>
        <v>00746147</v>
      </c>
    </row>
    <row r="16140" spans="1:2" x14ac:dyDescent="0.25">
      <c r="A16140" s="2">
        <v>16135</v>
      </c>
      <c r="B16140" s="11" t="str">
        <f>"00746254"</f>
        <v>00746254</v>
      </c>
    </row>
    <row r="16141" spans="1:2" x14ac:dyDescent="0.25">
      <c r="A16141" s="2">
        <v>16136</v>
      </c>
      <c r="B16141" s="11" t="str">
        <f>"00746285"</f>
        <v>00746285</v>
      </c>
    </row>
    <row r="16142" spans="1:2" x14ac:dyDescent="0.25">
      <c r="A16142" s="2">
        <v>16137</v>
      </c>
      <c r="B16142" s="11" t="str">
        <f>"00746290"</f>
        <v>00746290</v>
      </c>
    </row>
    <row r="16143" spans="1:2" x14ac:dyDescent="0.25">
      <c r="A16143" s="2">
        <v>16138</v>
      </c>
      <c r="B16143" s="11" t="str">
        <f>"00746364"</f>
        <v>00746364</v>
      </c>
    </row>
    <row r="16144" spans="1:2" x14ac:dyDescent="0.25">
      <c r="A16144" s="2">
        <v>16139</v>
      </c>
      <c r="B16144" s="11" t="str">
        <f>"00746397"</f>
        <v>00746397</v>
      </c>
    </row>
    <row r="16145" spans="1:2" x14ac:dyDescent="0.25">
      <c r="A16145" s="2">
        <v>16140</v>
      </c>
      <c r="B16145" s="11" t="str">
        <f>"00746404"</f>
        <v>00746404</v>
      </c>
    </row>
    <row r="16146" spans="1:2" x14ac:dyDescent="0.25">
      <c r="A16146" s="2">
        <v>16141</v>
      </c>
      <c r="B16146" s="11" t="str">
        <f>"00746409"</f>
        <v>00746409</v>
      </c>
    </row>
    <row r="16147" spans="1:2" x14ac:dyDescent="0.25">
      <c r="A16147" s="2">
        <v>16142</v>
      </c>
      <c r="B16147" s="11" t="str">
        <f>"00746413"</f>
        <v>00746413</v>
      </c>
    </row>
    <row r="16148" spans="1:2" x14ac:dyDescent="0.25">
      <c r="A16148" s="2">
        <v>16143</v>
      </c>
      <c r="B16148" s="11" t="str">
        <f>"00746449"</f>
        <v>00746449</v>
      </c>
    </row>
    <row r="16149" spans="1:2" x14ac:dyDescent="0.25">
      <c r="A16149" s="2">
        <v>16144</v>
      </c>
      <c r="B16149" s="11" t="str">
        <f>"00746499"</f>
        <v>00746499</v>
      </c>
    </row>
    <row r="16150" spans="1:2" x14ac:dyDescent="0.25">
      <c r="A16150" s="2">
        <v>16145</v>
      </c>
      <c r="B16150" s="11" t="str">
        <f>"00746506"</f>
        <v>00746506</v>
      </c>
    </row>
    <row r="16151" spans="1:2" x14ac:dyDescent="0.25">
      <c r="A16151" s="2">
        <v>16146</v>
      </c>
      <c r="B16151" s="11" t="str">
        <f>"00746546"</f>
        <v>00746546</v>
      </c>
    </row>
    <row r="16152" spans="1:2" x14ac:dyDescent="0.25">
      <c r="A16152" s="2">
        <v>16147</v>
      </c>
      <c r="B16152" s="11" t="str">
        <f>"00746576"</f>
        <v>00746576</v>
      </c>
    </row>
    <row r="16153" spans="1:2" x14ac:dyDescent="0.25">
      <c r="A16153" s="2">
        <v>16148</v>
      </c>
      <c r="B16153" s="11" t="str">
        <f>"00746592"</f>
        <v>00746592</v>
      </c>
    </row>
    <row r="16154" spans="1:2" x14ac:dyDescent="0.25">
      <c r="A16154" s="2">
        <v>16149</v>
      </c>
      <c r="B16154" s="11" t="str">
        <f>"00746702"</f>
        <v>00746702</v>
      </c>
    </row>
    <row r="16155" spans="1:2" x14ac:dyDescent="0.25">
      <c r="A16155" s="2">
        <v>16150</v>
      </c>
      <c r="B16155" s="11" t="str">
        <f>"00746799"</f>
        <v>00746799</v>
      </c>
    </row>
    <row r="16156" spans="1:2" x14ac:dyDescent="0.25">
      <c r="A16156" s="2">
        <v>16151</v>
      </c>
      <c r="B16156" s="11" t="str">
        <f>"00746854"</f>
        <v>00746854</v>
      </c>
    </row>
    <row r="16157" spans="1:2" x14ac:dyDescent="0.25">
      <c r="A16157" s="2">
        <v>16152</v>
      </c>
      <c r="B16157" s="11" t="str">
        <f>"00746861"</f>
        <v>00746861</v>
      </c>
    </row>
    <row r="16158" spans="1:2" x14ac:dyDescent="0.25">
      <c r="A16158" s="2">
        <v>16153</v>
      </c>
      <c r="B16158" s="11" t="str">
        <f>"00746968"</f>
        <v>00746968</v>
      </c>
    </row>
    <row r="16159" spans="1:2" x14ac:dyDescent="0.25">
      <c r="A16159" s="2">
        <v>16154</v>
      </c>
      <c r="B16159" s="11" t="str">
        <f>"00746982"</f>
        <v>00746982</v>
      </c>
    </row>
    <row r="16160" spans="1:2" x14ac:dyDescent="0.25">
      <c r="A16160" s="2">
        <v>16155</v>
      </c>
      <c r="B16160" s="11" t="str">
        <f>"00747122"</f>
        <v>00747122</v>
      </c>
    </row>
    <row r="16161" spans="1:2" x14ac:dyDescent="0.25">
      <c r="A16161" s="2">
        <v>16156</v>
      </c>
      <c r="B16161" s="11" t="str">
        <f>"00747143"</f>
        <v>00747143</v>
      </c>
    </row>
    <row r="16162" spans="1:2" x14ac:dyDescent="0.25">
      <c r="A16162" s="2">
        <v>16157</v>
      </c>
      <c r="B16162" s="11" t="str">
        <f>"00747144"</f>
        <v>00747144</v>
      </c>
    </row>
    <row r="16163" spans="1:2" x14ac:dyDescent="0.25">
      <c r="A16163" s="2">
        <v>16158</v>
      </c>
      <c r="B16163" s="11" t="str">
        <f>"00747200"</f>
        <v>00747200</v>
      </c>
    </row>
    <row r="16164" spans="1:2" x14ac:dyDescent="0.25">
      <c r="A16164" s="2">
        <v>16159</v>
      </c>
      <c r="B16164" s="11" t="str">
        <f>"00747241"</f>
        <v>00747241</v>
      </c>
    </row>
    <row r="16165" spans="1:2" x14ac:dyDescent="0.25">
      <c r="A16165" s="2">
        <v>16160</v>
      </c>
      <c r="B16165" s="11" t="str">
        <f>"00747253"</f>
        <v>00747253</v>
      </c>
    </row>
    <row r="16166" spans="1:2" x14ac:dyDescent="0.25">
      <c r="A16166" s="2">
        <v>16161</v>
      </c>
      <c r="B16166" s="11" t="str">
        <f>"00747254"</f>
        <v>00747254</v>
      </c>
    </row>
    <row r="16167" spans="1:2" x14ac:dyDescent="0.25">
      <c r="A16167" s="2">
        <v>16162</v>
      </c>
      <c r="B16167" s="11" t="str">
        <f>"00747266"</f>
        <v>00747266</v>
      </c>
    </row>
    <row r="16168" spans="1:2" x14ac:dyDescent="0.25">
      <c r="A16168" s="2">
        <v>16163</v>
      </c>
      <c r="B16168" s="11" t="str">
        <f>"00747286"</f>
        <v>00747286</v>
      </c>
    </row>
    <row r="16169" spans="1:2" x14ac:dyDescent="0.25">
      <c r="A16169" s="2">
        <v>16164</v>
      </c>
      <c r="B16169" s="11" t="str">
        <f>"00747339"</f>
        <v>00747339</v>
      </c>
    </row>
    <row r="16170" spans="1:2" x14ac:dyDescent="0.25">
      <c r="A16170" s="2">
        <v>16165</v>
      </c>
      <c r="B16170" s="11" t="str">
        <f>"00747341"</f>
        <v>00747341</v>
      </c>
    </row>
    <row r="16171" spans="1:2" x14ac:dyDescent="0.25">
      <c r="A16171" s="2">
        <v>16166</v>
      </c>
      <c r="B16171" s="11" t="str">
        <f>"00747396"</f>
        <v>00747396</v>
      </c>
    </row>
    <row r="16172" spans="1:2" x14ac:dyDescent="0.25">
      <c r="A16172" s="2">
        <v>16167</v>
      </c>
      <c r="B16172" s="11" t="str">
        <f>"00747407"</f>
        <v>00747407</v>
      </c>
    </row>
    <row r="16173" spans="1:2" x14ac:dyDescent="0.25">
      <c r="A16173" s="2">
        <v>16168</v>
      </c>
      <c r="B16173" s="11" t="str">
        <f>"00747420"</f>
        <v>00747420</v>
      </c>
    </row>
    <row r="16174" spans="1:2" x14ac:dyDescent="0.25">
      <c r="A16174" s="2">
        <v>16169</v>
      </c>
      <c r="B16174" s="11" t="str">
        <f>"00747429"</f>
        <v>00747429</v>
      </c>
    </row>
    <row r="16175" spans="1:2" x14ac:dyDescent="0.25">
      <c r="A16175" s="2">
        <v>16170</v>
      </c>
      <c r="B16175" s="11" t="str">
        <f>"00747500"</f>
        <v>00747500</v>
      </c>
    </row>
    <row r="16176" spans="1:2" x14ac:dyDescent="0.25">
      <c r="A16176" s="2">
        <v>16171</v>
      </c>
      <c r="B16176" s="11" t="str">
        <f>"00747540"</f>
        <v>00747540</v>
      </c>
    </row>
    <row r="16177" spans="1:2" x14ac:dyDescent="0.25">
      <c r="A16177" s="2">
        <v>16172</v>
      </c>
      <c r="B16177" s="11" t="str">
        <f>"00747548"</f>
        <v>00747548</v>
      </c>
    </row>
    <row r="16178" spans="1:2" x14ac:dyDescent="0.25">
      <c r="A16178" s="2">
        <v>16173</v>
      </c>
      <c r="B16178" s="11" t="str">
        <f>"00747551"</f>
        <v>00747551</v>
      </c>
    </row>
    <row r="16179" spans="1:2" x14ac:dyDescent="0.25">
      <c r="A16179" s="2">
        <v>16174</v>
      </c>
      <c r="B16179" s="11" t="str">
        <f>"00747599"</f>
        <v>00747599</v>
      </c>
    </row>
    <row r="16180" spans="1:2" x14ac:dyDescent="0.25">
      <c r="A16180" s="2">
        <v>16175</v>
      </c>
      <c r="B16180" s="11" t="str">
        <f>"00747600"</f>
        <v>00747600</v>
      </c>
    </row>
    <row r="16181" spans="1:2" x14ac:dyDescent="0.25">
      <c r="A16181" s="2">
        <v>16176</v>
      </c>
      <c r="B16181" s="11" t="str">
        <f>"00747603"</f>
        <v>00747603</v>
      </c>
    </row>
    <row r="16182" spans="1:2" x14ac:dyDescent="0.25">
      <c r="A16182" s="2">
        <v>16177</v>
      </c>
      <c r="B16182" s="11" t="str">
        <f>"00747621"</f>
        <v>00747621</v>
      </c>
    </row>
    <row r="16183" spans="1:2" x14ac:dyDescent="0.25">
      <c r="A16183" s="2">
        <v>16178</v>
      </c>
      <c r="B16183" s="11" t="str">
        <f>"00747626"</f>
        <v>00747626</v>
      </c>
    </row>
    <row r="16184" spans="1:2" x14ac:dyDescent="0.25">
      <c r="A16184" s="2">
        <v>16179</v>
      </c>
      <c r="B16184" s="11" t="str">
        <f>"00747640"</f>
        <v>00747640</v>
      </c>
    </row>
    <row r="16185" spans="1:2" x14ac:dyDescent="0.25">
      <c r="A16185" s="2">
        <v>16180</v>
      </c>
      <c r="B16185" s="11" t="str">
        <f>"00747644"</f>
        <v>00747644</v>
      </c>
    </row>
    <row r="16186" spans="1:2" x14ac:dyDescent="0.25">
      <c r="A16186" s="2">
        <v>16181</v>
      </c>
      <c r="B16186" s="11" t="str">
        <f>"00747651"</f>
        <v>00747651</v>
      </c>
    </row>
    <row r="16187" spans="1:2" x14ac:dyDescent="0.25">
      <c r="A16187" s="2">
        <v>16182</v>
      </c>
      <c r="B16187" s="11" t="str">
        <f>"00747657"</f>
        <v>00747657</v>
      </c>
    </row>
    <row r="16188" spans="1:2" x14ac:dyDescent="0.25">
      <c r="A16188" s="2">
        <v>16183</v>
      </c>
      <c r="B16188" s="11" t="str">
        <f>"00747788"</f>
        <v>00747788</v>
      </c>
    </row>
    <row r="16189" spans="1:2" x14ac:dyDescent="0.25">
      <c r="A16189" s="2">
        <v>16184</v>
      </c>
      <c r="B16189" s="11" t="str">
        <f>"00747805"</f>
        <v>00747805</v>
      </c>
    </row>
    <row r="16190" spans="1:2" x14ac:dyDescent="0.25">
      <c r="A16190" s="2">
        <v>16185</v>
      </c>
      <c r="B16190" s="11" t="str">
        <f>"00747882"</f>
        <v>00747882</v>
      </c>
    </row>
    <row r="16191" spans="1:2" x14ac:dyDescent="0.25">
      <c r="A16191" s="2">
        <v>16186</v>
      </c>
      <c r="B16191" s="11" t="str">
        <f>"00748016"</f>
        <v>00748016</v>
      </c>
    </row>
    <row r="16192" spans="1:2" x14ac:dyDescent="0.25">
      <c r="A16192" s="2">
        <v>16187</v>
      </c>
      <c r="B16192" s="11" t="str">
        <f>"00748050"</f>
        <v>00748050</v>
      </c>
    </row>
    <row r="16193" spans="1:2" x14ac:dyDescent="0.25">
      <c r="A16193" s="2">
        <v>16188</v>
      </c>
      <c r="B16193" s="11" t="str">
        <f>"00748056"</f>
        <v>00748056</v>
      </c>
    </row>
    <row r="16194" spans="1:2" x14ac:dyDescent="0.25">
      <c r="A16194" s="2">
        <v>16189</v>
      </c>
      <c r="B16194" s="11" t="str">
        <f>"00748132"</f>
        <v>00748132</v>
      </c>
    </row>
    <row r="16195" spans="1:2" x14ac:dyDescent="0.25">
      <c r="A16195" s="2">
        <v>16190</v>
      </c>
      <c r="B16195" s="11" t="str">
        <f>"00748204"</f>
        <v>00748204</v>
      </c>
    </row>
    <row r="16196" spans="1:2" x14ac:dyDescent="0.25">
      <c r="A16196" s="2">
        <v>16191</v>
      </c>
      <c r="B16196" s="11" t="str">
        <f>"00748229"</f>
        <v>00748229</v>
      </c>
    </row>
    <row r="16197" spans="1:2" x14ac:dyDescent="0.25">
      <c r="A16197" s="2">
        <v>16192</v>
      </c>
      <c r="B16197" s="11" t="str">
        <f>"00748234"</f>
        <v>00748234</v>
      </c>
    </row>
    <row r="16198" spans="1:2" x14ac:dyDescent="0.25">
      <c r="A16198" s="2">
        <v>16193</v>
      </c>
      <c r="B16198" s="11" t="str">
        <f>"00748260"</f>
        <v>00748260</v>
      </c>
    </row>
    <row r="16199" spans="1:2" x14ac:dyDescent="0.25">
      <c r="A16199" s="2">
        <v>16194</v>
      </c>
      <c r="B16199" s="11" t="str">
        <f>"00748262"</f>
        <v>00748262</v>
      </c>
    </row>
    <row r="16200" spans="1:2" x14ac:dyDescent="0.25">
      <c r="A16200" s="2">
        <v>16195</v>
      </c>
      <c r="B16200" s="11" t="str">
        <f>"00748265"</f>
        <v>00748265</v>
      </c>
    </row>
    <row r="16201" spans="1:2" x14ac:dyDescent="0.25">
      <c r="A16201" s="2">
        <v>16196</v>
      </c>
      <c r="B16201" s="11" t="str">
        <f>"00748272"</f>
        <v>00748272</v>
      </c>
    </row>
    <row r="16202" spans="1:2" x14ac:dyDescent="0.25">
      <c r="A16202" s="2">
        <v>16197</v>
      </c>
      <c r="B16202" s="11" t="str">
        <f>"00748319"</f>
        <v>00748319</v>
      </c>
    </row>
    <row r="16203" spans="1:2" x14ac:dyDescent="0.25">
      <c r="A16203" s="2">
        <v>16198</v>
      </c>
      <c r="B16203" s="11" t="str">
        <f>"00748330"</f>
        <v>00748330</v>
      </c>
    </row>
    <row r="16204" spans="1:2" x14ac:dyDescent="0.25">
      <c r="A16204" s="2">
        <v>16199</v>
      </c>
      <c r="B16204" s="11" t="str">
        <f>"00748365"</f>
        <v>00748365</v>
      </c>
    </row>
    <row r="16205" spans="1:2" x14ac:dyDescent="0.25">
      <c r="A16205" s="2">
        <v>16200</v>
      </c>
      <c r="B16205" s="11" t="str">
        <f>"00748436"</f>
        <v>00748436</v>
      </c>
    </row>
    <row r="16206" spans="1:2" x14ac:dyDescent="0.25">
      <c r="A16206" s="2">
        <v>16201</v>
      </c>
      <c r="B16206" s="11" t="str">
        <f>"00748468"</f>
        <v>00748468</v>
      </c>
    </row>
    <row r="16207" spans="1:2" x14ac:dyDescent="0.25">
      <c r="A16207" s="2">
        <v>16202</v>
      </c>
      <c r="B16207" s="11" t="str">
        <f>"00748532"</f>
        <v>00748532</v>
      </c>
    </row>
    <row r="16208" spans="1:2" x14ac:dyDescent="0.25">
      <c r="A16208" s="2">
        <v>16203</v>
      </c>
      <c r="B16208" s="11" t="str">
        <f>"00748558"</f>
        <v>00748558</v>
      </c>
    </row>
    <row r="16209" spans="1:2" x14ac:dyDescent="0.25">
      <c r="A16209" s="2">
        <v>16204</v>
      </c>
      <c r="B16209" s="11" t="str">
        <f>"00748583"</f>
        <v>00748583</v>
      </c>
    </row>
    <row r="16210" spans="1:2" x14ac:dyDescent="0.25">
      <c r="A16210" s="2">
        <v>16205</v>
      </c>
      <c r="B16210" s="11" t="str">
        <f>"00748605"</f>
        <v>00748605</v>
      </c>
    </row>
    <row r="16211" spans="1:2" x14ac:dyDescent="0.25">
      <c r="A16211" s="2">
        <v>16206</v>
      </c>
      <c r="B16211" s="11" t="str">
        <f>"00748638"</f>
        <v>00748638</v>
      </c>
    </row>
    <row r="16212" spans="1:2" x14ac:dyDescent="0.25">
      <c r="A16212" s="2">
        <v>16207</v>
      </c>
      <c r="B16212" s="11" t="str">
        <f>"00748652"</f>
        <v>00748652</v>
      </c>
    </row>
    <row r="16213" spans="1:2" x14ac:dyDescent="0.25">
      <c r="A16213" s="2">
        <v>16208</v>
      </c>
      <c r="B16213" s="11" t="str">
        <f>"00748695"</f>
        <v>00748695</v>
      </c>
    </row>
    <row r="16214" spans="1:2" x14ac:dyDescent="0.25">
      <c r="A16214" s="2">
        <v>16209</v>
      </c>
      <c r="B16214" s="11" t="str">
        <f>"00748696"</f>
        <v>00748696</v>
      </c>
    </row>
    <row r="16215" spans="1:2" x14ac:dyDescent="0.25">
      <c r="A16215" s="2">
        <v>16210</v>
      </c>
      <c r="B16215" s="11" t="str">
        <f>"00748725"</f>
        <v>00748725</v>
      </c>
    </row>
    <row r="16216" spans="1:2" x14ac:dyDescent="0.25">
      <c r="A16216" s="2">
        <v>16211</v>
      </c>
      <c r="B16216" s="11" t="str">
        <f>"00748771"</f>
        <v>00748771</v>
      </c>
    </row>
    <row r="16217" spans="1:2" x14ac:dyDescent="0.25">
      <c r="A16217" s="2">
        <v>16212</v>
      </c>
      <c r="B16217" s="11" t="str">
        <f>"00748883"</f>
        <v>00748883</v>
      </c>
    </row>
    <row r="16218" spans="1:2" x14ac:dyDescent="0.25">
      <c r="A16218" s="2">
        <v>16213</v>
      </c>
      <c r="B16218" s="11" t="str">
        <f>"00748978"</f>
        <v>00748978</v>
      </c>
    </row>
    <row r="16219" spans="1:2" x14ac:dyDescent="0.25">
      <c r="A16219" s="2">
        <v>16214</v>
      </c>
      <c r="B16219" s="11" t="str">
        <f>"00749002"</f>
        <v>00749002</v>
      </c>
    </row>
    <row r="16220" spans="1:2" x14ac:dyDescent="0.25">
      <c r="A16220" s="2">
        <v>16215</v>
      </c>
      <c r="B16220" s="11" t="str">
        <f>"00749012"</f>
        <v>00749012</v>
      </c>
    </row>
    <row r="16221" spans="1:2" x14ac:dyDescent="0.25">
      <c r="A16221" s="2">
        <v>16216</v>
      </c>
      <c r="B16221" s="11" t="str">
        <f>"00749040"</f>
        <v>00749040</v>
      </c>
    </row>
    <row r="16222" spans="1:2" x14ac:dyDescent="0.25">
      <c r="A16222" s="2">
        <v>16217</v>
      </c>
      <c r="B16222" s="11" t="str">
        <f>"00749083"</f>
        <v>00749083</v>
      </c>
    </row>
    <row r="16223" spans="1:2" x14ac:dyDescent="0.25">
      <c r="A16223" s="2">
        <v>16218</v>
      </c>
      <c r="B16223" s="11" t="str">
        <f>"00749089"</f>
        <v>00749089</v>
      </c>
    </row>
    <row r="16224" spans="1:2" x14ac:dyDescent="0.25">
      <c r="A16224" s="2">
        <v>16219</v>
      </c>
      <c r="B16224" s="11" t="str">
        <f>"00749090"</f>
        <v>00749090</v>
      </c>
    </row>
    <row r="16225" spans="1:2" x14ac:dyDescent="0.25">
      <c r="A16225" s="2">
        <v>16220</v>
      </c>
      <c r="B16225" s="11" t="str">
        <f>"00749111"</f>
        <v>00749111</v>
      </c>
    </row>
    <row r="16226" spans="1:2" x14ac:dyDescent="0.25">
      <c r="A16226" s="2">
        <v>16221</v>
      </c>
      <c r="B16226" s="11" t="str">
        <f>"00749167"</f>
        <v>00749167</v>
      </c>
    </row>
    <row r="16227" spans="1:2" x14ac:dyDescent="0.25">
      <c r="A16227" s="2">
        <v>16222</v>
      </c>
      <c r="B16227" s="11" t="str">
        <f>"00749189"</f>
        <v>00749189</v>
      </c>
    </row>
    <row r="16228" spans="1:2" x14ac:dyDescent="0.25">
      <c r="A16228" s="2">
        <v>16223</v>
      </c>
      <c r="B16228" s="11" t="str">
        <f>"00749229"</f>
        <v>00749229</v>
      </c>
    </row>
    <row r="16229" spans="1:2" x14ac:dyDescent="0.25">
      <c r="A16229" s="2">
        <v>16224</v>
      </c>
      <c r="B16229" s="11" t="str">
        <f>"00749248"</f>
        <v>00749248</v>
      </c>
    </row>
    <row r="16230" spans="1:2" x14ac:dyDescent="0.25">
      <c r="A16230" s="2">
        <v>16225</v>
      </c>
      <c r="B16230" s="11" t="str">
        <f>"00749263"</f>
        <v>00749263</v>
      </c>
    </row>
    <row r="16231" spans="1:2" x14ac:dyDescent="0.25">
      <c r="A16231" s="2">
        <v>16226</v>
      </c>
      <c r="B16231" s="11" t="str">
        <f>"00749273"</f>
        <v>00749273</v>
      </c>
    </row>
    <row r="16232" spans="1:2" x14ac:dyDescent="0.25">
      <c r="A16232" s="2">
        <v>16227</v>
      </c>
      <c r="B16232" s="11" t="str">
        <f>"00749296"</f>
        <v>00749296</v>
      </c>
    </row>
    <row r="16233" spans="1:2" x14ac:dyDescent="0.25">
      <c r="A16233" s="2">
        <v>16228</v>
      </c>
      <c r="B16233" s="11" t="str">
        <f>"00749313"</f>
        <v>00749313</v>
      </c>
    </row>
    <row r="16234" spans="1:2" x14ac:dyDescent="0.25">
      <c r="A16234" s="2">
        <v>16229</v>
      </c>
      <c r="B16234" s="11" t="str">
        <f>"00749326"</f>
        <v>00749326</v>
      </c>
    </row>
    <row r="16235" spans="1:2" x14ac:dyDescent="0.25">
      <c r="A16235" s="2">
        <v>16230</v>
      </c>
      <c r="B16235" s="11" t="str">
        <f>"00749402"</f>
        <v>00749402</v>
      </c>
    </row>
    <row r="16236" spans="1:2" x14ac:dyDescent="0.25">
      <c r="A16236" s="2">
        <v>16231</v>
      </c>
      <c r="B16236" s="11" t="str">
        <f>"00749413"</f>
        <v>00749413</v>
      </c>
    </row>
    <row r="16237" spans="1:2" x14ac:dyDescent="0.25">
      <c r="A16237" s="2">
        <v>16232</v>
      </c>
      <c r="B16237" s="11" t="str">
        <f>"00749514"</f>
        <v>00749514</v>
      </c>
    </row>
    <row r="16238" spans="1:2" x14ac:dyDescent="0.25">
      <c r="A16238" s="2">
        <v>16233</v>
      </c>
      <c r="B16238" s="11" t="str">
        <f>"00749583"</f>
        <v>00749583</v>
      </c>
    </row>
    <row r="16239" spans="1:2" x14ac:dyDescent="0.25">
      <c r="A16239" s="2">
        <v>16234</v>
      </c>
      <c r="B16239" s="11" t="str">
        <f>"00749613"</f>
        <v>00749613</v>
      </c>
    </row>
    <row r="16240" spans="1:2" x14ac:dyDescent="0.25">
      <c r="A16240" s="2">
        <v>16235</v>
      </c>
      <c r="B16240" s="11" t="str">
        <f>"00749670"</f>
        <v>00749670</v>
      </c>
    </row>
    <row r="16241" spans="1:2" x14ac:dyDescent="0.25">
      <c r="A16241" s="2">
        <v>16236</v>
      </c>
      <c r="B16241" s="11" t="str">
        <f>"00749763"</f>
        <v>00749763</v>
      </c>
    </row>
    <row r="16242" spans="1:2" x14ac:dyDescent="0.25">
      <c r="A16242" s="2">
        <v>16237</v>
      </c>
      <c r="B16242" s="11" t="str">
        <f>"00749771"</f>
        <v>00749771</v>
      </c>
    </row>
    <row r="16243" spans="1:2" x14ac:dyDescent="0.25">
      <c r="A16243" s="2">
        <v>16238</v>
      </c>
      <c r="B16243" s="11" t="str">
        <f>"00749775"</f>
        <v>00749775</v>
      </c>
    </row>
    <row r="16244" spans="1:2" x14ac:dyDescent="0.25">
      <c r="A16244" s="2">
        <v>16239</v>
      </c>
      <c r="B16244" s="11" t="str">
        <f>"00749784"</f>
        <v>00749784</v>
      </c>
    </row>
    <row r="16245" spans="1:2" x14ac:dyDescent="0.25">
      <c r="A16245" s="2">
        <v>16240</v>
      </c>
      <c r="B16245" s="11" t="str">
        <f>"00749951"</f>
        <v>00749951</v>
      </c>
    </row>
    <row r="16246" spans="1:2" x14ac:dyDescent="0.25">
      <c r="A16246" s="2">
        <v>16241</v>
      </c>
      <c r="B16246" s="11" t="str">
        <f>"00749954"</f>
        <v>00749954</v>
      </c>
    </row>
    <row r="16247" spans="1:2" x14ac:dyDescent="0.25">
      <c r="A16247" s="2">
        <v>16242</v>
      </c>
      <c r="B16247" s="11" t="str">
        <f>"00749983"</f>
        <v>00749983</v>
      </c>
    </row>
    <row r="16248" spans="1:2" x14ac:dyDescent="0.25">
      <c r="A16248" s="2">
        <v>16243</v>
      </c>
      <c r="B16248" s="11" t="str">
        <f>"00749990"</f>
        <v>00749990</v>
      </c>
    </row>
    <row r="16249" spans="1:2" x14ac:dyDescent="0.25">
      <c r="A16249" s="2">
        <v>16244</v>
      </c>
      <c r="B16249" s="11" t="str">
        <f>"00750016"</f>
        <v>00750016</v>
      </c>
    </row>
    <row r="16250" spans="1:2" x14ac:dyDescent="0.25">
      <c r="A16250" s="2">
        <v>16245</v>
      </c>
      <c r="B16250" s="11" t="str">
        <f>"00750022"</f>
        <v>00750022</v>
      </c>
    </row>
    <row r="16251" spans="1:2" x14ac:dyDescent="0.25">
      <c r="A16251" s="2">
        <v>16246</v>
      </c>
      <c r="B16251" s="11" t="str">
        <f>"00750071"</f>
        <v>00750071</v>
      </c>
    </row>
    <row r="16252" spans="1:2" x14ac:dyDescent="0.25">
      <c r="A16252" s="2">
        <v>16247</v>
      </c>
      <c r="B16252" s="11" t="str">
        <f>"00750102"</f>
        <v>00750102</v>
      </c>
    </row>
    <row r="16253" spans="1:2" x14ac:dyDescent="0.25">
      <c r="A16253" s="2">
        <v>16248</v>
      </c>
      <c r="B16253" s="11" t="str">
        <f>"00750117"</f>
        <v>00750117</v>
      </c>
    </row>
    <row r="16254" spans="1:2" x14ac:dyDescent="0.25">
      <c r="A16254" s="2">
        <v>16249</v>
      </c>
      <c r="B16254" s="11" t="str">
        <f>"00750129"</f>
        <v>00750129</v>
      </c>
    </row>
    <row r="16255" spans="1:2" x14ac:dyDescent="0.25">
      <c r="A16255" s="2">
        <v>16250</v>
      </c>
      <c r="B16255" s="11" t="str">
        <f>"00750171"</f>
        <v>00750171</v>
      </c>
    </row>
    <row r="16256" spans="1:2" x14ac:dyDescent="0.25">
      <c r="A16256" s="2">
        <v>16251</v>
      </c>
      <c r="B16256" s="11" t="str">
        <f>"00750189"</f>
        <v>00750189</v>
      </c>
    </row>
    <row r="16257" spans="1:2" x14ac:dyDescent="0.25">
      <c r="A16257" s="2">
        <v>16252</v>
      </c>
      <c r="B16257" s="11" t="str">
        <f>"00750190"</f>
        <v>00750190</v>
      </c>
    </row>
    <row r="16258" spans="1:2" x14ac:dyDescent="0.25">
      <c r="A16258" s="2">
        <v>16253</v>
      </c>
      <c r="B16258" s="11" t="str">
        <f>"00750324"</f>
        <v>00750324</v>
      </c>
    </row>
    <row r="16259" spans="1:2" x14ac:dyDescent="0.25">
      <c r="A16259" s="2">
        <v>16254</v>
      </c>
      <c r="B16259" s="11" t="str">
        <f>"00750329"</f>
        <v>00750329</v>
      </c>
    </row>
    <row r="16260" spans="1:2" x14ac:dyDescent="0.25">
      <c r="A16260" s="2">
        <v>16255</v>
      </c>
      <c r="B16260" s="11" t="str">
        <f>"00750378"</f>
        <v>00750378</v>
      </c>
    </row>
    <row r="16261" spans="1:2" x14ac:dyDescent="0.25">
      <c r="A16261" s="2">
        <v>16256</v>
      </c>
      <c r="B16261" s="11" t="str">
        <f>"00750386"</f>
        <v>00750386</v>
      </c>
    </row>
    <row r="16262" spans="1:2" x14ac:dyDescent="0.25">
      <c r="A16262" s="2">
        <v>16257</v>
      </c>
      <c r="B16262" s="11" t="str">
        <f>"00750402"</f>
        <v>00750402</v>
      </c>
    </row>
    <row r="16263" spans="1:2" x14ac:dyDescent="0.25">
      <c r="A16263" s="2">
        <v>16258</v>
      </c>
      <c r="B16263" s="11" t="str">
        <f>"00750416"</f>
        <v>00750416</v>
      </c>
    </row>
    <row r="16264" spans="1:2" x14ac:dyDescent="0.25">
      <c r="A16264" s="2">
        <v>16259</v>
      </c>
      <c r="B16264" s="11" t="str">
        <f>"00750428"</f>
        <v>00750428</v>
      </c>
    </row>
    <row r="16265" spans="1:2" x14ac:dyDescent="0.25">
      <c r="A16265" s="2">
        <v>16260</v>
      </c>
      <c r="B16265" s="11" t="str">
        <f>"00750442"</f>
        <v>00750442</v>
      </c>
    </row>
    <row r="16266" spans="1:2" x14ac:dyDescent="0.25">
      <c r="A16266" s="2">
        <v>16261</v>
      </c>
      <c r="B16266" s="11" t="str">
        <f>"00750446"</f>
        <v>00750446</v>
      </c>
    </row>
    <row r="16267" spans="1:2" x14ac:dyDescent="0.25">
      <c r="A16267" s="2">
        <v>16262</v>
      </c>
      <c r="B16267" s="11" t="str">
        <f>"00750502"</f>
        <v>00750502</v>
      </c>
    </row>
    <row r="16268" spans="1:2" x14ac:dyDescent="0.25">
      <c r="A16268" s="2">
        <v>16263</v>
      </c>
      <c r="B16268" s="11" t="str">
        <f>"00750570"</f>
        <v>00750570</v>
      </c>
    </row>
    <row r="16269" spans="1:2" x14ac:dyDescent="0.25">
      <c r="A16269" s="2">
        <v>16264</v>
      </c>
      <c r="B16269" s="11" t="str">
        <f>"00750609"</f>
        <v>00750609</v>
      </c>
    </row>
    <row r="16270" spans="1:2" x14ac:dyDescent="0.25">
      <c r="A16270" s="2">
        <v>16265</v>
      </c>
      <c r="B16270" s="11" t="str">
        <f>"00750614"</f>
        <v>00750614</v>
      </c>
    </row>
    <row r="16271" spans="1:2" x14ac:dyDescent="0.25">
      <c r="A16271" s="2">
        <v>16266</v>
      </c>
      <c r="B16271" s="11" t="str">
        <f>"00750650"</f>
        <v>00750650</v>
      </c>
    </row>
    <row r="16272" spans="1:2" x14ac:dyDescent="0.25">
      <c r="A16272" s="2">
        <v>16267</v>
      </c>
      <c r="B16272" s="11" t="str">
        <f>"00750670"</f>
        <v>00750670</v>
      </c>
    </row>
    <row r="16273" spans="1:2" x14ac:dyDescent="0.25">
      <c r="A16273" s="2">
        <v>16268</v>
      </c>
      <c r="B16273" s="11" t="str">
        <f>"00750700"</f>
        <v>00750700</v>
      </c>
    </row>
    <row r="16274" spans="1:2" x14ac:dyDescent="0.25">
      <c r="A16274" s="2">
        <v>16269</v>
      </c>
      <c r="B16274" s="11" t="str">
        <f>"00750735"</f>
        <v>00750735</v>
      </c>
    </row>
    <row r="16275" spans="1:2" x14ac:dyDescent="0.25">
      <c r="A16275" s="2">
        <v>16270</v>
      </c>
      <c r="B16275" s="11" t="str">
        <f>"00750749"</f>
        <v>00750749</v>
      </c>
    </row>
    <row r="16276" spans="1:2" x14ac:dyDescent="0.25">
      <c r="A16276" s="2">
        <v>16271</v>
      </c>
      <c r="B16276" s="11" t="str">
        <f>"00750769"</f>
        <v>00750769</v>
      </c>
    </row>
    <row r="16277" spans="1:2" x14ac:dyDescent="0.25">
      <c r="A16277" s="2">
        <v>16272</v>
      </c>
      <c r="B16277" s="11" t="str">
        <f>"00750770"</f>
        <v>00750770</v>
      </c>
    </row>
    <row r="16278" spans="1:2" x14ac:dyDescent="0.25">
      <c r="A16278" s="2">
        <v>16273</v>
      </c>
      <c r="B16278" s="11" t="str">
        <f>"00750779"</f>
        <v>00750779</v>
      </c>
    </row>
    <row r="16279" spans="1:2" x14ac:dyDescent="0.25">
      <c r="A16279" s="2">
        <v>16274</v>
      </c>
      <c r="B16279" s="11" t="str">
        <f>"00750831"</f>
        <v>00750831</v>
      </c>
    </row>
    <row r="16280" spans="1:2" x14ac:dyDescent="0.25">
      <c r="A16280" s="2">
        <v>16275</v>
      </c>
      <c r="B16280" s="11" t="str">
        <f>"00750836"</f>
        <v>00750836</v>
      </c>
    </row>
    <row r="16281" spans="1:2" x14ac:dyDescent="0.25">
      <c r="A16281" s="2">
        <v>16276</v>
      </c>
      <c r="B16281" s="11" t="str">
        <f>"00750866"</f>
        <v>00750866</v>
      </c>
    </row>
    <row r="16282" spans="1:2" x14ac:dyDescent="0.25">
      <c r="A16282" s="2">
        <v>16277</v>
      </c>
      <c r="B16282" s="11" t="str">
        <f>"00750880"</f>
        <v>00750880</v>
      </c>
    </row>
    <row r="16283" spans="1:2" x14ac:dyDescent="0.25">
      <c r="A16283" s="2">
        <v>16278</v>
      </c>
      <c r="B16283" s="11" t="str">
        <f>"00750899"</f>
        <v>00750899</v>
      </c>
    </row>
    <row r="16284" spans="1:2" x14ac:dyDescent="0.25">
      <c r="A16284" s="2">
        <v>16279</v>
      </c>
      <c r="B16284" s="11" t="str">
        <f>"00750937"</f>
        <v>00750937</v>
      </c>
    </row>
    <row r="16285" spans="1:2" x14ac:dyDescent="0.25">
      <c r="A16285" s="2">
        <v>16280</v>
      </c>
      <c r="B16285" s="11" t="str">
        <f>"00750982"</f>
        <v>00750982</v>
      </c>
    </row>
    <row r="16286" spans="1:2" x14ac:dyDescent="0.25">
      <c r="A16286" s="2">
        <v>16281</v>
      </c>
      <c r="B16286" s="11" t="str">
        <f>"00751021"</f>
        <v>00751021</v>
      </c>
    </row>
    <row r="16287" spans="1:2" x14ac:dyDescent="0.25">
      <c r="A16287" s="2">
        <v>16282</v>
      </c>
      <c r="B16287" s="11" t="str">
        <f>"00751066"</f>
        <v>00751066</v>
      </c>
    </row>
    <row r="16288" spans="1:2" x14ac:dyDescent="0.25">
      <c r="A16288" s="2">
        <v>16283</v>
      </c>
      <c r="B16288" s="11" t="str">
        <f>"00751085"</f>
        <v>00751085</v>
      </c>
    </row>
    <row r="16289" spans="1:2" x14ac:dyDescent="0.25">
      <c r="A16289" s="2">
        <v>16284</v>
      </c>
      <c r="B16289" s="11" t="str">
        <f>"00751177"</f>
        <v>00751177</v>
      </c>
    </row>
    <row r="16290" spans="1:2" x14ac:dyDescent="0.25">
      <c r="A16290" s="2">
        <v>16285</v>
      </c>
      <c r="B16290" s="11" t="str">
        <f>"00751245"</f>
        <v>00751245</v>
      </c>
    </row>
    <row r="16291" spans="1:2" x14ac:dyDescent="0.25">
      <c r="A16291" s="2">
        <v>16286</v>
      </c>
      <c r="B16291" s="11" t="str">
        <f>"00751356"</f>
        <v>00751356</v>
      </c>
    </row>
    <row r="16292" spans="1:2" x14ac:dyDescent="0.25">
      <c r="A16292" s="2">
        <v>16287</v>
      </c>
      <c r="B16292" s="11" t="str">
        <f>"00751359"</f>
        <v>00751359</v>
      </c>
    </row>
    <row r="16293" spans="1:2" x14ac:dyDescent="0.25">
      <c r="A16293" s="2">
        <v>16288</v>
      </c>
      <c r="B16293" s="11" t="str">
        <f>"00751502"</f>
        <v>00751502</v>
      </c>
    </row>
    <row r="16294" spans="1:2" x14ac:dyDescent="0.25">
      <c r="A16294" s="2">
        <v>16289</v>
      </c>
      <c r="B16294" s="11" t="str">
        <f>"00751672"</f>
        <v>00751672</v>
      </c>
    </row>
    <row r="16295" spans="1:2" x14ac:dyDescent="0.25">
      <c r="A16295" s="2">
        <v>16290</v>
      </c>
      <c r="B16295" s="11" t="str">
        <f>"00751680"</f>
        <v>00751680</v>
      </c>
    </row>
    <row r="16296" spans="1:2" x14ac:dyDescent="0.25">
      <c r="A16296" s="2">
        <v>16291</v>
      </c>
      <c r="B16296" s="11" t="str">
        <f>"00751702"</f>
        <v>00751702</v>
      </c>
    </row>
    <row r="16297" spans="1:2" x14ac:dyDescent="0.25">
      <c r="A16297" s="2">
        <v>16292</v>
      </c>
      <c r="B16297" s="11" t="str">
        <f>"00751720"</f>
        <v>00751720</v>
      </c>
    </row>
    <row r="16298" spans="1:2" x14ac:dyDescent="0.25">
      <c r="A16298" s="2">
        <v>16293</v>
      </c>
      <c r="B16298" s="11" t="str">
        <f>"00751730"</f>
        <v>00751730</v>
      </c>
    </row>
    <row r="16299" spans="1:2" x14ac:dyDescent="0.25">
      <c r="A16299" s="2">
        <v>16294</v>
      </c>
      <c r="B16299" s="11" t="str">
        <f>"00751750"</f>
        <v>00751750</v>
      </c>
    </row>
    <row r="16300" spans="1:2" x14ac:dyDescent="0.25">
      <c r="A16300" s="2">
        <v>16295</v>
      </c>
      <c r="B16300" s="11" t="str">
        <f>"00751855"</f>
        <v>00751855</v>
      </c>
    </row>
    <row r="16301" spans="1:2" x14ac:dyDescent="0.25">
      <c r="A16301" s="2">
        <v>16296</v>
      </c>
      <c r="B16301" s="11" t="str">
        <f>"00751881"</f>
        <v>00751881</v>
      </c>
    </row>
    <row r="16302" spans="1:2" x14ac:dyDescent="0.25">
      <c r="A16302" s="2">
        <v>16297</v>
      </c>
      <c r="B16302" s="11" t="str">
        <f>"00751906"</f>
        <v>00751906</v>
      </c>
    </row>
    <row r="16303" spans="1:2" x14ac:dyDescent="0.25">
      <c r="A16303" s="2">
        <v>16298</v>
      </c>
      <c r="B16303" s="11" t="str">
        <f>"00752123"</f>
        <v>00752123</v>
      </c>
    </row>
    <row r="16304" spans="1:2" x14ac:dyDescent="0.25">
      <c r="A16304" s="2">
        <v>16299</v>
      </c>
      <c r="B16304" s="11" t="str">
        <f>"00752145"</f>
        <v>00752145</v>
      </c>
    </row>
    <row r="16305" spans="1:2" x14ac:dyDescent="0.25">
      <c r="A16305" s="2">
        <v>16300</v>
      </c>
      <c r="B16305" s="11" t="str">
        <f>"00752154"</f>
        <v>00752154</v>
      </c>
    </row>
    <row r="16306" spans="1:2" x14ac:dyDescent="0.25">
      <c r="A16306" s="2">
        <v>16301</v>
      </c>
      <c r="B16306" s="11" t="str">
        <f>"00752163"</f>
        <v>00752163</v>
      </c>
    </row>
    <row r="16307" spans="1:2" x14ac:dyDescent="0.25">
      <c r="A16307" s="2">
        <v>16302</v>
      </c>
      <c r="B16307" s="11" t="str">
        <f>"00752241"</f>
        <v>00752241</v>
      </c>
    </row>
    <row r="16308" spans="1:2" x14ac:dyDescent="0.25">
      <c r="A16308" s="2">
        <v>16303</v>
      </c>
      <c r="B16308" s="11" t="str">
        <f>"00752305"</f>
        <v>00752305</v>
      </c>
    </row>
    <row r="16309" spans="1:2" x14ac:dyDescent="0.25">
      <c r="A16309" s="2">
        <v>16304</v>
      </c>
      <c r="B16309" s="11" t="str">
        <f>"00752339"</f>
        <v>00752339</v>
      </c>
    </row>
    <row r="16310" spans="1:2" x14ac:dyDescent="0.25">
      <c r="A16310" s="2">
        <v>16305</v>
      </c>
      <c r="B16310" s="11" t="str">
        <f>"00752357"</f>
        <v>00752357</v>
      </c>
    </row>
    <row r="16311" spans="1:2" x14ac:dyDescent="0.25">
      <c r="A16311" s="2">
        <v>16306</v>
      </c>
      <c r="B16311" s="11" t="str">
        <f>"00752397"</f>
        <v>00752397</v>
      </c>
    </row>
    <row r="16312" spans="1:2" x14ac:dyDescent="0.25">
      <c r="A16312" s="2">
        <v>16307</v>
      </c>
      <c r="B16312" s="11" t="str">
        <f>"00752416"</f>
        <v>00752416</v>
      </c>
    </row>
    <row r="16313" spans="1:2" x14ac:dyDescent="0.25">
      <c r="A16313" s="2">
        <v>16308</v>
      </c>
      <c r="B16313" s="11" t="str">
        <f>"00752434"</f>
        <v>00752434</v>
      </c>
    </row>
    <row r="16314" spans="1:2" x14ac:dyDescent="0.25">
      <c r="A16314" s="2">
        <v>16309</v>
      </c>
      <c r="B16314" s="11" t="str">
        <f>"00752496"</f>
        <v>00752496</v>
      </c>
    </row>
    <row r="16315" spans="1:2" x14ac:dyDescent="0.25">
      <c r="A16315" s="2">
        <v>16310</v>
      </c>
      <c r="B16315" s="11" t="str">
        <f>"00752547"</f>
        <v>00752547</v>
      </c>
    </row>
    <row r="16316" spans="1:2" x14ac:dyDescent="0.25">
      <c r="A16316" s="2">
        <v>16311</v>
      </c>
      <c r="B16316" s="11" t="str">
        <f>"00752612"</f>
        <v>00752612</v>
      </c>
    </row>
    <row r="16317" spans="1:2" x14ac:dyDescent="0.25">
      <c r="A16317" s="2">
        <v>16312</v>
      </c>
      <c r="B16317" s="11" t="str">
        <f>"00752673"</f>
        <v>00752673</v>
      </c>
    </row>
    <row r="16318" spans="1:2" x14ac:dyDescent="0.25">
      <c r="A16318" s="2">
        <v>16313</v>
      </c>
      <c r="B16318" s="11" t="str">
        <f>"00752698"</f>
        <v>00752698</v>
      </c>
    </row>
    <row r="16319" spans="1:2" x14ac:dyDescent="0.25">
      <c r="A16319" s="2">
        <v>16314</v>
      </c>
      <c r="B16319" s="11" t="str">
        <f>"00752733"</f>
        <v>00752733</v>
      </c>
    </row>
    <row r="16320" spans="1:2" x14ac:dyDescent="0.25">
      <c r="A16320" s="2">
        <v>16315</v>
      </c>
      <c r="B16320" s="11" t="str">
        <f>"00752781"</f>
        <v>00752781</v>
      </c>
    </row>
    <row r="16321" spans="1:2" x14ac:dyDescent="0.25">
      <c r="A16321" s="2">
        <v>16316</v>
      </c>
      <c r="B16321" s="11" t="str">
        <f>"00752872"</f>
        <v>00752872</v>
      </c>
    </row>
    <row r="16322" spans="1:2" x14ac:dyDescent="0.25">
      <c r="A16322" s="2">
        <v>16317</v>
      </c>
      <c r="B16322" s="11" t="str">
        <f>"00752881"</f>
        <v>00752881</v>
      </c>
    </row>
    <row r="16323" spans="1:2" x14ac:dyDescent="0.25">
      <c r="A16323" s="2">
        <v>16318</v>
      </c>
      <c r="B16323" s="11" t="str">
        <f>"00753054"</f>
        <v>00753054</v>
      </c>
    </row>
    <row r="16324" spans="1:2" x14ac:dyDescent="0.25">
      <c r="A16324" s="2">
        <v>16319</v>
      </c>
      <c r="B16324" s="11" t="str">
        <f>"00753100"</f>
        <v>00753100</v>
      </c>
    </row>
    <row r="16325" spans="1:2" x14ac:dyDescent="0.25">
      <c r="A16325" s="2">
        <v>16320</v>
      </c>
      <c r="B16325" s="11" t="str">
        <f>"00753102"</f>
        <v>00753102</v>
      </c>
    </row>
    <row r="16326" spans="1:2" x14ac:dyDescent="0.25">
      <c r="A16326" s="2">
        <v>16321</v>
      </c>
      <c r="B16326" s="11" t="str">
        <f>"00753136"</f>
        <v>00753136</v>
      </c>
    </row>
    <row r="16327" spans="1:2" x14ac:dyDescent="0.25">
      <c r="A16327" s="2">
        <v>16322</v>
      </c>
      <c r="B16327" s="11" t="str">
        <f>"00753149"</f>
        <v>00753149</v>
      </c>
    </row>
    <row r="16328" spans="1:2" x14ac:dyDescent="0.25">
      <c r="A16328" s="2">
        <v>16323</v>
      </c>
      <c r="B16328" s="11" t="str">
        <f>"00753327"</f>
        <v>00753327</v>
      </c>
    </row>
    <row r="16329" spans="1:2" x14ac:dyDescent="0.25">
      <c r="A16329" s="2">
        <v>16324</v>
      </c>
      <c r="B16329" s="11" t="str">
        <f>"00753394"</f>
        <v>00753394</v>
      </c>
    </row>
    <row r="16330" spans="1:2" x14ac:dyDescent="0.25">
      <c r="A16330" s="2">
        <v>16325</v>
      </c>
      <c r="B16330" s="11" t="str">
        <f>"00753671"</f>
        <v>00753671</v>
      </c>
    </row>
    <row r="16331" spans="1:2" x14ac:dyDescent="0.25">
      <c r="A16331" s="2">
        <v>16326</v>
      </c>
      <c r="B16331" s="11" t="str">
        <f>"00753732"</f>
        <v>00753732</v>
      </c>
    </row>
    <row r="16332" spans="1:2" x14ac:dyDescent="0.25">
      <c r="A16332" s="2">
        <v>16327</v>
      </c>
      <c r="B16332" s="11" t="str">
        <f>"00753751"</f>
        <v>00753751</v>
      </c>
    </row>
    <row r="16333" spans="1:2" x14ac:dyDescent="0.25">
      <c r="A16333" s="2">
        <v>16328</v>
      </c>
      <c r="B16333" s="11" t="str">
        <f>"00753757"</f>
        <v>00753757</v>
      </c>
    </row>
    <row r="16334" spans="1:2" x14ac:dyDescent="0.25">
      <c r="A16334" s="2">
        <v>16329</v>
      </c>
      <c r="B16334" s="11" t="str">
        <f>"00753779"</f>
        <v>00753779</v>
      </c>
    </row>
    <row r="16335" spans="1:2" x14ac:dyDescent="0.25">
      <c r="A16335" s="2">
        <v>16330</v>
      </c>
      <c r="B16335" s="11" t="str">
        <f>"00753813"</f>
        <v>00753813</v>
      </c>
    </row>
    <row r="16336" spans="1:2" x14ac:dyDescent="0.25">
      <c r="A16336" s="2">
        <v>16331</v>
      </c>
      <c r="B16336" s="11" t="str">
        <f>"00753878"</f>
        <v>00753878</v>
      </c>
    </row>
    <row r="16337" spans="1:2" x14ac:dyDescent="0.25">
      <c r="A16337" s="2">
        <v>16332</v>
      </c>
      <c r="B16337" s="11" t="str">
        <f>"00753926"</f>
        <v>00753926</v>
      </c>
    </row>
    <row r="16338" spans="1:2" x14ac:dyDescent="0.25">
      <c r="A16338" s="2">
        <v>16333</v>
      </c>
      <c r="B16338" s="11" t="str">
        <f>"00753956"</f>
        <v>00753956</v>
      </c>
    </row>
    <row r="16339" spans="1:2" x14ac:dyDescent="0.25">
      <c r="A16339" s="2">
        <v>16334</v>
      </c>
      <c r="B16339" s="11" t="str">
        <f>"00753990"</f>
        <v>00753990</v>
      </c>
    </row>
    <row r="16340" spans="1:2" x14ac:dyDescent="0.25">
      <c r="A16340" s="2">
        <v>16335</v>
      </c>
      <c r="B16340" s="11" t="str">
        <f>"00754002"</f>
        <v>00754002</v>
      </c>
    </row>
    <row r="16341" spans="1:2" x14ac:dyDescent="0.25">
      <c r="A16341" s="2">
        <v>16336</v>
      </c>
      <c r="B16341" s="11" t="str">
        <f>"00754008"</f>
        <v>00754008</v>
      </c>
    </row>
    <row r="16342" spans="1:2" x14ac:dyDescent="0.25">
      <c r="A16342" s="2">
        <v>16337</v>
      </c>
      <c r="B16342" s="11" t="str">
        <f>"00754012"</f>
        <v>00754012</v>
      </c>
    </row>
    <row r="16343" spans="1:2" x14ac:dyDescent="0.25">
      <c r="A16343" s="2">
        <v>16338</v>
      </c>
      <c r="B16343" s="11" t="str">
        <f>"00754061"</f>
        <v>00754061</v>
      </c>
    </row>
    <row r="16344" spans="1:2" x14ac:dyDescent="0.25">
      <c r="A16344" s="2">
        <v>16339</v>
      </c>
      <c r="B16344" s="11" t="str">
        <f>"00754092"</f>
        <v>00754092</v>
      </c>
    </row>
    <row r="16345" spans="1:2" x14ac:dyDescent="0.25">
      <c r="A16345" s="2">
        <v>16340</v>
      </c>
      <c r="B16345" s="11" t="str">
        <f>"00754095"</f>
        <v>00754095</v>
      </c>
    </row>
    <row r="16346" spans="1:2" x14ac:dyDescent="0.25">
      <c r="A16346" s="2">
        <v>16341</v>
      </c>
      <c r="B16346" s="11" t="str">
        <f>"00754187"</f>
        <v>00754187</v>
      </c>
    </row>
    <row r="16347" spans="1:2" x14ac:dyDescent="0.25">
      <c r="A16347" s="2">
        <v>16342</v>
      </c>
      <c r="B16347" s="11" t="str">
        <f>"00754215"</f>
        <v>00754215</v>
      </c>
    </row>
    <row r="16348" spans="1:2" x14ac:dyDescent="0.25">
      <c r="A16348" s="2">
        <v>16343</v>
      </c>
      <c r="B16348" s="11" t="str">
        <f>"00754228"</f>
        <v>00754228</v>
      </c>
    </row>
    <row r="16349" spans="1:2" x14ac:dyDescent="0.25">
      <c r="A16349" s="2">
        <v>16344</v>
      </c>
      <c r="B16349" s="11" t="str">
        <f>"00754292"</f>
        <v>00754292</v>
      </c>
    </row>
    <row r="16350" spans="1:2" x14ac:dyDescent="0.25">
      <c r="A16350" s="2">
        <v>16345</v>
      </c>
      <c r="B16350" s="11" t="str">
        <f>"00754364"</f>
        <v>00754364</v>
      </c>
    </row>
    <row r="16351" spans="1:2" x14ac:dyDescent="0.25">
      <c r="A16351" s="2">
        <v>16346</v>
      </c>
      <c r="B16351" s="11" t="str">
        <f>"00754432"</f>
        <v>00754432</v>
      </c>
    </row>
    <row r="16352" spans="1:2" x14ac:dyDescent="0.25">
      <c r="A16352" s="2">
        <v>16347</v>
      </c>
      <c r="B16352" s="11" t="str">
        <f>"00754457"</f>
        <v>00754457</v>
      </c>
    </row>
    <row r="16353" spans="1:2" x14ac:dyDescent="0.25">
      <c r="A16353" s="2">
        <v>16348</v>
      </c>
      <c r="B16353" s="11" t="str">
        <f>"00754463"</f>
        <v>00754463</v>
      </c>
    </row>
    <row r="16354" spans="1:2" x14ac:dyDescent="0.25">
      <c r="A16354" s="2">
        <v>16349</v>
      </c>
      <c r="B16354" s="11" t="str">
        <f>"00754473"</f>
        <v>00754473</v>
      </c>
    </row>
    <row r="16355" spans="1:2" x14ac:dyDescent="0.25">
      <c r="A16355" s="2">
        <v>16350</v>
      </c>
      <c r="B16355" s="11" t="str">
        <f>"00754484"</f>
        <v>00754484</v>
      </c>
    </row>
    <row r="16356" spans="1:2" x14ac:dyDescent="0.25">
      <c r="A16356" s="2">
        <v>16351</v>
      </c>
      <c r="B16356" s="11" t="str">
        <f>"00754507"</f>
        <v>00754507</v>
      </c>
    </row>
    <row r="16357" spans="1:2" x14ac:dyDescent="0.25">
      <c r="A16357" s="2">
        <v>16352</v>
      </c>
      <c r="B16357" s="11" t="str">
        <f>"00754562"</f>
        <v>00754562</v>
      </c>
    </row>
    <row r="16358" spans="1:2" x14ac:dyDescent="0.25">
      <c r="A16358" s="2">
        <v>16353</v>
      </c>
      <c r="B16358" s="11" t="str">
        <f>"00754584"</f>
        <v>00754584</v>
      </c>
    </row>
    <row r="16359" spans="1:2" x14ac:dyDescent="0.25">
      <c r="A16359" s="2">
        <v>16354</v>
      </c>
      <c r="B16359" s="11" t="str">
        <f>"00754591"</f>
        <v>00754591</v>
      </c>
    </row>
    <row r="16360" spans="1:2" x14ac:dyDescent="0.25">
      <c r="A16360" s="2">
        <v>16355</v>
      </c>
      <c r="B16360" s="11" t="str">
        <f>"00754637"</f>
        <v>00754637</v>
      </c>
    </row>
    <row r="16361" spans="1:2" x14ac:dyDescent="0.25">
      <c r="A16361" s="2">
        <v>16356</v>
      </c>
      <c r="B16361" s="11" t="str">
        <f>"00754745"</f>
        <v>00754745</v>
      </c>
    </row>
    <row r="16362" spans="1:2" x14ac:dyDescent="0.25">
      <c r="A16362" s="2">
        <v>16357</v>
      </c>
      <c r="B16362" s="11" t="str">
        <f>"00754767"</f>
        <v>00754767</v>
      </c>
    </row>
    <row r="16363" spans="1:2" x14ac:dyDescent="0.25">
      <c r="A16363" s="2">
        <v>16358</v>
      </c>
      <c r="B16363" s="11" t="str">
        <f>"00754813"</f>
        <v>00754813</v>
      </c>
    </row>
    <row r="16364" spans="1:2" x14ac:dyDescent="0.25">
      <c r="A16364" s="2">
        <v>16359</v>
      </c>
      <c r="B16364" s="11" t="str">
        <f>"00754935"</f>
        <v>00754935</v>
      </c>
    </row>
    <row r="16365" spans="1:2" x14ac:dyDescent="0.25">
      <c r="A16365" s="2">
        <v>16360</v>
      </c>
      <c r="B16365" s="11" t="str">
        <f>"00754941"</f>
        <v>00754941</v>
      </c>
    </row>
    <row r="16366" spans="1:2" x14ac:dyDescent="0.25">
      <c r="A16366" s="2">
        <v>16361</v>
      </c>
      <c r="B16366" s="11" t="str">
        <f>"00754950"</f>
        <v>00754950</v>
      </c>
    </row>
    <row r="16367" spans="1:2" x14ac:dyDescent="0.25">
      <c r="A16367" s="2">
        <v>16362</v>
      </c>
      <c r="B16367" s="11" t="str">
        <f>"00755026"</f>
        <v>00755026</v>
      </c>
    </row>
    <row r="16368" spans="1:2" x14ac:dyDescent="0.25">
      <c r="A16368" s="2">
        <v>16363</v>
      </c>
      <c r="B16368" s="11" t="str">
        <f>"00755040"</f>
        <v>00755040</v>
      </c>
    </row>
    <row r="16369" spans="1:2" x14ac:dyDescent="0.25">
      <c r="A16369" s="2">
        <v>16364</v>
      </c>
      <c r="B16369" s="11" t="str">
        <f>"00755044"</f>
        <v>00755044</v>
      </c>
    </row>
    <row r="16370" spans="1:2" x14ac:dyDescent="0.25">
      <c r="A16370" s="2">
        <v>16365</v>
      </c>
      <c r="B16370" s="11" t="str">
        <f>"00755054"</f>
        <v>00755054</v>
      </c>
    </row>
    <row r="16371" spans="1:2" x14ac:dyDescent="0.25">
      <c r="A16371" s="2">
        <v>16366</v>
      </c>
      <c r="B16371" s="11" t="str">
        <f>"00755066"</f>
        <v>00755066</v>
      </c>
    </row>
    <row r="16372" spans="1:2" x14ac:dyDescent="0.25">
      <c r="A16372" s="2">
        <v>16367</v>
      </c>
      <c r="B16372" s="11" t="str">
        <f>"00755070"</f>
        <v>00755070</v>
      </c>
    </row>
    <row r="16373" spans="1:2" x14ac:dyDescent="0.25">
      <c r="A16373" s="2">
        <v>16368</v>
      </c>
      <c r="B16373" s="11" t="str">
        <f>"00755108"</f>
        <v>00755108</v>
      </c>
    </row>
    <row r="16374" spans="1:2" x14ac:dyDescent="0.25">
      <c r="A16374" s="2">
        <v>16369</v>
      </c>
      <c r="B16374" s="11" t="str">
        <f>"00755113"</f>
        <v>00755113</v>
      </c>
    </row>
    <row r="16375" spans="1:2" x14ac:dyDescent="0.25">
      <c r="A16375" s="2">
        <v>16370</v>
      </c>
      <c r="B16375" s="11" t="str">
        <f>"00755122"</f>
        <v>00755122</v>
      </c>
    </row>
    <row r="16376" spans="1:2" x14ac:dyDescent="0.25">
      <c r="A16376" s="2">
        <v>16371</v>
      </c>
      <c r="B16376" s="11" t="str">
        <f>"00755125"</f>
        <v>00755125</v>
      </c>
    </row>
    <row r="16377" spans="1:2" x14ac:dyDescent="0.25">
      <c r="A16377" s="2">
        <v>16372</v>
      </c>
      <c r="B16377" s="11" t="str">
        <f>"00755130"</f>
        <v>00755130</v>
      </c>
    </row>
    <row r="16378" spans="1:2" x14ac:dyDescent="0.25">
      <c r="A16378" s="2">
        <v>16373</v>
      </c>
      <c r="B16378" s="11" t="str">
        <f>"00755133"</f>
        <v>00755133</v>
      </c>
    </row>
    <row r="16379" spans="1:2" x14ac:dyDescent="0.25">
      <c r="A16379" s="2">
        <v>16374</v>
      </c>
      <c r="B16379" s="11" t="str">
        <f>"00755181"</f>
        <v>00755181</v>
      </c>
    </row>
    <row r="16380" spans="1:2" x14ac:dyDescent="0.25">
      <c r="A16380" s="2">
        <v>16375</v>
      </c>
      <c r="B16380" s="11" t="str">
        <f>"00755202"</f>
        <v>00755202</v>
      </c>
    </row>
    <row r="16381" spans="1:2" x14ac:dyDescent="0.25">
      <c r="A16381" s="2">
        <v>16376</v>
      </c>
      <c r="B16381" s="11" t="str">
        <f>"00755226"</f>
        <v>00755226</v>
      </c>
    </row>
    <row r="16382" spans="1:2" x14ac:dyDescent="0.25">
      <c r="A16382" s="2">
        <v>16377</v>
      </c>
      <c r="B16382" s="11" t="str">
        <f>"00755269"</f>
        <v>00755269</v>
      </c>
    </row>
    <row r="16383" spans="1:2" x14ac:dyDescent="0.25">
      <c r="A16383" s="2">
        <v>16378</v>
      </c>
      <c r="B16383" s="11" t="str">
        <f>"00755277"</f>
        <v>00755277</v>
      </c>
    </row>
    <row r="16384" spans="1:2" x14ac:dyDescent="0.25">
      <c r="A16384" s="2">
        <v>16379</v>
      </c>
      <c r="B16384" s="11" t="str">
        <f>"00755309"</f>
        <v>00755309</v>
      </c>
    </row>
    <row r="16385" spans="1:2" x14ac:dyDescent="0.25">
      <c r="A16385" s="2">
        <v>16380</v>
      </c>
      <c r="B16385" s="11" t="str">
        <f>"00755323"</f>
        <v>00755323</v>
      </c>
    </row>
    <row r="16386" spans="1:2" x14ac:dyDescent="0.25">
      <c r="A16386" s="2">
        <v>16381</v>
      </c>
      <c r="B16386" s="11" t="str">
        <f>"00755363"</f>
        <v>00755363</v>
      </c>
    </row>
    <row r="16387" spans="1:2" x14ac:dyDescent="0.25">
      <c r="A16387" s="2">
        <v>16382</v>
      </c>
      <c r="B16387" s="11" t="str">
        <f>"00755369"</f>
        <v>00755369</v>
      </c>
    </row>
    <row r="16388" spans="1:2" x14ac:dyDescent="0.25">
      <c r="A16388" s="2">
        <v>16383</v>
      </c>
      <c r="B16388" s="11" t="str">
        <f>"00755408"</f>
        <v>00755408</v>
      </c>
    </row>
    <row r="16389" spans="1:2" x14ac:dyDescent="0.25">
      <c r="A16389" s="2">
        <v>16384</v>
      </c>
      <c r="B16389" s="11" t="str">
        <f>"00755422"</f>
        <v>00755422</v>
      </c>
    </row>
    <row r="16390" spans="1:2" x14ac:dyDescent="0.25">
      <c r="A16390" s="2">
        <v>16385</v>
      </c>
      <c r="B16390" s="11" t="str">
        <f>"00755445"</f>
        <v>00755445</v>
      </c>
    </row>
    <row r="16391" spans="1:2" x14ac:dyDescent="0.25">
      <c r="A16391" s="2">
        <v>16386</v>
      </c>
      <c r="B16391" s="11" t="str">
        <f>"00755459"</f>
        <v>00755459</v>
      </c>
    </row>
    <row r="16392" spans="1:2" x14ac:dyDescent="0.25">
      <c r="A16392" s="2">
        <v>16387</v>
      </c>
      <c r="B16392" s="11" t="str">
        <f>"00755477"</f>
        <v>00755477</v>
      </c>
    </row>
    <row r="16393" spans="1:2" x14ac:dyDescent="0.25">
      <c r="A16393" s="2">
        <v>16388</v>
      </c>
      <c r="B16393" s="11" t="str">
        <f>"00755498"</f>
        <v>00755498</v>
      </c>
    </row>
    <row r="16394" spans="1:2" x14ac:dyDescent="0.25">
      <c r="A16394" s="2">
        <v>16389</v>
      </c>
      <c r="B16394" s="11" t="str">
        <f>"00755513"</f>
        <v>00755513</v>
      </c>
    </row>
    <row r="16395" spans="1:2" x14ac:dyDescent="0.25">
      <c r="A16395" s="2">
        <v>16390</v>
      </c>
      <c r="B16395" s="11" t="str">
        <f>"00755586"</f>
        <v>00755586</v>
      </c>
    </row>
    <row r="16396" spans="1:2" x14ac:dyDescent="0.25">
      <c r="A16396" s="2">
        <v>16391</v>
      </c>
      <c r="B16396" s="11" t="str">
        <f>"00755626"</f>
        <v>00755626</v>
      </c>
    </row>
    <row r="16397" spans="1:2" x14ac:dyDescent="0.25">
      <c r="A16397" s="2">
        <v>16392</v>
      </c>
      <c r="B16397" s="11" t="str">
        <f>"00755653"</f>
        <v>00755653</v>
      </c>
    </row>
    <row r="16398" spans="1:2" x14ac:dyDescent="0.25">
      <c r="A16398" s="2">
        <v>16393</v>
      </c>
      <c r="B16398" s="11" t="str">
        <f>"00755692"</f>
        <v>00755692</v>
      </c>
    </row>
    <row r="16399" spans="1:2" x14ac:dyDescent="0.25">
      <c r="A16399" s="2">
        <v>16394</v>
      </c>
      <c r="B16399" s="11" t="str">
        <f>"00755731"</f>
        <v>00755731</v>
      </c>
    </row>
    <row r="16400" spans="1:2" x14ac:dyDescent="0.25">
      <c r="A16400" s="2">
        <v>16395</v>
      </c>
      <c r="B16400" s="11" t="str">
        <f>"00755786"</f>
        <v>00755786</v>
      </c>
    </row>
    <row r="16401" spans="1:2" x14ac:dyDescent="0.25">
      <c r="A16401" s="2">
        <v>16396</v>
      </c>
      <c r="B16401" s="11" t="str">
        <f>"00755867"</f>
        <v>00755867</v>
      </c>
    </row>
    <row r="16402" spans="1:2" x14ac:dyDescent="0.25">
      <c r="A16402" s="2">
        <v>16397</v>
      </c>
      <c r="B16402" s="11" t="str">
        <f>"00755907"</f>
        <v>00755907</v>
      </c>
    </row>
    <row r="16403" spans="1:2" x14ac:dyDescent="0.25">
      <c r="A16403" s="2">
        <v>16398</v>
      </c>
      <c r="B16403" s="11" t="str">
        <f>"00755934"</f>
        <v>00755934</v>
      </c>
    </row>
    <row r="16404" spans="1:2" x14ac:dyDescent="0.25">
      <c r="A16404" s="2">
        <v>16399</v>
      </c>
      <c r="B16404" s="11" t="str">
        <f>"00755940"</f>
        <v>00755940</v>
      </c>
    </row>
    <row r="16405" spans="1:2" x14ac:dyDescent="0.25">
      <c r="A16405" s="2">
        <v>16400</v>
      </c>
      <c r="B16405" s="11" t="str">
        <f>"00755952"</f>
        <v>00755952</v>
      </c>
    </row>
    <row r="16406" spans="1:2" x14ac:dyDescent="0.25">
      <c r="A16406" s="2">
        <v>16401</v>
      </c>
      <c r="B16406" s="11" t="str">
        <f>"00756042"</f>
        <v>00756042</v>
      </c>
    </row>
    <row r="16407" spans="1:2" x14ac:dyDescent="0.25">
      <c r="A16407" s="2">
        <v>16402</v>
      </c>
      <c r="B16407" s="11" t="str">
        <f>"00756112"</f>
        <v>00756112</v>
      </c>
    </row>
    <row r="16408" spans="1:2" x14ac:dyDescent="0.25">
      <c r="A16408" s="2">
        <v>16403</v>
      </c>
      <c r="B16408" s="11" t="str">
        <f>"00756211"</f>
        <v>00756211</v>
      </c>
    </row>
    <row r="16409" spans="1:2" x14ac:dyDescent="0.25">
      <c r="A16409" s="2">
        <v>16404</v>
      </c>
      <c r="B16409" s="11" t="str">
        <f>"00756306"</f>
        <v>00756306</v>
      </c>
    </row>
    <row r="16410" spans="1:2" x14ac:dyDescent="0.25">
      <c r="A16410" s="2">
        <v>16405</v>
      </c>
      <c r="B16410" s="11" t="str">
        <f>"00756434"</f>
        <v>00756434</v>
      </c>
    </row>
    <row r="16411" spans="1:2" x14ac:dyDescent="0.25">
      <c r="A16411" s="2">
        <v>16406</v>
      </c>
      <c r="B16411" s="11" t="str">
        <f>"00756444"</f>
        <v>00756444</v>
      </c>
    </row>
    <row r="16412" spans="1:2" x14ac:dyDescent="0.25">
      <c r="A16412" s="2">
        <v>16407</v>
      </c>
      <c r="B16412" s="11" t="str">
        <f>"00756479"</f>
        <v>00756479</v>
      </c>
    </row>
    <row r="16413" spans="1:2" x14ac:dyDescent="0.25">
      <c r="A16413" s="2">
        <v>16408</v>
      </c>
      <c r="B16413" s="11" t="str">
        <f>"00756522"</f>
        <v>00756522</v>
      </c>
    </row>
    <row r="16414" spans="1:2" x14ac:dyDescent="0.25">
      <c r="A16414" s="2">
        <v>16409</v>
      </c>
      <c r="B16414" s="11" t="str">
        <f>"00756554"</f>
        <v>00756554</v>
      </c>
    </row>
    <row r="16415" spans="1:2" x14ac:dyDescent="0.25">
      <c r="A16415" s="2">
        <v>16410</v>
      </c>
      <c r="B16415" s="11" t="str">
        <f>"00756595"</f>
        <v>00756595</v>
      </c>
    </row>
    <row r="16416" spans="1:2" x14ac:dyDescent="0.25">
      <c r="A16416" s="2">
        <v>16411</v>
      </c>
      <c r="B16416" s="11" t="str">
        <f>"00756608"</f>
        <v>00756608</v>
      </c>
    </row>
    <row r="16417" spans="1:2" x14ac:dyDescent="0.25">
      <c r="A16417" s="2">
        <v>16412</v>
      </c>
      <c r="B16417" s="11" t="str">
        <f>"00756644"</f>
        <v>00756644</v>
      </c>
    </row>
    <row r="16418" spans="1:2" x14ac:dyDescent="0.25">
      <c r="A16418" s="2">
        <v>16413</v>
      </c>
      <c r="B16418" s="11" t="str">
        <f>"00756664"</f>
        <v>00756664</v>
      </c>
    </row>
    <row r="16419" spans="1:2" x14ac:dyDescent="0.25">
      <c r="A16419" s="2">
        <v>16414</v>
      </c>
      <c r="B16419" s="11" t="str">
        <f>"00756669"</f>
        <v>00756669</v>
      </c>
    </row>
    <row r="16420" spans="1:2" x14ac:dyDescent="0.25">
      <c r="A16420" s="2">
        <v>16415</v>
      </c>
      <c r="B16420" s="11" t="str">
        <f>"00756675"</f>
        <v>00756675</v>
      </c>
    </row>
    <row r="16421" spans="1:2" x14ac:dyDescent="0.25">
      <c r="A16421" s="2">
        <v>16416</v>
      </c>
      <c r="B16421" s="11" t="str">
        <f>"00756708"</f>
        <v>00756708</v>
      </c>
    </row>
    <row r="16422" spans="1:2" x14ac:dyDescent="0.25">
      <c r="A16422" s="2">
        <v>16417</v>
      </c>
      <c r="B16422" s="11" t="str">
        <f>"00756726"</f>
        <v>00756726</v>
      </c>
    </row>
    <row r="16423" spans="1:2" x14ac:dyDescent="0.25">
      <c r="A16423" s="2">
        <v>16418</v>
      </c>
      <c r="B16423" s="11" t="str">
        <f>"00756763"</f>
        <v>00756763</v>
      </c>
    </row>
    <row r="16424" spans="1:2" x14ac:dyDescent="0.25">
      <c r="A16424" s="2">
        <v>16419</v>
      </c>
      <c r="B16424" s="11" t="str">
        <f>"00756800"</f>
        <v>00756800</v>
      </c>
    </row>
    <row r="16425" spans="1:2" x14ac:dyDescent="0.25">
      <c r="A16425" s="2">
        <v>16420</v>
      </c>
      <c r="B16425" s="11" t="str">
        <f>"00756850"</f>
        <v>00756850</v>
      </c>
    </row>
    <row r="16426" spans="1:2" x14ac:dyDescent="0.25">
      <c r="A16426" s="2">
        <v>16421</v>
      </c>
      <c r="B16426" s="11" t="str">
        <f>"00756993"</f>
        <v>00756993</v>
      </c>
    </row>
    <row r="16427" spans="1:2" x14ac:dyDescent="0.25">
      <c r="A16427" s="2">
        <v>16422</v>
      </c>
      <c r="B16427" s="11" t="str">
        <f>"00756995"</f>
        <v>00756995</v>
      </c>
    </row>
    <row r="16428" spans="1:2" x14ac:dyDescent="0.25">
      <c r="A16428" s="2">
        <v>16423</v>
      </c>
      <c r="B16428" s="11" t="str">
        <f>"00757183"</f>
        <v>00757183</v>
      </c>
    </row>
    <row r="16429" spans="1:2" x14ac:dyDescent="0.25">
      <c r="A16429" s="2">
        <v>16424</v>
      </c>
      <c r="B16429" s="11" t="str">
        <f>"00757293"</f>
        <v>00757293</v>
      </c>
    </row>
    <row r="16430" spans="1:2" x14ac:dyDescent="0.25">
      <c r="A16430" s="2">
        <v>16425</v>
      </c>
      <c r="B16430" s="11" t="str">
        <f>"00757313"</f>
        <v>00757313</v>
      </c>
    </row>
    <row r="16431" spans="1:2" x14ac:dyDescent="0.25">
      <c r="A16431" s="2">
        <v>16426</v>
      </c>
      <c r="B16431" s="11" t="str">
        <f>"00757400"</f>
        <v>00757400</v>
      </c>
    </row>
    <row r="16432" spans="1:2" x14ac:dyDescent="0.25">
      <c r="A16432" s="2">
        <v>16427</v>
      </c>
      <c r="B16432" s="11" t="str">
        <f>"00757523"</f>
        <v>00757523</v>
      </c>
    </row>
    <row r="16433" spans="1:2" x14ac:dyDescent="0.25">
      <c r="A16433" s="2">
        <v>16428</v>
      </c>
      <c r="B16433" s="11" t="str">
        <f>"00757538"</f>
        <v>00757538</v>
      </c>
    </row>
    <row r="16434" spans="1:2" x14ac:dyDescent="0.25">
      <c r="A16434" s="2">
        <v>16429</v>
      </c>
      <c r="B16434" s="11" t="str">
        <f>"00757651"</f>
        <v>00757651</v>
      </c>
    </row>
    <row r="16435" spans="1:2" x14ac:dyDescent="0.25">
      <c r="A16435" s="2">
        <v>16430</v>
      </c>
      <c r="B16435" s="11" t="str">
        <f>"00757678"</f>
        <v>00757678</v>
      </c>
    </row>
    <row r="16436" spans="1:2" x14ac:dyDescent="0.25">
      <c r="A16436" s="2">
        <v>16431</v>
      </c>
      <c r="B16436" s="11" t="str">
        <f>"00757981"</f>
        <v>00757981</v>
      </c>
    </row>
    <row r="16437" spans="1:2" x14ac:dyDescent="0.25">
      <c r="A16437" s="2">
        <v>16432</v>
      </c>
      <c r="B16437" s="11" t="str">
        <f>"00757992"</f>
        <v>00757992</v>
      </c>
    </row>
    <row r="16438" spans="1:2" x14ac:dyDescent="0.25">
      <c r="A16438" s="2">
        <v>16433</v>
      </c>
      <c r="B16438" s="11" t="str">
        <f>"00758114"</f>
        <v>00758114</v>
      </c>
    </row>
    <row r="16439" spans="1:2" x14ac:dyDescent="0.25">
      <c r="A16439" s="2">
        <v>16434</v>
      </c>
      <c r="B16439" s="11" t="str">
        <f>"00758116"</f>
        <v>00758116</v>
      </c>
    </row>
    <row r="16440" spans="1:2" x14ac:dyDescent="0.25">
      <c r="A16440" s="2">
        <v>16435</v>
      </c>
      <c r="B16440" s="11" t="str">
        <f>"00758137"</f>
        <v>00758137</v>
      </c>
    </row>
    <row r="16441" spans="1:2" x14ac:dyDescent="0.25">
      <c r="A16441" s="2">
        <v>16436</v>
      </c>
      <c r="B16441" s="11" t="str">
        <f>"00758283"</f>
        <v>00758283</v>
      </c>
    </row>
    <row r="16442" spans="1:2" x14ac:dyDescent="0.25">
      <c r="A16442" s="2">
        <v>16437</v>
      </c>
      <c r="B16442" s="11" t="str">
        <f>"00758307"</f>
        <v>00758307</v>
      </c>
    </row>
    <row r="16443" spans="1:2" x14ac:dyDescent="0.25">
      <c r="A16443" s="2">
        <v>16438</v>
      </c>
      <c r="B16443" s="11" t="str">
        <f>"00758348"</f>
        <v>00758348</v>
      </c>
    </row>
    <row r="16444" spans="1:2" x14ac:dyDescent="0.25">
      <c r="A16444" s="2">
        <v>16439</v>
      </c>
      <c r="B16444" s="11" t="str">
        <f>"00758442"</f>
        <v>00758442</v>
      </c>
    </row>
    <row r="16445" spans="1:2" x14ac:dyDescent="0.25">
      <c r="A16445" s="2">
        <v>16440</v>
      </c>
      <c r="B16445" s="11" t="str">
        <f>"00758489"</f>
        <v>00758489</v>
      </c>
    </row>
    <row r="16446" spans="1:2" x14ac:dyDescent="0.25">
      <c r="A16446" s="2">
        <v>16441</v>
      </c>
      <c r="B16446" s="11" t="str">
        <f>"00758524"</f>
        <v>00758524</v>
      </c>
    </row>
    <row r="16447" spans="1:2" x14ac:dyDescent="0.25">
      <c r="A16447" s="2">
        <v>16442</v>
      </c>
      <c r="B16447" s="11" t="str">
        <f>"00758574"</f>
        <v>00758574</v>
      </c>
    </row>
    <row r="16448" spans="1:2" x14ac:dyDescent="0.25">
      <c r="A16448" s="2">
        <v>16443</v>
      </c>
      <c r="B16448" s="11" t="str">
        <f>"00758669"</f>
        <v>00758669</v>
      </c>
    </row>
    <row r="16449" spans="1:2" x14ac:dyDescent="0.25">
      <c r="A16449" s="2">
        <v>16444</v>
      </c>
      <c r="B16449" s="11" t="str">
        <f>"00758670"</f>
        <v>00758670</v>
      </c>
    </row>
    <row r="16450" spans="1:2" x14ac:dyDescent="0.25">
      <c r="A16450" s="2">
        <v>16445</v>
      </c>
      <c r="B16450" s="11" t="str">
        <f>"00758711"</f>
        <v>00758711</v>
      </c>
    </row>
    <row r="16451" spans="1:2" x14ac:dyDescent="0.25">
      <c r="A16451" s="2">
        <v>16446</v>
      </c>
      <c r="B16451" s="11" t="str">
        <f>"00758761"</f>
        <v>00758761</v>
      </c>
    </row>
    <row r="16452" spans="1:2" x14ac:dyDescent="0.25">
      <c r="A16452" s="2">
        <v>16447</v>
      </c>
      <c r="B16452" s="11" t="str">
        <f>"00758801"</f>
        <v>00758801</v>
      </c>
    </row>
    <row r="16453" spans="1:2" x14ac:dyDescent="0.25">
      <c r="A16453" s="2">
        <v>16448</v>
      </c>
      <c r="B16453" s="11" t="str">
        <f>"00758834"</f>
        <v>00758834</v>
      </c>
    </row>
    <row r="16454" spans="1:2" x14ac:dyDescent="0.25">
      <c r="A16454" s="2">
        <v>16449</v>
      </c>
      <c r="B16454" s="11" t="str">
        <f>"00758927"</f>
        <v>00758927</v>
      </c>
    </row>
    <row r="16455" spans="1:2" x14ac:dyDescent="0.25">
      <c r="A16455" s="2">
        <v>16450</v>
      </c>
      <c r="B16455" s="11" t="str">
        <f>"00759127"</f>
        <v>00759127</v>
      </c>
    </row>
    <row r="16456" spans="1:2" x14ac:dyDescent="0.25">
      <c r="A16456" s="2">
        <v>16451</v>
      </c>
      <c r="B16456" s="11" t="str">
        <f>"00759128"</f>
        <v>00759128</v>
      </c>
    </row>
    <row r="16457" spans="1:2" x14ac:dyDescent="0.25">
      <c r="A16457" s="2">
        <v>16452</v>
      </c>
      <c r="B16457" s="11" t="str">
        <f>"00759172"</f>
        <v>00759172</v>
      </c>
    </row>
    <row r="16458" spans="1:2" x14ac:dyDescent="0.25">
      <c r="A16458" s="2">
        <v>16453</v>
      </c>
      <c r="B16458" s="11" t="str">
        <f>"00759261"</f>
        <v>00759261</v>
      </c>
    </row>
    <row r="16459" spans="1:2" x14ac:dyDescent="0.25">
      <c r="A16459" s="2">
        <v>16454</v>
      </c>
      <c r="B16459" s="11" t="str">
        <f>"00759375"</f>
        <v>00759375</v>
      </c>
    </row>
    <row r="16460" spans="1:2" x14ac:dyDescent="0.25">
      <c r="A16460" s="2">
        <v>16455</v>
      </c>
      <c r="B16460" s="11" t="str">
        <f>"00759385"</f>
        <v>00759385</v>
      </c>
    </row>
    <row r="16461" spans="1:2" x14ac:dyDescent="0.25">
      <c r="A16461" s="2">
        <v>16456</v>
      </c>
      <c r="B16461" s="11" t="str">
        <f>"00759401"</f>
        <v>00759401</v>
      </c>
    </row>
    <row r="16462" spans="1:2" x14ac:dyDescent="0.25">
      <c r="A16462" s="2">
        <v>16457</v>
      </c>
      <c r="B16462" s="11" t="str">
        <f>"00759467"</f>
        <v>00759467</v>
      </c>
    </row>
    <row r="16463" spans="1:2" x14ac:dyDescent="0.25">
      <c r="A16463" s="2">
        <v>16458</v>
      </c>
      <c r="B16463" s="11" t="str">
        <f>"00759504"</f>
        <v>00759504</v>
      </c>
    </row>
    <row r="16464" spans="1:2" x14ac:dyDescent="0.25">
      <c r="A16464" s="2">
        <v>16459</v>
      </c>
      <c r="B16464" s="11" t="str">
        <f>"00759628"</f>
        <v>00759628</v>
      </c>
    </row>
    <row r="16465" spans="1:2" x14ac:dyDescent="0.25">
      <c r="A16465" s="2">
        <v>16460</v>
      </c>
      <c r="B16465" s="11" t="str">
        <f>"00759700"</f>
        <v>00759700</v>
      </c>
    </row>
    <row r="16466" spans="1:2" x14ac:dyDescent="0.25">
      <c r="A16466" s="2">
        <v>16461</v>
      </c>
      <c r="B16466" s="11" t="str">
        <f>"00759738"</f>
        <v>00759738</v>
      </c>
    </row>
    <row r="16467" spans="1:2" x14ac:dyDescent="0.25">
      <c r="A16467" s="2">
        <v>16462</v>
      </c>
      <c r="B16467" s="11" t="str">
        <f>"00759832"</f>
        <v>00759832</v>
      </c>
    </row>
    <row r="16468" spans="1:2" x14ac:dyDescent="0.25">
      <c r="A16468" s="2">
        <v>16463</v>
      </c>
      <c r="B16468" s="11" t="str">
        <f>"00759944"</f>
        <v>00759944</v>
      </c>
    </row>
    <row r="16469" spans="1:2" x14ac:dyDescent="0.25">
      <c r="A16469" s="2">
        <v>16464</v>
      </c>
      <c r="B16469" s="11" t="str">
        <f>"00759971"</f>
        <v>00759971</v>
      </c>
    </row>
    <row r="16470" spans="1:2" x14ac:dyDescent="0.25">
      <c r="A16470" s="2">
        <v>16465</v>
      </c>
      <c r="B16470" s="11" t="str">
        <f>"00760063"</f>
        <v>00760063</v>
      </c>
    </row>
    <row r="16471" spans="1:2" x14ac:dyDescent="0.25">
      <c r="A16471" s="2">
        <v>16466</v>
      </c>
      <c r="B16471" s="11" t="str">
        <f>"00760161"</f>
        <v>00760161</v>
      </c>
    </row>
    <row r="16472" spans="1:2" x14ac:dyDescent="0.25">
      <c r="A16472" s="2">
        <v>16467</v>
      </c>
      <c r="B16472" s="11" t="str">
        <f>"00760228"</f>
        <v>00760228</v>
      </c>
    </row>
    <row r="16473" spans="1:2" x14ac:dyDescent="0.25">
      <c r="A16473" s="2">
        <v>16468</v>
      </c>
      <c r="B16473" s="11" t="str">
        <f>"00760255"</f>
        <v>00760255</v>
      </c>
    </row>
    <row r="16474" spans="1:2" x14ac:dyDescent="0.25">
      <c r="A16474" s="2">
        <v>16469</v>
      </c>
      <c r="B16474" s="11" t="str">
        <f>"00760346"</f>
        <v>00760346</v>
      </c>
    </row>
    <row r="16475" spans="1:2" x14ac:dyDescent="0.25">
      <c r="A16475" s="2">
        <v>16470</v>
      </c>
      <c r="B16475" s="11" t="str">
        <f>"00760634"</f>
        <v>00760634</v>
      </c>
    </row>
    <row r="16476" spans="1:2" x14ac:dyDescent="0.25">
      <c r="A16476" s="2">
        <v>16471</v>
      </c>
      <c r="B16476" s="11" t="str">
        <f>"00760845"</f>
        <v>00760845</v>
      </c>
    </row>
    <row r="16477" spans="1:2" x14ac:dyDescent="0.25">
      <c r="A16477" s="2">
        <v>16472</v>
      </c>
      <c r="B16477" s="11" t="str">
        <f>"00760878"</f>
        <v>00760878</v>
      </c>
    </row>
    <row r="16478" spans="1:2" x14ac:dyDescent="0.25">
      <c r="A16478" s="2">
        <v>16473</v>
      </c>
      <c r="B16478" s="11" t="str">
        <f>"00760917"</f>
        <v>00760917</v>
      </c>
    </row>
    <row r="16479" spans="1:2" x14ac:dyDescent="0.25">
      <c r="A16479" s="2">
        <v>16474</v>
      </c>
      <c r="B16479" s="11" t="str">
        <f>"00760921"</f>
        <v>00760921</v>
      </c>
    </row>
    <row r="16480" spans="1:2" x14ac:dyDescent="0.25">
      <c r="A16480" s="2">
        <v>16475</v>
      </c>
      <c r="B16480" s="11" t="str">
        <f>"00760938"</f>
        <v>00760938</v>
      </c>
    </row>
    <row r="16481" spans="1:2" x14ac:dyDescent="0.25">
      <c r="A16481" s="2">
        <v>16476</v>
      </c>
      <c r="B16481" s="11" t="str">
        <f>"00760994"</f>
        <v>00760994</v>
      </c>
    </row>
    <row r="16482" spans="1:2" x14ac:dyDescent="0.25">
      <c r="A16482" s="2">
        <v>16477</v>
      </c>
      <c r="B16482" s="11" t="str">
        <f>"00761007"</f>
        <v>00761007</v>
      </c>
    </row>
    <row r="16483" spans="1:2" x14ac:dyDescent="0.25">
      <c r="A16483" s="2">
        <v>16478</v>
      </c>
      <c r="B16483" s="11" t="str">
        <f>"00761045"</f>
        <v>00761045</v>
      </c>
    </row>
    <row r="16484" spans="1:2" x14ac:dyDescent="0.25">
      <c r="A16484" s="2">
        <v>16479</v>
      </c>
      <c r="B16484" s="11" t="str">
        <f>"00761075"</f>
        <v>00761075</v>
      </c>
    </row>
    <row r="16485" spans="1:2" x14ac:dyDescent="0.25">
      <c r="A16485" s="2">
        <v>16480</v>
      </c>
      <c r="B16485" s="11" t="str">
        <f>"00761117"</f>
        <v>00761117</v>
      </c>
    </row>
    <row r="16486" spans="1:2" x14ac:dyDescent="0.25">
      <c r="A16486" s="2">
        <v>16481</v>
      </c>
      <c r="B16486" s="11" t="str">
        <f>"00761129"</f>
        <v>00761129</v>
      </c>
    </row>
    <row r="16487" spans="1:2" x14ac:dyDescent="0.25">
      <c r="A16487" s="2">
        <v>16482</v>
      </c>
      <c r="B16487" s="11" t="str">
        <f>"00761150"</f>
        <v>00761150</v>
      </c>
    </row>
    <row r="16488" spans="1:2" x14ac:dyDescent="0.25">
      <c r="A16488" s="2">
        <v>16483</v>
      </c>
      <c r="B16488" s="11" t="str">
        <f>"00761167"</f>
        <v>00761167</v>
      </c>
    </row>
    <row r="16489" spans="1:2" x14ac:dyDescent="0.25">
      <c r="A16489" s="2">
        <v>16484</v>
      </c>
      <c r="B16489" s="11" t="str">
        <f>"00761192"</f>
        <v>00761192</v>
      </c>
    </row>
    <row r="16490" spans="1:2" x14ac:dyDescent="0.25">
      <c r="A16490" s="2">
        <v>16485</v>
      </c>
      <c r="B16490" s="11" t="str">
        <f>"00761362"</f>
        <v>00761362</v>
      </c>
    </row>
    <row r="16491" spans="1:2" x14ac:dyDescent="0.25">
      <c r="A16491" s="2">
        <v>16486</v>
      </c>
      <c r="B16491" s="11" t="str">
        <f>"00761385"</f>
        <v>00761385</v>
      </c>
    </row>
    <row r="16492" spans="1:2" x14ac:dyDescent="0.25">
      <c r="A16492" s="2">
        <v>16487</v>
      </c>
      <c r="B16492" s="11" t="str">
        <f>"00761393"</f>
        <v>00761393</v>
      </c>
    </row>
    <row r="16493" spans="1:2" x14ac:dyDescent="0.25">
      <c r="A16493" s="2">
        <v>16488</v>
      </c>
      <c r="B16493" s="11" t="str">
        <f>"00761397"</f>
        <v>00761397</v>
      </c>
    </row>
    <row r="16494" spans="1:2" x14ac:dyDescent="0.25">
      <c r="A16494" s="2">
        <v>16489</v>
      </c>
      <c r="B16494" s="11" t="str">
        <f>"00761478"</f>
        <v>00761478</v>
      </c>
    </row>
    <row r="16495" spans="1:2" x14ac:dyDescent="0.25">
      <c r="A16495" s="2">
        <v>16490</v>
      </c>
      <c r="B16495" s="11" t="str">
        <f>"00761531"</f>
        <v>00761531</v>
      </c>
    </row>
    <row r="16496" spans="1:2" x14ac:dyDescent="0.25">
      <c r="A16496" s="2">
        <v>16491</v>
      </c>
      <c r="B16496" s="11" t="str">
        <f>"00761532"</f>
        <v>00761532</v>
      </c>
    </row>
    <row r="16497" spans="1:2" x14ac:dyDescent="0.25">
      <c r="A16497" s="2">
        <v>16492</v>
      </c>
      <c r="B16497" s="11" t="str">
        <f>"00761538"</f>
        <v>00761538</v>
      </c>
    </row>
    <row r="16498" spans="1:2" x14ac:dyDescent="0.25">
      <c r="A16498" s="2">
        <v>16493</v>
      </c>
      <c r="B16498" s="11" t="str">
        <f>"00761543"</f>
        <v>00761543</v>
      </c>
    </row>
    <row r="16499" spans="1:2" x14ac:dyDescent="0.25">
      <c r="A16499" s="2">
        <v>16494</v>
      </c>
      <c r="B16499" s="11" t="str">
        <f>"00761618"</f>
        <v>00761618</v>
      </c>
    </row>
    <row r="16500" spans="1:2" x14ac:dyDescent="0.25">
      <c r="A16500" s="2">
        <v>16495</v>
      </c>
      <c r="B16500" s="11" t="str">
        <f>"00761636"</f>
        <v>00761636</v>
      </c>
    </row>
    <row r="16501" spans="1:2" x14ac:dyDescent="0.25">
      <c r="A16501" s="2">
        <v>16496</v>
      </c>
      <c r="B16501" s="11" t="str">
        <f>"00761640"</f>
        <v>00761640</v>
      </c>
    </row>
    <row r="16502" spans="1:2" x14ac:dyDescent="0.25">
      <c r="A16502" s="2">
        <v>16497</v>
      </c>
      <c r="B16502" s="11" t="str">
        <f>"00761683"</f>
        <v>00761683</v>
      </c>
    </row>
    <row r="16503" spans="1:2" x14ac:dyDescent="0.25">
      <c r="A16503" s="2">
        <v>16498</v>
      </c>
      <c r="B16503" s="11" t="str">
        <f>"00761698"</f>
        <v>00761698</v>
      </c>
    </row>
    <row r="16504" spans="1:2" x14ac:dyDescent="0.25">
      <c r="A16504" s="2">
        <v>16499</v>
      </c>
      <c r="B16504" s="11" t="str">
        <f>"00761726"</f>
        <v>00761726</v>
      </c>
    </row>
    <row r="16505" spans="1:2" x14ac:dyDescent="0.25">
      <c r="A16505" s="2">
        <v>16500</v>
      </c>
      <c r="B16505" s="11" t="str">
        <f>"00761738"</f>
        <v>00761738</v>
      </c>
    </row>
    <row r="16506" spans="1:2" x14ac:dyDescent="0.25">
      <c r="A16506" s="2">
        <v>16501</v>
      </c>
      <c r="B16506" s="11" t="str">
        <f>"00761742"</f>
        <v>00761742</v>
      </c>
    </row>
    <row r="16507" spans="1:2" x14ac:dyDescent="0.25">
      <c r="A16507" s="2">
        <v>16502</v>
      </c>
      <c r="B16507" s="11" t="str">
        <f>"00761772"</f>
        <v>00761772</v>
      </c>
    </row>
    <row r="16508" spans="1:2" x14ac:dyDescent="0.25">
      <c r="A16508" s="2">
        <v>16503</v>
      </c>
      <c r="B16508" s="11" t="str">
        <f>"00761840"</f>
        <v>00761840</v>
      </c>
    </row>
    <row r="16509" spans="1:2" x14ac:dyDescent="0.25">
      <c r="A16509" s="2">
        <v>16504</v>
      </c>
      <c r="B16509" s="11" t="str">
        <f>"00761847"</f>
        <v>00761847</v>
      </c>
    </row>
    <row r="16510" spans="1:2" x14ac:dyDescent="0.25">
      <c r="A16510" s="2">
        <v>16505</v>
      </c>
      <c r="B16510" s="11" t="str">
        <f>"00761878"</f>
        <v>00761878</v>
      </c>
    </row>
    <row r="16511" spans="1:2" x14ac:dyDescent="0.25">
      <c r="A16511" s="2">
        <v>16506</v>
      </c>
      <c r="B16511" s="11" t="str">
        <f>"00761969"</f>
        <v>00761969</v>
      </c>
    </row>
    <row r="16512" spans="1:2" x14ac:dyDescent="0.25">
      <c r="A16512" s="2">
        <v>16507</v>
      </c>
      <c r="B16512" s="11" t="str">
        <f>"00762041"</f>
        <v>00762041</v>
      </c>
    </row>
    <row r="16513" spans="1:2" x14ac:dyDescent="0.25">
      <c r="A16513" s="2">
        <v>16508</v>
      </c>
      <c r="B16513" s="11" t="str">
        <f>"00762048"</f>
        <v>00762048</v>
      </c>
    </row>
    <row r="16514" spans="1:2" x14ac:dyDescent="0.25">
      <c r="A16514" s="2">
        <v>16509</v>
      </c>
      <c r="B16514" s="11" t="str">
        <f>"00762052"</f>
        <v>00762052</v>
      </c>
    </row>
    <row r="16515" spans="1:2" x14ac:dyDescent="0.25">
      <c r="A16515" s="2">
        <v>16510</v>
      </c>
      <c r="B16515" s="11" t="str">
        <f>"00762088"</f>
        <v>00762088</v>
      </c>
    </row>
    <row r="16516" spans="1:2" x14ac:dyDescent="0.25">
      <c r="A16516" s="2">
        <v>16511</v>
      </c>
      <c r="B16516" s="11" t="str">
        <f>"00762116"</f>
        <v>00762116</v>
      </c>
    </row>
    <row r="16517" spans="1:2" x14ac:dyDescent="0.25">
      <c r="A16517" s="2">
        <v>16512</v>
      </c>
      <c r="B16517" s="11" t="str">
        <f>"00762132"</f>
        <v>00762132</v>
      </c>
    </row>
    <row r="16518" spans="1:2" x14ac:dyDescent="0.25">
      <c r="A16518" s="2">
        <v>16513</v>
      </c>
      <c r="B16518" s="11" t="str">
        <f>"00762143"</f>
        <v>00762143</v>
      </c>
    </row>
    <row r="16519" spans="1:2" x14ac:dyDescent="0.25">
      <c r="A16519" s="2">
        <v>16514</v>
      </c>
      <c r="B16519" s="11" t="str">
        <f>"00762204"</f>
        <v>00762204</v>
      </c>
    </row>
    <row r="16520" spans="1:2" x14ac:dyDescent="0.25">
      <c r="A16520" s="2">
        <v>16515</v>
      </c>
      <c r="B16520" s="11" t="str">
        <f>"00762264"</f>
        <v>00762264</v>
      </c>
    </row>
    <row r="16521" spans="1:2" x14ac:dyDescent="0.25">
      <c r="A16521" s="2">
        <v>16516</v>
      </c>
      <c r="B16521" s="11" t="str">
        <f>"00762287"</f>
        <v>00762287</v>
      </c>
    </row>
    <row r="16522" spans="1:2" x14ac:dyDescent="0.25">
      <c r="A16522" s="2">
        <v>16517</v>
      </c>
      <c r="B16522" s="11" t="str">
        <f>"00762351"</f>
        <v>00762351</v>
      </c>
    </row>
    <row r="16523" spans="1:2" x14ac:dyDescent="0.25">
      <c r="A16523" s="2">
        <v>16518</v>
      </c>
      <c r="B16523" s="11" t="str">
        <f>"00762410"</f>
        <v>00762410</v>
      </c>
    </row>
    <row r="16524" spans="1:2" x14ac:dyDescent="0.25">
      <c r="A16524" s="2">
        <v>16519</v>
      </c>
      <c r="B16524" s="11" t="str">
        <f>"00762435"</f>
        <v>00762435</v>
      </c>
    </row>
    <row r="16525" spans="1:2" x14ac:dyDescent="0.25">
      <c r="A16525" s="2">
        <v>16520</v>
      </c>
      <c r="B16525" s="11" t="str">
        <f>"00762572"</f>
        <v>00762572</v>
      </c>
    </row>
    <row r="16526" spans="1:2" x14ac:dyDescent="0.25">
      <c r="A16526" s="2">
        <v>16521</v>
      </c>
      <c r="B16526" s="11" t="str">
        <f>"00762579"</f>
        <v>00762579</v>
      </c>
    </row>
    <row r="16527" spans="1:2" x14ac:dyDescent="0.25">
      <c r="A16527" s="2">
        <v>16522</v>
      </c>
      <c r="B16527" s="11" t="str">
        <f>"00762583"</f>
        <v>00762583</v>
      </c>
    </row>
    <row r="16528" spans="1:2" x14ac:dyDescent="0.25">
      <c r="A16528" s="2">
        <v>16523</v>
      </c>
      <c r="B16528" s="11" t="str">
        <f>"00762597"</f>
        <v>00762597</v>
      </c>
    </row>
    <row r="16529" spans="1:2" x14ac:dyDescent="0.25">
      <c r="A16529" s="2">
        <v>16524</v>
      </c>
      <c r="B16529" s="11" t="str">
        <f>"00762630"</f>
        <v>00762630</v>
      </c>
    </row>
    <row r="16530" spans="1:2" x14ac:dyDescent="0.25">
      <c r="A16530" s="2">
        <v>16525</v>
      </c>
      <c r="B16530" s="11" t="str">
        <f>"00762633"</f>
        <v>00762633</v>
      </c>
    </row>
    <row r="16531" spans="1:2" x14ac:dyDescent="0.25">
      <c r="A16531" s="2">
        <v>16526</v>
      </c>
      <c r="B16531" s="11" t="str">
        <f>"00762639"</f>
        <v>00762639</v>
      </c>
    </row>
    <row r="16532" spans="1:2" x14ac:dyDescent="0.25">
      <c r="A16532" s="2">
        <v>16527</v>
      </c>
      <c r="B16532" s="11" t="str">
        <f>"00762674"</f>
        <v>00762674</v>
      </c>
    </row>
    <row r="16533" spans="1:2" x14ac:dyDescent="0.25">
      <c r="A16533" s="2">
        <v>16528</v>
      </c>
      <c r="B16533" s="11" t="str">
        <f>"00762762"</f>
        <v>00762762</v>
      </c>
    </row>
    <row r="16534" spans="1:2" x14ac:dyDescent="0.25">
      <c r="A16534" s="2">
        <v>16529</v>
      </c>
      <c r="B16534" s="11" t="str">
        <f>"00762802"</f>
        <v>00762802</v>
      </c>
    </row>
    <row r="16535" spans="1:2" x14ac:dyDescent="0.25">
      <c r="A16535" s="2">
        <v>16530</v>
      </c>
      <c r="B16535" s="11" t="str">
        <f>"00762806"</f>
        <v>00762806</v>
      </c>
    </row>
    <row r="16536" spans="1:2" x14ac:dyDescent="0.25">
      <c r="A16536" s="2">
        <v>16531</v>
      </c>
      <c r="B16536" s="11" t="str">
        <f>"00762814"</f>
        <v>00762814</v>
      </c>
    </row>
    <row r="16537" spans="1:2" x14ac:dyDescent="0.25">
      <c r="A16537" s="2">
        <v>16532</v>
      </c>
      <c r="B16537" s="11" t="str">
        <f>"00762820"</f>
        <v>00762820</v>
      </c>
    </row>
    <row r="16538" spans="1:2" x14ac:dyDescent="0.25">
      <c r="A16538" s="2">
        <v>16533</v>
      </c>
      <c r="B16538" s="11" t="str">
        <f>"00762823"</f>
        <v>00762823</v>
      </c>
    </row>
    <row r="16539" spans="1:2" x14ac:dyDescent="0.25">
      <c r="A16539" s="2">
        <v>16534</v>
      </c>
      <c r="B16539" s="11" t="str">
        <f>"00762876"</f>
        <v>00762876</v>
      </c>
    </row>
    <row r="16540" spans="1:2" x14ac:dyDescent="0.25">
      <c r="A16540" s="2">
        <v>16535</v>
      </c>
      <c r="B16540" s="11" t="str">
        <f>"00762901"</f>
        <v>00762901</v>
      </c>
    </row>
    <row r="16541" spans="1:2" x14ac:dyDescent="0.25">
      <c r="A16541" s="2">
        <v>16536</v>
      </c>
      <c r="B16541" s="11" t="str">
        <f>"00762941"</f>
        <v>00762941</v>
      </c>
    </row>
    <row r="16542" spans="1:2" x14ac:dyDescent="0.25">
      <c r="A16542" s="2">
        <v>16537</v>
      </c>
      <c r="B16542" s="11" t="str">
        <f>"00762981"</f>
        <v>00762981</v>
      </c>
    </row>
    <row r="16543" spans="1:2" x14ac:dyDescent="0.25">
      <c r="A16543" s="2">
        <v>16538</v>
      </c>
      <c r="B16543" s="11" t="str">
        <f>"00763057"</f>
        <v>00763057</v>
      </c>
    </row>
    <row r="16544" spans="1:2" x14ac:dyDescent="0.25">
      <c r="A16544" s="2">
        <v>16539</v>
      </c>
      <c r="B16544" s="11" t="str">
        <f>"00763074"</f>
        <v>00763074</v>
      </c>
    </row>
    <row r="16545" spans="1:2" x14ac:dyDescent="0.25">
      <c r="A16545" s="2">
        <v>16540</v>
      </c>
      <c r="B16545" s="11" t="str">
        <f>"00763115"</f>
        <v>00763115</v>
      </c>
    </row>
    <row r="16546" spans="1:2" x14ac:dyDescent="0.25">
      <c r="A16546" s="2">
        <v>16541</v>
      </c>
      <c r="B16546" s="11" t="str">
        <f>"00763116"</f>
        <v>00763116</v>
      </c>
    </row>
    <row r="16547" spans="1:2" x14ac:dyDescent="0.25">
      <c r="A16547" s="2">
        <v>16542</v>
      </c>
      <c r="B16547" s="11" t="str">
        <f>"00763118"</f>
        <v>00763118</v>
      </c>
    </row>
    <row r="16548" spans="1:2" x14ac:dyDescent="0.25">
      <c r="A16548" s="2">
        <v>16543</v>
      </c>
      <c r="B16548" s="11" t="str">
        <f>"00763138"</f>
        <v>00763138</v>
      </c>
    </row>
    <row r="16549" spans="1:2" x14ac:dyDescent="0.25">
      <c r="A16549" s="2">
        <v>16544</v>
      </c>
      <c r="B16549" s="11" t="str">
        <f>"00763143"</f>
        <v>00763143</v>
      </c>
    </row>
    <row r="16550" spans="1:2" x14ac:dyDescent="0.25">
      <c r="A16550" s="2">
        <v>16545</v>
      </c>
      <c r="B16550" s="11" t="str">
        <f>"00763168"</f>
        <v>00763168</v>
      </c>
    </row>
    <row r="16551" spans="1:2" x14ac:dyDescent="0.25">
      <c r="A16551" s="2">
        <v>16546</v>
      </c>
      <c r="B16551" s="11" t="str">
        <f>"00763237"</f>
        <v>00763237</v>
      </c>
    </row>
    <row r="16552" spans="1:2" x14ac:dyDescent="0.25">
      <c r="A16552" s="2">
        <v>16547</v>
      </c>
      <c r="B16552" s="11" t="str">
        <f>"00763278"</f>
        <v>00763278</v>
      </c>
    </row>
    <row r="16553" spans="1:2" x14ac:dyDescent="0.25">
      <c r="A16553" s="2">
        <v>16548</v>
      </c>
      <c r="B16553" s="11" t="str">
        <f>"00763293"</f>
        <v>00763293</v>
      </c>
    </row>
    <row r="16554" spans="1:2" x14ac:dyDescent="0.25">
      <c r="A16554" s="2">
        <v>16549</v>
      </c>
      <c r="B16554" s="11" t="str">
        <f>"00763298"</f>
        <v>00763298</v>
      </c>
    </row>
    <row r="16555" spans="1:2" x14ac:dyDescent="0.25">
      <c r="A16555" s="2">
        <v>16550</v>
      </c>
      <c r="B16555" s="11" t="str">
        <f>"00763417"</f>
        <v>00763417</v>
      </c>
    </row>
    <row r="16556" spans="1:2" x14ac:dyDescent="0.25">
      <c r="A16556" s="2">
        <v>16551</v>
      </c>
      <c r="B16556" s="11" t="str">
        <f>"00763492"</f>
        <v>00763492</v>
      </c>
    </row>
    <row r="16557" spans="1:2" x14ac:dyDescent="0.25">
      <c r="A16557" s="2">
        <v>16552</v>
      </c>
      <c r="B16557" s="11" t="str">
        <f>"00763520"</f>
        <v>00763520</v>
      </c>
    </row>
    <row r="16558" spans="1:2" x14ac:dyDescent="0.25">
      <c r="A16558" s="2">
        <v>16553</v>
      </c>
      <c r="B16558" s="11" t="str">
        <f>"00763631"</f>
        <v>00763631</v>
      </c>
    </row>
    <row r="16559" spans="1:2" x14ac:dyDescent="0.25">
      <c r="A16559" s="2">
        <v>16554</v>
      </c>
      <c r="B16559" s="11" t="str">
        <f>"00763666"</f>
        <v>00763666</v>
      </c>
    </row>
    <row r="16560" spans="1:2" x14ac:dyDescent="0.25">
      <c r="A16560" s="2">
        <v>16555</v>
      </c>
      <c r="B16560" s="11" t="str">
        <f>"00763970"</f>
        <v>00763970</v>
      </c>
    </row>
    <row r="16561" spans="1:2" x14ac:dyDescent="0.25">
      <c r="A16561" s="2">
        <v>16556</v>
      </c>
      <c r="B16561" s="11" t="str">
        <f>"00764045"</f>
        <v>00764045</v>
      </c>
    </row>
    <row r="16562" spans="1:2" x14ac:dyDescent="0.25">
      <c r="A16562" s="2">
        <v>16557</v>
      </c>
      <c r="B16562" s="11" t="str">
        <f>"00764057"</f>
        <v>00764057</v>
      </c>
    </row>
    <row r="16563" spans="1:2" x14ac:dyDescent="0.25">
      <c r="A16563" s="2">
        <v>16558</v>
      </c>
      <c r="B16563" s="11" t="str">
        <f>"00764074"</f>
        <v>00764074</v>
      </c>
    </row>
    <row r="16564" spans="1:2" x14ac:dyDescent="0.25">
      <c r="A16564" s="2">
        <v>16559</v>
      </c>
      <c r="B16564" s="11" t="str">
        <f>"00764094"</f>
        <v>00764094</v>
      </c>
    </row>
    <row r="16565" spans="1:2" x14ac:dyDescent="0.25">
      <c r="A16565" s="2">
        <v>16560</v>
      </c>
      <c r="B16565" s="11" t="str">
        <f>"00764133"</f>
        <v>00764133</v>
      </c>
    </row>
    <row r="16566" spans="1:2" x14ac:dyDescent="0.25">
      <c r="A16566" s="2">
        <v>16561</v>
      </c>
      <c r="B16566" s="11" t="str">
        <f>"00764142"</f>
        <v>00764142</v>
      </c>
    </row>
    <row r="16567" spans="1:2" x14ac:dyDescent="0.25">
      <c r="A16567" s="2">
        <v>16562</v>
      </c>
      <c r="B16567" s="11" t="str">
        <f>"00764178"</f>
        <v>00764178</v>
      </c>
    </row>
    <row r="16568" spans="1:2" x14ac:dyDescent="0.25">
      <c r="A16568" s="2">
        <v>16563</v>
      </c>
      <c r="B16568" s="11" t="str">
        <f>"00764206"</f>
        <v>00764206</v>
      </c>
    </row>
    <row r="16569" spans="1:2" x14ac:dyDescent="0.25">
      <c r="A16569" s="2">
        <v>16564</v>
      </c>
      <c r="B16569" s="11" t="str">
        <f>"00764285"</f>
        <v>00764285</v>
      </c>
    </row>
    <row r="16570" spans="1:2" x14ac:dyDescent="0.25">
      <c r="A16570" s="2">
        <v>16565</v>
      </c>
      <c r="B16570" s="11" t="str">
        <f>"00764305"</f>
        <v>00764305</v>
      </c>
    </row>
    <row r="16571" spans="1:2" x14ac:dyDescent="0.25">
      <c r="A16571" s="2">
        <v>16566</v>
      </c>
      <c r="B16571" s="11" t="str">
        <f>"00764309"</f>
        <v>00764309</v>
      </c>
    </row>
    <row r="16572" spans="1:2" x14ac:dyDescent="0.25">
      <c r="A16572" s="2">
        <v>16567</v>
      </c>
      <c r="B16572" s="11" t="str">
        <f>"00764362"</f>
        <v>00764362</v>
      </c>
    </row>
    <row r="16573" spans="1:2" x14ac:dyDescent="0.25">
      <c r="A16573" s="2">
        <v>16568</v>
      </c>
      <c r="B16573" s="11" t="str">
        <f>"00764365"</f>
        <v>00764365</v>
      </c>
    </row>
    <row r="16574" spans="1:2" x14ac:dyDescent="0.25">
      <c r="A16574" s="2">
        <v>16569</v>
      </c>
      <c r="B16574" s="11" t="str">
        <f>"00764406"</f>
        <v>00764406</v>
      </c>
    </row>
    <row r="16575" spans="1:2" x14ac:dyDescent="0.25">
      <c r="A16575" s="2">
        <v>16570</v>
      </c>
      <c r="B16575" s="11" t="str">
        <f>"00764429"</f>
        <v>00764429</v>
      </c>
    </row>
    <row r="16576" spans="1:2" x14ac:dyDescent="0.25">
      <c r="A16576" s="2">
        <v>16571</v>
      </c>
      <c r="B16576" s="11" t="str">
        <f>"00764465"</f>
        <v>00764465</v>
      </c>
    </row>
    <row r="16577" spans="1:2" x14ac:dyDescent="0.25">
      <c r="A16577" s="2">
        <v>16572</v>
      </c>
      <c r="B16577" s="11" t="str">
        <f>"00764491"</f>
        <v>00764491</v>
      </c>
    </row>
    <row r="16578" spans="1:2" x14ac:dyDescent="0.25">
      <c r="A16578" s="2">
        <v>16573</v>
      </c>
      <c r="B16578" s="11" t="str">
        <f>"00764530"</f>
        <v>00764530</v>
      </c>
    </row>
    <row r="16579" spans="1:2" x14ac:dyDescent="0.25">
      <c r="A16579" s="2">
        <v>16574</v>
      </c>
      <c r="B16579" s="11" t="str">
        <f>"00764531"</f>
        <v>00764531</v>
      </c>
    </row>
    <row r="16580" spans="1:2" x14ac:dyDescent="0.25">
      <c r="A16580" s="2">
        <v>16575</v>
      </c>
      <c r="B16580" s="11" t="str">
        <f>"00764533"</f>
        <v>00764533</v>
      </c>
    </row>
    <row r="16581" spans="1:2" x14ac:dyDescent="0.25">
      <c r="A16581" s="2">
        <v>16576</v>
      </c>
      <c r="B16581" s="11" t="str">
        <f>"00764548"</f>
        <v>00764548</v>
      </c>
    </row>
    <row r="16582" spans="1:2" x14ac:dyDescent="0.25">
      <c r="A16582" s="2">
        <v>16577</v>
      </c>
      <c r="B16582" s="11" t="str">
        <f>"00764628"</f>
        <v>00764628</v>
      </c>
    </row>
    <row r="16583" spans="1:2" x14ac:dyDescent="0.25">
      <c r="A16583" s="2">
        <v>16578</v>
      </c>
      <c r="B16583" s="11" t="str">
        <f>"00764641"</f>
        <v>00764641</v>
      </c>
    </row>
    <row r="16584" spans="1:2" x14ac:dyDescent="0.25">
      <c r="A16584" s="2">
        <v>16579</v>
      </c>
      <c r="B16584" s="11" t="str">
        <f>"00764673"</f>
        <v>00764673</v>
      </c>
    </row>
    <row r="16585" spans="1:2" x14ac:dyDescent="0.25">
      <c r="A16585" s="2">
        <v>16580</v>
      </c>
      <c r="B16585" s="11" t="str">
        <f>"00764681"</f>
        <v>00764681</v>
      </c>
    </row>
    <row r="16586" spans="1:2" x14ac:dyDescent="0.25">
      <c r="A16586" s="2">
        <v>16581</v>
      </c>
      <c r="B16586" s="11" t="str">
        <f>"00764732"</f>
        <v>00764732</v>
      </c>
    </row>
    <row r="16587" spans="1:2" x14ac:dyDescent="0.25">
      <c r="A16587" s="2">
        <v>16582</v>
      </c>
      <c r="B16587" s="11" t="str">
        <f>"00764733"</f>
        <v>00764733</v>
      </c>
    </row>
    <row r="16588" spans="1:2" x14ac:dyDescent="0.25">
      <c r="A16588" s="2">
        <v>16583</v>
      </c>
      <c r="B16588" s="11" t="str">
        <f>"00764766"</f>
        <v>00764766</v>
      </c>
    </row>
    <row r="16589" spans="1:2" x14ac:dyDescent="0.25">
      <c r="A16589" s="2">
        <v>16584</v>
      </c>
      <c r="B16589" s="11" t="str">
        <f>"00764783"</f>
        <v>00764783</v>
      </c>
    </row>
    <row r="16590" spans="1:2" x14ac:dyDescent="0.25">
      <c r="A16590" s="2">
        <v>16585</v>
      </c>
      <c r="B16590" s="11" t="str">
        <f>"00764804"</f>
        <v>00764804</v>
      </c>
    </row>
    <row r="16591" spans="1:2" x14ac:dyDescent="0.25">
      <c r="A16591" s="2">
        <v>16586</v>
      </c>
      <c r="B16591" s="11" t="str">
        <f>"00764885"</f>
        <v>00764885</v>
      </c>
    </row>
    <row r="16592" spans="1:2" x14ac:dyDescent="0.25">
      <c r="A16592" s="2">
        <v>16587</v>
      </c>
      <c r="B16592" s="11" t="str">
        <f>"00764983"</f>
        <v>00764983</v>
      </c>
    </row>
    <row r="16593" spans="1:2" x14ac:dyDescent="0.25">
      <c r="A16593" s="2">
        <v>16588</v>
      </c>
      <c r="B16593" s="11" t="str">
        <f>"00765009"</f>
        <v>00765009</v>
      </c>
    </row>
    <row r="16594" spans="1:2" x14ac:dyDescent="0.25">
      <c r="A16594" s="2">
        <v>16589</v>
      </c>
      <c r="B16594" s="11" t="str">
        <f>"00765017"</f>
        <v>00765017</v>
      </c>
    </row>
    <row r="16595" spans="1:2" x14ac:dyDescent="0.25">
      <c r="A16595" s="2">
        <v>16590</v>
      </c>
      <c r="B16595" s="11" t="str">
        <f>"00765117"</f>
        <v>00765117</v>
      </c>
    </row>
    <row r="16596" spans="1:2" x14ac:dyDescent="0.25">
      <c r="A16596" s="2">
        <v>16591</v>
      </c>
      <c r="B16596" s="11" t="str">
        <f>"00765228"</f>
        <v>00765228</v>
      </c>
    </row>
    <row r="16597" spans="1:2" x14ac:dyDescent="0.25">
      <c r="A16597" s="2">
        <v>16592</v>
      </c>
      <c r="B16597" s="11" t="str">
        <f>"00765239"</f>
        <v>00765239</v>
      </c>
    </row>
    <row r="16598" spans="1:2" x14ac:dyDescent="0.25">
      <c r="A16598" s="2">
        <v>16593</v>
      </c>
      <c r="B16598" s="11" t="str">
        <f>"00765291"</f>
        <v>00765291</v>
      </c>
    </row>
    <row r="16599" spans="1:2" x14ac:dyDescent="0.25">
      <c r="A16599" s="2">
        <v>16594</v>
      </c>
      <c r="B16599" s="11" t="str">
        <f>"00765378"</f>
        <v>00765378</v>
      </c>
    </row>
    <row r="16600" spans="1:2" x14ac:dyDescent="0.25">
      <c r="A16600" s="2">
        <v>16595</v>
      </c>
      <c r="B16600" s="11" t="str">
        <f>"00765501"</f>
        <v>00765501</v>
      </c>
    </row>
    <row r="16601" spans="1:2" x14ac:dyDescent="0.25">
      <c r="A16601" s="2">
        <v>16596</v>
      </c>
      <c r="B16601" s="11" t="str">
        <f>"00765582"</f>
        <v>00765582</v>
      </c>
    </row>
    <row r="16602" spans="1:2" x14ac:dyDescent="0.25">
      <c r="A16602" s="2">
        <v>16597</v>
      </c>
      <c r="B16602" s="11" t="str">
        <f>"00765599"</f>
        <v>00765599</v>
      </c>
    </row>
    <row r="16603" spans="1:2" x14ac:dyDescent="0.25">
      <c r="A16603" s="2">
        <v>16598</v>
      </c>
      <c r="B16603" s="11" t="str">
        <f>"00765616"</f>
        <v>00765616</v>
      </c>
    </row>
    <row r="16604" spans="1:2" x14ac:dyDescent="0.25">
      <c r="A16604" s="2">
        <v>16599</v>
      </c>
      <c r="B16604" s="11" t="str">
        <f>"00765749"</f>
        <v>00765749</v>
      </c>
    </row>
    <row r="16605" spans="1:2" x14ac:dyDescent="0.25">
      <c r="A16605" s="2">
        <v>16600</v>
      </c>
      <c r="B16605" s="11" t="str">
        <f>"00765780"</f>
        <v>00765780</v>
      </c>
    </row>
    <row r="16606" spans="1:2" x14ac:dyDescent="0.25">
      <c r="A16606" s="2">
        <v>16601</v>
      </c>
      <c r="B16606" s="11" t="str">
        <f>"00765796"</f>
        <v>00765796</v>
      </c>
    </row>
    <row r="16607" spans="1:2" x14ac:dyDescent="0.25">
      <c r="A16607" s="2">
        <v>16602</v>
      </c>
      <c r="B16607" s="11" t="str">
        <f>"00765843"</f>
        <v>00765843</v>
      </c>
    </row>
    <row r="16608" spans="1:2" x14ac:dyDescent="0.25">
      <c r="A16608" s="2">
        <v>16603</v>
      </c>
      <c r="B16608" s="11" t="str">
        <f>"00765858"</f>
        <v>00765858</v>
      </c>
    </row>
    <row r="16609" spans="1:2" x14ac:dyDescent="0.25">
      <c r="A16609" s="2">
        <v>16604</v>
      </c>
      <c r="B16609" s="11" t="str">
        <f>"00765878"</f>
        <v>00765878</v>
      </c>
    </row>
    <row r="16610" spans="1:2" x14ac:dyDescent="0.25">
      <c r="A16610" s="2">
        <v>16605</v>
      </c>
      <c r="B16610" s="11" t="str">
        <f>"00765912"</f>
        <v>00765912</v>
      </c>
    </row>
    <row r="16611" spans="1:2" x14ac:dyDescent="0.25">
      <c r="A16611" s="2">
        <v>16606</v>
      </c>
      <c r="B16611" s="11" t="str">
        <f>"00765913"</f>
        <v>00765913</v>
      </c>
    </row>
    <row r="16612" spans="1:2" x14ac:dyDescent="0.25">
      <c r="A16612" s="2">
        <v>16607</v>
      </c>
      <c r="B16612" s="11" t="str">
        <f>"00765960"</f>
        <v>00765960</v>
      </c>
    </row>
    <row r="16613" spans="1:2" x14ac:dyDescent="0.25">
      <c r="A16613" s="2">
        <v>16608</v>
      </c>
      <c r="B16613" s="11" t="str">
        <f>"00765977"</f>
        <v>00765977</v>
      </c>
    </row>
    <row r="16614" spans="1:2" x14ac:dyDescent="0.25">
      <c r="A16614" s="2">
        <v>16609</v>
      </c>
      <c r="B16614" s="11" t="str">
        <f>"00765982"</f>
        <v>00765982</v>
      </c>
    </row>
    <row r="16615" spans="1:2" x14ac:dyDescent="0.25">
      <c r="A16615" s="2">
        <v>16610</v>
      </c>
      <c r="B16615" s="11" t="str">
        <f>"00765988"</f>
        <v>00765988</v>
      </c>
    </row>
    <row r="16616" spans="1:2" x14ac:dyDescent="0.25">
      <c r="A16616" s="2">
        <v>16611</v>
      </c>
      <c r="B16616" s="11" t="str">
        <f>"00765989"</f>
        <v>00765989</v>
      </c>
    </row>
    <row r="16617" spans="1:2" x14ac:dyDescent="0.25">
      <c r="A16617" s="2">
        <v>16612</v>
      </c>
      <c r="B16617" s="11" t="str">
        <f>"00765994"</f>
        <v>00765994</v>
      </c>
    </row>
    <row r="16618" spans="1:2" x14ac:dyDescent="0.25">
      <c r="A16618" s="2">
        <v>16613</v>
      </c>
      <c r="B16618" s="11" t="str">
        <f>"00766158"</f>
        <v>00766158</v>
      </c>
    </row>
    <row r="16619" spans="1:2" x14ac:dyDescent="0.25">
      <c r="A16619" s="2">
        <v>16614</v>
      </c>
      <c r="B16619" s="11" t="str">
        <f>"00766167"</f>
        <v>00766167</v>
      </c>
    </row>
    <row r="16620" spans="1:2" x14ac:dyDescent="0.25">
      <c r="A16620" s="2">
        <v>16615</v>
      </c>
      <c r="B16620" s="11" t="str">
        <f>"00766178"</f>
        <v>00766178</v>
      </c>
    </row>
    <row r="16621" spans="1:2" x14ac:dyDescent="0.25">
      <c r="A16621" s="2">
        <v>16616</v>
      </c>
      <c r="B16621" s="11" t="str">
        <f>"00766210"</f>
        <v>00766210</v>
      </c>
    </row>
    <row r="16622" spans="1:2" x14ac:dyDescent="0.25">
      <c r="A16622" s="2">
        <v>16617</v>
      </c>
      <c r="B16622" s="11" t="str">
        <f>"00766225"</f>
        <v>00766225</v>
      </c>
    </row>
    <row r="16623" spans="1:2" x14ac:dyDescent="0.25">
      <c r="A16623" s="2">
        <v>16618</v>
      </c>
      <c r="B16623" s="11" t="str">
        <f>"00766241"</f>
        <v>00766241</v>
      </c>
    </row>
    <row r="16624" spans="1:2" x14ac:dyDescent="0.25">
      <c r="A16624" s="2">
        <v>16619</v>
      </c>
      <c r="B16624" s="11" t="str">
        <f>"00766242"</f>
        <v>00766242</v>
      </c>
    </row>
    <row r="16625" spans="1:2" x14ac:dyDescent="0.25">
      <c r="A16625" s="2">
        <v>16620</v>
      </c>
      <c r="B16625" s="11" t="str">
        <f>"00766261"</f>
        <v>00766261</v>
      </c>
    </row>
    <row r="16626" spans="1:2" x14ac:dyDescent="0.25">
      <c r="A16626" s="2">
        <v>16621</v>
      </c>
      <c r="B16626" s="11" t="str">
        <f>"00766270"</f>
        <v>00766270</v>
      </c>
    </row>
    <row r="16627" spans="1:2" x14ac:dyDescent="0.25">
      <c r="A16627" s="2">
        <v>16622</v>
      </c>
      <c r="B16627" s="11" t="str">
        <f>"00766341"</f>
        <v>00766341</v>
      </c>
    </row>
    <row r="16628" spans="1:2" x14ac:dyDescent="0.25">
      <c r="A16628" s="2">
        <v>16623</v>
      </c>
      <c r="B16628" s="11" t="str">
        <f>"00766411"</f>
        <v>00766411</v>
      </c>
    </row>
    <row r="16629" spans="1:2" x14ac:dyDescent="0.25">
      <c r="A16629" s="2">
        <v>16624</v>
      </c>
      <c r="B16629" s="11" t="str">
        <f>"00766419"</f>
        <v>00766419</v>
      </c>
    </row>
    <row r="16630" spans="1:2" x14ac:dyDescent="0.25">
      <c r="A16630" s="2">
        <v>16625</v>
      </c>
      <c r="B16630" s="11" t="str">
        <f>"00766545"</f>
        <v>00766545</v>
      </c>
    </row>
    <row r="16631" spans="1:2" x14ac:dyDescent="0.25">
      <c r="A16631" s="2">
        <v>16626</v>
      </c>
      <c r="B16631" s="11" t="str">
        <f>"00766664"</f>
        <v>00766664</v>
      </c>
    </row>
    <row r="16632" spans="1:2" x14ac:dyDescent="0.25">
      <c r="A16632" s="2">
        <v>16627</v>
      </c>
      <c r="B16632" s="11" t="str">
        <f>"00766726"</f>
        <v>00766726</v>
      </c>
    </row>
    <row r="16633" spans="1:2" x14ac:dyDescent="0.25">
      <c r="A16633" s="2">
        <v>16628</v>
      </c>
      <c r="B16633" s="11" t="str">
        <f>"00766808"</f>
        <v>00766808</v>
      </c>
    </row>
    <row r="16634" spans="1:2" x14ac:dyDescent="0.25">
      <c r="A16634" s="2">
        <v>16629</v>
      </c>
      <c r="B16634" s="11" t="str">
        <f>"00766844"</f>
        <v>00766844</v>
      </c>
    </row>
    <row r="16635" spans="1:2" x14ac:dyDescent="0.25">
      <c r="A16635" s="2">
        <v>16630</v>
      </c>
      <c r="B16635" s="11" t="str">
        <f>"00766900"</f>
        <v>00766900</v>
      </c>
    </row>
    <row r="16636" spans="1:2" x14ac:dyDescent="0.25">
      <c r="A16636" s="2">
        <v>16631</v>
      </c>
      <c r="B16636" s="11" t="str">
        <f>"00766920"</f>
        <v>00766920</v>
      </c>
    </row>
    <row r="16637" spans="1:2" x14ac:dyDescent="0.25">
      <c r="A16637" s="2">
        <v>16632</v>
      </c>
      <c r="B16637" s="11" t="str">
        <f>"00766975"</f>
        <v>00766975</v>
      </c>
    </row>
    <row r="16638" spans="1:2" x14ac:dyDescent="0.25">
      <c r="A16638" s="2">
        <v>16633</v>
      </c>
      <c r="B16638" s="11" t="str">
        <f>"00767007"</f>
        <v>00767007</v>
      </c>
    </row>
    <row r="16639" spans="1:2" x14ac:dyDescent="0.25">
      <c r="A16639" s="2">
        <v>16634</v>
      </c>
      <c r="B16639" s="11" t="str">
        <f>"00767027"</f>
        <v>00767027</v>
      </c>
    </row>
    <row r="16640" spans="1:2" x14ac:dyDescent="0.25">
      <c r="A16640" s="2">
        <v>16635</v>
      </c>
      <c r="B16640" s="11" t="str">
        <f>"00767065"</f>
        <v>00767065</v>
      </c>
    </row>
    <row r="16641" spans="1:2" x14ac:dyDescent="0.25">
      <c r="A16641" s="2">
        <v>16636</v>
      </c>
      <c r="B16641" s="11" t="str">
        <f>"00767160"</f>
        <v>00767160</v>
      </c>
    </row>
    <row r="16642" spans="1:2" x14ac:dyDescent="0.25">
      <c r="A16642" s="2">
        <v>16637</v>
      </c>
      <c r="B16642" s="11" t="str">
        <f>"00767238"</f>
        <v>00767238</v>
      </c>
    </row>
    <row r="16643" spans="1:2" x14ac:dyDescent="0.25">
      <c r="A16643" s="2">
        <v>16638</v>
      </c>
      <c r="B16643" s="11" t="str">
        <f>"00767387"</f>
        <v>00767387</v>
      </c>
    </row>
    <row r="16644" spans="1:2" x14ac:dyDescent="0.25">
      <c r="A16644" s="2">
        <v>16639</v>
      </c>
      <c r="B16644" s="11" t="str">
        <f>"00767537"</f>
        <v>00767537</v>
      </c>
    </row>
    <row r="16645" spans="1:2" x14ac:dyDescent="0.25">
      <c r="A16645" s="2">
        <v>16640</v>
      </c>
      <c r="B16645" s="11" t="str">
        <f>"00767591"</f>
        <v>00767591</v>
      </c>
    </row>
    <row r="16646" spans="1:2" x14ac:dyDescent="0.25">
      <c r="A16646" s="2">
        <v>16641</v>
      </c>
      <c r="B16646" s="11" t="str">
        <f>"00767710"</f>
        <v>00767710</v>
      </c>
    </row>
    <row r="16647" spans="1:2" x14ac:dyDescent="0.25">
      <c r="A16647" s="2">
        <v>16642</v>
      </c>
      <c r="B16647" s="11" t="str">
        <f>"00767725"</f>
        <v>00767725</v>
      </c>
    </row>
    <row r="16648" spans="1:2" x14ac:dyDescent="0.25">
      <c r="A16648" s="2">
        <v>16643</v>
      </c>
      <c r="B16648" s="11" t="str">
        <f>"00767769"</f>
        <v>00767769</v>
      </c>
    </row>
    <row r="16649" spans="1:2" x14ac:dyDescent="0.25">
      <c r="A16649" s="2">
        <v>16644</v>
      </c>
      <c r="B16649" s="11" t="str">
        <f>"00767889"</f>
        <v>00767889</v>
      </c>
    </row>
    <row r="16650" spans="1:2" x14ac:dyDescent="0.25">
      <c r="A16650" s="2">
        <v>16645</v>
      </c>
      <c r="B16650" s="11" t="str">
        <f>"00767926"</f>
        <v>00767926</v>
      </c>
    </row>
    <row r="16651" spans="1:2" x14ac:dyDescent="0.25">
      <c r="A16651" s="2">
        <v>16646</v>
      </c>
      <c r="B16651" s="11" t="str">
        <f>"00767950"</f>
        <v>00767950</v>
      </c>
    </row>
    <row r="16652" spans="1:2" x14ac:dyDescent="0.25">
      <c r="A16652" s="2">
        <v>16647</v>
      </c>
      <c r="B16652" s="11" t="str">
        <f>"00767960"</f>
        <v>00767960</v>
      </c>
    </row>
    <row r="16653" spans="1:2" x14ac:dyDescent="0.25">
      <c r="A16653" s="2">
        <v>16648</v>
      </c>
      <c r="B16653" s="11" t="str">
        <f>"00767965"</f>
        <v>00767965</v>
      </c>
    </row>
    <row r="16654" spans="1:2" x14ac:dyDescent="0.25">
      <c r="A16654" s="2">
        <v>16649</v>
      </c>
      <c r="B16654" s="11" t="str">
        <f>"00768127"</f>
        <v>00768127</v>
      </c>
    </row>
    <row r="16655" spans="1:2" x14ac:dyDescent="0.25">
      <c r="A16655" s="2">
        <v>16650</v>
      </c>
      <c r="B16655" s="11" t="str">
        <f>"00768220"</f>
        <v>00768220</v>
      </c>
    </row>
    <row r="16656" spans="1:2" x14ac:dyDescent="0.25">
      <c r="A16656" s="2">
        <v>16651</v>
      </c>
      <c r="B16656" s="11" t="str">
        <f>"00768276"</f>
        <v>00768276</v>
      </c>
    </row>
    <row r="16657" spans="1:2" x14ac:dyDescent="0.25">
      <c r="A16657" s="2">
        <v>16652</v>
      </c>
      <c r="B16657" s="11" t="str">
        <f>"00768323"</f>
        <v>00768323</v>
      </c>
    </row>
    <row r="16658" spans="1:2" x14ac:dyDescent="0.25">
      <c r="A16658" s="2">
        <v>16653</v>
      </c>
      <c r="B16658" s="11" t="str">
        <f>"00768380"</f>
        <v>00768380</v>
      </c>
    </row>
    <row r="16659" spans="1:2" x14ac:dyDescent="0.25">
      <c r="A16659" s="2">
        <v>16654</v>
      </c>
      <c r="B16659" s="11" t="str">
        <f>"00768405"</f>
        <v>00768405</v>
      </c>
    </row>
    <row r="16660" spans="1:2" x14ac:dyDescent="0.25">
      <c r="A16660" s="2">
        <v>16655</v>
      </c>
      <c r="B16660" s="11" t="str">
        <f>"00768435"</f>
        <v>00768435</v>
      </c>
    </row>
    <row r="16661" spans="1:2" x14ac:dyDescent="0.25">
      <c r="A16661" s="2">
        <v>16656</v>
      </c>
      <c r="B16661" s="11" t="str">
        <f>"00768496"</f>
        <v>00768496</v>
      </c>
    </row>
    <row r="16662" spans="1:2" x14ac:dyDescent="0.25">
      <c r="A16662" s="2">
        <v>16657</v>
      </c>
      <c r="B16662" s="11" t="str">
        <f>"00768528"</f>
        <v>00768528</v>
      </c>
    </row>
    <row r="16663" spans="1:2" x14ac:dyDescent="0.25">
      <c r="A16663" s="2">
        <v>16658</v>
      </c>
      <c r="B16663" s="11" t="str">
        <f>"00768540"</f>
        <v>00768540</v>
      </c>
    </row>
    <row r="16664" spans="1:2" x14ac:dyDescent="0.25">
      <c r="A16664" s="2">
        <v>16659</v>
      </c>
      <c r="B16664" s="11" t="str">
        <f>"00768570"</f>
        <v>00768570</v>
      </c>
    </row>
    <row r="16665" spans="1:2" x14ac:dyDescent="0.25">
      <c r="A16665" s="2">
        <v>16660</v>
      </c>
      <c r="B16665" s="11" t="str">
        <f>"00768636"</f>
        <v>00768636</v>
      </c>
    </row>
    <row r="16666" spans="1:2" x14ac:dyDescent="0.25">
      <c r="A16666" s="2">
        <v>16661</v>
      </c>
      <c r="B16666" s="11" t="str">
        <f>"00768666"</f>
        <v>00768666</v>
      </c>
    </row>
    <row r="16667" spans="1:2" x14ac:dyDescent="0.25">
      <c r="A16667" s="2">
        <v>16662</v>
      </c>
      <c r="B16667" s="11" t="str">
        <f>"00768697"</f>
        <v>00768697</v>
      </c>
    </row>
    <row r="16668" spans="1:2" x14ac:dyDescent="0.25">
      <c r="A16668" s="2">
        <v>16663</v>
      </c>
      <c r="B16668" s="11" t="str">
        <f>"00768911"</f>
        <v>00768911</v>
      </c>
    </row>
    <row r="16669" spans="1:2" x14ac:dyDescent="0.25">
      <c r="A16669" s="2">
        <v>16664</v>
      </c>
      <c r="B16669" s="11" t="str">
        <f>"00768926"</f>
        <v>00768926</v>
      </c>
    </row>
    <row r="16670" spans="1:2" x14ac:dyDescent="0.25">
      <c r="A16670" s="2">
        <v>16665</v>
      </c>
      <c r="B16670" s="11" t="str">
        <f>"00768945"</f>
        <v>00768945</v>
      </c>
    </row>
    <row r="16671" spans="1:2" x14ac:dyDescent="0.25">
      <c r="A16671" s="2">
        <v>16666</v>
      </c>
      <c r="B16671" s="11" t="str">
        <f>"00768947"</f>
        <v>00768947</v>
      </c>
    </row>
    <row r="16672" spans="1:2" x14ac:dyDescent="0.25">
      <c r="A16672" s="2">
        <v>16667</v>
      </c>
      <c r="B16672" s="11" t="str">
        <f>"00768983"</f>
        <v>00768983</v>
      </c>
    </row>
    <row r="16673" spans="1:2" x14ac:dyDescent="0.25">
      <c r="A16673" s="2">
        <v>16668</v>
      </c>
      <c r="B16673" s="11" t="str">
        <f>"00769134"</f>
        <v>00769134</v>
      </c>
    </row>
    <row r="16674" spans="1:2" x14ac:dyDescent="0.25">
      <c r="A16674" s="2">
        <v>16669</v>
      </c>
      <c r="B16674" s="11" t="str">
        <f>"00769170"</f>
        <v>00769170</v>
      </c>
    </row>
    <row r="16675" spans="1:2" x14ac:dyDescent="0.25">
      <c r="A16675" s="2">
        <v>16670</v>
      </c>
      <c r="B16675" s="11" t="str">
        <f>"00769256"</f>
        <v>00769256</v>
      </c>
    </row>
    <row r="16676" spans="1:2" x14ac:dyDescent="0.25">
      <c r="A16676" s="2">
        <v>16671</v>
      </c>
      <c r="B16676" s="11" t="str">
        <f>"00769258"</f>
        <v>00769258</v>
      </c>
    </row>
    <row r="16677" spans="1:2" x14ac:dyDescent="0.25">
      <c r="A16677" s="2">
        <v>16672</v>
      </c>
      <c r="B16677" s="11" t="str">
        <f>"00769371"</f>
        <v>00769371</v>
      </c>
    </row>
    <row r="16678" spans="1:2" x14ac:dyDescent="0.25">
      <c r="A16678" s="2">
        <v>16673</v>
      </c>
      <c r="B16678" s="11" t="str">
        <f>"00769405"</f>
        <v>00769405</v>
      </c>
    </row>
    <row r="16679" spans="1:2" x14ac:dyDescent="0.25">
      <c r="A16679" s="2">
        <v>16674</v>
      </c>
      <c r="B16679" s="11" t="str">
        <f>"00769411"</f>
        <v>00769411</v>
      </c>
    </row>
    <row r="16680" spans="1:2" x14ac:dyDescent="0.25">
      <c r="A16680" s="2">
        <v>16675</v>
      </c>
      <c r="B16680" s="11" t="str">
        <f>"00769465"</f>
        <v>00769465</v>
      </c>
    </row>
    <row r="16681" spans="1:2" x14ac:dyDescent="0.25">
      <c r="A16681" s="2">
        <v>16676</v>
      </c>
      <c r="B16681" s="11" t="str">
        <f>"00769497"</f>
        <v>00769497</v>
      </c>
    </row>
    <row r="16682" spans="1:2" x14ac:dyDescent="0.25">
      <c r="A16682" s="2">
        <v>16677</v>
      </c>
      <c r="B16682" s="11" t="str">
        <f>"00769498"</f>
        <v>00769498</v>
      </c>
    </row>
    <row r="16683" spans="1:2" x14ac:dyDescent="0.25">
      <c r="A16683" s="2">
        <v>16678</v>
      </c>
      <c r="B16683" s="11" t="str">
        <f>"00769526"</f>
        <v>00769526</v>
      </c>
    </row>
    <row r="16684" spans="1:2" x14ac:dyDescent="0.25">
      <c r="A16684" s="2">
        <v>16679</v>
      </c>
      <c r="B16684" s="11" t="str">
        <f>"00769532"</f>
        <v>00769532</v>
      </c>
    </row>
    <row r="16685" spans="1:2" x14ac:dyDescent="0.25">
      <c r="A16685" s="2">
        <v>16680</v>
      </c>
      <c r="B16685" s="11" t="str">
        <f>"00769548"</f>
        <v>00769548</v>
      </c>
    </row>
    <row r="16686" spans="1:2" x14ac:dyDescent="0.25">
      <c r="A16686" s="2">
        <v>16681</v>
      </c>
      <c r="B16686" s="11" t="str">
        <f>"00769552"</f>
        <v>00769552</v>
      </c>
    </row>
    <row r="16687" spans="1:2" x14ac:dyDescent="0.25">
      <c r="A16687" s="2">
        <v>16682</v>
      </c>
      <c r="B16687" s="11" t="str">
        <f>"00769561"</f>
        <v>00769561</v>
      </c>
    </row>
    <row r="16688" spans="1:2" x14ac:dyDescent="0.25">
      <c r="A16688" s="2">
        <v>16683</v>
      </c>
      <c r="B16688" s="11" t="str">
        <f>"00769579"</f>
        <v>00769579</v>
      </c>
    </row>
    <row r="16689" spans="1:2" x14ac:dyDescent="0.25">
      <c r="A16689" s="2">
        <v>16684</v>
      </c>
      <c r="B16689" s="11" t="str">
        <f>"00769596"</f>
        <v>00769596</v>
      </c>
    </row>
    <row r="16690" spans="1:2" x14ac:dyDescent="0.25">
      <c r="A16690" s="2">
        <v>16685</v>
      </c>
      <c r="B16690" s="11" t="str">
        <f>"00769599"</f>
        <v>00769599</v>
      </c>
    </row>
    <row r="16691" spans="1:2" x14ac:dyDescent="0.25">
      <c r="A16691" s="2">
        <v>16686</v>
      </c>
      <c r="B16691" s="11" t="str">
        <f>"00769603"</f>
        <v>00769603</v>
      </c>
    </row>
    <row r="16692" spans="1:2" x14ac:dyDescent="0.25">
      <c r="A16692" s="2">
        <v>16687</v>
      </c>
      <c r="B16692" s="11" t="str">
        <f>"00769636"</f>
        <v>00769636</v>
      </c>
    </row>
    <row r="16693" spans="1:2" x14ac:dyDescent="0.25">
      <c r="A16693" s="2">
        <v>16688</v>
      </c>
      <c r="B16693" s="11" t="str">
        <f>"00769721"</f>
        <v>00769721</v>
      </c>
    </row>
    <row r="16694" spans="1:2" x14ac:dyDescent="0.25">
      <c r="A16694" s="2">
        <v>16689</v>
      </c>
      <c r="B16694" s="11" t="str">
        <f>"00769726"</f>
        <v>00769726</v>
      </c>
    </row>
    <row r="16695" spans="1:2" x14ac:dyDescent="0.25">
      <c r="A16695" s="2">
        <v>16690</v>
      </c>
      <c r="B16695" s="11" t="str">
        <f>"00769741"</f>
        <v>00769741</v>
      </c>
    </row>
    <row r="16696" spans="1:2" x14ac:dyDescent="0.25">
      <c r="A16696" s="2">
        <v>16691</v>
      </c>
      <c r="B16696" s="11" t="str">
        <f>"00769749"</f>
        <v>00769749</v>
      </c>
    </row>
    <row r="16697" spans="1:2" x14ac:dyDescent="0.25">
      <c r="A16697" s="2">
        <v>16692</v>
      </c>
      <c r="B16697" s="11" t="str">
        <f>"00769782"</f>
        <v>00769782</v>
      </c>
    </row>
    <row r="16698" spans="1:2" x14ac:dyDescent="0.25">
      <c r="A16698" s="2">
        <v>16693</v>
      </c>
      <c r="B16698" s="11" t="str">
        <f>"00769814"</f>
        <v>00769814</v>
      </c>
    </row>
    <row r="16699" spans="1:2" x14ac:dyDescent="0.25">
      <c r="A16699" s="2">
        <v>16694</v>
      </c>
      <c r="B16699" s="11" t="str">
        <f>"00769818"</f>
        <v>00769818</v>
      </c>
    </row>
    <row r="16700" spans="1:2" x14ac:dyDescent="0.25">
      <c r="A16700" s="2">
        <v>16695</v>
      </c>
      <c r="B16700" s="11" t="str">
        <f>"00769844"</f>
        <v>00769844</v>
      </c>
    </row>
    <row r="16701" spans="1:2" x14ac:dyDescent="0.25">
      <c r="A16701" s="2">
        <v>16696</v>
      </c>
      <c r="B16701" s="11" t="str">
        <f>"00769859"</f>
        <v>00769859</v>
      </c>
    </row>
    <row r="16702" spans="1:2" x14ac:dyDescent="0.25">
      <c r="A16702" s="2">
        <v>16697</v>
      </c>
      <c r="B16702" s="11" t="str">
        <f>"00769861"</f>
        <v>00769861</v>
      </c>
    </row>
    <row r="16703" spans="1:2" x14ac:dyDescent="0.25">
      <c r="A16703" s="2">
        <v>16698</v>
      </c>
      <c r="B16703" s="11" t="str">
        <f>"00769875"</f>
        <v>00769875</v>
      </c>
    </row>
    <row r="16704" spans="1:2" x14ac:dyDescent="0.25">
      <c r="A16704" s="2">
        <v>16699</v>
      </c>
      <c r="B16704" s="11" t="str">
        <f>"00769918"</f>
        <v>00769918</v>
      </c>
    </row>
    <row r="16705" spans="1:2" x14ac:dyDescent="0.25">
      <c r="A16705" s="2">
        <v>16700</v>
      </c>
      <c r="B16705" s="11" t="str">
        <f>"00769960"</f>
        <v>00769960</v>
      </c>
    </row>
    <row r="16706" spans="1:2" x14ac:dyDescent="0.25">
      <c r="A16706" s="2">
        <v>16701</v>
      </c>
      <c r="B16706" s="11" t="str">
        <f>"00769995"</f>
        <v>00769995</v>
      </c>
    </row>
    <row r="16707" spans="1:2" x14ac:dyDescent="0.25">
      <c r="A16707" s="2">
        <v>16702</v>
      </c>
      <c r="B16707" s="11" t="str">
        <f>"00769999"</f>
        <v>00769999</v>
      </c>
    </row>
    <row r="16708" spans="1:2" x14ac:dyDescent="0.25">
      <c r="A16708" s="2">
        <v>16703</v>
      </c>
      <c r="B16708" s="11" t="str">
        <f>"00770013"</f>
        <v>00770013</v>
      </c>
    </row>
    <row r="16709" spans="1:2" x14ac:dyDescent="0.25">
      <c r="A16709" s="2">
        <v>16704</v>
      </c>
      <c r="B16709" s="11" t="str">
        <f>"00770052"</f>
        <v>00770052</v>
      </c>
    </row>
    <row r="16710" spans="1:2" x14ac:dyDescent="0.25">
      <c r="A16710" s="2">
        <v>16705</v>
      </c>
      <c r="B16710" s="11" t="str">
        <f>"00770075"</f>
        <v>00770075</v>
      </c>
    </row>
    <row r="16711" spans="1:2" x14ac:dyDescent="0.25">
      <c r="A16711" s="2">
        <v>16706</v>
      </c>
      <c r="B16711" s="11" t="str">
        <f>"00770095"</f>
        <v>00770095</v>
      </c>
    </row>
    <row r="16712" spans="1:2" x14ac:dyDescent="0.25">
      <c r="A16712" s="2">
        <v>16707</v>
      </c>
      <c r="B16712" s="11" t="str">
        <f>"00770098"</f>
        <v>00770098</v>
      </c>
    </row>
    <row r="16713" spans="1:2" x14ac:dyDescent="0.25">
      <c r="A16713" s="2">
        <v>16708</v>
      </c>
      <c r="B16713" s="11" t="str">
        <f>"00770117"</f>
        <v>00770117</v>
      </c>
    </row>
    <row r="16714" spans="1:2" x14ac:dyDescent="0.25">
      <c r="A16714" s="2">
        <v>16709</v>
      </c>
      <c r="B16714" s="11" t="str">
        <f>"00770124"</f>
        <v>00770124</v>
      </c>
    </row>
    <row r="16715" spans="1:2" x14ac:dyDescent="0.25">
      <c r="A16715" s="2">
        <v>16710</v>
      </c>
      <c r="B16715" s="11" t="str">
        <f>"00770198"</f>
        <v>00770198</v>
      </c>
    </row>
    <row r="16716" spans="1:2" x14ac:dyDescent="0.25">
      <c r="A16716" s="2">
        <v>16711</v>
      </c>
      <c r="B16716" s="11" t="str">
        <f>"00770211"</f>
        <v>00770211</v>
      </c>
    </row>
    <row r="16717" spans="1:2" x14ac:dyDescent="0.25">
      <c r="A16717" s="2">
        <v>16712</v>
      </c>
      <c r="B16717" s="11" t="str">
        <f>"00770215"</f>
        <v>00770215</v>
      </c>
    </row>
    <row r="16718" spans="1:2" x14ac:dyDescent="0.25">
      <c r="A16718" s="2">
        <v>16713</v>
      </c>
      <c r="B16718" s="11" t="str">
        <f>"00770233"</f>
        <v>00770233</v>
      </c>
    </row>
    <row r="16719" spans="1:2" x14ac:dyDescent="0.25">
      <c r="A16719" s="2">
        <v>16714</v>
      </c>
      <c r="B16719" s="11" t="str">
        <f>"00770359"</f>
        <v>00770359</v>
      </c>
    </row>
    <row r="16720" spans="1:2" x14ac:dyDescent="0.25">
      <c r="A16720" s="2">
        <v>16715</v>
      </c>
      <c r="B16720" s="11" t="str">
        <f>"00770389"</f>
        <v>00770389</v>
      </c>
    </row>
    <row r="16721" spans="1:2" x14ac:dyDescent="0.25">
      <c r="A16721" s="2">
        <v>16716</v>
      </c>
      <c r="B16721" s="11" t="str">
        <f>"00770443"</f>
        <v>00770443</v>
      </c>
    </row>
    <row r="16722" spans="1:2" x14ac:dyDescent="0.25">
      <c r="A16722" s="2">
        <v>16717</v>
      </c>
      <c r="B16722" s="11" t="str">
        <f>"00770475"</f>
        <v>00770475</v>
      </c>
    </row>
    <row r="16723" spans="1:2" x14ac:dyDescent="0.25">
      <c r="A16723" s="2">
        <v>16718</v>
      </c>
      <c r="B16723" s="11" t="str">
        <f>"00770480"</f>
        <v>00770480</v>
      </c>
    </row>
    <row r="16724" spans="1:2" x14ac:dyDescent="0.25">
      <c r="A16724" s="2">
        <v>16719</v>
      </c>
      <c r="B16724" s="11" t="str">
        <f>"00770551"</f>
        <v>00770551</v>
      </c>
    </row>
    <row r="16725" spans="1:2" x14ac:dyDescent="0.25">
      <c r="A16725" s="2">
        <v>16720</v>
      </c>
      <c r="B16725" s="11" t="str">
        <f>"00770559"</f>
        <v>00770559</v>
      </c>
    </row>
    <row r="16726" spans="1:2" x14ac:dyDescent="0.25">
      <c r="A16726" s="2">
        <v>16721</v>
      </c>
      <c r="B16726" s="11" t="str">
        <f>"00770681"</f>
        <v>00770681</v>
      </c>
    </row>
    <row r="16727" spans="1:2" x14ac:dyDescent="0.25">
      <c r="A16727" s="2">
        <v>16722</v>
      </c>
      <c r="B16727" s="11" t="str">
        <f>"00770735"</f>
        <v>00770735</v>
      </c>
    </row>
    <row r="16728" spans="1:2" x14ac:dyDescent="0.25">
      <c r="A16728" s="2">
        <v>16723</v>
      </c>
      <c r="B16728" s="11" t="str">
        <f>"00770758"</f>
        <v>00770758</v>
      </c>
    </row>
    <row r="16729" spans="1:2" x14ac:dyDescent="0.25">
      <c r="A16729" s="2">
        <v>16724</v>
      </c>
      <c r="B16729" s="11" t="str">
        <f>"00770803"</f>
        <v>00770803</v>
      </c>
    </row>
    <row r="16730" spans="1:2" x14ac:dyDescent="0.25">
      <c r="A16730" s="2">
        <v>16725</v>
      </c>
      <c r="B16730" s="11" t="str">
        <f>"00770804"</f>
        <v>00770804</v>
      </c>
    </row>
    <row r="16731" spans="1:2" x14ac:dyDescent="0.25">
      <c r="A16731" s="2">
        <v>16726</v>
      </c>
      <c r="B16731" s="11" t="str">
        <f>"00770825"</f>
        <v>00770825</v>
      </c>
    </row>
    <row r="16732" spans="1:2" x14ac:dyDescent="0.25">
      <c r="A16732" s="2">
        <v>16727</v>
      </c>
      <c r="B16732" s="11" t="str">
        <f>"00770900"</f>
        <v>00770900</v>
      </c>
    </row>
    <row r="16733" spans="1:2" x14ac:dyDescent="0.25">
      <c r="A16733" s="2">
        <v>16728</v>
      </c>
      <c r="B16733" s="11" t="str">
        <f>"00770910"</f>
        <v>00770910</v>
      </c>
    </row>
    <row r="16734" spans="1:2" x14ac:dyDescent="0.25">
      <c r="A16734" s="2">
        <v>16729</v>
      </c>
      <c r="B16734" s="11" t="str">
        <f>"00770920"</f>
        <v>00770920</v>
      </c>
    </row>
    <row r="16735" spans="1:2" x14ac:dyDescent="0.25">
      <c r="A16735" s="2">
        <v>16730</v>
      </c>
      <c r="B16735" s="11" t="str">
        <f>"00770958"</f>
        <v>00770958</v>
      </c>
    </row>
    <row r="16736" spans="1:2" x14ac:dyDescent="0.25">
      <c r="A16736" s="2">
        <v>16731</v>
      </c>
      <c r="B16736" s="11" t="str">
        <f>"00770986"</f>
        <v>00770986</v>
      </c>
    </row>
    <row r="16737" spans="1:2" x14ac:dyDescent="0.25">
      <c r="A16737" s="2">
        <v>16732</v>
      </c>
      <c r="B16737" s="11" t="str">
        <f>"00770989"</f>
        <v>00770989</v>
      </c>
    </row>
    <row r="16738" spans="1:2" x14ac:dyDescent="0.25">
      <c r="A16738" s="2">
        <v>16733</v>
      </c>
      <c r="B16738" s="11" t="str">
        <f>"00771009"</f>
        <v>00771009</v>
      </c>
    </row>
    <row r="16739" spans="1:2" x14ac:dyDescent="0.25">
      <c r="A16739" s="2">
        <v>16734</v>
      </c>
      <c r="B16739" s="11" t="str">
        <f>"00771025"</f>
        <v>00771025</v>
      </c>
    </row>
    <row r="16740" spans="1:2" x14ac:dyDescent="0.25">
      <c r="A16740" s="2">
        <v>16735</v>
      </c>
      <c r="B16740" s="11" t="str">
        <f>"00771125"</f>
        <v>00771125</v>
      </c>
    </row>
    <row r="16741" spans="1:2" x14ac:dyDescent="0.25">
      <c r="A16741" s="2">
        <v>16736</v>
      </c>
      <c r="B16741" s="11" t="str">
        <f>"00771132"</f>
        <v>00771132</v>
      </c>
    </row>
    <row r="16742" spans="1:2" x14ac:dyDescent="0.25">
      <c r="A16742" s="2">
        <v>16737</v>
      </c>
      <c r="B16742" s="11" t="str">
        <f>"00771202"</f>
        <v>00771202</v>
      </c>
    </row>
    <row r="16743" spans="1:2" x14ac:dyDescent="0.25">
      <c r="A16743" s="2">
        <v>16738</v>
      </c>
      <c r="B16743" s="11" t="str">
        <f>"00771315"</f>
        <v>00771315</v>
      </c>
    </row>
    <row r="16744" spans="1:2" x14ac:dyDescent="0.25">
      <c r="A16744" s="2">
        <v>16739</v>
      </c>
      <c r="B16744" s="11" t="str">
        <f>"00771318"</f>
        <v>00771318</v>
      </c>
    </row>
    <row r="16745" spans="1:2" x14ac:dyDescent="0.25">
      <c r="A16745" s="2">
        <v>16740</v>
      </c>
      <c r="B16745" s="11" t="str">
        <f>"00771319"</f>
        <v>00771319</v>
      </c>
    </row>
    <row r="16746" spans="1:2" x14ac:dyDescent="0.25">
      <c r="A16746" s="2">
        <v>16741</v>
      </c>
      <c r="B16746" s="11" t="str">
        <f>"00771373"</f>
        <v>00771373</v>
      </c>
    </row>
    <row r="16747" spans="1:2" x14ac:dyDescent="0.25">
      <c r="A16747" s="2">
        <v>16742</v>
      </c>
      <c r="B16747" s="11" t="str">
        <f>"00771379"</f>
        <v>00771379</v>
      </c>
    </row>
    <row r="16748" spans="1:2" x14ac:dyDescent="0.25">
      <c r="A16748" s="2">
        <v>16743</v>
      </c>
      <c r="B16748" s="11" t="str">
        <f>"00771403"</f>
        <v>00771403</v>
      </c>
    </row>
    <row r="16749" spans="1:2" x14ac:dyDescent="0.25">
      <c r="A16749" s="2">
        <v>16744</v>
      </c>
      <c r="B16749" s="11" t="str">
        <f>"00771406"</f>
        <v>00771406</v>
      </c>
    </row>
    <row r="16750" spans="1:2" x14ac:dyDescent="0.25">
      <c r="A16750" s="2">
        <v>16745</v>
      </c>
      <c r="B16750" s="11" t="str">
        <f>"00771522"</f>
        <v>00771522</v>
      </c>
    </row>
    <row r="16751" spans="1:2" x14ac:dyDescent="0.25">
      <c r="A16751" s="2">
        <v>16746</v>
      </c>
      <c r="B16751" s="11" t="str">
        <f>"00771569"</f>
        <v>00771569</v>
      </c>
    </row>
    <row r="16752" spans="1:2" x14ac:dyDescent="0.25">
      <c r="A16752" s="2">
        <v>16747</v>
      </c>
      <c r="B16752" s="11" t="str">
        <f>"00771594"</f>
        <v>00771594</v>
      </c>
    </row>
    <row r="16753" spans="1:2" x14ac:dyDescent="0.25">
      <c r="A16753" s="2">
        <v>16748</v>
      </c>
      <c r="B16753" s="11" t="str">
        <f>"00771598"</f>
        <v>00771598</v>
      </c>
    </row>
    <row r="16754" spans="1:2" x14ac:dyDescent="0.25">
      <c r="A16754" s="2">
        <v>16749</v>
      </c>
      <c r="B16754" s="11" t="str">
        <f>"00771661"</f>
        <v>00771661</v>
      </c>
    </row>
    <row r="16755" spans="1:2" x14ac:dyDescent="0.25">
      <c r="A16755" s="2">
        <v>16750</v>
      </c>
      <c r="B16755" s="11" t="str">
        <f>"00771686"</f>
        <v>00771686</v>
      </c>
    </row>
    <row r="16756" spans="1:2" x14ac:dyDescent="0.25">
      <c r="A16756" s="2">
        <v>16751</v>
      </c>
      <c r="B16756" s="11" t="str">
        <f>"00771690"</f>
        <v>00771690</v>
      </c>
    </row>
    <row r="16757" spans="1:2" x14ac:dyDescent="0.25">
      <c r="A16757" s="2">
        <v>16752</v>
      </c>
      <c r="B16757" s="11" t="str">
        <f>"00771764"</f>
        <v>00771764</v>
      </c>
    </row>
    <row r="16758" spans="1:2" x14ac:dyDescent="0.25">
      <c r="A16758" s="2">
        <v>16753</v>
      </c>
      <c r="B16758" s="11" t="str">
        <f>"00771793"</f>
        <v>00771793</v>
      </c>
    </row>
    <row r="16759" spans="1:2" x14ac:dyDescent="0.25">
      <c r="A16759" s="2">
        <v>16754</v>
      </c>
      <c r="B16759" s="11" t="str">
        <f>"00771801"</f>
        <v>00771801</v>
      </c>
    </row>
    <row r="16760" spans="1:2" x14ac:dyDescent="0.25">
      <c r="A16760" s="2">
        <v>16755</v>
      </c>
      <c r="B16760" s="11" t="str">
        <f>"00771841"</f>
        <v>00771841</v>
      </c>
    </row>
    <row r="16761" spans="1:2" x14ac:dyDescent="0.25">
      <c r="A16761" s="2">
        <v>16756</v>
      </c>
      <c r="B16761" s="11" t="str">
        <f>"00771856"</f>
        <v>00771856</v>
      </c>
    </row>
    <row r="16762" spans="1:2" x14ac:dyDescent="0.25">
      <c r="A16762" s="2">
        <v>16757</v>
      </c>
      <c r="B16762" s="11" t="str">
        <f>"00771908"</f>
        <v>00771908</v>
      </c>
    </row>
    <row r="16763" spans="1:2" x14ac:dyDescent="0.25">
      <c r="A16763" s="2">
        <v>16758</v>
      </c>
      <c r="B16763" s="11" t="str">
        <f>"00771935"</f>
        <v>00771935</v>
      </c>
    </row>
    <row r="16764" spans="1:2" x14ac:dyDescent="0.25">
      <c r="A16764" s="2">
        <v>16759</v>
      </c>
      <c r="B16764" s="11" t="str">
        <f>"00771971"</f>
        <v>00771971</v>
      </c>
    </row>
    <row r="16765" spans="1:2" x14ac:dyDescent="0.25">
      <c r="A16765" s="2">
        <v>16760</v>
      </c>
      <c r="B16765" s="11" t="str">
        <f>"00771987"</f>
        <v>00771987</v>
      </c>
    </row>
    <row r="16766" spans="1:2" x14ac:dyDescent="0.25">
      <c r="A16766" s="2">
        <v>16761</v>
      </c>
      <c r="B16766" s="11" t="str">
        <f>"00772033"</f>
        <v>00772033</v>
      </c>
    </row>
    <row r="16767" spans="1:2" x14ac:dyDescent="0.25">
      <c r="A16767" s="2">
        <v>16762</v>
      </c>
      <c r="B16767" s="11" t="str">
        <f>"00772038"</f>
        <v>00772038</v>
      </c>
    </row>
    <row r="16768" spans="1:2" x14ac:dyDescent="0.25">
      <c r="A16768" s="2">
        <v>16763</v>
      </c>
      <c r="B16768" s="11" t="str">
        <f>"00772078"</f>
        <v>00772078</v>
      </c>
    </row>
    <row r="16769" spans="1:2" x14ac:dyDescent="0.25">
      <c r="A16769" s="2">
        <v>16764</v>
      </c>
      <c r="B16769" s="11" t="str">
        <f>"00772091"</f>
        <v>00772091</v>
      </c>
    </row>
    <row r="16770" spans="1:2" x14ac:dyDescent="0.25">
      <c r="A16770" s="2">
        <v>16765</v>
      </c>
      <c r="B16770" s="11" t="str">
        <f>"00772095"</f>
        <v>00772095</v>
      </c>
    </row>
    <row r="16771" spans="1:2" x14ac:dyDescent="0.25">
      <c r="A16771" s="2">
        <v>16766</v>
      </c>
      <c r="B16771" s="11" t="str">
        <f>"00772111"</f>
        <v>00772111</v>
      </c>
    </row>
    <row r="16772" spans="1:2" x14ac:dyDescent="0.25">
      <c r="A16772" s="2">
        <v>16767</v>
      </c>
      <c r="B16772" s="11" t="str">
        <f>"00772149"</f>
        <v>00772149</v>
      </c>
    </row>
    <row r="16773" spans="1:2" x14ac:dyDescent="0.25">
      <c r="A16773" s="2">
        <v>16768</v>
      </c>
      <c r="B16773" s="11" t="str">
        <f>"00772200"</f>
        <v>00772200</v>
      </c>
    </row>
    <row r="16774" spans="1:2" x14ac:dyDescent="0.25">
      <c r="A16774" s="2">
        <v>16769</v>
      </c>
      <c r="B16774" s="11" t="str">
        <f>"00772273"</f>
        <v>00772273</v>
      </c>
    </row>
    <row r="16775" spans="1:2" x14ac:dyDescent="0.25">
      <c r="A16775" s="2">
        <v>16770</v>
      </c>
      <c r="B16775" s="11" t="str">
        <f>"00772326"</f>
        <v>00772326</v>
      </c>
    </row>
    <row r="16776" spans="1:2" x14ac:dyDescent="0.25">
      <c r="A16776" s="2">
        <v>16771</v>
      </c>
      <c r="B16776" s="11" t="str">
        <f>"00772449"</f>
        <v>00772449</v>
      </c>
    </row>
    <row r="16777" spans="1:2" x14ac:dyDescent="0.25">
      <c r="A16777" s="2">
        <v>16772</v>
      </c>
      <c r="B16777" s="11" t="str">
        <f>"00772511"</f>
        <v>00772511</v>
      </c>
    </row>
    <row r="16778" spans="1:2" x14ac:dyDescent="0.25">
      <c r="A16778" s="2">
        <v>16773</v>
      </c>
      <c r="B16778" s="11" t="str">
        <f>"00772629"</f>
        <v>00772629</v>
      </c>
    </row>
    <row r="16779" spans="1:2" x14ac:dyDescent="0.25">
      <c r="A16779" s="2">
        <v>16774</v>
      </c>
      <c r="B16779" s="11" t="str">
        <f>"00772668"</f>
        <v>00772668</v>
      </c>
    </row>
    <row r="16780" spans="1:2" x14ac:dyDescent="0.25">
      <c r="A16780" s="2">
        <v>16775</v>
      </c>
      <c r="B16780" s="11" t="str">
        <f>"00772675"</f>
        <v>00772675</v>
      </c>
    </row>
    <row r="16781" spans="1:2" x14ac:dyDescent="0.25">
      <c r="A16781" s="2">
        <v>16776</v>
      </c>
      <c r="B16781" s="11" t="str">
        <f>"00772707"</f>
        <v>00772707</v>
      </c>
    </row>
    <row r="16782" spans="1:2" x14ac:dyDescent="0.25">
      <c r="A16782" s="2">
        <v>16777</v>
      </c>
      <c r="B16782" s="11" t="str">
        <f>"00772788"</f>
        <v>00772788</v>
      </c>
    </row>
    <row r="16783" spans="1:2" x14ac:dyDescent="0.25">
      <c r="A16783" s="2">
        <v>16778</v>
      </c>
      <c r="B16783" s="11" t="str">
        <f>"00772797"</f>
        <v>00772797</v>
      </c>
    </row>
    <row r="16784" spans="1:2" x14ac:dyDescent="0.25">
      <c r="A16784" s="2">
        <v>16779</v>
      </c>
      <c r="B16784" s="11" t="str">
        <f>"00772814"</f>
        <v>00772814</v>
      </c>
    </row>
    <row r="16785" spans="1:2" x14ac:dyDescent="0.25">
      <c r="A16785" s="2">
        <v>16780</v>
      </c>
      <c r="B16785" s="11" t="str">
        <f>"00772815"</f>
        <v>00772815</v>
      </c>
    </row>
    <row r="16786" spans="1:2" x14ac:dyDescent="0.25">
      <c r="A16786" s="2">
        <v>16781</v>
      </c>
      <c r="B16786" s="11" t="str">
        <f>"00772846"</f>
        <v>00772846</v>
      </c>
    </row>
    <row r="16787" spans="1:2" x14ac:dyDescent="0.25">
      <c r="A16787" s="2">
        <v>16782</v>
      </c>
      <c r="B16787" s="11" t="str">
        <f>"00772855"</f>
        <v>00772855</v>
      </c>
    </row>
    <row r="16788" spans="1:2" x14ac:dyDescent="0.25">
      <c r="A16788" s="2">
        <v>16783</v>
      </c>
      <c r="B16788" s="11" t="str">
        <f>"00772857"</f>
        <v>00772857</v>
      </c>
    </row>
    <row r="16789" spans="1:2" x14ac:dyDescent="0.25">
      <c r="A16789" s="2">
        <v>16784</v>
      </c>
      <c r="B16789" s="11" t="str">
        <f>"00772884"</f>
        <v>00772884</v>
      </c>
    </row>
    <row r="16790" spans="1:2" x14ac:dyDescent="0.25">
      <c r="A16790" s="2">
        <v>16785</v>
      </c>
      <c r="B16790" s="11" t="str">
        <f>"00772898"</f>
        <v>00772898</v>
      </c>
    </row>
    <row r="16791" spans="1:2" x14ac:dyDescent="0.25">
      <c r="A16791" s="2">
        <v>16786</v>
      </c>
      <c r="B16791" s="11" t="str">
        <f>"00772947"</f>
        <v>00772947</v>
      </c>
    </row>
    <row r="16792" spans="1:2" x14ac:dyDescent="0.25">
      <c r="A16792" s="2">
        <v>16787</v>
      </c>
      <c r="B16792" s="11" t="str">
        <f>"00773083"</f>
        <v>00773083</v>
      </c>
    </row>
    <row r="16793" spans="1:2" x14ac:dyDescent="0.25">
      <c r="A16793" s="2">
        <v>16788</v>
      </c>
      <c r="B16793" s="11" t="str">
        <f>"00773102"</f>
        <v>00773102</v>
      </c>
    </row>
    <row r="16794" spans="1:2" x14ac:dyDescent="0.25">
      <c r="A16794" s="2">
        <v>16789</v>
      </c>
      <c r="B16794" s="11" t="str">
        <f>"00773224"</f>
        <v>00773224</v>
      </c>
    </row>
    <row r="16795" spans="1:2" x14ac:dyDescent="0.25">
      <c r="A16795" s="2">
        <v>16790</v>
      </c>
      <c r="B16795" s="11" t="str">
        <f>"00773329"</f>
        <v>00773329</v>
      </c>
    </row>
    <row r="16796" spans="1:2" x14ac:dyDescent="0.25">
      <c r="A16796" s="2">
        <v>16791</v>
      </c>
      <c r="B16796" s="11" t="str">
        <f>"00773401"</f>
        <v>00773401</v>
      </c>
    </row>
    <row r="16797" spans="1:2" x14ac:dyDescent="0.25">
      <c r="A16797" s="2">
        <v>16792</v>
      </c>
      <c r="B16797" s="11" t="str">
        <f>"00773403"</f>
        <v>00773403</v>
      </c>
    </row>
    <row r="16798" spans="1:2" x14ac:dyDescent="0.25">
      <c r="A16798" s="2">
        <v>16793</v>
      </c>
      <c r="B16798" s="11" t="str">
        <f>"00773503"</f>
        <v>00773503</v>
      </c>
    </row>
    <row r="16799" spans="1:2" x14ac:dyDescent="0.25">
      <c r="A16799" s="2">
        <v>16794</v>
      </c>
      <c r="B16799" s="11" t="str">
        <f>"00773506"</f>
        <v>00773506</v>
      </c>
    </row>
    <row r="16800" spans="1:2" x14ac:dyDescent="0.25">
      <c r="A16800" s="2">
        <v>16795</v>
      </c>
      <c r="B16800" s="11" t="str">
        <f>"00773589"</f>
        <v>00773589</v>
      </c>
    </row>
    <row r="16801" spans="1:2" x14ac:dyDescent="0.25">
      <c r="A16801" s="2">
        <v>16796</v>
      </c>
      <c r="B16801" s="11" t="str">
        <f>"00773591"</f>
        <v>00773591</v>
      </c>
    </row>
    <row r="16802" spans="1:2" x14ac:dyDescent="0.25">
      <c r="A16802" s="2">
        <v>16797</v>
      </c>
      <c r="B16802" s="11" t="str">
        <f>"00773627"</f>
        <v>00773627</v>
      </c>
    </row>
    <row r="16803" spans="1:2" x14ac:dyDescent="0.25">
      <c r="A16803" s="2">
        <v>16798</v>
      </c>
      <c r="B16803" s="11" t="str">
        <f>"00773726"</f>
        <v>00773726</v>
      </c>
    </row>
    <row r="16804" spans="1:2" x14ac:dyDescent="0.25">
      <c r="A16804" s="2">
        <v>16799</v>
      </c>
      <c r="B16804" s="11" t="str">
        <f>"00773741"</f>
        <v>00773741</v>
      </c>
    </row>
    <row r="16805" spans="1:2" x14ac:dyDescent="0.25">
      <c r="A16805" s="2">
        <v>16800</v>
      </c>
      <c r="B16805" s="11" t="str">
        <f>"00773776"</f>
        <v>00773776</v>
      </c>
    </row>
    <row r="16806" spans="1:2" x14ac:dyDescent="0.25">
      <c r="A16806" s="2">
        <v>16801</v>
      </c>
      <c r="B16806" s="11" t="str">
        <f>"00773831"</f>
        <v>00773831</v>
      </c>
    </row>
    <row r="16807" spans="1:2" x14ac:dyDescent="0.25">
      <c r="A16807" s="2">
        <v>16802</v>
      </c>
      <c r="B16807" s="11" t="str">
        <f>"00773837"</f>
        <v>00773837</v>
      </c>
    </row>
    <row r="16808" spans="1:2" x14ac:dyDescent="0.25">
      <c r="A16808" s="2">
        <v>16803</v>
      </c>
      <c r="B16808" s="11" t="str">
        <f>"00773847"</f>
        <v>00773847</v>
      </c>
    </row>
    <row r="16809" spans="1:2" x14ac:dyDescent="0.25">
      <c r="A16809" s="2">
        <v>16804</v>
      </c>
      <c r="B16809" s="11" t="str">
        <f>"00773894"</f>
        <v>00773894</v>
      </c>
    </row>
    <row r="16810" spans="1:2" x14ac:dyDescent="0.25">
      <c r="A16810" s="2">
        <v>16805</v>
      </c>
      <c r="B16810" s="11" t="str">
        <f>"00773944"</f>
        <v>00773944</v>
      </c>
    </row>
    <row r="16811" spans="1:2" x14ac:dyDescent="0.25">
      <c r="A16811" s="2">
        <v>16806</v>
      </c>
      <c r="B16811" s="11" t="str">
        <f>"00773969"</f>
        <v>00773969</v>
      </c>
    </row>
    <row r="16812" spans="1:2" x14ac:dyDescent="0.25">
      <c r="A16812" s="2">
        <v>16807</v>
      </c>
      <c r="B16812" s="11" t="str">
        <f>"00773984"</f>
        <v>00773984</v>
      </c>
    </row>
    <row r="16813" spans="1:2" x14ac:dyDescent="0.25">
      <c r="A16813" s="2">
        <v>16808</v>
      </c>
      <c r="B16813" s="11" t="str">
        <f>"00773989"</f>
        <v>00773989</v>
      </c>
    </row>
    <row r="16814" spans="1:2" x14ac:dyDescent="0.25">
      <c r="A16814" s="2">
        <v>16809</v>
      </c>
      <c r="B16814" s="11" t="str">
        <f>"00774066"</f>
        <v>00774066</v>
      </c>
    </row>
    <row r="16815" spans="1:2" x14ac:dyDescent="0.25">
      <c r="A16815" s="2">
        <v>16810</v>
      </c>
      <c r="B16815" s="11" t="str">
        <f>"00774084"</f>
        <v>00774084</v>
      </c>
    </row>
    <row r="16816" spans="1:2" x14ac:dyDescent="0.25">
      <c r="A16816" s="2">
        <v>16811</v>
      </c>
      <c r="B16816" s="11" t="str">
        <f>"00774098"</f>
        <v>00774098</v>
      </c>
    </row>
    <row r="16817" spans="1:2" x14ac:dyDescent="0.25">
      <c r="A16817" s="2">
        <v>16812</v>
      </c>
      <c r="B16817" s="11" t="str">
        <f>"00774109"</f>
        <v>00774109</v>
      </c>
    </row>
    <row r="16818" spans="1:2" x14ac:dyDescent="0.25">
      <c r="A16818" s="2">
        <v>16813</v>
      </c>
      <c r="B16818" s="11" t="str">
        <f>"00774129"</f>
        <v>00774129</v>
      </c>
    </row>
    <row r="16819" spans="1:2" x14ac:dyDescent="0.25">
      <c r="A16819" s="2">
        <v>16814</v>
      </c>
      <c r="B16819" s="11" t="str">
        <f>"00774245"</f>
        <v>00774245</v>
      </c>
    </row>
    <row r="16820" spans="1:2" x14ac:dyDescent="0.25">
      <c r="A16820" s="2">
        <v>16815</v>
      </c>
      <c r="B16820" s="11" t="str">
        <f>"00774262"</f>
        <v>00774262</v>
      </c>
    </row>
    <row r="16821" spans="1:2" x14ac:dyDescent="0.25">
      <c r="A16821" s="2">
        <v>16816</v>
      </c>
      <c r="B16821" s="11" t="str">
        <f>"00774285"</f>
        <v>00774285</v>
      </c>
    </row>
    <row r="16822" spans="1:2" x14ac:dyDescent="0.25">
      <c r="A16822" s="2">
        <v>16817</v>
      </c>
      <c r="B16822" s="11" t="str">
        <f>"00774308"</f>
        <v>00774308</v>
      </c>
    </row>
    <row r="16823" spans="1:2" x14ac:dyDescent="0.25">
      <c r="A16823" s="2">
        <v>16818</v>
      </c>
      <c r="B16823" s="11" t="str">
        <f>"00774312"</f>
        <v>00774312</v>
      </c>
    </row>
    <row r="16824" spans="1:2" x14ac:dyDescent="0.25">
      <c r="A16824" s="2">
        <v>16819</v>
      </c>
      <c r="B16824" s="11" t="str">
        <f>"00774321"</f>
        <v>00774321</v>
      </c>
    </row>
    <row r="16825" spans="1:2" x14ac:dyDescent="0.25">
      <c r="A16825" s="2">
        <v>16820</v>
      </c>
      <c r="B16825" s="11" t="str">
        <f>"00774363"</f>
        <v>00774363</v>
      </c>
    </row>
    <row r="16826" spans="1:2" x14ac:dyDescent="0.25">
      <c r="A16826" s="2">
        <v>16821</v>
      </c>
      <c r="B16826" s="11" t="str">
        <f>"00774469"</f>
        <v>00774469</v>
      </c>
    </row>
    <row r="16827" spans="1:2" x14ac:dyDescent="0.25">
      <c r="A16827" s="2">
        <v>16822</v>
      </c>
      <c r="B16827" s="11" t="str">
        <f>"00774509"</f>
        <v>00774509</v>
      </c>
    </row>
    <row r="16828" spans="1:2" x14ac:dyDescent="0.25">
      <c r="A16828" s="2">
        <v>16823</v>
      </c>
      <c r="B16828" s="11" t="str">
        <f>"00774528"</f>
        <v>00774528</v>
      </c>
    </row>
    <row r="16829" spans="1:2" x14ac:dyDescent="0.25">
      <c r="A16829" s="2">
        <v>16824</v>
      </c>
      <c r="B16829" s="11" t="str">
        <f>"00774541"</f>
        <v>00774541</v>
      </c>
    </row>
    <row r="16830" spans="1:2" x14ac:dyDescent="0.25">
      <c r="A16830" s="2">
        <v>16825</v>
      </c>
      <c r="B16830" s="11" t="str">
        <f>"00774684"</f>
        <v>00774684</v>
      </c>
    </row>
    <row r="16831" spans="1:2" x14ac:dyDescent="0.25">
      <c r="A16831" s="2">
        <v>16826</v>
      </c>
      <c r="B16831" s="11" t="str">
        <f>"00774701"</f>
        <v>00774701</v>
      </c>
    </row>
    <row r="16832" spans="1:2" x14ac:dyDescent="0.25">
      <c r="A16832" s="2">
        <v>16827</v>
      </c>
      <c r="B16832" s="11" t="str">
        <f>"00774727"</f>
        <v>00774727</v>
      </c>
    </row>
    <row r="16833" spans="1:2" x14ac:dyDescent="0.25">
      <c r="A16833" s="2">
        <v>16828</v>
      </c>
      <c r="B16833" s="11" t="str">
        <f>"00774764"</f>
        <v>00774764</v>
      </c>
    </row>
    <row r="16834" spans="1:2" x14ac:dyDescent="0.25">
      <c r="A16834" s="2">
        <v>16829</v>
      </c>
      <c r="B16834" s="11" t="str">
        <f>"00774816"</f>
        <v>00774816</v>
      </c>
    </row>
    <row r="16835" spans="1:2" x14ac:dyDescent="0.25">
      <c r="A16835" s="2">
        <v>16830</v>
      </c>
      <c r="B16835" s="11" t="str">
        <f>"00774925"</f>
        <v>00774925</v>
      </c>
    </row>
    <row r="16836" spans="1:2" x14ac:dyDescent="0.25">
      <c r="A16836" s="2">
        <v>16831</v>
      </c>
      <c r="B16836" s="11" t="str">
        <f>"00774926"</f>
        <v>00774926</v>
      </c>
    </row>
    <row r="16837" spans="1:2" x14ac:dyDescent="0.25">
      <c r="A16837" s="2">
        <v>16832</v>
      </c>
      <c r="B16837" s="11" t="str">
        <f>"00775009"</f>
        <v>00775009</v>
      </c>
    </row>
    <row r="16838" spans="1:2" x14ac:dyDescent="0.25">
      <c r="A16838" s="2">
        <v>16833</v>
      </c>
      <c r="B16838" s="11" t="str">
        <f>"00775044"</f>
        <v>00775044</v>
      </c>
    </row>
    <row r="16839" spans="1:2" x14ac:dyDescent="0.25">
      <c r="A16839" s="2">
        <v>16834</v>
      </c>
      <c r="B16839" s="11" t="str">
        <f>"00775093"</f>
        <v>00775093</v>
      </c>
    </row>
    <row r="16840" spans="1:2" x14ac:dyDescent="0.25">
      <c r="A16840" s="2">
        <v>16835</v>
      </c>
      <c r="B16840" s="11" t="str">
        <f>"00775107"</f>
        <v>00775107</v>
      </c>
    </row>
    <row r="16841" spans="1:2" x14ac:dyDescent="0.25">
      <c r="A16841" s="2">
        <v>16836</v>
      </c>
      <c r="B16841" s="11" t="str">
        <f>"00775134"</f>
        <v>00775134</v>
      </c>
    </row>
    <row r="16842" spans="1:2" x14ac:dyDescent="0.25">
      <c r="A16842" s="2">
        <v>16837</v>
      </c>
      <c r="B16842" s="11" t="str">
        <f>"00775143"</f>
        <v>00775143</v>
      </c>
    </row>
    <row r="16843" spans="1:2" x14ac:dyDescent="0.25">
      <c r="A16843" s="2">
        <v>16838</v>
      </c>
      <c r="B16843" s="11" t="str">
        <f>"00775175"</f>
        <v>00775175</v>
      </c>
    </row>
    <row r="16844" spans="1:2" x14ac:dyDescent="0.25">
      <c r="A16844" s="2">
        <v>16839</v>
      </c>
      <c r="B16844" s="11" t="str">
        <f>"00775197"</f>
        <v>00775197</v>
      </c>
    </row>
    <row r="16845" spans="1:2" x14ac:dyDescent="0.25">
      <c r="A16845" s="2">
        <v>16840</v>
      </c>
      <c r="B16845" s="11" t="str">
        <f>"00775212"</f>
        <v>00775212</v>
      </c>
    </row>
    <row r="16846" spans="1:2" x14ac:dyDescent="0.25">
      <c r="A16846" s="2">
        <v>16841</v>
      </c>
      <c r="B16846" s="11" t="str">
        <f>"00775218"</f>
        <v>00775218</v>
      </c>
    </row>
    <row r="16847" spans="1:2" x14ac:dyDescent="0.25">
      <c r="A16847" s="2">
        <v>16842</v>
      </c>
      <c r="B16847" s="11" t="str">
        <f>"00775238"</f>
        <v>00775238</v>
      </c>
    </row>
    <row r="16848" spans="1:2" x14ac:dyDescent="0.25">
      <c r="A16848" s="2">
        <v>16843</v>
      </c>
      <c r="B16848" s="11" t="str">
        <f>"00775248"</f>
        <v>00775248</v>
      </c>
    </row>
    <row r="16849" spans="1:2" x14ac:dyDescent="0.25">
      <c r="A16849" s="2">
        <v>16844</v>
      </c>
      <c r="B16849" s="11" t="str">
        <f>"00775338"</f>
        <v>00775338</v>
      </c>
    </row>
    <row r="16850" spans="1:2" x14ac:dyDescent="0.25">
      <c r="A16850" s="2">
        <v>16845</v>
      </c>
      <c r="B16850" s="11" t="str">
        <f>"00775388"</f>
        <v>00775388</v>
      </c>
    </row>
    <row r="16851" spans="1:2" x14ac:dyDescent="0.25">
      <c r="A16851" s="2">
        <v>16846</v>
      </c>
      <c r="B16851" s="11" t="str">
        <f>"00775415"</f>
        <v>00775415</v>
      </c>
    </row>
    <row r="16852" spans="1:2" x14ac:dyDescent="0.25">
      <c r="A16852" s="2">
        <v>16847</v>
      </c>
      <c r="B16852" s="11" t="str">
        <f>"00775428"</f>
        <v>00775428</v>
      </c>
    </row>
    <row r="16853" spans="1:2" x14ac:dyDescent="0.25">
      <c r="A16853" s="2">
        <v>16848</v>
      </c>
      <c r="B16853" s="11" t="str">
        <f>"00775438"</f>
        <v>00775438</v>
      </c>
    </row>
    <row r="16854" spans="1:2" x14ac:dyDescent="0.25">
      <c r="A16854" s="2">
        <v>16849</v>
      </c>
      <c r="B16854" s="11" t="str">
        <f>"00775440"</f>
        <v>00775440</v>
      </c>
    </row>
    <row r="16855" spans="1:2" x14ac:dyDescent="0.25">
      <c r="A16855" s="2">
        <v>16850</v>
      </c>
      <c r="B16855" s="11" t="str">
        <f>"00775462"</f>
        <v>00775462</v>
      </c>
    </row>
    <row r="16856" spans="1:2" x14ac:dyDescent="0.25">
      <c r="A16856" s="2">
        <v>16851</v>
      </c>
      <c r="B16856" s="11" t="str">
        <f>"00775474"</f>
        <v>00775474</v>
      </c>
    </row>
    <row r="16857" spans="1:2" x14ac:dyDescent="0.25">
      <c r="A16857" s="2">
        <v>16852</v>
      </c>
      <c r="B16857" s="11" t="str">
        <f>"00775524"</f>
        <v>00775524</v>
      </c>
    </row>
    <row r="16858" spans="1:2" x14ac:dyDescent="0.25">
      <c r="A16858" s="2">
        <v>16853</v>
      </c>
      <c r="B16858" s="11" t="str">
        <f>"00775588"</f>
        <v>00775588</v>
      </c>
    </row>
    <row r="16859" spans="1:2" x14ac:dyDescent="0.25">
      <c r="A16859" s="2">
        <v>16854</v>
      </c>
      <c r="B16859" s="11" t="str">
        <f>"00775636"</f>
        <v>00775636</v>
      </c>
    </row>
    <row r="16860" spans="1:2" x14ac:dyDescent="0.25">
      <c r="A16860" s="2">
        <v>16855</v>
      </c>
      <c r="B16860" s="11" t="str">
        <f>"00775670"</f>
        <v>00775670</v>
      </c>
    </row>
    <row r="16861" spans="1:2" x14ac:dyDescent="0.25">
      <c r="A16861" s="2">
        <v>16856</v>
      </c>
      <c r="B16861" s="11" t="str">
        <f>"00775725"</f>
        <v>00775725</v>
      </c>
    </row>
    <row r="16862" spans="1:2" x14ac:dyDescent="0.25">
      <c r="A16862" s="2">
        <v>16857</v>
      </c>
      <c r="B16862" s="11" t="str">
        <f>"00775750"</f>
        <v>00775750</v>
      </c>
    </row>
    <row r="16863" spans="1:2" x14ac:dyDescent="0.25">
      <c r="A16863" s="2">
        <v>16858</v>
      </c>
      <c r="B16863" s="11" t="str">
        <f>"00775849"</f>
        <v>00775849</v>
      </c>
    </row>
    <row r="16864" spans="1:2" x14ac:dyDescent="0.25">
      <c r="A16864" s="2">
        <v>16859</v>
      </c>
      <c r="B16864" s="11" t="str">
        <f>"00775855"</f>
        <v>00775855</v>
      </c>
    </row>
    <row r="16865" spans="1:2" x14ac:dyDescent="0.25">
      <c r="A16865" s="2">
        <v>16860</v>
      </c>
      <c r="B16865" s="11" t="str">
        <f>"00775973"</f>
        <v>00775973</v>
      </c>
    </row>
    <row r="16866" spans="1:2" x14ac:dyDescent="0.25">
      <c r="A16866" s="2">
        <v>16861</v>
      </c>
      <c r="B16866" s="11" t="str">
        <f>"00775974"</f>
        <v>00775974</v>
      </c>
    </row>
    <row r="16867" spans="1:2" x14ac:dyDescent="0.25">
      <c r="A16867" s="2">
        <v>16862</v>
      </c>
      <c r="B16867" s="11" t="str">
        <f>"00776035"</f>
        <v>00776035</v>
      </c>
    </row>
    <row r="16868" spans="1:2" x14ac:dyDescent="0.25">
      <c r="A16868" s="2">
        <v>16863</v>
      </c>
      <c r="B16868" s="11" t="str">
        <f>"00776047"</f>
        <v>00776047</v>
      </c>
    </row>
    <row r="16869" spans="1:2" x14ac:dyDescent="0.25">
      <c r="A16869" s="2">
        <v>16864</v>
      </c>
      <c r="B16869" s="11" t="str">
        <f>"00776048"</f>
        <v>00776048</v>
      </c>
    </row>
    <row r="16870" spans="1:2" x14ac:dyDescent="0.25">
      <c r="A16870" s="2">
        <v>16865</v>
      </c>
      <c r="B16870" s="11" t="str">
        <f>"00776056"</f>
        <v>00776056</v>
      </c>
    </row>
    <row r="16871" spans="1:2" x14ac:dyDescent="0.25">
      <c r="A16871" s="2">
        <v>16866</v>
      </c>
      <c r="B16871" s="11" t="str">
        <f>"00776094"</f>
        <v>00776094</v>
      </c>
    </row>
    <row r="16872" spans="1:2" x14ac:dyDescent="0.25">
      <c r="A16872" s="2">
        <v>16867</v>
      </c>
      <c r="B16872" s="11" t="str">
        <f>"00776161"</f>
        <v>00776161</v>
      </c>
    </row>
    <row r="16873" spans="1:2" x14ac:dyDescent="0.25">
      <c r="A16873" s="2">
        <v>16868</v>
      </c>
      <c r="B16873" s="11" t="str">
        <f>"00776200"</f>
        <v>00776200</v>
      </c>
    </row>
    <row r="16874" spans="1:2" x14ac:dyDescent="0.25">
      <c r="A16874" s="2">
        <v>16869</v>
      </c>
      <c r="B16874" s="11" t="str">
        <f>"00776214"</f>
        <v>00776214</v>
      </c>
    </row>
    <row r="16875" spans="1:2" x14ac:dyDescent="0.25">
      <c r="A16875" s="2">
        <v>16870</v>
      </c>
      <c r="B16875" s="11" t="str">
        <f>"00776235"</f>
        <v>00776235</v>
      </c>
    </row>
    <row r="16876" spans="1:2" x14ac:dyDescent="0.25">
      <c r="A16876" s="2">
        <v>16871</v>
      </c>
      <c r="B16876" s="11" t="str">
        <f>"00776272"</f>
        <v>00776272</v>
      </c>
    </row>
    <row r="16877" spans="1:2" x14ac:dyDescent="0.25">
      <c r="A16877" s="2">
        <v>16872</v>
      </c>
      <c r="B16877" s="11" t="str">
        <f>"00776286"</f>
        <v>00776286</v>
      </c>
    </row>
    <row r="16878" spans="1:2" x14ac:dyDescent="0.25">
      <c r="A16878" s="2">
        <v>16873</v>
      </c>
      <c r="B16878" s="11" t="str">
        <f>"00776325"</f>
        <v>00776325</v>
      </c>
    </row>
    <row r="16879" spans="1:2" x14ac:dyDescent="0.25">
      <c r="A16879" s="2">
        <v>16874</v>
      </c>
      <c r="B16879" s="11" t="str">
        <f>"00776328"</f>
        <v>00776328</v>
      </c>
    </row>
    <row r="16880" spans="1:2" x14ac:dyDescent="0.25">
      <c r="A16880" s="2">
        <v>16875</v>
      </c>
      <c r="B16880" s="11" t="str">
        <f>"00776351"</f>
        <v>00776351</v>
      </c>
    </row>
    <row r="16881" spans="1:2" x14ac:dyDescent="0.25">
      <c r="A16881" s="2">
        <v>16876</v>
      </c>
      <c r="B16881" s="11" t="str">
        <f>"00776359"</f>
        <v>00776359</v>
      </c>
    </row>
    <row r="16882" spans="1:2" x14ac:dyDescent="0.25">
      <c r="A16882" s="2">
        <v>16877</v>
      </c>
      <c r="B16882" s="11" t="str">
        <f>"00776368"</f>
        <v>00776368</v>
      </c>
    </row>
    <row r="16883" spans="1:2" x14ac:dyDescent="0.25">
      <c r="A16883" s="2">
        <v>16878</v>
      </c>
      <c r="B16883" s="11" t="str">
        <f>"00776369"</f>
        <v>00776369</v>
      </c>
    </row>
    <row r="16884" spans="1:2" x14ac:dyDescent="0.25">
      <c r="A16884" s="2">
        <v>16879</v>
      </c>
      <c r="B16884" s="11" t="str">
        <f>"00776373"</f>
        <v>00776373</v>
      </c>
    </row>
    <row r="16885" spans="1:2" x14ac:dyDescent="0.25">
      <c r="A16885" s="2">
        <v>16880</v>
      </c>
      <c r="B16885" s="11" t="str">
        <f>"00776375"</f>
        <v>00776375</v>
      </c>
    </row>
    <row r="16886" spans="1:2" x14ac:dyDescent="0.25">
      <c r="A16886" s="2">
        <v>16881</v>
      </c>
      <c r="B16886" s="11" t="str">
        <f>"00776397"</f>
        <v>00776397</v>
      </c>
    </row>
    <row r="16887" spans="1:2" x14ac:dyDescent="0.25">
      <c r="A16887" s="2">
        <v>16882</v>
      </c>
      <c r="B16887" s="11" t="str">
        <f>"00776431"</f>
        <v>00776431</v>
      </c>
    </row>
    <row r="16888" spans="1:2" x14ac:dyDescent="0.25">
      <c r="A16888" s="2">
        <v>16883</v>
      </c>
      <c r="B16888" s="11" t="str">
        <f>"00776492"</f>
        <v>00776492</v>
      </c>
    </row>
    <row r="16889" spans="1:2" x14ac:dyDescent="0.25">
      <c r="A16889" s="2">
        <v>16884</v>
      </c>
      <c r="B16889" s="11" t="str">
        <f>"00776523"</f>
        <v>00776523</v>
      </c>
    </row>
    <row r="16890" spans="1:2" x14ac:dyDescent="0.25">
      <c r="A16890" s="2">
        <v>16885</v>
      </c>
      <c r="B16890" s="11" t="str">
        <f>"00776531"</f>
        <v>00776531</v>
      </c>
    </row>
    <row r="16891" spans="1:2" x14ac:dyDescent="0.25">
      <c r="A16891" s="2">
        <v>16886</v>
      </c>
      <c r="B16891" s="11" t="str">
        <f>"00776535"</f>
        <v>00776535</v>
      </c>
    </row>
    <row r="16892" spans="1:2" x14ac:dyDescent="0.25">
      <c r="A16892" s="2">
        <v>16887</v>
      </c>
      <c r="B16892" s="11" t="str">
        <f>"00776540"</f>
        <v>00776540</v>
      </c>
    </row>
    <row r="16893" spans="1:2" x14ac:dyDescent="0.25">
      <c r="A16893" s="2">
        <v>16888</v>
      </c>
      <c r="B16893" s="11" t="str">
        <f>"00776542"</f>
        <v>00776542</v>
      </c>
    </row>
    <row r="16894" spans="1:2" x14ac:dyDescent="0.25">
      <c r="A16894" s="2">
        <v>16889</v>
      </c>
      <c r="B16894" s="11" t="str">
        <f>"00776580"</f>
        <v>00776580</v>
      </c>
    </row>
    <row r="16895" spans="1:2" x14ac:dyDescent="0.25">
      <c r="A16895" s="2">
        <v>16890</v>
      </c>
      <c r="B16895" s="11" t="str">
        <f>"00776582"</f>
        <v>00776582</v>
      </c>
    </row>
    <row r="16896" spans="1:2" x14ac:dyDescent="0.25">
      <c r="A16896" s="2">
        <v>16891</v>
      </c>
      <c r="B16896" s="11" t="str">
        <f>"00776596"</f>
        <v>00776596</v>
      </c>
    </row>
    <row r="16897" spans="1:2" x14ac:dyDescent="0.25">
      <c r="A16897" s="2">
        <v>16892</v>
      </c>
      <c r="B16897" s="11" t="str">
        <f>"00776598"</f>
        <v>00776598</v>
      </c>
    </row>
    <row r="16898" spans="1:2" x14ac:dyDescent="0.25">
      <c r="A16898" s="2">
        <v>16893</v>
      </c>
      <c r="B16898" s="11" t="str">
        <f>"00776641"</f>
        <v>00776641</v>
      </c>
    </row>
    <row r="16899" spans="1:2" x14ac:dyDescent="0.25">
      <c r="A16899" s="2">
        <v>16894</v>
      </c>
      <c r="B16899" s="11" t="str">
        <f>"00776648"</f>
        <v>00776648</v>
      </c>
    </row>
    <row r="16900" spans="1:2" x14ac:dyDescent="0.25">
      <c r="A16900" s="2">
        <v>16895</v>
      </c>
      <c r="B16900" s="11" t="str">
        <f>"00776649"</f>
        <v>00776649</v>
      </c>
    </row>
    <row r="16901" spans="1:2" x14ac:dyDescent="0.25">
      <c r="A16901" s="2">
        <v>16896</v>
      </c>
      <c r="B16901" s="11" t="str">
        <f>"00776665"</f>
        <v>00776665</v>
      </c>
    </row>
    <row r="16902" spans="1:2" x14ac:dyDescent="0.25">
      <c r="A16902" s="2">
        <v>16897</v>
      </c>
      <c r="B16902" s="11" t="str">
        <f>"00776673"</f>
        <v>00776673</v>
      </c>
    </row>
    <row r="16903" spans="1:2" x14ac:dyDescent="0.25">
      <c r="A16903" s="2">
        <v>16898</v>
      </c>
      <c r="B16903" s="11" t="str">
        <f>"00776675"</f>
        <v>00776675</v>
      </c>
    </row>
    <row r="16904" spans="1:2" x14ac:dyDescent="0.25">
      <c r="A16904" s="2">
        <v>16899</v>
      </c>
      <c r="B16904" s="11" t="str">
        <f>"00776677"</f>
        <v>00776677</v>
      </c>
    </row>
    <row r="16905" spans="1:2" x14ac:dyDescent="0.25">
      <c r="A16905" s="2">
        <v>16900</v>
      </c>
      <c r="B16905" s="11" t="str">
        <f>"00776682"</f>
        <v>00776682</v>
      </c>
    </row>
    <row r="16906" spans="1:2" x14ac:dyDescent="0.25">
      <c r="A16906" s="2">
        <v>16901</v>
      </c>
      <c r="B16906" s="11" t="str">
        <f>"00776718"</f>
        <v>00776718</v>
      </c>
    </row>
    <row r="16907" spans="1:2" x14ac:dyDescent="0.25">
      <c r="A16907" s="2">
        <v>16902</v>
      </c>
      <c r="B16907" s="11" t="str">
        <f>"00776737"</f>
        <v>00776737</v>
      </c>
    </row>
    <row r="16908" spans="1:2" x14ac:dyDescent="0.25">
      <c r="A16908" s="2">
        <v>16903</v>
      </c>
      <c r="B16908" s="11" t="str">
        <f>"00776752"</f>
        <v>00776752</v>
      </c>
    </row>
    <row r="16909" spans="1:2" x14ac:dyDescent="0.25">
      <c r="A16909" s="2">
        <v>16904</v>
      </c>
      <c r="B16909" s="11" t="str">
        <f>"00776776"</f>
        <v>00776776</v>
      </c>
    </row>
    <row r="16910" spans="1:2" x14ac:dyDescent="0.25">
      <c r="A16910" s="2">
        <v>16905</v>
      </c>
      <c r="B16910" s="11" t="str">
        <f>"00776780"</f>
        <v>00776780</v>
      </c>
    </row>
    <row r="16911" spans="1:2" x14ac:dyDescent="0.25">
      <c r="A16911" s="2">
        <v>16906</v>
      </c>
      <c r="B16911" s="11" t="str">
        <f>"00776795"</f>
        <v>00776795</v>
      </c>
    </row>
    <row r="16912" spans="1:2" x14ac:dyDescent="0.25">
      <c r="A16912" s="2">
        <v>16907</v>
      </c>
      <c r="B16912" s="11" t="str">
        <f>"00776834"</f>
        <v>00776834</v>
      </c>
    </row>
    <row r="16913" spans="1:2" x14ac:dyDescent="0.25">
      <c r="A16913" s="2">
        <v>16908</v>
      </c>
      <c r="B16913" s="11" t="str">
        <f>"00776849"</f>
        <v>00776849</v>
      </c>
    </row>
    <row r="16914" spans="1:2" x14ac:dyDescent="0.25">
      <c r="A16914" s="2">
        <v>16909</v>
      </c>
      <c r="B16914" s="11" t="str">
        <f>"00776861"</f>
        <v>00776861</v>
      </c>
    </row>
    <row r="16915" spans="1:2" x14ac:dyDescent="0.25">
      <c r="A16915" s="2">
        <v>16910</v>
      </c>
      <c r="B16915" s="11" t="str">
        <f>"00776865"</f>
        <v>00776865</v>
      </c>
    </row>
    <row r="16916" spans="1:2" x14ac:dyDescent="0.25">
      <c r="A16916" s="2">
        <v>16911</v>
      </c>
      <c r="B16916" s="11" t="str">
        <f>"00776919"</f>
        <v>00776919</v>
      </c>
    </row>
    <row r="16917" spans="1:2" x14ac:dyDescent="0.25">
      <c r="A16917" s="2">
        <v>16912</v>
      </c>
      <c r="B16917" s="11" t="str">
        <f>"00776934"</f>
        <v>00776934</v>
      </c>
    </row>
    <row r="16918" spans="1:2" x14ac:dyDescent="0.25">
      <c r="A16918" s="2">
        <v>16913</v>
      </c>
      <c r="B16918" s="11" t="str">
        <f>"00776966"</f>
        <v>00776966</v>
      </c>
    </row>
    <row r="16919" spans="1:2" x14ac:dyDescent="0.25">
      <c r="A16919" s="2">
        <v>16914</v>
      </c>
      <c r="B16919" s="11" t="str">
        <f>"00776998"</f>
        <v>00776998</v>
      </c>
    </row>
    <row r="16920" spans="1:2" x14ac:dyDescent="0.25">
      <c r="A16920" s="2">
        <v>16915</v>
      </c>
      <c r="B16920" s="11" t="str">
        <f>"00777019"</f>
        <v>00777019</v>
      </c>
    </row>
    <row r="16921" spans="1:2" x14ac:dyDescent="0.25">
      <c r="A16921" s="2">
        <v>16916</v>
      </c>
      <c r="B16921" s="11" t="str">
        <f>"00777048"</f>
        <v>00777048</v>
      </c>
    </row>
    <row r="16922" spans="1:2" x14ac:dyDescent="0.25">
      <c r="A16922" s="2">
        <v>16917</v>
      </c>
      <c r="B16922" s="11" t="str">
        <f>"00777073"</f>
        <v>00777073</v>
      </c>
    </row>
    <row r="16923" spans="1:2" x14ac:dyDescent="0.25">
      <c r="A16923" s="2">
        <v>16918</v>
      </c>
      <c r="B16923" s="11" t="str">
        <f>"00777077"</f>
        <v>00777077</v>
      </c>
    </row>
    <row r="16924" spans="1:2" x14ac:dyDescent="0.25">
      <c r="A16924" s="2">
        <v>16919</v>
      </c>
      <c r="B16924" s="11" t="str">
        <f>"00777082"</f>
        <v>00777082</v>
      </c>
    </row>
    <row r="16925" spans="1:2" x14ac:dyDescent="0.25">
      <c r="A16925" s="2">
        <v>16920</v>
      </c>
      <c r="B16925" s="11" t="str">
        <f>"00777133"</f>
        <v>00777133</v>
      </c>
    </row>
    <row r="16926" spans="1:2" x14ac:dyDescent="0.25">
      <c r="A16926" s="2">
        <v>16921</v>
      </c>
      <c r="B16926" s="11" t="str">
        <f>"00777165"</f>
        <v>00777165</v>
      </c>
    </row>
    <row r="16927" spans="1:2" x14ac:dyDescent="0.25">
      <c r="A16927" s="2">
        <v>16922</v>
      </c>
      <c r="B16927" s="11" t="str">
        <f>"00777169"</f>
        <v>00777169</v>
      </c>
    </row>
    <row r="16928" spans="1:2" x14ac:dyDescent="0.25">
      <c r="A16928" s="2">
        <v>16923</v>
      </c>
      <c r="B16928" s="11" t="str">
        <f>"00777170"</f>
        <v>00777170</v>
      </c>
    </row>
    <row r="16929" spans="1:2" x14ac:dyDescent="0.25">
      <c r="A16929" s="2">
        <v>16924</v>
      </c>
      <c r="B16929" s="11" t="str">
        <f>"00777181"</f>
        <v>00777181</v>
      </c>
    </row>
    <row r="16930" spans="1:2" x14ac:dyDescent="0.25">
      <c r="A16930" s="2">
        <v>16925</v>
      </c>
      <c r="B16930" s="11" t="str">
        <f>"00777220"</f>
        <v>00777220</v>
      </c>
    </row>
    <row r="16931" spans="1:2" x14ac:dyDescent="0.25">
      <c r="A16931" s="2">
        <v>16926</v>
      </c>
      <c r="B16931" s="11" t="str">
        <f>"00777254"</f>
        <v>00777254</v>
      </c>
    </row>
    <row r="16932" spans="1:2" x14ac:dyDescent="0.25">
      <c r="A16932" s="2">
        <v>16927</v>
      </c>
      <c r="B16932" s="11" t="str">
        <f>"00777255"</f>
        <v>00777255</v>
      </c>
    </row>
    <row r="16933" spans="1:2" x14ac:dyDescent="0.25">
      <c r="A16933" s="2">
        <v>16928</v>
      </c>
      <c r="B16933" s="11" t="str">
        <f>"00777257"</f>
        <v>00777257</v>
      </c>
    </row>
    <row r="16934" spans="1:2" x14ac:dyDescent="0.25">
      <c r="A16934" s="2">
        <v>16929</v>
      </c>
      <c r="B16934" s="11" t="str">
        <f>"00777270"</f>
        <v>00777270</v>
      </c>
    </row>
    <row r="16935" spans="1:2" x14ac:dyDescent="0.25">
      <c r="A16935" s="2">
        <v>16930</v>
      </c>
      <c r="B16935" s="11" t="str">
        <f>"00777295"</f>
        <v>00777295</v>
      </c>
    </row>
    <row r="16936" spans="1:2" x14ac:dyDescent="0.25">
      <c r="A16936" s="2">
        <v>16931</v>
      </c>
      <c r="B16936" s="11" t="str">
        <f>"00777296"</f>
        <v>00777296</v>
      </c>
    </row>
    <row r="16937" spans="1:2" x14ac:dyDescent="0.25">
      <c r="A16937" s="2">
        <v>16932</v>
      </c>
      <c r="B16937" s="11" t="str">
        <f>"00777396"</f>
        <v>00777396</v>
      </c>
    </row>
    <row r="16938" spans="1:2" x14ac:dyDescent="0.25">
      <c r="A16938" s="2">
        <v>16933</v>
      </c>
      <c r="B16938" s="11" t="str">
        <f>"00777404"</f>
        <v>00777404</v>
      </c>
    </row>
    <row r="16939" spans="1:2" x14ac:dyDescent="0.25">
      <c r="A16939" s="2">
        <v>16934</v>
      </c>
      <c r="B16939" s="11" t="str">
        <f>"00777417"</f>
        <v>00777417</v>
      </c>
    </row>
    <row r="16940" spans="1:2" x14ac:dyDescent="0.25">
      <c r="A16940" s="2">
        <v>16935</v>
      </c>
      <c r="B16940" s="11" t="str">
        <f>"00777445"</f>
        <v>00777445</v>
      </c>
    </row>
    <row r="16941" spans="1:2" x14ac:dyDescent="0.25">
      <c r="A16941" s="2">
        <v>16936</v>
      </c>
      <c r="B16941" s="11" t="str">
        <f>"00777447"</f>
        <v>00777447</v>
      </c>
    </row>
    <row r="16942" spans="1:2" x14ac:dyDescent="0.25">
      <c r="A16942" s="2">
        <v>16937</v>
      </c>
      <c r="B16942" s="11" t="str">
        <f>"00777453"</f>
        <v>00777453</v>
      </c>
    </row>
    <row r="16943" spans="1:2" x14ac:dyDescent="0.25">
      <c r="A16943" s="2">
        <v>16938</v>
      </c>
      <c r="B16943" s="11" t="str">
        <f>"00777571"</f>
        <v>00777571</v>
      </c>
    </row>
    <row r="16944" spans="1:2" x14ac:dyDescent="0.25">
      <c r="A16944" s="2">
        <v>16939</v>
      </c>
      <c r="B16944" s="11" t="str">
        <f>"00777582"</f>
        <v>00777582</v>
      </c>
    </row>
    <row r="16945" spans="1:2" x14ac:dyDescent="0.25">
      <c r="A16945" s="2">
        <v>16940</v>
      </c>
      <c r="B16945" s="11" t="str">
        <f>"00777642"</f>
        <v>00777642</v>
      </c>
    </row>
    <row r="16946" spans="1:2" x14ac:dyDescent="0.25">
      <c r="A16946" s="2">
        <v>16941</v>
      </c>
      <c r="B16946" s="11" t="str">
        <f>"00777672"</f>
        <v>00777672</v>
      </c>
    </row>
    <row r="16947" spans="1:2" x14ac:dyDescent="0.25">
      <c r="A16947" s="2">
        <v>16942</v>
      </c>
      <c r="B16947" s="11" t="str">
        <f>"00777796"</f>
        <v>00777796</v>
      </c>
    </row>
    <row r="16948" spans="1:2" x14ac:dyDescent="0.25">
      <c r="A16948" s="2">
        <v>16943</v>
      </c>
      <c r="B16948" s="11" t="str">
        <f>"00777845"</f>
        <v>00777845</v>
      </c>
    </row>
    <row r="16949" spans="1:2" x14ac:dyDescent="0.25">
      <c r="A16949" s="2">
        <v>16944</v>
      </c>
      <c r="B16949" s="11" t="str">
        <f>"00777850"</f>
        <v>00777850</v>
      </c>
    </row>
    <row r="16950" spans="1:2" x14ac:dyDescent="0.25">
      <c r="A16950" s="2">
        <v>16945</v>
      </c>
      <c r="B16950" s="11" t="str">
        <f>"00777854"</f>
        <v>00777854</v>
      </c>
    </row>
    <row r="16951" spans="1:2" x14ac:dyDescent="0.25">
      <c r="A16951" s="2">
        <v>16946</v>
      </c>
      <c r="B16951" s="11" t="str">
        <f>"00777884"</f>
        <v>00777884</v>
      </c>
    </row>
    <row r="16952" spans="1:2" x14ac:dyDescent="0.25">
      <c r="A16952" s="2">
        <v>16947</v>
      </c>
      <c r="B16952" s="11" t="str">
        <f>"00777926"</f>
        <v>00777926</v>
      </c>
    </row>
    <row r="16953" spans="1:2" x14ac:dyDescent="0.25">
      <c r="A16953" s="2">
        <v>16948</v>
      </c>
      <c r="B16953" s="11" t="str">
        <f>"00777929"</f>
        <v>00777929</v>
      </c>
    </row>
    <row r="16954" spans="1:2" x14ac:dyDescent="0.25">
      <c r="A16954" s="2">
        <v>16949</v>
      </c>
      <c r="B16954" s="11" t="str">
        <f>"00777981"</f>
        <v>00777981</v>
      </c>
    </row>
    <row r="16955" spans="1:2" x14ac:dyDescent="0.25">
      <c r="A16955" s="2">
        <v>16950</v>
      </c>
      <c r="B16955" s="11" t="str">
        <f>"00777991"</f>
        <v>00777991</v>
      </c>
    </row>
    <row r="16956" spans="1:2" x14ac:dyDescent="0.25">
      <c r="A16956" s="2">
        <v>16951</v>
      </c>
      <c r="B16956" s="11" t="str">
        <f>"00778047"</f>
        <v>00778047</v>
      </c>
    </row>
    <row r="16957" spans="1:2" x14ac:dyDescent="0.25">
      <c r="A16957" s="2">
        <v>16952</v>
      </c>
      <c r="B16957" s="11" t="str">
        <f>"00778054"</f>
        <v>00778054</v>
      </c>
    </row>
    <row r="16958" spans="1:2" x14ac:dyDescent="0.25">
      <c r="A16958" s="2">
        <v>16953</v>
      </c>
      <c r="B16958" s="11" t="str">
        <f>"00778071"</f>
        <v>00778071</v>
      </c>
    </row>
    <row r="16959" spans="1:2" x14ac:dyDescent="0.25">
      <c r="A16959" s="2">
        <v>16954</v>
      </c>
      <c r="B16959" s="11" t="str">
        <f>"00778080"</f>
        <v>00778080</v>
      </c>
    </row>
    <row r="16960" spans="1:2" x14ac:dyDescent="0.25">
      <c r="A16960" s="2">
        <v>16955</v>
      </c>
      <c r="B16960" s="11" t="str">
        <f>"00778116"</f>
        <v>00778116</v>
      </c>
    </row>
    <row r="16961" spans="1:2" x14ac:dyDescent="0.25">
      <c r="A16961" s="2">
        <v>16956</v>
      </c>
      <c r="B16961" s="11" t="str">
        <f>"00778128"</f>
        <v>00778128</v>
      </c>
    </row>
    <row r="16962" spans="1:2" x14ac:dyDescent="0.25">
      <c r="A16962" s="2">
        <v>16957</v>
      </c>
      <c r="B16962" s="11" t="str">
        <f>"00778145"</f>
        <v>00778145</v>
      </c>
    </row>
    <row r="16963" spans="1:2" x14ac:dyDescent="0.25">
      <c r="A16963" s="2">
        <v>16958</v>
      </c>
      <c r="B16963" s="11" t="str">
        <f>"00778156"</f>
        <v>00778156</v>
      </c>
    </row>
    <row r="16964" spans="1:2" x14ac:dyDescent="0.25">
      <c r="A16964" s="2">
        <v>16959</v>
      </c>
      <c r="B16964" s="11" t="str">
        <f>"00778185"</f>
        <v>00778185</v>
      </c>
    </row>
    <row r="16965" spans="1:2" x14ac:dyDescent="0.25">
      <c r="A16965" s="2">
        <v>16960</v>
      </c>
      <c r="B16965" s="11" t="str">
        <f>"00778217"</f>
        <v>00778217</v>
      </c>
    </row>
    <row r="16966" spans="1:2" x14ac:dyDescent="0.25">
      <c r="A16966" s="2">
        <v>16961</v>
      </c>
      <c r="B16966" s="11" t="str">
        <f>"00778233"</f>
        <v>00778233</v>
      </c>
    </row>
    <row r="16967" spans="1:2" x14ac:dyDescent="0.25">
      <c r="A16967" s="2">
        <v>16962</v>
      </c>
      <c r="B16967" s="11" t="str">
        <f>"00778247"</f>
        <v>00778247</v>
      </c>
    </row>
    <row r="16968" spans="1:2" x14ac:dyDescent="0.25">
      <c r="A16968" s="2">
        <v>16963</v>
      </c>
      <c r="B16968" s="11" t="str">
        <f>"00778252"</f>
        <v>00778252</v>
      </c>
    </row>
    <row r="16969" spans="1:2" x14ac:dyDescent="0.25">
      <c r="A16969" s="2">
        <v>16964</v>
      </c>
      <c r="B16969" s="11" t="str">
        <f>"00778289"</f>
        <v>00778289</v>
      </c>
    </row>
    <row r="16970" spans="1:2" x14ac:dyDescent="0.25">
      <c r="A16970" s="2">
        <v>16965</v>
      </c>
      <c r="B16970" s="11" t="str">
        <f>"00778329"</f>
        <v>00778329</v>
      </c>
    </row>
    <row r="16971" spans="1:2" x14ac:dyDescent="0.25">
      <c r="A16971" s="2">
        <v>16966</v>
      </c>
      <c r="B16971" s="11" t="str">
        <f>"00778348"</f>
        <v>00778348</v>
      </c>
    </row>
    <row r="16972" spans="1:2" x14ac:dyDescent="0.25">
      <c r="A16972" s="2">
        <v>16967</v>
      </c>
      <c r="B16972" s="11" t="str">
        <f>"00778365"</f>
        <v>00778365</v>
      </c>
    </row>
    <row r="16973" spans="1:2" x14ac:dyDescent="0.25">
      <c r="A16973" s="2">
        <v>16968</v>
      </c>
      <c r="B16973" s="11" t="str">
        <f>"00778386"</f>
        <v>00778386</v>
      </c>
    </row>
    <row r="16974" spans="1:2" x14ac:dyDescent="0.25">
      <c r="A16974" s="2">
        <v>16969</v>
      </c>
      <c r="B16974" s="11" t="str">
        <f>"00778399"</f>
        <v>00778399</v>
      </c>
    </row>
    <row r="16975" spans="1:2" x14ac:dyDescent="0.25">
      <c r="A16975" s="2">
        <v>16970</v>
      </c>
      <c r="B16975" s="11" t="str">
        <f>"00778416"</f>
        <v>00778416</v>
      </c>
    </row>
    <row r="16976" spans="1:2" x14ac:dyDescent="0.25">
      <c r="A16976" s="2">
        <v>16971</v>
      </c>
      <c r="B16976" s="11" t="str">
        <f>"00778420"</f>
        <v>00778420</v>
      </c>
    </row>
    <row r="16977" spans="1:2" x14ac:dyDescent="0.25">
      <c r="A16977" s="2">
        <v>16972</v>
      </c>
      <c r="B16977" s="11" t="str">
        <f>"00778430"</f>
        <v>00778430</v>
      </c>
    </row>
    <row r="16978" spans="1:2" x14ac:dyDescent="0.25">
      <c r="A16978" s="2">
        <v>16973</v>
      </c>
      <c r="B16978" s="11" t="str">
        <f>"00778455"</f>
        <v>00778455</v>
      </c>
    </row>
    <row r="16979" spans="1:2" x14ac:dyDescent="0.25">
      <c r="A16979" s="2">
        <v>16974</v>
      </c>
      <c r="B16979" s="11" t="str">
        <f>"00778464"</f>
        <v>00778464</v>
      </c>
    </row>
    <row r="16980" spans="1:2" x14ac:dyDescent="0.25">
      <c r="A16980" s="2">
        <v>16975</v>
      </c>
      <c r="B16980" s="11" t="str">
        <f>"00778576"</f>
        <v>00778576</v>
      </c>
    </row>
    <row r="16981" spans="1:2" x14ac:dyDescent="0.25">
      <c r="A16981" s="2">
        <v>16976</v>
      </c>
      <c r="B16981" s="11" t="str">
        <f>"00778602"</f>
        <v>00778602</v>
      </c>
    </row>
    <row r="16982" spans="1:2" x14ac:dyDescent="0.25">
      <c r="A16982" s="2">
        <v>16977</v>
      </c>
      <c r="B16982" s="11" t="str">
        <f>"00778612"</f>
        <v>00778612</v>
      </c>
    </row>
    <row r="16983" spans="1:2" x14ac:dyDescent="0.25">
      <c r="A16983" s="2">
        <v>16978</v>
      </c>
      <c r="B16983" s="11" t="str">
        <f>"00778628"</f>
        <v>00778628</v>
      </c>
    </row>
    <row r="16984" spans="1:2" x14ac:dyDescent="0.25">
      <c r="A16984" s="2">
        <v>16979</v>
      </c>
      <c r="B16984" s="11" t="str">
        <f>"00778641"</f>
        <v>00778641</v>
      </c>
    </row>
    <row r="16985" spans="1:2" x14ac:dyDescent="0.25">
      <c r="A16985" s="2">
        <v>16980</v>
      </c>
      <c r="B16985" s="11" t="str">
        <f>"00778694"</f>
        <v>00778694</v>
      </c>
    </row>
    <row r="16986" spans="1:2" x14ac:dyDescent="0.25">
      <c r="A16986" s="2">
        <v>16981</v>
      </c>
      <c r="B16986" s="11" t="str">
        <f>"00778748"</f>
        <v>00778748</v>
      </c>
    </row>
    <row r="16987" spans="1:2" x14ac:dyDescent="0.25">
      <c r="A16987" s="2">
        <v>16982</v>
      </c>
      <c r="B16987" s="11" t="str">
        <f>"00778760"</f>
        <v>00778760</v>
      </c>
    </row>
    <row r="16988" spans="1:2" x14ac:dyDescent="0.25">
      <c r="A16988" s="2">
        <v>16983</v>
      </c>
      <c r="B16988" s="11" t="str">
        <f>"00778804"</f>
        <v>00778804</v>
      </c>
    </row>
    <row r="16989" spans="1:2" x14ac:dyDescent="0.25">
      <c r="A16989" s="2">
        <v>16984</v>
      </c>
      <c r="B16989" s="11" t="str">
        <f>"00778825"</f>
        <v>00778825</v>
      </c>
    </row>
    <row r="16990" spans="1:2" x14ac:dyDescent="0.25">
      <c r="A16990" s="2">
        <v>16985</v>
      </c>
      <c r="B16990" s="11" t="str">
        <f>"00778826"</f>
        <v>00778826</v>
      </c>
    </row>
    <row r="16991" spans="1:2" x14ac:dyDescent="0.25">
      <c r="A16991" s="2">
        <v>16986</v>
      </c>
      <c r="B16991" s="11" t="str">
        <f>"00778931"</f>
        <v>00778931</v>
      </c>
    </row>
    <row r="16992" spans="1:2" x14ac:dyDescent="0.25">
      <c r="A16992" s="2">
        <v>16987</v>
      </c>
      <c r="B16992" s="11" t="str">
        <f>"00778995"</f>
        <v>00778995</v>
      </c>
    </row>
    <row r="16993" spans="1:2" x14ac:dyDescent="0.25">
      <c r="A16993" s="2">
        <v>16988</v>
      </c>
      <c r="B16993" s="11" t="str">
        <f>"00779052"</f>
        <v>00779052</v>
      </c>
    </row>
    <row r="16994" spans="1:2" x14ac:dyDescent="0.25">
      <c r="A16994" s="2">
        <v>16989</v>
      </c>
      <c r="B16994" s="11" t="str">
        <f>"00779064"</f>
        <v>00779064</v>
      </c>
    </row>
    <row r="16995" spans="1:2" x14ac:dyDescent="0.25">
      <c r="A16995" s="2">
        <v>16990</v>
      </c>
      <c r="B16995" s="11" t="str">
        <f>"00779070"</f>
        <v>00779070</v>
      </c>
    </row>
    <row r="16996" spans="1:2" x14ac:dyDescent="0.25">
      <c r="A16996" s="2">
        <v>16991</v>
      </c>
      <c r="B16996" s="11" t="str">
        <f>"00779080"</f>
        <v>00779080</v>
      </c>
    </row>
    <row r="16997" spans="1:2" x14ac:dyDescent="0.25">
      <c r="A16997" s="2">
        <v>16992</v>
      </c>
      <c r="B16997" s="11" t="str">
        <f>"00779088"</f>
        <v>00779088</v>
      </c>
    </row>
    <row r="16998" spans="1:2" x14ac:dyDescent="0.25">
      <c r="A16998" s="2">
        <v>16993</v>
      </c>
      <c r="B16998" s="11" t="str">
        <f>"00779173"</f>
        <v>00779173</v>
      </c>
    </row>
    <row r="16999" spans="1:2" x14ac:dyDescent="0.25">
      <c r="A16999" s="2">
        <v>16994</v>
      </c>
      <c r="B16999" s="11" t="str">
        <f>"00779215"</f>
        <v>00779215</v>
      </c>
    </row>
    <row r="17000" spans="1:2" x14ac:dyDescent="0.25">
      <c r="A17000" s="2">
        <v>16995</v>
      </c>
      <c r="B17000" s="11" t="str">
        <f>"00779237"</f>
        <v>00779237</v>
      </c>
    </row>
    <row r="17001" spans="1:2" x14ac:dyDescent="0.25">
      <c r="A17001" s="2">
        <v>16996</v>
      </c>
      <c r="B17001" s="11" t="str">
        <f>"00779324"</f>
        <v>00779324</v>
      </c>
    </row>
    <row r="17002" spans="1:2" x14ac:dyDescent="0.25">
      <c r="A17002" s="2">
        <v>16997</v>
      </c>
      <c r="B17002" s="11" t="str">
        <f>"00779340"</f>
        <v>00779340</v>
      </c>
    </row>
    <row r="17003" spans="1:2" x14ac:dyDescent="0.25">
      <c r="A17003" s="2">
        <v>16998</v>
      </c>
      <c r="B17003" s="11" t="str">
        <f>"00779346"</f>
        <v>00779346</v>
      </c>
    </row>
    <row r="17004" spans="1:2" x14ac:dyDescent="0.25">
      <c r="A17004" s="2">
        <v>16999</v>
      </c>
      <c r="B17004" s="11" t="str">
        <f>"00779364"</f>
        <v>00779364</v>
      </c>
    </row>
    <row r="17005" spans="1:2" x14ac:dyDescent="0.25">
      <c r="A17005" s="2">
        <v>17000</v>
      </c>
      <c r="B17005" s="11" t="str">
        <f>"00779369"</f>
        <v>00779369</v>
      </c>
    </row>
    <row r="17006" spans="1:2" x14ac:dyDescent="0.25">
      <c r="A17006" s="2">
        <v>17001</v>
      </c>
      <c r="B17006" s="11" t="str">
        <f>"00779382"</f>
        <v>00779382</v>
      </c>
    </row>
    <row r="17007" spans="1:2" x14ac:dyDescent="0.25">
      <c r="A17007" s="2">
        <v>17002</v>
      </c>
      <c r="B17007" s="11" t="str">
        <f>"00779393"</f>
        <v>00779393</v>
      </c>
    </row>
    <row r="17008" spans="1:2" x14ac:dyDescent="0.25">
      <c r="A17008" s="2">
        <v>17003</v>
      </c>
      <c r="B17008" s="11" t="str">
        <f>"00779404"</f>
        <v>00779404</v>
      </c>
    </row>
    <row r="17009" spans="1:2" x14ac:dyDescent="0.25">
      <c r="A17009" s="2">
        <v>17004</v>
      </c>
      <c r="B17009" s="11" t="str">
        <f>"00779407"</f>
        <v>00779407</v>
      </c>
    </row>
    <row r="17010" spans="1:2" x14ac:dyDescent="0.25">
      <c r="A17010" s="2">
        <v>17005</v>
      </c>
      <c r="B17010" s="11" t="str">
        <f>"00779427"</f>
        <v>00779427</v>
      </c>
    </row>
    <row r="17011" spans="1:2" x14ac:dyDescent="0.25">
      <c r="A17011" s="2">
        <v>17006</v>
      </c>
      <c r="B17011" s="11" t="str">
        <f>"00779450"</f>
        <v>00779450</v>
      </c>
    </row>
    <row r="17012" spans="1:2" x14ac:dyDescent="0.25">
      <c r="A17012" s="2">
        <v>17007</v>
      </c>
      <c r="B17012" s="11" t="str">
        <f>"00779468"</f>
        <v>00779468</v>
      </c>
    </row>
    <row r="17013" spans="1:2" x14ac:dyDescent="0.25">
      <c r="A17013" s="2">
        <v>17008</v>
      </c>
      <c r="B17013" s="11" t="str">
        <f>"00779472"</f>
        <v>00779472</v>
      </c>
    </row>
    <row r="17014" spans="1:2" x14ac:dyDescent="0.25">
      <c r="A17014" s="2">
        <v>17009</v>
      </c>
      <c r="B17014" s="11" t="str">
        <f>"00779536"</f>
        <v>00779536</v>
      </c>
    </row>
    <row r="17015" spans="1:2" x14ac:dyDescent="0.25">
      <c r="A17015" s="2">
        <v>17010</v>
      </c>
      <c r="B17015" s="11" t="str">
        <f>"00779539"</f>
        <v>00779539</v>
      </c>
    </row>
    <row r="17016" spans="1:2" x14ac:dyDescent="0.25">
      <c r="A17016" s="2">
        <v>17011</v>
      </c>
      <c r="B17016" s="11" t="str">
        <f>"00779605"</f>
        <v>00779605</v>
      </c>
    </row>
    <row r="17017" spans="1:2" x14ac:dyDescent="0.25">
      <c r="A17017" s="2">
        <v>17012</v>
      </c>
      <c r="B17017" s="11" t="str">
        <f>"00779615"</f>
        <v>00779615</v>
      </c>
    </row>
    <row r="17018" spans="1:2" x14ac:dyDescent="0.25">
      <c r="A17018" s="2">
        <v>17013</v>
      </c>
      <c r="B17018" s="11" t="str">
        <f>"00779617"</f>
        <v>00779617</v>
      </c>
    </row>
    <row r="17019" spans="1:2" x14ac:dyDescent="0.25">
      <c r="A17019" s="2">
        <v>17014</v>
      </c>
      <c r="B17019" s="11" t="str">
        <f>"00779627"</f>
        <v>00779627</v>
      </c>
    </row>
    <row r="17020" spans="1:2" x14ac:dyDescent="0.25">
      <c r="A17020" s="2">
        <v>17015</v>
      </c>
      <c r="B17020" s="11" t="str">
        <f>"00779641"</f>
        <v>00779641</v>
      </c>
    </row>
    <row r="17021" spans="1:2" x14ac:dyDescent="0.25">
      <c r="A17021" s="2">
        <v>17016</v>
      </c>
      <c r="B17021" s="11" t="str">
        <f>"00779659"</f>
        <v>00779659</v>
      </c>
    </row>
    <row r="17022" spans="1:2" x14ac:dyDescent="0.25">
      <c r="A17022" s="2">
        <v>17017</v>
      </c>
      <c r="B17022" s="11" t="str">
        <f>"00779704"</f>
        <v>00779704</v>
      </c>
    </row>
    <row r="17023" spans="1:2" x14ac:dyDescent="0.25">
      <c r="A17023" s="2">
        <v>17018</v>
      </c>
      <c r="B17023" s="11" t="str">
        <f>"00779716"</f>
        <v>00779716</v>
      </c>
    </row>
    <row r="17024" spans="1:2" x14ac:dyDescent="0.25">
      <c r="A17024" s="2">
        <v>17019</v>
      </c>
      <c r="B17024" s="11" t="str">
        <f>"00779728"</f>
        <v>00779728</v>
      </c>
    </row>
    <row r="17025" spans="1:2" x14ac:dyDescent="0.25">
      <c r="A17025" s="2">
        <v>17020</v>
      </c>
      <c r="B17025" s="11" t="str">
        <f>"00779736"</f>
        <v>00779736</v>
      </c>
    </row>
    <row r="17026" spans="1:2" x14ac:dyDescent="0.25">
      <c r="A17026" s="2">
        <v>17021</v>
      </c>
      <c r="B17026" s="11" t="str">
        <f>"00779757"</f>
        <v>00779757</v>
      </c>
    </row>
    <row r="17027" spans="1:2" x14ac:dyDescent="0.25">
      <c r="A17027" s="2">
        <v>17022</v>
      </c>
      <c r="B17027" s="11" t="str">
        <f>"00779781"</f>
        <v>00779781</v>
      </c>
    </row>
    <row r="17028" spans="1:2" x14ac:dyDescent="0.25">
      <c r="A17028" s="2">
        <v>17023</v>
      </c>
      <c r="B17028" s="11" t="str">
        <f>"00779791"</f>
        <v>00779791</v>
      </c>
    </row>
    <row r="17029" spans="1:2" x14ac:dyDescent="0.25">
      <c r="A17029" s="2">
        <v>17024</v>
      </c>
      <c r="B17029" s="11" t="str">
        <f>"00779823"</f>
        <v>00779823</v>
      </c>
    </row>
    <row r="17030" spans="1:2" x14ac:dyDescent="0.25">
      <c r="A17030" s="2">
        <v>17025</v>
      </c>
      <c r="B17030" s="11" t="str">
        <f>"00779848"</f>
        <v>00779848</v>
      </c>
    </row>
    <row r="17031" spans="1:2" x14ac:dyDescent="0.25">
      <c r="A17031" s="2">
        <v>17026</v>
      </c>
      <c r="B17031" s="11" t="str">
        <f>"00779861"</f>
        <v>00779861</v>
      </c>
    </row>
    <row r="17032" spans="1:2" x14ac:dyDescent="0.25">
      <c r="A17032" s="2">
        <v>17027</v>
      </c>
      <c r="B17032" s="11" t="str">
        <f>"00779880"</f>
        <v>00779880</v>
      </c>
    </row>
    <row r="17033" spans="1:2" x14ac:dyDescent="0.25">
      <c r="A17033" s="2">
        <v>17028</v>
      </c>
      <c r="B17033" s="11" t="str">
        <f>"00779884"</f>
        <v>00779884</v>
      </c>
    </row>
    <row r="17034" spans="1:2" x14ac:dyDescent="0.25">
      <c r="A17034" s="2">
        <v>17029</v>
      </c>
      <c r="B17034" s="11" t="str">
        <f>"00779931"</f>
        <v>00779931</v>
      </c>
    </row>
    <row r="17035" spans="1:2" x14ac:dyDescent="0.25">
      <c r="A17035" s="2">
        <v>17030</v>
      </c>
      <c r="B17035" s="11" t="str">
        <f>"00779937"</f>
        <v>00779937</v>
      </c>
    </row>
    <row r="17036" spans="1:2" x14ac:dyDescent="0.25">
      <c r="A17036" s="2">
        <v>17031</v>
      </c>
      <c r="B17036" s="11" t="str">
        <f>"00779942"</f>
        <v>00779942</v>
      </c>
    </row>
    <row r="17037" spans="1:2" x14ac:dyDescent="0.25">
      <c r="A17037" s="2">
        <v>17032</v>
      </c>
      <c r="B17037" s="11" t="str">
        <f>"00779945"</f>
        <v>00779945</v>
      </c>
    </row>
    <row r="17038" spans="1:2" x14ac:dyDescent="0.25">
      <c r="A17038" s="2">
        <v>17033</v>
      </c>
      <c r="B17038" s="11" t="str">
        <f>"00779965"</f>
        <v>00779965</v>
      </c>
    </row>
    <row r="17039" spans="1:2" x14ac:dyDescent="0.25">
      <c r="A17039" s="2">
        <v>17034</v>
      </c>
      <c r="B17039" s="11" t="str">
        <f>"00779973"</f>
        <v>00779973</v>
      </c>
    </row>
    <row r="17040" spans="1:2" x14ac:dyDescent="0.25">
      <c r="A17040" s="2">
        <v>17035</v>
      </c>
      <c r="B17040" s="11" t="str">
        <f>"00779987"</f>
        <v>00779987</v>
      </c>
    </row>
    <row r="17041" spans="1:2" x14ac:dyDescent="0.25">
      <c r="A17041" s="2">
        <v>17036</v>
      </c>
      <c r="B17041" s="11" t="str">
        <f>"00780015"</f>
        <v>00780015</v>
      </c>
    </row>
    <row r="17042" spans="1:2" x14ac:dyDescent="0.25">
      <c r="A17042" s="2">
        <v>17037</v>
      </c>
      <c r="B17042" s="11" t="str">
        <f>"00780033"</f>
        <v>00780033</v>
      </c>
    </row>
    <row r="17043" spans="1:2" x14ac:dyDescent="0.25">
      <c r="A17043" s="2">
        <v>17038</v>
      </c>
      <c r="B17043" s="11" t="str">
        <f>"00780035"</f>
        <v>00780035</v>
      </c>
    </row>
    <row r="17044" spans="1:2" x14ac:dyDescent="0.25">
      <c r="A17044" s="2">
        <v>17039</v>
      </c>
      <c r="B17044" s="11" t="str">
        <f>"00780038"</f>
        <v>00780038</v>
      </c>
    </row>
    <row r="17045" spans="1:2" x14ac:dyDescent="0.25">
      <c r="A17045" s="2">
        <v>17040</v>
      </c>
      <c r="B17045" s="11" t="str">
        <f>"00780086"</f>
        <v>00780086</v>
      </c>
    </row>
    <row r="17046" spans="1:2" x14ac:dyDescent="0.25">
      <c r="A17046" s="2">
        <v>17041</v>
      </c>
      <c r="B17046" s="11" t="str">
        <f>"00780104"</f>
        <v>00780104</v>
      </c>
    </row>
    <row r="17047" spans="1:2" x14ac:dyDescent="0.25">
      <c r="A17047" s="2">
        <v>17042</v>
      </c>
      <c r="B17047" s="11" t="str">
        <f>"00780114"</f>
        <v>00780114</v>
      </c>
    </row>
    <row r="17048" spans="1:2" x14ac:dyDescent="0.25">
      <c r="A17048" s="2">
        <v>17043</v>
      </c>
      <c r="B17048" s="11" t="str">
        <f>"00780124"</f>
        <v>00780124</v>
      </c>
    </row>
    <row r="17049" spans="1:2" x14ac:dyDescent="0.25">
      <c r="A17049" s="2">
        <v>17044</v>
      </c>
      <c r="B17049" s="11" t="str">
        <f>"00780136"</f>
        <v>00780136</v>
      </c>
    </row>
    <row r="17050" spans="1:2" x14ac:dyDescent="0.25">
      <c r="A17050" s="2">
        <v>17045</v>
      </c>
      <c r="B17050" s="11" t="str">
        <f>"00780174"</f>
        <v>00780174</v>
      </c>
    </row>
    <row r="17051" spans="1:2" x14ac:dyDescent="0.25">
      <c r="A17051" s="2">
        <v>17046</v>
      </c>
      <c r="B17051" s="11" t="str">
        <f>"00780176"</f>
        <v>00780176</v>
      </c>
    </row>
    <row r="17052" spans="1:2" x14ac:dyDescent="0.25">
      <c r="A17052" s="2">
        <v>17047</v>
      </c>
      <c r="B17052" s="11" t="str">
        <f>"00780186"</f>
        <v>00780186</v>
      </c>
    </row>
    <row r="17053" spans="1:2" x14ac:dyDescent="0.25">
      <c r="A17053" s="2">
        <v>17048</v>
      </c>
      <c r="B17053" s="11" t="str">
        <f>"00780187"</f>
        <v>00780187</v>
      </c>
    </row>
    <row r="17054" spans="1:2" x14ac:dyDescent="0.25">
      <c r="A17054" s="2">
        <v>17049</v>
      </c>
      <c r="B17054" s="11" t="str">
        <f>"00780219"</f>
        <v>00780219</v>
      </c>
    </row>
    <row r="17055" spans="1:2" x14ac:dyDescent="0.25">
      <c r="A17055" s="2">
        <v>17050</v>
      </c>
      <c r="B17055" s="11" t="str">
        <f>"00780233"</f>
        <v>00780233</v>
      </c>
    </row>
    <row r="17056" spans="1:2" x14ac:dyDescent="0.25">
      <c r="A17056" s="2">
        <v>17051</v>
      </c>
      <c r="B17056" s="11" t="str">
        <f>"00780241"</f>
        <v>00780241</v>
      </c>
    </row>
    <row r="17057" spans="1:2" x14ac:dyDescent="0.25">
      <c r="A17057" s="2">
        <v>17052</v>
      </c>
      <c r="B17057" s="11" t="str">
        <f>"00780268"</f>
        <v>00780268</v>
      </c>
    </row>
    <row r="17058" spans="1:2" x14ac:dyDescent="0.25">
      <c r="A17058" s="2">
        <v>17053</v>
      </c>
      <c r="B17058" s="11" t="str">
        <f>"00780280"</f>
        <v>00780280</v>
      </c>
    </row>
    <row r="17059" spans="1:2" x14ac:dyDescent="0.25">
      <c r="A17059" s="2">
        <v>17054</v>
      </c>
      <c r="B17059" s="11" t="str">
        <f>"00780417"</f>
        <v>00780417</v>
      </c>
    </row>
    <row r="17060" spans="1:2" x14ac:dyDescent="0.25">
      <c r="A17060" s="2">
        <v>17055</v>
      </c>
      <c r="B17060" s="11" t="str">
        <f>"00780452"</f>
        <v>00780452</v>
      </c>
    </row>
    <row r="17061" spans="1:2" x14ac:dyDescent="0.25">
      <c r="A17061" s="2">
        <v>17056</v>
      </c>
      <c r="B17061" s="11" t="str">
        <f>"00780544"</f>
        <v>00780544</v>
      </c>
    </row>
    <row r="17062" spans="1:2" x14ac:dyDescent="0.25">
      <c r="A17062" s="2">
        <v>17057</v>
      </c>
      <c r="B17062" s="11" t="str">
        <f>"00780589"</f>
        <v>00780589</v>
      </c>
    </row>
    <row r="17063" spans="1:2" x14ac:dyDescent="0.25">
      <c r="A17063" s="2">
        <v>17058</v>
      </c>
      <c r="B17063" s="11" t="str">
        <f>"00780590"</f>
        <v>00780590</v>
      </c>
    </row>
    <row r="17064" spans="1:2" x14ac:dyDescent="0.25">
      <c r="A17064" s="2">
        <v>17059</v>
      </c>
      <c r="B17064" s="11" t="str">
        <f>"00780595"</f>
        <v>00780595</v>
      </c>
    </row>
    <row r="17065" spans="1:2" x14ac:dyDescent="0.25">
      <c r="A17065" s="2">
        <v>17060</v>
      </c>
      <c r="B17065" s="11" t="str">
        <f>"00780614"</f>
        <v>00780614</v>
      </c>
    </row>
    <row r="17066" spans="1:2" x14ac:dyDescent="0.25">
      <c r="A17066" s="2">
        <v>17061</v>
      </c>
      <c r="B17066" s="11" t="str">
        <f>"00780656"</f>
        <v>00780656</v>
      </c>
    </row>
    <row r="17067" spans="1:2" x14ac:dyDescent="0.25">
      <c r="A17067" s="2">
        <v>17062</v>
      </c>
      <c r="B17067" s="11" t="str">
        <f>"00780667"</f>
        <v>00780667</v>
      </c>
    </row>
    <row r="17068" spans="1:2" x14ac:dyDescent="0.25">
      <c r="A17068" s="2">
        <v>17063</v>
      </c>
      <c r="B17068" s="11" t="str">
        <f>"00780685"</f>
        <v>00780685</v>
      </c>
    </row>
    <row r="17069" spans="1:2" x14ac:dyDescent="0.25">
      <c r="A17069" s="2">
        <v>17064</v>
      </c>
      <c r="B17069" s="11" t="str">
        <f>"00780737"</f>
        <v>00780737</v>
      </c>
    </row>
    <row r="17070" spans="1:2" x14ac:dyDescent="0.25">
      <c r="A17070" s="2">
        <v>17065</v>
      </c>
      <c r="B17070" s="11" t="str">
        <f>"00780769"</f>
        <v>00780769</v>
      </c>
    </row>
    <row r="17071" spans="1:2" x14ac:dyDescent="0.25">
      <c r="A17071" s="2">
        <v>17066</v>
      </c>
      <c r="B17071" s="11" t="str">
        <f>"00780838"</f>
        <v>00780838</v>
      </c>
    </row>
    <row r="17072" spans="1:2" x14ac:dyDescent="0.25">
      <c r="A17072" s="2">
        <v>17067</v>
      </c>
      <c r="B17072" s="11" t="str">
        <f>"00780853"</f>
        <v>00780853</v>
      </c>
    </row>
    <row r="17073" spans="1:2" x14ac:dyDescent="0.25">
      <c r="A17073" s="2">
        <v>17068</v>
      </c>
      <c r="B17073" s="11" t="str">
        <f>"00780927"</f>
        <v>00780927</v>
      </c>
    </row>
    <row r="17074" spans="1:2" x14ac:dyDescent="0.25">
      <c r="A17074" s="2">
        <v>17069</v>
      </c>
      <c r="B17074" s="11" t="str">
        <f>"00780937"</f>
        <v>00780937</v>
      </c>
    </row>
    <row r="17075" spans="1:2" x14ac:dyDescent="0.25">
      <c r="A17075" s="2">
        <v>17070</v>
      </c>
      <c r="B17075" s="11" t="str">
        <f>"00780991"</f>
        <v>00780991</v>
      </c>
    </row>
    <row r="17076" spans="1:2" x14ac:dyDescent="0.25">
      <c r="A17076" s="2">
        <v>17071</v>
      </c>
      <c r="B17076" s="11" t="str">
        <f>"00781019"</f>
        <v>00781019</v>
      </c>
    </row>
    <row r="17077" spans="1:2" x14ac:dyDescent="0.25">
      <c r="A17077" s="2">
        <v>17072</v>
      </c>
      <c r="B17077" s="11" t="str">
        <f>"00781082"</f>
        <v>00781082</v>
      </c>
    </row>
    <row r="17078" spans="1:2" x14ac:dyDescent="0.25">
      <c r="A17078" s="2">
        <v>17073</v>
      </c>
      <c r="B17078" s="11" t="str">
        <f>"00781102"</f>
        <v>00781102</v>
      </c>
    </row>
    <row r="17079" spans="1:2" x14ac:dyDescent="0.25">
      <c r="A17079" s="2">
        <v>17074</v>
      </c>
      <c r="B17079" s="11" t="str">
        <f>"00781113"</f>
        <v>00781113</v>
      </c>
    </row>
    <row r="17080" spans="1:2" x14ac:dyDescent="0.25">
      <c r="A17080" s="2">
        <v>17075</v>
      </c>
      <c r="B17080" s="11" t="str">
        <f>"00781131"</f>
        <v>00781131</v>
      </c>
    </row>
    <row r="17081" spans="1:2" x14ac:dyDescent="0.25">
      <c r="A17081" s="2">
        <v>17076</v>
      </c>
      <c r="B17081" s="11" t="str">
        <f>"00781156"</f>
        <v>00781156</v>
      </c>
    </row>
    <row r="17082" spans="1:2" x14ac:dyDescent="0.25">
      <c r="A17082" s="2">
        <v>17077</v>
      </c>
      <c r="B17082" s="11" t="str">
        <f>"00781164"</f>
        <v>00781164</v>
      </c>
    </row>
    <row r="17083" spans="1:2" x14ac:dyDescent="0.25">
      <c r="A17083" s="2">
        <v>17078</v>
      </c>
      <c r="B17083" s="11" t="str">
        <f>"00781169"</f>
        <v>00781169</v>
      </c>
    </row>
    <row r="17084" spans="1:2" x14ac:dyDescent="0.25">
      <c r="A17084" s="2">
        <v>17079</v>
      </c>
      <c r="B17084" s="11" t="str">
        <f>"00781179"</f>
        <v>00781179</v>
      </c>
    </row>
    <row r="17085" spans="1:2" x14ac:dyDescent="0.25">
      <c r="A17085" s="2">
        <v>17080</v>
      </c>
      <c r="B17085" s="11" t="str">
        <f>"00781215"</f>
        <v>00781215</v>
      </c>
    </row>
    <row r="17086" spans="1:2" x14ac:dyDescent="0.25">
      <c r="A17086" s="2">
        <v>17081</v>
      </c>
      <c r="B17086" s="11" t="str">
        <f>"00781217"</f>
        <v>00781217</v>
      </c>
    </row>
    <row r="17087" spans="1:2" x14ac:dyDescent="0.25">
      <c r="A17087" s="2">
        <v>17082</v>
      </c>
      <c r="B17087" s="11" t="str">
        <f>"00781229"</f>
        <v>00781229</v>
      </c>
    </row>
    <row r="17088" spans="1:2" x14ac:dyDescent="0.25">
      <c r="A17088" s="2">
        <v>17083</v>
      </c>
      <c r="B17088" s="11" t="str">
        <f>"00781246"</f>
        <v>00781246</v>
      </c>
    </row>
    <row r="17089" spans="1:2" x14ac:dyDescent="0.25">
      <c r="A17089" s="2">
        <v>17084</v>
      </c>
      <c r="B17089" s="11" t="str">
        <f>"00781322"</f>
        <v>00781322</v>
      </c>
    </row>
    <row r="17090" spans="1:2" x14ac:dyDescent="0.25">
      <c r="A17090" s="2">
        <v>17085</v>
      </c>
      <c r="B17090" s="11" t="str">
        <f>"00781329"</f>
        <v>00781329</v>
      </c>
    </row>
    <row r="17091" spans="1:2" x14ac:dyDescent="0.25">
      <c r="A17091" s="2">
        <v>17086</v>
      </c>
      <c r="B17091" s="11" t="str">
        <f>"00781339"</f>
        <v>00781339</v>
      </c>
    </row>
    <row r="17092" spans="1:2" x14ac:dyDescent="0.25">
      <c r="A17092" s="2">
        <v>17087</v>
      </c>
      <c r="B17092" s="11" t="str">
        <f>"00781347"</f>
        <v>00781347</v>
      </c>
    </row>
    <row r="17093" spans="1:2" x14ac:dyDescent="0.25">
      <c r="A17093" s="2">
        <v>17088</v>
      </c>
      <c r="B17093" s="11" t="str">
        <f>"00781451"</f>
        <v>00781451</v>
      </c>
    </row>
    <row r="17094" spans="1:2" x14ac:dyDescent="0.25">
      <c r="A17094" s="2">
        <v>17089</v>
      </c>
      <c r="B17094" s="11" t="str">
        <f>"00781480"</f>
        <v>00781480</v>
      </c>
    </row>
    <row r="17095" spans="1:2" x14ac:dyDescent="0.25">
      <c r="A17095" s="2">
        <v>17090</v>
      </c>
      <c r="B17095" s="11" t="str">
        <f>"00781513"</f>
        <v>00781513</v>
      </c>
    </row>
    <row r="17096" spans="1:2" x14ac:dyDescent="0.25">
      <c r="A17096" s="2">
        <v>17091</v>
      </c>
      <c r="B17096" s="11" t="str">
        <f>"00781577"</f>
        <v>00781577</v>
      </c>
    </row>
    <row r="17097" spans="1:2" x14ac:dyDescent="0.25">
      <c r="A17097" s="2">
        <v>17092</v>
      </c>
      <c r="B17097" s="11" t="str">
        <f>"00781578"</f>
        <v>00781578</v>
      </c>
    </row>
    <row r="17098" spans="1:2" x14ac:dyDescent="0.25">
      <c r="A17098" s="2">
        <v>17093</v>
      </c>
      <c r="B17098" s="11" t="str">
        <f>"00781581"</f>
        <v>00781581</v>
      </c>
    </row>
    <row r="17099" spans="1:2" x14ac:dyDescent="0.25">
      <c r="A17099" s="2">
        <v>17094</v>
      </c>
      <c r="B17099" s="11" t="str">
        <f>"00781598"</f>
        <v>00781598</v>
      </c>
    </row>
    <row r="17100" spans="1:2" x14ac:dyDescent="0.25">
      <c r="A17100" s="2">
        <v>17095</v>
      </c>
      <c r="B17100" s="11" t="str">
        <f>"00781629"</f>
        <v>00781629</v>
      </c>
    </row>
    <row r="17101" spans="1:2" x14ac:dyDescent="0.25">
      <c r="A17101" s="2">
        <v>17096</v>
      </c>
      <c r="B17101" s="11" t="str">
        <f>"00781663"</f>
        <v>00781663</v>
      </c>
    </row>
    <row r="17102" spans="1:2" x14ac:dyDescent="0.25">
      <c r="A17102" s="2">
        <v>17097</v>
      </c>
      <c r="B17102" s="11" t="str">
        <f>"00781669"</f>
        <v>00781669</v>
      </c>
    </row>
    <row r="17103" spans="1:2" x14ac:dyDescent="0.25">
      <c r="A17103" s="2">
        <v>17098</v>
      </c>
      <c r="B17103" s="11" t="str">
        <f>"00781685"</f>
        <v>00781685</v>
      </c>
    </row>
    <row r="17104" spans="1:2" x14ac:dyDescent="0.25">
      <c r="A17104" s="2">
        <v>17099</v>
      </c>
      <c r="B17104" s="11" t="str">
        <f>"00781688"</f>
        <v>00781688</v>
      </c>
    </row>
    <row r="17105" spans="1:2" x14ac:dyDescent="0.25">
      <c r="A17105" s="2">
        <v>17100</v>
      </c>
      <c r="B17105" s="11" t="str">
        <f>"00781690"</f>
        <v>00781690</v>
      </c>
    </row>
    <row r="17106" spans="1:2" x14ac:dyDescent="0.25">
      <c r="A17106" s="2">
        <v>17101</v>
      </c>
      <c r="B17106" s="11" t="str">
        <f>"00781742"</f>
        <v>00781742</v>
      </c>
    </row>
    <row r="17107" spans="1:2" x14ac:dyDescent="0.25">
      <c r="A17107" s="2">
        <v>17102</v>
      </c>
      <c r="B17107" s="11" t="str">
        <f>"00781743"</f>
        <v>00781743</v>
      </c>
    </row>
    <row r="17108" spans="1:2" x14ac:dyDescent="0.25">
      <c r="A17108" s="2">
        <v>17103</v>
      </c>
      <c r="B17108" s="11" t="str">
        <f>"00781756"</f>
        <v>00781756</v>
      </c>
    </row>
    <row r="17109" spans="1:2" x14ac:dyDescent="0.25">
      <c r="A17109" s="2">
        <v>17104</v>
      </c>
      <c r="B17109" s="11" t="str">
        <f>"00781776"</f>
        <v>00781776</v>
      </c>
    </row>
    <row r="17110" spans="1:2" x14ac:dyDescent="0.25">
      <c r="A17110" s="2">
        <v>17105</v>
      </c>
      <c r="B17110" s="11" t="str">
        <f>"00781791"</f>
        <v>00781791</v>
      </c>
    </row>
    <row r="17111" spans="1:2" x14ac:dyDescent="0.25">
      <c r="A17111" s="2">
        <v>17106</v>
      </c>
      <c r="B17111" s="11" t="str">
        <f>"00781836"</f>
        <v>00781836</v>
      </c>
    </row>
    <row r="17112" spans="1:2" x14ac:dyDescent="0.25">
      <c r="A17112" s="2">
        <v>17107</v>
      </c>
      <c r="B17112" s="11" t="str">
        <f>"00781844"</f>
        <v>00781844</v>
      </c>
    </row>
    <row r="17113" spans="1:2" x14ac:dyDescent="0.25">
      <c r="A17113" s="2">
        <v>17108</v>
      </c>
      <c r="B17113" s="11" t="str">
        <f>"00781848"</f>
        <v>00781848</v>
      </c>
    </row>
    <row r="17114" spans="1:2" x14ac:dyDescent="0.25">
      <c r="A17114" s="2">
        <v>17109</v>
      </c>
      <c r="B17114" s="11" t="str">
        <f>"00781877"</f>
        <v>00781877</v>
      </c>
    </row>
    <row r="17115" spans="1:2" x14ac:dyDescent="0.25">
      <c r="A17115" s="2">
        <v>17110</v>
      </c>
      <c r="B17115" s="11" t="str">
        <f>"00781880"</f>
        <v>00781880</v>
      </c>
    </row>
    <row r="17116" spans="1:2" x14ac:dyDescent="0.25">
      <c r="A17116" s="2">
        <v>17111</v>
      </c>
      <c r="B17116" s="11" t="str">
        <f>"00781926"</f>
        <v>00781926</v>
      </c>
    </row>
    <row r="17117" spans="1:2" x14ac:dyDescent="0.25">
      <c r="A17117" s="2">
        <v>17112</v>
      </c>
      <c r="B17117" s="11" t="str">
        <f>"00781943"</f>
        <v>00781943</v>
      </c>
    </row>
    <row r="17118" spans="1:2" x14ac:dyDescent="0.25">
      <c r="A17118" s="2">
        <v>17113</v>
      </c>
      <c r="B17118" s="11" t="str">
        <f>"00781969"</f>
        <v>00781969</v>
      </c>
    </row>
    <row r="17119" spans="1:2" x14ac:dyDescent="0.25">
      <c r="A17119" s="2">
        <v>17114</v>
      </c>
      <c r="B17119" s="11" t="str">
        <f>"00781986"</f>
        <v>00781986</v>
      </c>
    </row>
    <row r="17120" spans="1:2" x14ac:dyDescent="0.25">
      <c r="A17120" s="2">
        <v>17115</v>
      </c>
      <c r="B17120" s="11" t="str">
        <f>"00781998"</f>
        <v>00781998</v>
      </c>
    </row>
    <row r="17121" spans="1:2" x14ac:dyDescent="0.25">
      <c r="A17121" s="2">
        <v>17116</v>
      </c>
      <c r="B17121" s="11" t="str">
        <f>"00782002"</f>
        <v>00782002</v>
      </c>
    </row>
    <row r="17122" spans="1:2" x14ac:dyDescent="0.25">
      <c r="A17122" s="2">
        <v>17117</v>
      </c>
      <c r="B17122" s="11" t="str">
        <f>"00782021"</f>
        <v>00782021</v>
      </c>
    </row>
    <row r="17123" spans="1:2" x14ac:dyDescent="0.25">
      <c r="A17123" s="2">
        <v>17118</v>
      </c>
      <c r="B17123" s="11" t="str">
        <f>"00782036"</f>
        <v>00782036</v>
      </c>
    </row>
    <row r="17124" spans="1:2" x14ac:dyDescent="0.25">
      <c r="A17124" s="2">
        <v>17119</v>
      </c>
      <c r="B17124" s="11" t="str">
        <f>"00782067"</f>
        <v>00782067</v>
      </c>
    </row>
    <row r="17125" spans="1:2" x14ac:dyDescent="0.25">
      <c r="A17125" s="2">
        <v>17120</v>
      </c>
      <c r="B17125" s="11" t="str">
        <f>"00782155"</f>
        <v>00782155</v>
      </c>
    </row>
    <row r="17126" spans="1:2" x14ac:dyDescent="0.25">
      <c r="A17126" s="2">
        <v>17121</v>
      </c>
      <c r="B17126" s="11" t="str">
        <f>"00782240"</f>
        <v>00782240</v>
      </c>
    </row>
    <row r="17127" spans="1:2" x14ac:dyDescent="0.25">
      <c r="A17127" s="2">
        <v>17122</v>
      </c>
      <c r="B17127" s="11" t="str">
        <f>"00782287"</f>
        <v>00782287</v>
      </c>
    </row>
    <row r="17128" spans="1:2" x14ac:dyDescent="0.25">
      <c r="A17128" s="2">
        <v>17123</v>
      </c>
      <c r="B17128" s="11" t="str">
        <f>"00782295"</f>
        <v>00782295</v>
      </c>
    </row>
    <row r="17129" spans="1:2" x14ac:dyDescent="0.25">
      <c r="A17129" s="2">
        <v>17124</v>
      </c>
      <c r="B17129" s="11" t="str">
        <f>"00782297"</f>
        <v>00782297</v>
      </c>
    </row>
    <row r="17130" spans="1:2" x14ac:dyDescent="0.25">
      <c r="A17130" s="2">
        <v>17125</v>
      </c>
      <c r="B17130" s="11" t="str">
        <f>"00782317"</f>
        <v>00782317</v>
      </c>
    </row>
    <row r="17131" spans="1:2" x14ac:dyDescent="0.25">
      <c r="A17131" s="2">
        <v>17126</v>
      </c>
      <c r="B17131" s="11" t="str">
        <f>"00782343"</f>
        <v>00782343</v>
      </c>
    </row>
    <row r="17132" spans="1:2" x14ac:dyDescent="0.25">
      <c r="A17132" s="2">
        <v>17127</v>
      </c>
      <c r="B17132" s="11" t="str">
        <f>"00782348"</f>
        <v>00782348</v>
      </c>
    </row>
    <row r="17133" spans="1:2" x14ac:dyDescent="0.25">
      <c r="A17133" s="2">
        <v>17128</v>
      </c>
      <c r="B17133" s="11" t="str">
        <f>"00782353"</f>
        <v>00782353</v>
      </c>
    </row>
    <row r="17134" spans="1:2" x14ac:dyDescent="0.25">
      <c r="A17134" s="2">
        <v>17129</v>
      </c>
      <c r="B17134" s="11" t="str">
        <f>"00782417"</f>
        <v>00782417</v>
      </c>
    </row>
    <row r="17135" spans="1:2" x14ac:dyDescent="0.25">
      <c r="A17135" s="2">
        <v>17130</v>
      </c>
      <c r="B17135" s="11" t="str">
        <f>"00782427"</f>
        <v>00782427</v>
      </c>
    </row>
    <row r="17136" spans="1:2" x14ac:dyDescent="0.25">
      <c r="A17136" s="2">
        <v>17131</v>
      </c>
      <c r="B17136" s="11" t="str">
        <f>"00782495"</f>
        <v>00782495</v>
      </c>
    </row>
    <row r="17137" spans="1:2" x14ac:dyDescent="0.25">
      <c r="A17137" s="2">
        <v>17132</v>
      </c>
      <c r="B17137" s="11" t="str">
        <f>"00782521"</f>
        <v>00782521</v>
      </c>
    </row>
    <row r="17138" spans="1:2" x14ac:dyDescent="0.25">
      <c r="A17138" s="2">
        <v>17133</v>
      </c>
      <c r="B17138" s="11" t="str">
        <f>"00782525"</f>
        <v>00782525</v>
      </c>
    </row>
    <row r="17139" spans="1:2" x14ac:dyDescent="0.25">
      <c r="A17139" s="2">
        <v>17134</v>
      </c>
      <c r="B17139" s="11" t="str">
        <f>"00782565"</f>
        <v>00782565</v>
      </c>
    </row>
    <row r="17140" spans="1:2" x14ac:dyDescent="0.25">
      <c r="A17140" s="2">
        <v>17135</v>
      </c>
      <c r="B17140" s="11" t="str">
        <f>"00782632"</f>
        <v>00782632</v>
      </c>
    </row>
    <row r="17141" spans="1:2" x14ac:dyDescent="0.25">
      <c r="A17141" s="2">
        <v>17136</v>
      </c>
      <c r="B17141" s="11" t="str">
        <f>"00782680"</f>
        <v>00782680</v>
      </c>
    </row>
    <row r="17142" spans="1:2" x14ac:dyDescent="0.25">
      <c r="A17142" s="2">
        <v>17137</v>
      </c>
      <c r="B17142" s="11" t="str">
        <f>"00782696"</f>
        <v>00782696</v>
      </c>
    </row>
    <row r="17143" spans="1:2" x14ac:dyDescent="0.25">
      <c r="A17143" s="2">
        <v>17138</v>
      </c>
      <c r="B17143" s="11" t="str">
        <f>"00782732"</f>
        <v>00782732</v>
      </c>
    </row>
    <row r="17144" spans="1:2" x14ac:dyDescent="0.25">
      <c r="A17144" s="2">
        <v>17139</v>
      </c>
      <c r="B17144" s="11" t="str">
        <f>"00782755"</f>
        <v>00782755</v>
      </c>
    </row>
    <row r="17145" spans="1:2" x14ac:dyDescent="0.25">
      <c r="A17145" s="2">
        <v>17140</v>
      </c>
      <c r="B17145" s="11" t="str">
        <f>"00782758"</f>
        <v>00782758</v>
      </c>
    </row>
    <row r="17146" spans="1:2" x14ac:dyDescent="0.25">
      <c r="A17146" s="2">
        <v>17141</v>
      </c>
      <c r="B17146" s="11" t="str">
        <f>"00782775"</f>
        <v>00782775</v>
      </c>
    </row>
    <row r="17147" spans="1:2" x14ac:dyDescent="0.25">
      <c r="A17147" s="2">
        <v>17142</v>
      </c>
      <c r="B17147" s="11" t="str">
        <f>"00782788"</f>
        <v>00782788</v>
      </c>
    </row>
    <row r="17148" spans="1:2" x14ac:dyDescent="0.25">
      <c r="A17148" s="2">
        <v>17143</v>
      </c>
      <c r="B17148" s="11" t="str">
        <f>"00782902"</f>
        <v>00782902</v>
      </c>
    </row>
    <row r="17149" spans="1:2" x14ac:dyDescent="0.25">
      <c r="A17149" s="2">
        <v>17144</v>
      </c>
      <c r="B17149" s="11" t="str">
        <f>"00782914"</f>
        <v>00782914</v>
      </c>
    </row>
    <row r="17150" spans="1:2" x14ac:dyDescent="0.25">
      <c r="A17150" s="2">
        <v>17145</v>
      </c>
      <c r="B17150" s="11" t="str">
        <f>"00782919"</f>
        <v>00782919</v>
      </c>
    </row>
    <row r="17151" spans="1:2" x14ac:dyDescent="0.25">
      <c r="A17151" s="2">
        <v>17146</v>
      </c>
      <c r="B17151" s="11" t="str">
        <f>"00783044"</f>
        <v>00783044</v>
      </c>
    </row>
    <row r="17152" spans="1:2" x14ac:dyDescent="0.25">
      <c r="A17152" s="2">
        <v>17147</v>
      </c>
      <c r="B17152" s="11" t="str">
        <f>"00783058"</f>
        <v>00783058</v>
      </c>
    </row>
    <row r="17153" spans="1:2" x14ac:dyDescent="0.25">
      <c r="A17153" s="2">
        <v>17148</v>
      </c>
      <c r="B17153" s="11" t="str">
        <f>"00783064"</f>
        <v>00783064</v>
      </c>
    </row>
    <row r="17154" spans="1:2" x14ac:dyDescent="0.25">
      <c r="A17154" s="2">
        <v>17149</v>
      </c>
      <c r="B17154" s="11" t="str">
        <f>"00783066"</f>
        <v>00783066</v>
      </c>
    </row>
    <row r="17155" spans="1:2" x14ac:dyDescent="0.25">
      <c r="A17155" s="2">
        <v>17150</v>
      </c>
      <c r="B17155" s="11" t="str">
        <f>"00783090"</f>
        <v>00783090</v>
      </c>
    </row>
    <row r="17156" spans="1:2" x14ac:dyDescent="0.25">
      <c r="A17156" s="2">
        <v>17151</v>
      </c>
      <c r="B17156" s="11" t="str">
        <f>"00783108"</f>
        <v>00783108</v>
      </c>
    </row>
    <row r="17157" spans="1:2" x14ac:dyDescent="0.25">
      <c r="A17157" s="2">
        <v>17152</v>
      </c>
      <c r="B17157" s="11" t="str">
        <f>"00783118"</f>
        <v>00783118</v>
      </c>
    </row>
    <row r="17158" spans="1:2" x14ac:dyDescent="0.25">
      <c r="A17158" s="2">
        <v>17153</v>
      </c>
      <c r="B17158" s="11" t="str">
        <f>"00783140"</f>
        <v>00783140</v>
      </c>
    </row>
    <row r="17159" spans="1:2" x14ac:dyDescent="0.25">
      <c r="A17159" s="2">
        <v>17154</v>
      </c>
      <c r="B17159" s="11" t="str">
        <f>"00783169"</f>
        <v>00783169</v>
      </c>
    </row>
    <row r="17160" spans="1:2" x14ac:dyDescent="0.25">
      <c r="A17160" s="2">
        <v>17155</v>
      </c>
      <c r="B17160" s="11" t="str">
        <f>"00783190"</f>
        <v>00783190</v>
      </c>
    </row>
    <row r="17161" spans="1:2" x14ac:dyDescent="0.25">
      <c r="A17161" s="2">
        <v>17156</v>
      </c>
      <c r="B17161" s="11" t="str">
        <f>"00783203"</f>
        <v>00783203</v>
      </c>
    </row>
    <row r="17162" spans="1:2" x14ac:dyDescent="0.25">
      <c r="A17162" s="2">
        <v>17157</v>
      </c>
      <c r="B17162" s="11" t="str">
        <f>"00783259"</f>
        <v>00783259</v>
      </c>
    </row>
    <row r="17163" spans="1:2" x14ac:dyDescent="0.25">
      <c r="A17163" s="2">
        <v>17158</v>
      </c>
      <c r="B17163" s="11" t="str">
        <f>"00783269"</f>
        <v>00783269</v>
      </c>
    </row>
    <row r="17164" spans="1:2" x14ac:dyDescent="0.25">
      <c r="A17164" s="2">
        <v>17159</v>
      </c>
      <c r="B17164" s="11" t="str">
        <f>"00783276"</f>
        <v>00783276</v>
      </c>
    </row>
    <row r="17165" spans="1:2" x14ac:dyDescent="0.25">
      <c r="A17165" s="2">
        <v>17160</v>
      </c>
      <c r="B17165" s="11" t="str">
        <f>"00783346"</f>
        <v>00783346</v>
      </c>
    </row>
    <row r="17166" spans="1:2" x14ac:dyDescent="0.25">
      <c r="A17166" s="2">
        <v>17161</v>
      </c>
      <c r="B17166" s="11" t="str">
        <f>"00783393"</f>
        <v>00783393</v>
      </c>
    </row>
    <row r="17167" spans="1:2" x14ac:dyDescent="0.25">
      <c r="A17167" s="2">
        <v>17162</v>
      </c>
      <c r="B17167" s="11" t="str">
        <f>"00783468"</f>
        <v>00783468</v>
      </c>
    </row>
    <row r="17168" spans="1:2" x14ac:dyDescent="0.25">
      <c r="A17168" s="2">
        <v>17163</v>
      </c>
      <c r="B17168" s="11" t="str">
        <f>"00783559"</f>
        <v>00783559</v>
      </c>
    </row>
    <row r="17169" spans="1:2" x14ac:dyDescent="0.25">
      <c r="A17169" s="2">
        <v>17164</v>
      </c>
      <c r="B17169" s="11" t="str">
        <f>"00783568"</f>
        <v>00783568</v>
      </c>
    </row>
    <row r="17170" spans="1:2" x14ac:dyDescent="0.25">
      <c r="A17170" s="2">
        <v>17165</v>
      </c>
      <c r="B17170" s="11" t="str">
        <f>"00783631"</f>
        <v>00783631</v>
      </c>
    </row>
    <row r="17171" spans="1:2" x14ac:dyDescent="0.25">
      <c r="A17171" s="2">
        <v>17166</v>
      </c>
      <c r="B17171" s="11" t="str">
        <f>"00783682"</f>
        <v>00783682</v>
      </c>
    </row>
    <row r="17172" spans="1:2" x14ac:dyDescent="0.25">
      <c r="A17172" s="2">
        <v>17167</v>
      </c>
      <c r="B17172" s="11" t="str">
        <f>"00783702"</f>
        <v>00783702</v>
      </c>
    </row>
    <row r="17173" spans="1:2" x14ac:dyDescent="0.25">
      <c r="A17173" s="2">
        <v>17168</v>
      </c>
      <c r="B17173" s="11" t="str">
        <f>"00783717"</f>
        <v>00783717</v>
      </c>
    </row>
    <row r="17174" spans="1:2" x14ac:dyDescent="0.25">
      <c r="A17174" s="2">
        <v>17169</v>
      </c>
      <c r="B17174" s="11" t="str">
        <f>"00783770"</f>
        <v>00783770</v>
      </c>
    </row>
    <row r="17175" spans="1:2" x14ac:dyDescent="0.25">
      <c r="A17175" s="2">
        <v>17170</v>
      </c>
      <c r="B17175" s="11" t="str">
        <f>"00783781"</f>
        <v>00783781</v>
      </c>
    </row>
    <row r="17176" spans="1:2" x14ac:dyDescent="0.25">
      <c r="A17176" s="2">
        <v>17171</v>
      </c>
      <c r="B17176" s="11" t="str">
        <f>"00783854"</f>
        <v>00783854</v>
      </c>
    </row>
    <row r="17177" spans="1:2" x14ac:dyDescent="0.25">
      <c r="A17177" s="2">
        <v>17172</v>
      </c>
      <c r="B17177" s="11" t="str">
        <f>"00783859"</f>
        <v>00783859</v>
      </c>
    </row>
    <row r="17178" spans="1:2" x14ac:dyDescent="0.25">
      <c r="A17178" s="2">
        <v>17173</v>
      </c>
      <c r="B17178" s="11" t="str">
        <f>"00783876"</f>
        <v>00783876</v>
      </c>
    </row>
    <row r="17179" spans="1:2" x14ac:dyDescent="0.25">
      <c r="A17179" s="2">
        <v>17174</v>
      </c>
      <c r="B17179" s="11" t="str">
        <f>"00783913"</f>
        <v>00783913</v>
      </c>
    </row>
    <row r="17180" spans="1:2" x14ac:dyDescent="0.25">
      <c r="A17180" s="2">
        <v>17175</v>
      </c>
      <c r="B17180" s="11" t="str">
        <f>"00783915"</f>
        <v>00783915</v>
      </c>
    </row>
    <row r="17181" spans="1:2" x14ac:dyDescent="0.25">
      <c r="A17181" s="2">
        <v>17176</v>
      </c>
      <c r="B17181" s="11" t="str">
        <f>"00783935"</f>
        <v>00783935</v>
      </c>
    </row>
    <row r="17182" spans="1:2" x14ac:dyDescent="0.25">
      <c r="A17182" s="2">
        <v>17177</v>
      </c>
      <c r="B17182" s="11" t="str">
        <f>"00783965"</f>
        <v>00783965</v>
      </c>
    </row>
    <row r="17183" spans="1:2" x14ac:dyDescent="0.25">
      <c r="A17183" s="2">
        <v>17178</v>
      </c>
      <c r="B17183" s="11" t="str">
        <f>"00783970"</f>
        <v>00783970</v>
      </c>
    </row>
    <row r="17184" spans="1:2" x14ac:dyDescent="0.25">
      <c r="A17184" s="2">
        <v>17179</v>
      </c>
      <c r="B17184" s="11" t="str">
        <f>"00784024"</f>
        <v>00784024</v>
      </c>
    </row>
    <row r="17185" spans="1:2" x14ac:dyDescent="0.25">
      <c r="A17185" s="2">
        <v>17180</v>
      </c>
      <c r="B17185" s="11" t="str">
        <f>"00784036"</f>
        <v>00784036</v>
      </c>
    </row>
    <row r="17186" spans="1:2" x14ac:dyDescent="0.25">
      <c r="A17186" s="2">
        <v>17181</v>
      </c>
      <c r="B17186" s="11" t="str">
        <f>"00784068"</f>
        <v>00784068</v>
      </c>
    </row>
    <row r="17187" spans="1:2" x14ac:dyDescent="0.25">
      <c r="A17187" s="2">
        <v>17182</v>
      </c>
      <c r="B17187" s="11" t="str">
        <f>"00784092"</f>
        <v>00784092</v>
      </c>
    </row>
    <row r="17188" spans="1:2" x14ac:dyDescent="0.25">
      <c r="A17188" s="2">
        <v>17183</v>
      </c>
      <c r="B17188" s="11" t="str">
        <f>"00784108"</f>
        <v>00784108</v>
      </c>
    </row>
    <row r="17189" spans="1:2" x14ac:dyDescent="0.25">
      <c r="A17189" s="2">
        <v>17184</v>
      </c>
      <c r="B17189" s="11" t="str">
        <f>"00784165"</f>
        <v>00784165</v>
      </c>
    </row>
    <row r="17190" spans="1:2" x14ac:dyDescent="0.25">
      <c r="A17190" s="2">
        <v>17185</v>
      </c>
      <c r="B17190" s="11" t="str">
        <f>"00784169"</f>
        <v>00784169</v>
      </c>
    </row>
    <row r="17191" spans="1:2" x14ac:dyDescent="0.25">
      <c r="A17191" s="2">
        <v>17186</v>
      </c>
      <c r="B17191" s="11" t="str">
        <f>"00784314"</f>
        <v>00784314</v>
      </c>
    </row>
    <row r="17192" spans="1:2" x14ac:dyDescent="0.25">
      <c r="A17192" s="2">
        <v>17187</v>
      </c>
      <c r="B17192" s="11" t="str">
        <f>"00784396"</f>
        <v>00784396</v>
      </c>
    </row>
    <row r="17193" spans="1:2" x14ac:dyDescent="0.25">
      <c r="A17193" s="2">
        <v>17188</v>
      </c>
      <c r="B17193" s="11" t="str">
        <f>"00784397"</f>
        <v>00784397</v>
      </c>
    </row>
    <row r="17194" spans="1:2" x14ac:dyDescent="0.25">
      <c r="A17194" s="2">
        <v>17189</v>
      </c>
      <c r="B17194" s="11" t="str">
        <f>"00784424"</f>
        <v>00784424</v>
      </c>
    </row>
    <row r="17195" spans="1:2" x14ac:dyDescent="0.25">
      <c r="A17195" s="2">
        <v>17190</v>
      </c>
      <c r="B17195" s="11" t="str">
        <f>"00784504"</f>
        <v>00784504</v>
      </c>
    </row>
    <row r="17196" spans="1:2" x14ac:dyDescent="0.25">
      <c r="A17196" s="2">
        <v>17191</v>
      </c>
      <c r="B17196" s="11" t="str">
        <f>"00784509"</f>
        <v>00784509</v>
      </c>
    </row>
    <row r="17197" spans="1:2" x14ac:dyDescent="0.25">
      <c r="A17197" s="2">
        <v>17192</v>
      </c>
      <c r="B17197" s="11" t="str">
        <f>"00784555"</f>
        <v>00784555</v>
      </c>
    </row>
    <row r="17198" spans="1:2" x14ac:dyDescent="0.25">
      <c r="A17198" s="2">
        <v>17193</v>
      </c>
      <c r="B17198" s="11" t="str">
        <f>"00784619"</f>
        <v>00784619</v>
      </c>
    </row>
    <row r="17199" spans="1:2" x14ac:dyDescent="0.25">
      <c r="A17199" s="2">
        <v>17194</v>
      </c>
      <c r="B17199" s="11" t="str">
        <f>"00784634"</f>
        <v>00784634</v>
      </c>
    </row>
    <row r="17200" spans="1:2" x14ac:dyDescent="0.25">
      <c r="A17200" s="2">
        <v>17195</v>
      </c>
      <c r="B17200" s="11" t="str">
        <f>"00784721"</f>
        <v>00784721</v>
      </c>
    </row>
    <row r="17201" spans="1:2" x14ac:dyDescent="0.25">
      <c r="A17201" s="2">
        <v>17196</v>
      </c>
      <c r="B17201" s="11" t="str">
        <f>"00784780"</f>
        <v>00784780</v>
      </c>
    </row>
    <row r="17202" spans="1:2" x14ac:dyDescent="0.25">
      <c r="A17202" s="2">
        <v>17197</v>
      </c>
      <c r="B17202" s="11" t="str">
        <f>"00784787"</f>
        <v>00784787</v>
      </c>
    </row>
    <row r="17203" spans="1:2" x14ac:dyDescent="0.25">
      <c r="A17203" s="2">
        <v>17198</v>
      </c>
      <c r="B17203" s="11" t="str">
        <f>"00784800"</f>
        <v>00784800</v>
      </c>
    </row>
    <row r="17204" spans="1:2" x14ac:dyDescent="0.25">
      <c r="A17204" s="2">
        <v>17199</v>
      </c>
      <c r="B17204" s="11" t="str">
        <f>"00784876"</f>
        <v>00784876</v>
      </c>
    </row>
    <row r="17205" spans="1:2" x14ac:dyDescent="0.25">
      <c r="A17205" s="2">
        <v>17200</v>
      </c>
      <c r="B17205" s="11" t="str">
        <f>"00784930"</f>
        <v>00784930</v>
      </c>
    </row>
    <row r="17206" spans="1:2" x14ac:dyDescent="0.25">
      <c r="A17206" s="2">
        <v>17201</v>
      </c>
      <c r="B17206" s="11" t="str">
        <f>"00785009"</f>
        <v>00785009</v>
      </c>
    </row>
    <row r="17207" spans="1:2" x14ac:dyDescent="0.25">
      <c r="A17207" s="2">
        <v>17202</v>
      </c>
      <c r="B17207" s="11" t="str">
        <f>"00785037"</f>
        <v>00785037</v>
      </c>
    </row>
    <row r="17208" spans="1:2" x14ac:dyDescent="0.25">
      <c r="A17208" s="2">
        <v>17203</v>
      </c>
      <c r="B17208" s="11" t="str">
        <f>"00785053"</f>
        <v>00785053</v>
      </c>
    </row>
    <row r="17209" spans="1:2" x14ac:dyDescent="0.25">
      <c r="A17209" s="2">
        <v>17204</v>
      </c>
      <c r="B17209" s="11" t="str">
        <f>"00785078"</f>
        <v>00785078</v>
      </c>
    </row>
    <row r="17210" spans="1:2" x14ac:dyDescent="0.25">
      <c r="A17210" s="2">
        <v>17205</v>
      </c>
      <c r="B17210" s="11" t="str">
        <f>"00785091"</f>
        <v>00785091</v>
      </c>
    </row>
    <row r="17211" spans="1:2" x14ac:dyDescent="0.25">
      <c r="A17211" s="2">
        <v>17206</v>
      </c>
      <c r="B17211" s="11" t="str">
        <f>"00785098"</f>
        <v>00785098</v>
      </c>
    </row>
    <row r="17212" spans="1:2" x14ac:dyDescent="0.25">
      <c r="A17212" s="2">
        <v>17207</v>
      </c>
      <c r="B17212" s="11" t="str">
        <f>"00785127"</f>
        <v>00785127</v>
      </c>
    </row>
    <row r="17213" spans="1:2" x14ac:dyDescent="0.25">
      <c r="A17213" s="2">
        <v>17208</v>
      </c>
      <c r="B17213" s="11" t="str">
        <f>"00785167"</f>
        <v>00785167</v>
      </c>
    </row>
    <row r="17214" spans="1:2" x14ac:dyDescent="0.25">
      <c r="A17214" s="2">
        <v>17209</v>
      </c>
      <c r="B17214" s="11" t="str">
        <f>"00785190"</f>
        <v>00785190</v>
      </c>
    </row>
    <row r="17215" spans="1:2" x14ac:dyDescent="0.25">
      <c r="A17215" s="2">
        <v>17210</v>
      </c>
      <c r="B17215" s="11" t="str">
        <f>"00785195"</f>
        <v>00785195</v>
      </c>
    </row>
    <row r="17216" spans="1:2" x14ac:dyDescent="0.25">
      <c r="A17216" s="2">
        <v>17211</v>
      </c>
      <c r="B17216" s="11" t="str">
        <f>"00785211"</f>
        <v>00785211</v>
      </c>
    </row>
    <row r="17217" spans="1:2" x14ac:dyDescent="0.25">
      <c r="A17217" s="2">
        <v>17212</v>
      </c>
      <c r="B17217" s="11" t="str">
        <f>"00785263"</f>
        <v>00785263</v>
      </c>
    </row>
    <row r="17218" spans="1:2" x14ac:dyDescent="0.25">
      <c r="A17218" s="2">
        <v>17213</v>
      </c>
      <c r="B17218" s="11" t="str">
        <f>"00785264"</f>
        <v>00785264</v>
      </c>
    </row>
    <row r="17219" spans="1:2" x14ac:dyDescent="0.25">
      <c r="A17219" s="2">
        <v>17214</v>
      </c>
      <c r="B17219" s="11" t="str">
        <f>"00785450"</f>
        <v>00785450</v>
      </c>
    </row>
    <row r="17220" spans="1:2" x14ac:dyDescent="0.25">
      <c r="A17220" s="2">
        <v>17215</v>
      </c>
      <c r="B17220" s="11" t="str">
        <f>"00785490"</f>
        <v>00785490</v>
      </c>
    </row>
    <row r="17221" spans="1:2" x14ac:dyDescent="0.25">
      <c r="A17221" s="2">
        <v>17216</v>
      </c>
      <c r="B17221" s="11" t="str">
        <f>"00785506"</f>
        <v>00785506</v>
      </c>
    </row>
    <row r="17222" spans="1:2" x14ac:dyDescent="0.25">
      <c r="A17222" s="2">
        <v>17217</v>
      </c>
      <c r="B17222" s="11" t="str">
        <f>"00785552"</f>
        <v>00785552</v>
      </c>
    </row>
    <row r="17223" spans="1:2" x14ac:dyDescent="0.25">
      <c r="A17223" s="2">
        <v>17218</v>
      </c>
      <c r="B17223" s="11" t="str">
        <f>"00785553"</f>
        <v>00785553</v>
      </c>
    </row>
    <row r="17224" spans="1:2" x14ac:dyDescent="0.25">
      <c r="A17224" s="2">
        <v>17219</v>
      </c>
      <c r="B17224" s="11" t="str">
        <f>"00785628"</f>
        <v>00785628</v>
      </c>
    </row>
    <row r="17225" spans="1:2" x14ac:dyDescent="0.25">
      <c r="A17225" s="2">
        <v>17220</v>
      </c>
      <c r="B17225" s="11" t="str">
        <f>"00785753"</f>
        <v>00785753</v>
      </c>
    </row>
    <row r="17226" spans="1:2" x14ac:dyDescent="0.25">
      <c r="A17226" s="2">
        <v>17221</v>
      </c>
      <c r="B17226" s="11" t="str">
        <f>"00785783"</f>
        <v>00785783</v>
      </c>
    </row>
    <row r="17227" spans="1:2" x14ac:dyDescent="0.25">
      <c r="A17227" s="2">
        <v>17222</v>
      </c>
      <c r="B17227" s="11" t="str">
        <f>"00785788"</f>
        <v>00785788</v>
      </c>
    </row>
    <row r="17228" spans="1:2" x14ac:dyDescent="0.25">
      <c r="A17228" s="2">
        <v>17223</v>
      </c>
      <c r="B17228" s="11" t="str">
        <f>"00785818"</f>
        <v>00785818</v>
      </c>
    </row>
    <row r="17229" spans="1:2" x14ac:dyDescent="0.25">
      <c r="A17229" s="2">
        <v>17224</v>
      </c>
      <c r="B17229" s="11" t="str">
        <f>"00785829"</f>
        <v>00785829</v>
      </c>
    </row>
    <row r="17230" spans="1:2" x14ac:dyDescent="0.25">
      <c r="A17230" s="2">
        <v>17225</v>
      </c>
      <c r="B17230" s="11" t="str">
        <f>"00785877"</f>
        <v>00785877</v>
      </c>
    </row>
    <row r="17231" spans="1:2" x14ac:dyDescent="0.25">
      <c r="A17231" s="2">
        <v>17226</v>
      </c>
      <c r="B17231" s="11" t="str">
        <f>"00785922"</f>
        <v>00785922</v>
      </c>
    </row>
    <row r="17232" spans="1:2" x14ac:dyDescent="0.25">
      <c r="A17232" s="2">
        <v>17227</v>
      </c>
      <c r="B17232" s="11" t="str">
        <f>"00785950"</f>
        <v>00785950</v>
      </c>
    </row>
    <row r="17233" spans="1:2" x14ac:dyDescent="0.25">
      <c r="A17233" s="2">
        <v>17228</v>
      </c>
      <c r="B17233" s="11" t="str">
        <f>"00785964"</f>
        <v>00785964</v>
      </c>
    </row>
    <row r="17234" spans="1:2" x14ac:dyDescent="0.25">
      <c r="A17234" s="2">
        <v>17229</v>
      </c>
      <c r="B17234" s="11" t="str">
        <f>"00785989"</f>
        <v>00785989</v>
      </c>
    </row>
    <row r="17235" spans="1:2" x14ac:dyDescent="0.25">
      <c r="A17235" s="2">
        <v>17230</v>
      </c>
      <c r="B17235" s="11" t="str">
        <f>"00786014"</f>
        <v>00786014</v>
      </c>
    </row>
    <row r="17236" spans="1:2" x14ac:dyDescent="0.25">
      <c r="A17236" s="2">
        <v>17231</v>
      </c>
      <c r="B17236" s="11" t="str">
        <f>"00786019"</f>
        <v>00786019</v>
      </c>
    </row>
    <row r="17237" spans="1:2" x14ac:dyDescent="0.25">
      <c r="A17237" s="2">
        <v>17232</v>
      </c>
      <c r="B17237" s="11" t="str">
        <f>"00786020"</f>
        <v>00786020</v>
      </c>
    </row>
    <row r="17238" spans="1:2" x14ac:dyDescent="0.25">
      <c r="A17238" s="2">
        <v>17233</v>
      </c>
      <c r="B17238" s="11" t="str">
        <f>"00786021"</f>
        <v>00786021</v>
      </c>
    </row>
    <row r="17239" spans="1:2" x14ac:dyDescent="0.25">
      <c r="A17239" s="2">
        <v>17234</v>
      </c>
      <c r="B17239" s="11" t="str">
        <f>"00786029"</f>
        <v>00786029</v>
      </c>
    </row>
    <row r="17240" spans="1:2" x14ac:dyDescent="0.25">
      <c r="A17240" s="2">
        <v>17235</v>
      </c>
      <c r="B17240" s="11" t="str">
        <f>"00786058"</f>
        <v>00786058</v>
      </c>
    </row>
    <row r="17241" spans="1:2" x14ac:dyDescent="0.25">
      <c r="A17241" s="2">
        <v>17236</v>
      </c>
      <c r="B17241" s="11" t="str">
        <f>"00786059"</f>
        <v>00786059</v>
      </c>
    </row>
    <row r="17242" spans="1:2" x14ac:dyDescent="0.25">
      <c r="A17242" s="2">
        <v>17237</v>
      </c>
      <c r="B17242" s="11" t="str">
        <f>"00786060"</f>
        <v>00786060</v>
      </c>
    </row>
    <row r="17243" spans="1:2" x14ac:dyDescent="0.25">
      <c r="A17243" s="2">
        <v>17238</v>
      </c>
      <c r="B17243" s="11" t="str">
        <f>"00786201"</f>
        <v>00786201</v>
      </c>
    </row>
    <row r="17244" spans="1:2" x14ac:dyDescent="0.25">
      <c r="A17244" s="2">
        <v>17239</v>
      </c>
      <c r="B17244" s="11" t="str">
        <f>"00786222"</f>
        <v>00786222</v>
      </c>
    </row>
    <row r="17245" spans="1:2" x14ac:dyDescent="0.25">
      <c r="A17245" s="2">
        <v>17240</v>
      </c>
      <c r="B17245" s="11" t="str">
        <f>"00786274"</f>
        <v>00786274</v>
      </c>
    </row>
    <row r="17246" spans="1:2" x14ac:dyDescent="0.25">
      <c r="A17246" s="2">
        <v>17241</v>
      </c>
      <c r="B17246" s="11" t="str">
        <f>"00786293"</f>
        <v>00786293</v>
      </c>
    </row>
    <row r="17247" spans="1:2" x14ac:dyDescent="0.25">
      <c r="A17247" s="2">
        <v>17242</v>
      </c>
      <c r="B17247" s="11" t="str">
        <f>"00786301"</f>
        <v>00786301</v>
      </c>
    </row>
    <row r="17248" spans="1:2" x14ac:dyDescent="0.25">
      <c r="A17248" s="2">
        <v>17243</v>
      </c>
      <c r="B17248" s="11" t="str">
        <f>"00786311"</f>
        <v>00786311</v>
      </c>
    </row>
    <row r="17249" spans="1:2" x14ac:dyDescent="0.25">
      <c r="A17249" s="2">
        <v>17244</v>
      </c>
      <c r="B17249" s="11" t="str">
        <f>"00786326"</f>
        <v>00786326</v>
      </c>
    </row>
    <row r="17250" spans="1:2" x14ac:dyDescent="0.25">
      <c r="A17250" s="2">
        <v>17245</v>
      </c>
      <c r="B17250" s="11" t="str">
        <f>"00786385"</f>
        <v>00786385</v>
      </c>
    </row>
    <row r="17251" spans="1:2" x14ac:dyDescent="0.25">
      <c r="A17251" s="2">
        <v>17246</v>
      </c>
      <c r="B17251" s="11" t="str">
        <f>"00786394"</f>
        <v>00786394</v>
      </c>
    </row>
    <row r="17252" spans="1:2" x14ac:dyDescent="0.25">
      <c r="A17252" s="2">
        <v>17247</v>
      </c>
      <c r="B17252" s="11" t="str">
        <f>"00786427"</f>
        <v>00786427</v>
      </c>
    </row>
    <row r="17253" spans="1:2" x14ac:dyDescent="0.25">
      <c r="A17253" s="2">
        <v>17248</v>
      </c>
      <c r="B17253" s="11" t="str">
        <f>"00786437"</f>
        <v>00786437</v>
      </c>
    </row>
    <row r="17254" spans="1:2" x14ac:dyDescent="0.25">
      <c r="A17254" s="2">
        <v>17249</v>
      </c>
      <c r="B17254" s="11" t="str">
        <f>"00786501"</f>
        <v>00786501</v>
      </c>
    </row>
    <row r="17255" spans="1:2" x14ac:dyDescent="0.25">
      <c r="A17255" s="2">
        <v>17250</v>
      </c>
      <c r="B17255" s="11" t="str">
        <f>"00786543"</f>
        <v>00786543</v>
      </c>
    </row>
    <row r="17256" spans="1:2" x14ac:dyDescent="0.25">
      <c r="A17256" s="2">
        <v>17251</v>
      </c>
      <c r="B17256" s="11" t="str">
        <f>"00786547"</f>
        <v>00786547</v>
      </c>
    </row>
    <row r="17257" spans="1:2" x14ac:dyDescent="0.25">
      <c r="A17257" s="2">
        <v>17252</v>
      </c>
      <c r="B17257" s="11" t="str">
        <f>"00786574"</f>
        <v>00786574</v>
      </c>
    </row>
    <row r="17258" spans="1:2" x14ac:dyDescent="0.25">
      <c r="A17258" s="2">
        <v>17253</v>
      </c>
      <c r="B17258" s="11" t="str">
        <f>"00786575"</f>
        <v>00786575</v>
      </c>
    </row>
    <row r="17259" spans="1:2" x14ac:dyDescent="0.25">
      <c r="A17259" s="2">
        <v>17254</v>
      </c>
      <c r="B17259" s="11" t="str">
        <f>"00786580"</f>
        <v>00786580</v>
      </c>
    </row>
    <row r="17260" spans="1:2" x14ac:dyDescent="0.25">
      <c r="A17260" s="2">
        <v>17255</v>
      </c>
      <c r="B17260" s="11" t="str">
        <f>"00786668"</f>
        <v>00786668</v>
      </c>
    </row>
    <row r="17261" spans="1:2" x14ac:dyDescent="0.25">
      <c r="A17261" s="2">
        <v>17256</v>
      </c>
      <c r="B17261" s="11" t="str">
        <f>"00786698"</f>
        <v>00786698</v>
      </c>
    </row>
    <row r="17262" spans="1:2" x14ac:dyDescent="0.25">
      <c r="A17262" s="2">
        <v>17257</v>
      </c>
      <c r="B17262" s="11" t="str">
        <f>"00786789"</f>
        <v>00786789</v>
      </c>
    </row>
    <row r="17263" spans="1:2" x14ac:dyDescent="0.25">
      <c r="A17263" s="2">
        <v>17258</v>
      </c>
      <c r="B17263" s="11" t="str">
        <f>"00786794"</f>
        <v>00786794</v>
      </c>
    </row>
    <row r="17264" spans="1:2" x14ac:dyDescent="0.25">
      <c r="A17264" s="2">
        <v>17259</v>
      </c>
      <c r="B17264" s="11" t="str">
        <f>"00786805"</f>
        <v>00786805</v>
      </c>
    </row>
    <row r="17265" spans="1:2" x14ac:dyDescent="0.25">
      <c r="A17265" s="2">
        <v>17260</v>
      </c>
      <c r="B17265" s="11" t="str">
        <f>"00786853"</f>
        <v>00786853</v>
      </c>
    </row>
    <row r="17266" spans="1:2" x14ac:dyDescent="0.25">
      <c r="A17266" s="2">
        <v>17261</v>
      </c>
      <c r="B17266" s="11" t="str">
        <f>"00786883"</f>
        <v>00786883</v>
      </c>
    </row>
    <row r="17267" spans="1:2" x14ac:dyDescent="0.25">
      <c r="A17267" s="2">
        <v>17262</v>
      </c>
      <c r="B17267" s="11" t="str">
        <f>"00786916"</f>
        <v>00786916</v>
      </c>
    </row>
    <row r="17268" spans="1:2" x14ac:dyDescent="0.25">
      <c r="A17268" s="2">
        <v>17263</v>
      </c>
      <c r="B17268" s="11" t="str">
        <f>"00786920"</f>
        <v>00786920</v>
      </c>
    </row>
    <row r="17269" spans="1:2" x14ac:dyDescent="0.25">
      <c r="A17269" s="2">
        <v>17264</v>
      </c>
      <c r="B17269" s="11" t="str">
        <f>"00786944"</f>
        <v>00786944</v>
      </c>
    </row>
    <row r="17270" spans="1:2" x14ac:dyDescent="0.25">
      <c r="A17270" s="2">
        <v>17265</v>
      </c>
      <c r="B17270" s="11" t="str">
        <f>"00786946"</f>
        <v>00786946</v>
      </c>
    </row>
    <row r="17271" spans="1:2" x14ac:dyDescent="0.25">
      <c r="A17271" s="2">
        <v>17266</v>
      </c>
      <c r="B17271" s="11" t="str">
        <f>"00786975"</f>
        <v>00786975</v>
      </c>
    </row>
    <row r="17272" spans="1:2" x14ac:dyDescent="0.25">
      <c r="A17272" s="2">
        <v>17267</v>
      </c>
      <c r="B17272" s="11" t="str">
        <f>"00787006"</f>
        <v>00787006</v>
      </c>
    </row>
    <row r="17273" spans="1:2" x14ac:dyDescent="0.25">
      <c r="A17273" s="2">
        <v>17268</v>
      </c>
      <c r="B17273" s="11" t="str">
        <f>"00787009"</f>
        <v>00787009</v>
      </c>
    </row>
    <row r="17274" spans="1:2" x14ac:dyDescent="0.25">
      <c r="A17274" s="2">
        <v>17269</v>
      </c>
      <c r="B17274" s="11" t="str">
        <f>"00787015"</f>
        <v>00787015</v>
      </c>
    </row>
    <row r="17275" spans="1:2" x14ac:dyDescent="0.25">
      <c r="A17275" s="2">
        <v>17270</v>
      </c>
      <c r="B17275" s="11" t="str">
        <f>"00787040"</f>
        <v>00787040</v>
      </c>
    </row>
    <row r="17276" spans="1:2" x14ac:dyDescent="0.25">
      <c r="A17276" s="2">
        <v>17271</v>
      </c>
      <c r="B17276" s="11" t="str">
        <f>"00787043"</f>
        <v>00787043</v>
      </c>
    </row>
    <row r="17277" spans="1:2" x14ac:dyDescent="0.25">
      <c r="A17277" s="2">
        <v>17272</v>
      </c>
      <c r="B17277" s="11" t="str">
        <f>"00787142"</f>
        <v>00787142</v>
      </c>
    </row>
    <row r="17278" spans="1:2" x14ac:dyDescent="0.25">
      <c r="A17278" s="2">
        <v>17273</v>
      </c>
      <c r="B17278" s="11" t="str">
        <f>"00787159"</f>
        <v>00787159</v>
      </c>
    </row>
    <row r="17279" spans="1:2" x14ac:dyDescent="0.25">
      <c r="A17279" s="2">
        <v>17274</v>
      </c>
      <c r="B17279" s="11" t="str">
        <f>"00787164"</f>
        <v>00787164</v>
      </c>
    </row>
    <row r="17280" spans="1:2" x14ac:dyDescent="0.25">
      <c r="A17280" s="2">
        <v>17275</v>
      </c>
      <c r="B17280" s="11" t="str">
        <f>"00787197"</f>
        <v>00787197</v>
      </c>
    </row>
    <row r="17281" spans="1:2" x14ac:dyDescent="0.25">
      <c r="A17281" s="2">
        <v>17276</v>
      </c>
      <c r="B17281" s="11" t="str">
        <f>"00787223"</f>
        <v>00787223</v>
      </c>
    </row>
    <row r="17282" spans="1:2" x14ac:dyDescent="0.25">
      <c r="A17282" s="2">
        <v>17277</v>
      </c>
      <c r="B17282" s="11" t="str">
        <f>"00787224"</f>
        <v>00787224</v>
      </c>
    </row>
    <row r="17283" spans="1:2" x14ac:dyDescent="0.25">
      <c r="A17283" s="2">
        <v>17278</v>
      </c>
      <c r="B17283" s="11" t="str">
        <f>"00787239"</f>
        <v>00787239</v>
      </c>
    </row>
    <row r="17284" spans="1:2" x14ac:dyDescent="0.25">
      <c r="A17284" s="2">
        <v>17279</v>
      </c>
      <c r="B17284" s="11" t="str">
        <f>"00787244"</f>
        <v>00787244</v>
      </c>
    </row>
    <row r="17285" spans="1:2" x14ac:dyDescent="0.25">
      <c r="A17285" s="2">
        <v>17280</v>
      </c>
      <c r="B17285" s="11" t="str">
        <f>"00787245"</f>
        <v>00787245</v>
      </c>
    </row>
    <row r="17286" spans="1:2" x14ac:dyDescent="0.25">
      <c r="A17286" s="2">
        <v>17281</v>
      </c>
      <c r="B17286" s="11" t="str">
        <f>"00787266"</f>
        <v>00787266</v>
      </c>
    </row>
    <row r="17287" spans="1:2" x14ac:dyDescent="0.25">
      <c r="A17287" s="2">
        <v>17282</v>
      </c>
      <c r="B17287" s="11" t="str">
        <f>"00787271"</f>
        <v>00787271</v>
      </c>
    </row>
    <row r="17288" spans="1:2" x14ac:dyDescent="0.25">
      <c r="A17288" s="2">
        <v>17283</v>
      </c>
      <c r="B17288" s="11" t="str">
        <f>"00787272"</f>
        <v>00787272</v>
      </c>
    </row>
    <row r="17289" spans="1:2" x14ac:dyDescent="0.25">
      <c r="A17289" s="2">
        <v>17284</v>
      </c>
      <c r="B17289" s="11" t="str">
        <f>"00787318"</f>
        <v>00787318</v>
      </c>
    </row>
    <row r="17290" spans="1:2" x14ac:dyDescent="0.25">
      <c r="A17290" s="2">
        <v>17285</v>
      </c>
      <c r="B17290" s="11" t="str">
        <f>"00787417"</f>
        <v>00787417</v>
      </c>
    </row>
    <row r="17291" spans="1:2" x14ac:dyDescent="0.25">
      <c r="A17291" s="2">
        <v>17286</v>
      </c>
      <c r="B17291" s="11" t="str">
        <f>"00787428"</f>
        <v>00787428</v>
      </c>
    </row>
    <row r="17292" spans="1:2" x14ac:dyDescent="0.25">
      <c r="A17292" s="2">
        <v>17287</v>
      </c>
      <c r="B17292" s="11" t="str">
        <f>"00787429"</f>
        <v>00787429</v>
      </c>
    </row>
    <row r="17293" spans="1:2" x14ac:dyDescent="0.25">
      <c r="A17293" s="2">
        <v>17288</v>
      </c>
      <c r="B17293" s="11" t="str">
        <f>"00787437"</f>
        <v>00787437</v>
      </c>
    </row>
    <row r="17294" spans="1:2" x14ac:dyDescent="0.25">
      <c r="A17294" s="2">
        <v>17289</v>
      </c>
      <c r="B17294" s="11" t="str">
        <f>"00787457"</f>
        <v>00787457</v>
      </c>
    </row>
    <row r="17295" spans="1:2" x14ac:dyDescent="0.25">
      <c r="A17295" s="2">
        <v>17290</v>
      </c>
      <c r="B17295" s="11" t="str">
        <f>"00787467"</f>
        <v>00787467</v>
      </c>
    </row>
    <row r="17296" spans="1:2" x14ac:dyDescent="0.25">
      <c r="A17296" s="2">
        <v>17291</v>
      </c>
      <c r="B17296" s="11" t="str">
        <f>"00787521"</f>
        <v>00787521</v>
      </c>
    </row>
    <row r="17297" spans="1:2" x14ac:dyDescent="0.25">
      <c r="A17297" s="2">
        <v>17292</v>
      </c>
      <c r="B17297" s="11" t="str">
        <f>"00787527"</f>
        <v>00787527</v>
      </c>
    </row>
    <row r="17298" spans="1:2" x14ac:dyDescent="0.25">
      <c r="A17298" s="2">
        <v>17293</v>
      </c>
      <c r="B17298" s="11" t="str">
        <f>"00787572"</f>
        <v>00787572</v>
      </c>
    </row>
    <row r="17299" spans="1:2" x14ac:dyDescent="0.25">
      <c r="A17299" s="2">
        <v>17294</v>
      </c>
      <c r="B17299" s="11" t="str">
        <f>"00787594"</f>
        <v>00787594</v>
      </c>
    </row>
    <row r="17300" spans="1:2" x14ac:dyDescent="0.25">
      <c r="A17300" s="2">
        <v>17295</v>
      </c>
      <c r="B17300" s="11" t="str">
        <f>"00787613"</f>
        <v>00787613</v>
      </c>
    </row>
    <row r="17301" spans="1:2" x14ac:dyDescent="0.25">
      <c r="A17301" s="2">
        <v>17296</v>
      </c>
      <c r="B17301" s="11" t="str">
        <f>"00787619"</f>
        <v>00787619</v>
      </c>
    </row>
    <row r="17302" spans="1:2" x14ac:dyDescent="0.25">
      <c r="A17302" s="2">
        <v>17297</v>
      </c>
      <c r="B17302" s="11" t="str">
        <f>"00787627"</f>
        <v>00787627</v>
      </c>
    </row>
    <row r="17303" spans="1:2" x14ac:dyDescent="0.25">
      <c r="A17303" s="2">
        <v>17298</v>
      </c>
      <c r="B17303" s="11" t="str">
        <f>"00787667"</f>
        <v>00787667</v>
      </c>
    </row>
    <row r="17304" spans="1:2" x14ac:dyDescent="0.25">
      <c r="A17304" s="2">
        <v>17299</v>
      </c>
      <c r="B17304" s="11" t="str">
        <f>"00787699"</f>
        <v>00787699</v>
      </c>
    </row>
    <row r="17305" spans="1:2" x14ac:dyDescent="0.25">
      <c r="A17305" s="2">
        <v>17300</v>
      </c>
      <c r="B17305" s="11" t="str">
        <f>"00787765"</f>
        <v>00787765</v>
      </c>
    </row>
    <row r="17306" spans="1:2" x14ac:dyDescent="0.25">
      <c r="A17306" s="2">
        <v>17301</v>
      </c>
      <c r="B17306" s="11" t="str">
        <f>"00787769"</f>
        <v>00787769</v>
      </c>
    </row>
    <row r="17307" spans="1:2" x14ac:dyDescent="0.25">
      <c r="A17307" s="2">
        <v>17302</v>
      </c>
      <c r="B17307" s="11" t="str">
        <f>"00787777"</f>
        <v>00787777</v>
      </c>
    </row>
    <row r="17308" spans="1:2" x14ac:dyDescent="0.25">
      <c r="A17308" s="2">
        <v>17303</v>
      </c>
      <c r="B17308" s="11" t="str">
        <f>"00787782"</f>
        <v>00787782</v>
      </c>
    </row>
    <row r="17309" spans="1:2" x14ac:dyDescent="0.25">
      <c r="A17309" s="2">
        <v>17304</v>
      </c>
      <c r="B17309" s="11" t="str">
        <f>"00787784"</f>
        <v>00787784</v>
      </c>
    </row>
    <row r="17310" spans="1:2" x14ac:dyDescent="0.25">
      <c r="A17310" s="2">
        <v>17305</v>
      </c>
      <c r="B17310" s="11" t="str">
        <f>"00787807"</f>
        <v>00787807</v>
      </c>
    </row>
    <row r="17311" spans="1:2" x14ac:dyDescent="0.25">
      <c r="A17311" s="2">
        <v>17306</v>
      </c>
      <c r="B17311" s="11" t="str">
        <f>"00787823"</f>
        <v>00787823</v>
      </c>
    </row>
    <row r="17312" spans="1:2" x14ac:dyDescent="0.25">
      <c r="A17312" s="2">
        <v>17307</v>
      </c>
      <c r="B17312" s="11" t="str">
        <f>"00787852"</f>
        <v>00787852</v>
      </c>
    </row>
    <row r="17313" spans="1:2" x14ac:dyDescent="0.25">
      <c r="A17313" s="2">
        <v>17308</v>
      </c>
      <c r="B17313" s="11" t="str">
        <f>"00787871"</f>
        <v>00787871</v>
      </c>
    </row>
    <row r="17314" spans="1:2" x14ac:dyDescent="0.25">
      <c r="A17314" s="2">
        <v>17309</v>
      </c>
      <c r="B17314" s="11" t="str">
        <f>"00787883"</f>
        <v>00787883</v>
      </c>
    </row>
    <row r="17315" spans="1:2" x14ac:dyDescent="0.25">
      <c r="A17315" s="2">
        <v>17310</v>
      </c>
      <c r="B17315" s="11" t="str">
        <f>"00787904"</f>
        <v>00787904</v>
      </c>
    </row>
    <row r="17316" spans="1:2" x14ac:dyDescent="0.25">
      <c r="A17316" s="2">
        <v>17311</v>
      </c>
      <c r="B17316" s="11" t="str">
        <f>"00787912"</f>
        <v>00787912</v>
      </c>
    </row>
    <row r="17317" spans="1:2" x14ac:dyDescent="0.25">
      <c r="A17317" s="2">
        <v>17312</v>
      </c>
      <c r="B17317" s="11" t="str">
        <f>"00787970"</f>
        <v>00787970</v>
      </c>
    </row>
    <row r="17318" spans="1:2" x14ac:dyDescent="0.25">
      <c r="A17318" s="2">
        <v>17313</v>
      </c>
      <c r="B17318" s="11" t="str">
        <f>"00787982"</f>
        <v>00787982</v>
      </c>
    </row>
    <row r="17319" spans="1:2" x14ac:dyDescent="0.25">
      <c r="A17319" s="2">
        <v>17314</v>
      </c>
      <c r="B17319" s="11" t="str">
        <f>"00788047"</f>
        <v>00788047</v>
      </c>
    </row>
    <row r="17320" spans="1:2" x14ac:dyDescent="0.25">
      <c r="A17320" s="2">
        <v>17315</v>
      </c>
      <c r="B17320" s="11" t="str">
        <f>"00788069"</f>
        <v>00788069</v>
      </c>
    </row>
    <row r="17321" spans="1:2" x14ac:dyDescent="0.25">
      <c r="A17321" s="2">
        <v>17316</v>
      </c>
      <c r="B17321" s="11" t="str">
        <f>"00788073"</f>
        <v>00788073</v>
      </c>
    </row>
    <row r="17322" spans="1:2" x14ac:dyDescent="0.25">
      <c r="A17322" s="2">
        <v>17317</v>
      </c>
      <c r="B17322" s="11" t="str">
        <f>"00788077"</f>
        <v>00788077</v>
      </c>
    </row>
    <row r="17323" spans="1:2" x14ac:dyDescent="0.25">
      <c r="A17323" s="2">
        <v>17318</v>
      </c>
      <c r="B17323" s="11" t="str">
        <f>"00788085"</f>
        <v>00788085</v>
      </c>
    </row>
    <row r="17324" spans="1:2" x14ac:dyDescent="0.25">
      <c r="A17324" s="2">
        <v>17319</v>
      </c>
      <c r="B17324" s="11" t="str">
        <f>"00788087"</f>
        <v>00788087</v>
      </c>
    </row>
    <row r="17325" spans="1:2" x14ac:dyDescent="0.25">
      <c r="A17325" s="2">
        <v>17320</v>
      </c>
      <c r="B17325" s="11" t="str">
        <f>"00788117"</f>
        <v>00788117</v>
      </c>
    </row>
    <row r="17326" spans="1:2" x14ac:dyDescent="0.25">
      <c r="A17326" s="2">
        <v>17321</v>
      </c>
      <c r="B17326" s="11" t="str">
        <f>"00788153"</f>
        <v>00788153</v>
      </c>
    </row>
    <row r="17327" spans="1:2" x14ac:dyDescent="0.25">
      <c r="A17327" s="2">
        <v>17322</v>
      </c>
      <c r="B17327" s="11" t="str">
        <f>"00788191"</f>
        <v>00788191</v>
      </c>
    </row>
    <row r="17328" spans="1:2" x14ac:dyDescent="0.25">
      <c r="A17328" s="2">
        <v>17323</v>
      </c>
      <c r="B17328" s="11" t="str">
        <f>"00788238"</f>
        <v>00788238</v>
      </c>
    </row>
    <row r="17329" spans="1:2" x14ac:dyDescent="0.25">
      <c r="A17329" s="2">
        <v>17324</v>
      </c>
      <c r="B17329" s="11" t="str">
        <f>"00788240"</f>
        <v>00788240</v>
      </c>
    </row>
    <row r="17330" spans="1:2" x14ac:dyDescent="0.25">
      <c r="A17330" s="2">
        <v>17325</v>
      </c>
      <c r="B17330" s="11" t="str">
        <f>"00788283"</f>
        <v>00788283</v>
      </c>
    </row>
    <row r="17331" spans="1:2" x14ac:dyDescent="0.25">
      <c r="A17331" s="2">
        <v>17326</v>
      </c>
      <c r="B17331" s="11" t="str">
        <f>"00788395"</f>
        <v>00788395</v>
      </c>
    </row>
    <row r="17332" spans="1:2" x14ac:dyDescent="0.25">
      <c r="A17332" s="2">
        <v>17327</v>
      </c>
      <c r="B17332" s="11" t="str">
        <f>"00788400"</f>
        <v>00788400</v>
      </c>
    </row>
    <row r="17333" spans="1:2" x14ac:dyDescent="0.25">
      <c r="A17333" s="2">
        <v>17328</v>
      </c>
      <c r="B17333" s="11" t="str">
        <f>"00788429"</f>
        <v>00788429</v>
      </c>
    </row>
    <row r="17334" spans="1:2" x14ac:dyDescent="0.25">
      <c r="A17334" s="2">
        <v>17329</v>
      </c>
      <c r="B17334" s="11" t="str">
        <f>"00788437"</f>
        <v>00788437</v>
      </c>
    </row>
    <row r="17335" spans="1:2" x14ac:dyDescent="0.25">
      <c r="A17335" s="2">
        <v>17330</v>
      </c>
      <c r="B17335" s="11" t="str">
        <f>"00788441"</f>
        <v>00788441</v>
      </c>
    </row>
    <row r="17336" spans="1:2" x14ac:dyDescent="0.25">
      <c r="A17336" s="2">
        <v>17331</v>
      </c>
      <c r="B17336" s="11" t="str">
        <f>"00788444"</f>
        <v>00788444</v>
      </c>
    </row>
    <row r="17337" spans="1:2" x14ac:dyDescent="0.25">
      <c r="A17337" s="2">
        <v>17332</v>
      </c>
      <c r="B17337" s="11" t="str">
        <f>"00788458"</f>
        <v>00788458</v>
      </c>
    </row>
    <row r="17338" spans="1:2" x14ac:dyDescent="0.25">
      <c r="A17338" s="2">
        <v>17333</v>
      </c>
      <c r="B17338" s="11" t="str">
        <f>"00788461"</f>
        <v>00788461</v>
      </c>
    </row>
    <row r="17339" spans="1:2" x14ac:dyDescent="0.25">
      <c r="A17339" s="2">
        <v>17334</v>
      </c>
      <c r="B17339" s="11" t="str">
        <f>"00788470"</f>
        <v>00788470</v>
      </c>
    </row>
    <row r="17340" spans="1:2" x14ac:dyDescent="0.25">
      <c r="A17340" s="2">
        <v>17335</v>
      </c>
      <c r="B17340" s="11" t="str">
        <f>"00788831"</f>
        <v>00788831</v>
      </c>
    </row>
    <row r="17341" spans="1:2" x14ac:dyDescent="0.25">
      <c r="A17341" s="2">
        <v>17336</v>
      </c>
      <c r="B17341" s="11" t="str">
        <f>"00788836"</f>
        <v>00788836</v>
      </c>
    </row>
    <row r="17342" spans="1:2" x14ac:dyDescent="0.25">
      <c r="A17342" s="2">
        <v>17337</v>
      </c>
      <c r="B17342" s="11" t="str">
        <f>"00788847"</f>
        <v>00788847</v>
      </c>
    </row>
    <row r="17343" spans="1:2" x14ac:dyDescent="0.25">
      <c r="A17343" s="2">
        <v>17338</v>
      </c>
      <c r="B17343" s="11" t="str">
        <f>"00788905"</f>
        <v>00788905</v>
      </c>
    </row>
    <row r="17344" spans="1:2" x14ac:dyDescent="0.25">
      <c r="A17344" s="2">
        <v>17339</v>
      </c>
      <c r="B17344" s="11" t="str">
        <f>"00788906"</f>
        <v>00788906</v>
      </c>
    </row>
    <row r="17345" spans="1:2" x14ac:dyDescent="0.25">
      <c r="A17345" s="2">
        <v>17340</v>
      </c>
      <c r="B17345" s="11" t="str">
        <f>"00788943"</f>
        <v>00788943</v>
      </c>
    </row>
    <row r="17346" spans="1:2" x14ac:dyDescent="0.25">
      <c r="A17346" s="2">
        <v>17341</v>
      </c>
      <c r="B17346" s="11" t="str">
        <f>"00788961"</f>
        <v>00788961</v>
      </c>
    </row>
    <row r="17347" spans="1:2" x14ac:dyDescent="0.25">
      <c r="A17347" s="2">
        <v>17342</v>
      </c>
      <c r="B17347" s="11" t="str">
        <f>"00789019"</f>
        <v>00789019</v>
      </c>
    </row>
    <row r="17348" spans="1:2" x14ac:dyDescent="0.25">
      <c r="A17348" s="2">
        <v>17343</v>
      </c>
      <c r="B17348" s="11" t="str">
        <f>"00789047"</f>
        <v>00789047</v>
      </c>
    </row>
    <row r="17349" spans="1:2" x14ac:dyDescent="0.25">
      <c r="A17349" s="2">
        <v>17344</v>
      </c>
      <c r="B17349" s="11" t="str">
        <f>"00789080"</f>
        <v>00789080</v>
      </c>
    </row>
    <row r="17350" spans="1:2" x14ac:dyDescent="0.25">
      <c r="A17350" s="2">
        <v>17345</v>
      </c>
      <c r="B17350" s="11" t="str">
        <f>"00789082"</f>
        <v>00789082</v>
      </c>
    </row>
    <row r="17351" spans="1:2" x14ac:dyDescent="0.25">
      <c r="A17351" s="2">
        <v>17346</v>
      </c>
      <c r="B17351" s="11" t="str">
        <f>"00789095"</f>
        <v>00789095</v>
      </c>
    </row>
    <row r="17352" spans="1:2" x14ac:dyDescent="0.25">
      <c r="A17352" s="2">
        <v>17347</v>
      </c>
      <c r="B17352" s="11" t="str">
        <f>"00789114"</f>
        <v>00789114</v>
      </c>
    </row>
    <row r="17353" spans="1:2" x14ac:dyDescent="0.25">
      <c r="A17353" s="2">
        <v>17348</v>
      </c>
      <c r="B17353" s="11" t="str">
        <f>"00789171"</f>
        <v>00789171</v>
      </c>
    </row>
    <row r="17354" spans="1:2" x14ac:dyDescent="0.25">
      <c r="A17354" s="2">
        <v>17349</v>
      </c>
      <c r="B17354" s="11" t="str">
        <f>"00789177"</f>
        <v>00789177</v>
      </c>
    </row>
    <row r="17355" spans="1:2" x14ac:dyDescent="0.25">
      <c r="A17355" s="2">
        <v>17350</v>
      </c>
      <c r="B17355" s="11" t="str">
        <f>"00789186"</f>
        <v>00789186</v>
      </c>
    </row>
    <row r="17356" spans="1:2" x14ac:dyDescent="0.25">
      <c r="A17356" s="2">
        <v>17351</v>
      </c>
      <c r="B17356" s="11" t="str">
        <f>"00789222"</f>
        <v>00789222</v>
      </c>
    </row>
    <row r="17357" spans="1:2" x14ac:dyDescent="0.25">
      <c r="A17357" s="2">
        <v>17352</v>
      </c>
      <c r="B17357" s="11" t="str">
        <f>"00789237"</f>
        <v>00789237</v>
      </c>
    </row>
    <row r="17358" spans="1:2" x14ac:dyDescent="0.25">
      <c r="A17358" s="2">
        <v>17353</v>
      </c>
      <c r="B17358" s="11" t="str">
        <f>"00789241"</f>
        <v>00789241</v>
      </c>
    </row>
    <row r="17359" spans="1:2" x14ac:dyDescent="0.25">
      <c r="A17359" s="2">
        <v>17354</v>
      </c>
      <c r="B17359" s="11" t="str">
        <f>"00789257"</f>
        <v>00789257</v>
      </c>
    </row>
    <row r="17360" spans="1:2" x14ac:dyDescent="0.25">
      <c r="A17360" s="2">
        <v>17355</v>
      </c>
      <c r="B17360" s="11" t="str">
        <f>"00789288"</f>
        <v>00789288</v>
      </c>
    </row>
    <row r="17361" spans="1:2" x14ac:dyDescent="0.25">
      <c r="A17361" s="2">
        <v>17356</v>
      </c>
      <c r="B17361" s="11" t="str">
        <f>"00789321"</f>
        <v>00789321</v>
      </c>
    </row>
    <row r="17362" spans="1:2" x14ac:dyDescent="0.25">
      <c r="A17362" s="2">
        <v>17357</v>
      </c>
      <c r="B17362" s="11" t="str">
        <f>"00789335"</f>
        <v>00789335</v>
      </c>
    </row>
    <row r="17363" spans="1:2" x14ac:dyDescent="0.25">
      <c r="A17363" s="2">
        <v>17358</v>
      </c>
      <c r="B17363" s="11" t="str">
        <f>"00789345"</f>
        <v>00789345</v>
      </c>
    </row>
    <row r="17364" spans="1:2" x14ac:dyDescent="0.25">
      <c r="A17364" s="2">
        <v>17359</v>
      </c>
      <c r="B17364" s="11" t="str">
        <f>"00789356"</f>
        <v>00789356</v>
      </c>
    </row>
    <row r="17365" spans="1:2" x14ac:dyDescent="0.25">
      <c r="A17365" s="2">
        <v>17360</v>
      </c>
      <c r="B17365" s="11" t="str">
        <f>"00789374"</f>
        <v>00789374</v>
      </c>
    </row>
    <row r="17366" spans="1:2" x14ac:dyDescent="0.25">
      <c r="A17366" s="2">
        <v>17361</v>
      </c>
      <c r="B17366" s="11" t="str">
        <f>"00789377"</f>
        <v>00789377</v>
      </c>
    </row>
    <row r="17367" spans="1:2" x14ac:dyDescent="0.25">
      <c r="A17367" s="2">
        <v>17362</v>
      </c>
      <c r="B17367" s="11" t="str">
        <f>"00789389"</f>
        <v>00789389</v>
      </c>
    </row>
    <row r="17368" spans="1:2" x14ac:dyDescent="0.25">
      <c r="A17368" s="2">
        <v>17363</v>
      </c>
      <c r="B17368" s="11" t="str">
        <f>"00789482"</f>
        <v>00789482</v>
      </c>
    </row>
    <row r="17369" spans="1:2" x14ac:dyDescent="0.25">
      <c r="A17369" s="2">
        <v>17364</v>
      </c>
      <c r="B17369" s="11" t="str">
        <f>"00789522"</f>
        <v>00789522</v>
      </c>
    </row>
    <row r="17370" spans="1:2" x14ac:dyDescent="0.25">
      <c r="A17370" s="2">
        <v>17365</v>
      </c>
      <c r="B17370" s="11" t="str">
        <f>"00789551"</f>
        <v>00789551</v>
      </c>
    </row>
    <row r="17371" spans="1:2" x14ac:dyDescent="0.25">
      <c r="A17371" s="2">
        <v>17366</v>
      </c>
      <c r="B17371" s="11" t="str">
        <f>"00789570"</f>
        <v>00789570</v>
      </c>
    </row>
    <row r="17372" spans="1:2" x14ac:dyDescent="0.25">
      <c r="A17372" s="2">
        <v>17367</v>
      </c>
      <c r="B17372" s="11" t="str">
        <f>"00789611"</f>
        <v>00789611</v>
      </c>
    </row>
    <row r="17373" spans="1:2" x14ac:dyDescent="0.25">
      <c r="A17373" s="2">
        <v>17368</v>
      </c>
      <c r="B17373" s="11" t="str">
        <f>"00789629"</f>
        <v>00789629</v>
      </c>
    </row>
    <row r="17374" spans="1:2" x14ac:dyDescent="0.25">
      <c r="A17374" s="2">
        <v>17369</v>
      </c>
      <c r="B17374" s="11" t="str">
        <f>"00789639"</f>
        <v>00789639</v>
      </c>
    </row>
    <row r="17375" spans="1:2" x14ac:dyDescent="0.25">
      <c r="A17375" s="2">
        <v>17370</v>
      </c>
      <c r="B17375" s="11" t="str">
        <f>"00789641"</f>
        <v>00789641</v>
      </c>
    </row>
    <row r="17376" spans="1:2" x14ac:dyDescent="0.25">
      <c r="A17376" s="2">
        <v>17371</v>
      </c>
      <c r="B17376" s="11" t="str">
        <f>"00789678"</f>
        <v>00789678</v>
      </c>
    </row>
    <row r="17377" spans="1:2" x14ac:dyDescent="0.25">
      <c r="A17377" s="2">
        <v>17372</v>
      </c>
      <c r="B17377" s="11" t="str">
        <f>"00789706"</f>
        <v>00789706</v>
      </c>
    </row>
    <row r="17378" spans="1:2" x14ac:dyDescent="0.25">
      <c r="A17378" s="2">
        <v>17373</v>
      </c>
      <c r="B17378" s="11" t="str">
        <f>"00789717"</f>
        <v>00789717</v>
      </c>
    </row>
    <row r="17379" spans="1:2" x14ac:dyDescent="0.25">
      <c r="A17379" s="2">
        <v>17374</v>
      </c>
      <c r="B17379" s="11" t="str">
        <f>"00789736"</f>
        <v>00789736</v>
      </c>
    </row>
    <row r="17380" spans="1:2" x14ac:dyDescent="0.25">
      <c r="A17380" s="2">
        <v>17375</v>
      </c>
      <c r="B17380" s="11" t="str">
        <f>"00789740"</f>
        <v>00789740</v>
      </c>
    </row>
    <row r="17381" spans="1:2" x14ac:dyDescent="0.25">
      <c r="A17381" s="2">
        <v>17376</v>
      </c>
      <c r="B17381" s="11" t="str">
        <f>"00789758"</f>
        <v>00789758</v>
      </c>
    </row>
    <row r="17382" spans="1:2" x14ac:dyDescent="0.25">
      <c r="A17382" s="2">
        <v>17377</v>
      </c>
      <c r="B17382" s="11" t="str">
        <f>"00789769"</f>
        <v>00789769</v>
      </c>
    </row>
    <row r="17383" spans="1:2" x14ac:dyDescent="0.25">
      <c r="A17383" s="2">
        <v>17378</v>
      </c>
      <c r="B17383" s="11" t="str">
        <f>"00789785"</f>
        <v>00789785</v>
      </c>
    </row>
    <row r="17384" spans="1:2" x14ac:dyDescent="0.25">
      <c r="A17384" s="2">
        <v>17379</v>
      </c>
      <c r="B17384" s="11" t="str">
        <f>"00789786"</f>
        <v>00789786</v>
      </c>
    </row>
    <row r="17385" spans="1:2" x14ac:dyDescent="0.25">
      <c r="A17385" s="2">
        <v>17380</v>
      </c>
      <c r="B17385" s="11" t="str">
        <f>"00789795"</f>
        <v>00789795</v>
      </c>
    </row>
    <row r="17386" spans="1:2" x14ac:dyDescent="0.25">
      <c r="A17386" s="2">
        <v>17381</v>
      </c>
      <c r="B17386" s="11" t="str">
        <f>"00789831"</f>
        <v>00789831</v>
      </c>
    </row>
    <row r="17387" spans="1:2" x14ac:dyDescent="0.25">
      <c r="A17387" s="2">
        <v>17382</v>
      </c>
      <c r="B17387" s="11" t="str">
        <f>"00789835"</f>
        <v>00789835</v>
      </c>
    </row>
    <row r="17388" spans="1:2" x14ac:dyDescent="0.25">
      <c r="A17388" s="2">
        <v>17383</v>
      </c>
      <c r="B17388" s="11" t="str">
        <f>"00789843"</f>
        <v>00789843</v>
      </c>
    </row>
    <row r="17389" spans="1:2" x14ac:dyDescent="0.25">
      <c r="A17389" s="2">
        <v>17384</v>
      </c>
      <c r="B17389" s="11" t="str">
        <f>"00789873"</f>
        <v>00789873</v>
      </c>
    </row>
    <row r="17390" spans="1:2" x14ac:dyDescent="0.25">
      <c r="A17390" s="2">
        <v>17385</v>
      </c>
      <c r="B17390" s="11" t="str">
        <f>"00789882"</f>
        <v>00789882</v>
      </c>
    </row>
    <row r="17391" spans="1:2" x14ac:dyDescent="0.25">
      <c r="A17391" s="2">
        <v>17386</v>
      </c>
      <c r="B17391" s="11" t="str">
        <f>"00789885"</f>
        <v>00789885</v>
      </c>
    </row>
    <row r="17392" spans="1:2" x14ac:dyDescent="0.25">
      <c r="A17392" s="2">
        <v>17387</v>
      </c>
      <c r="B17392" s="11" t="str">
        <f>"00789943"</f>
        <v>00789943</v>
      </c>
    </row>
    <row r="17393" spans="1:2" x14ac:dyDescent="0.25">
      <c r="A17393" s="2">
        <v>17388</v>
      </c>
      <c r="B17393" s="11" t="str">
        <f>"00789951"</f>
        <v>00789951</v>
      </c>
    </row>
    <row r="17394" spans="1:2" x14ac:dyDescent="0.25">
      <c r="A17394" s="2">
        <v>17389</v>
      </c>
      <c r="B17394" s="11" t="str">
        <f>"00789960"</f>
        <v>00789960</v>
      </c>
    </row>
    <row r="17395" spans="1:2" x14ac:dyDescent="0.25">
      <c r="A17395" s="2">
        <v>17390</v>
      </c>
      <c r="B17395" s="11" t="str">
        <f>"00789961"</f>
        <v>00789961</v>
      </c>
    </row>
    <row r="17396" spans="1:2" x14ac:dyDescent="0.25">
      <c r="A17396" s="2">
        <v>17391</v>
      </c>
      <c r="B17396" s="11" t="str">
        <f>"00790023"</f>
        <v>00790023</v>
      </c>
    </row>
    <row r="17397" spans="1:2" x14ac:dyDescent="0.25">
      <c r="A17397" s="2">
        <v>17392</v>
      </c>
      <c r="B17397" s="11" t="str">
        <f>"00790050"</f>
        <v>00790050</v>
      </c>
    </row>
    <row r="17398" spans="1:2" x14ac:dyDescent="0.25">
      <c r="A17398" s="2">
        <v>17393</v>
      </c>
      <c r="B17398" s="11" t="str">
        <f>"00790063"</f>
        <v>00790063</v>
      </c>
    </row>
    <row r="17399" spans="1:2" x14ac:dyDescent="0.25">
      <c r="A17399" s="2">
        <v>17394</v>
      </c>
      <c r="B17399" s="11" t="str">
        <f>"00790073"</f>
        <v>00790073</v>
      </c>
    </row>
    <row r="17400" spans="1:2" x14ac:dyDescent="0.25">
      <c r="A17400" s="2">
        <v>17395</v>
      </c>
      <c r="B17400" s="11" t="str">
        <f>"00790122"</f>
        <v>00790122</v>
      </c>
    </row>
    <row r="17401" spans="1:2" x14ac:dyDescent="0.25">
      <c r="A17401" s="2">
        <v>17396</v>
      </c>
      <c r="B17401" s="11" t="str">
        <f>"00790138"</f>
        <v>00790138</v>
      </c>
    </row>
    <row r="17402" spans="1:2" x14ac:dyDescent="0.25">
      <c r="A17402" s="2">
        <v>17397</v>
      </c>
      <c r="B17402" s="11" t="str">
        <f>"00790143"</f>
        <v>00790143</v>
      </c>
    </row>
    <row r="17403" spans="1:2" x14ac:dyDescent="0.25">
      <c r="A17403" s="2">
        <v>17398</v>
      </c>
      <c r="B17403" s="11" t="str">
        <f>"00790167"</f>
        <v>00790167</v>
      </c>
    </row>
    <row r="17404" spans="1:2" x14ac:dyDescent="0.25">
      <c r="A17404" s="2">
        <v>17399</v>
      </c>
      <c r="B17404" s="11" t="str">
        <f>"00790176"</f>
        <v>00790176</v>
      </c>
    </row>
    <row r="17405" spans="1:2" x14ac:dyDescent="0.25">
      <c r="A17405" s="2">
        <v>17400</v>
      </c>
      <c r="B17405" s="11" t="str">
        <f>"00790207"</f>
        <v>00790207</v>
      </c>
    </row>
    <row r="17406" spans="1:2" x14ac:dyDescent="0.25">
      <c r="A17406" s="2">
        <v>17401</v>
      </c>
      <c r="B17406" s="11" t="str">
        <f>"00790222"</f>
        <v>00790222</v>
      </c>
    </row>
    <row r="17407" spans="1:2" x14ac:dyDescent="0.25">
      <c r="A17407" s="2">
        <v>17402</v>
      </c>
      <c r="B17407" s="11" t="str">
        <f>"00790247"</f>
        <v>00790247</v>
      </c>
    </row>
    <row r="17408" spans="1:2" x14ac:dyDescent="0.25">
      <c r="A17408" s="2">
        <v>17403</v>
      </c>
      <c r="B17408" s="11" t="str">
        <f>"00790256"</f>
        <v>00790256</v>
      </c>
    </row>
    <row r="17409" spans="1:2" x14ac:dyDescent="0.25">
      <c r="A17409" s="2">
        <v>17404</v>
      </c>
      <c r="B17409" s="11" t="str">
        <f>"00790328"</f>
        <v>00790328</v>
      </c>
    </row>
    <row r="17410" spans="1:2" x14ac:dyDescent="0.25">
      <c r="A17410" s="2">
        <v>17405</v>
      </c>
      <c r="B17410" s="11" t="str">
        <f>"00790338"</f>
        <v>00790338</v>
      </c>
    </row>
    <row r="17411" spans="1:2" x14ac:dyDescent="0.25">
      <c r="A17411" s="2">
        <v>17406</v>
      </c>
      <c r="B17411" s="11" t="str">
        <f>"00790343"</f>
        <v>00790343</v>
      </c>
    </row>
    <row r="17412" spans="1:2" x14ac:dyDescent="0.25">
      <c r="A17412" s="2">
        <v>17407</v>
      </c>
      <c r="B17412" s="11" t="str">
        <f>"00790344"</f>
        <v>00790344</v>
      </c>
    </row>
    <row r="17413" spans="1:2" x14ac:dyDescent="0.25">
      <c r="A17413" s="2">
        <v>17408</v>
      </c>
      <c r="B17413" s="11" t="str">
        <f>"00790366"</f>
        <v>00790366</v>
      </c>
    </row>
    <row r="17414" spans="1:2" x14ac:dyDescent="0.25">
      <c r="A17414" s="2">
        <v>17409</v>
      </c>
      <c r="B17414" s="11" t="str">
        <f>"00790375"</f>
        <v>00790375</v>
      </c>
    </row>
    <row r="17415" spans="1:2" x14ac:dyDescent="0.25">
      <c r="A17415" s="2">
        <v>17410</v>
      </c>
      <c r="B17415" s="11" t="str">
        <f>"00790386"</f>
        <v>00790386</v>
      </c>
    </row>
    <row r="17416" spans="1:2" x14ac:dyDescent="0.25">
      <c r="A17416" s="2">
        <v>17411</v>
      </c>
      <c r="B17416" s="11" t="str">
        <f>"00790401"</f>
        <v>00790401</v>
      </c>
    </row>
    <row r="17417" spans="1:2" x14ac:dyDescent="0.25">
      <c r="A17417" s="2">
        <v>17412</v>
      </c>
      <c r="B17417" s="11" t="str">
        <f>"00790407"</f>
        <v>00790407</v>
      </c>
    </row>
    <row r="17418" spans="1:2" x14ac:dyDescent="0.25">
      <c r="A17418" s="2">
        <v>17413</v>
      </c>
      <c r="B17418" s="11" t="str">
        <f>"00790423"</f>
        <v>00790423</v>
      </c>
    </row>
    <row r="17419" spans="1:2" x14ac:dyDescent="0.25">
      <c r="A17419" s="2">
        <v>17414</v>
      </c>
      <c r="B17419" s="11" t="str">
        <f>"00790466"</f>
        <v>00790466</v>
      </c>
    </row>
    <row r="17420" spans="1:2" x14ac:dyDescent="0.25">
      <c r="A17420" s="2">
        <v>17415</v>
      </c>
      <c r="B17420" s="11" t="str">
        <f>"00790475"</f>
        <v>00790475</v>
      </c>
    </row>
    <row r="17421" spans="1:2" x14ac:dyDescent="0.25">
      <c r="A17421" s="2">
        <v>17416</v>
      </c>
      <c r="B17421" s="11" t="str">
        <f>"00790493"</f>
        <v>00790493</v>
      </c>
    </row>
    <row r="17422" spans="1:2" x14ac:dyDescent="0.25">
      <c r="A17422" s="2">
        <v>17417</v>
      </c>
      <c r="B17422" s="11" t="str">
        <f>"00790508"</f>
        <v>00790508</v>
      </c>
    </row>
    <row r="17423" spans="1:2" x14ac:dyDescent="0.25">
      <c r="A17423" s="2">
        <v>17418</v>
      </c>
      <c r="B17423" s="11" t="str">
        <f>"00790519"</f>
        <v>00790519</v>
      </c>
    </row>
    <row r="17424" spans="1:2" x14ac:dyDescent="0.25">
      <c r="A17424" s="2">
        <v>17419</v>
      </c>
      <c r="B17424" s="11" t="str">
        <f>"00790540"</f>
        <v>00790540</v>
      </c>
    </row>
    <row r="17425" spans="1:2" x14ac:dyDescent="0.25">
      <c r="A17425" s="2">
        <v>17420</v>
      </c>
      <c r="B17425" s="11" t="str">
        <f>"00790549"</f>
        <v>00790549</v>
      </c>
    </row>
    <row r="17426" spans="1:2" x14ac:dyDescent="0.25">
      <c r="A17426" s="2">
        <v>17421</v>
      </c>
      <c r="B17426" s="11" t="str">
        <f>"00790558"</f>
        <v>00790558</v>
      </c>
    </row>
    <row r="17427" spans="1:2" x14ac:dyDescent="0.25">
      <c r="A17427" s="2">
        <v>17422</v>
      </c>
      <c r="B17427" s="11" t="str">
        <f>"00790596"</f>
        <v>00790596</v>
      </c>
    </row>
    <row r="17428" spans="1:2" x14ac:dyDescent="0.25">
      <c r="A17428" s="2">
        <v>17423</v>
      </c>
      <c r="B17428" s="11" t="str">
        <f>"00790619"</f>
        <v>00790619</v>
      </c>
    </row>
    <row r="17429" spans="1:2" x14ac:dyDescent="0.25">
      <c r="A17429" s="2">
        <v>17424</v>
      </c>
      <c r="B17429" s="11" t="str">
        <f>"00790632"</f>
        <v>00790632</v>
      </c>
    </row>
    <row r="17430" spans="1:2" x14ac:dyDescent="0.25">
      <c r="A17430" s="2">
        <v>17425</v>
      </c>
      <c r="B17430" s="11" t="str">
        <f>"00790640"</f>
        <v>00790640</v>
      </c>
    </row>
    <row r="17431" spans="1:2" x14ac:dyDescent="0.25">
      <c r="A17431" s="2">
        <v>17426</v>
      </c>
      <c r="B17431" s="11" t="str">
        <f>"00790644"</f>
        <v>00790644</v>
      </c>
    </row>
    <row r="17432" spans="1:2" x14ac:dyDescent="0.25">
      <c r="A17432" s="2">
        <v>17427</v>
      </c>
      <c r="B17432" s="11" t="str">
        <f>"00790657"</f>
        <v>00790657</v>
      </c>
    </row>
    <row r="17433" spans="1:2" x14ac:dyDescent="0.25">
      <c r="A17433" s="2">
        <v>17428</v>
      </c>
      <c r="B17433" s="11" t="str">
        <f>"00790668"</f>
        <v>00790668</v>
      </c>
    </row>
    <row r="17434" spans="1:2" x14ac:dyDescent="0.25">
      <c r="A17434" s="2">
        <v>17429</v>
      </c>
      <c r="B17434" s="11" t="str">
        <f>"00790684"</f>
        <v>00790684</v>
      </c>
    </row>
    <row r="17435" spans="1:2" x14ac:dyDescent="0.25">
      <c r="A17435" s="2">
        <v>17430</v>
      </c>
      <c r="B17435" s="11" t="str">
        <f>"00790687"</f>
        <v>00790687</v>
      </c>
    </row>
    <row r="17436" spans="1:2" x14ac:dyDescent="0.25">
      <c r="A17436" s="2">
        <v>17431</v>
      </c>
      <c r="B17436" s="11" t="str">
        <f>"00790700"</f>
        <v>00790700</v>
      </c>
    </row>
    <row r="17437" spans="1:2" x14ac:dyDescent="0.25">
      <c r="A17437" s="2">
        <v>17432</v>
      </c>
      <c r="B17437" s="11" t="str">
        <f>"00790767"</f>
        <v>00790767</v>
      </c>
    </row>
    <row r="17438" spans="1:2" x14ac:dyDescent="0.25">
      <c r="A17438" s="2">
        <v>17433</v>
      </c>
      <c r="B17438" s="11" t="str">
        <f>"00790828"</f>
        <v>00790828</v>
      </c>
    </row>
    <row r="17439" spans="1:2" x14ac:dyDescent="0.25">
      <c r="A17439" s="2">
        <v>17434</v>
      </c>
      <c r="B17439" s="11" t="str">
        <f>"00790845"</f>
        <v>00790845</v>
      </c>
    </row>
    <row r="17440" spans="1:2" x14ac:dyDescent="0.25">
      <c r="A17440" s="2">
        <v>17435</v>
      </c>
      <c r="B17440" s="11" t="str">
        <f>"00790884"</f>
        <v>00790884</v>
      </c>
    </row>
    <row r="17441" spans="1:2" x14ac:dyDescent="0.25">
      <c r="A17441" s="2">
        <v>17436</v>
      </c>
      <c r="B17441" s="11" t="str">
        <f>"00790921"</f>
        <v>00790921</v>
      </c>
    </row>
    <row r="17442" spans="1:2" x14ac:dyDescent="0.25">
      <c r="A17442" s="2">
        <v>17437</v>
      </c>
      <c r="B17442" s="11" t="str">
        <f>"00790966"</f>
        <v>00790966</v>
      </c>
    </row>
    <row r="17443" spans="1:2" x14ac:dyDescent="0.25">
      <c r="A17443" s="2">
        <v>17438</v>
      </c>
      <c r="B17443" s="11" t="str">
        <f>"00790982"</f>
        <v>00790982</v>
      </c>
    </row>
    <row r="17444" spans="1:2" x14ac:dyDescent="0.25">
      <c r="A17444" s="2">
        <v>17439</v>
      </c>
      <c r="B17444" s="11" t="str">
        <f>"00790986"</f>
        <v>00790986</v>
      </c>
    </row>
    <row r="17445" spans="1:2" x14ac:dyDescent="0.25">
      <c r="A17445" s="2">
        <v>17440</v>
      </c>
      <c r="B17445" s="11" t="str">
        <f>"00790992"</f>
        <v>00790992</v>
      </c>
    </row>
    <row r="17446" spans="1:2" x14ac:dyDescent="0.25">
      <c r="A17446" s="2">
        <v>17441</v>
      </c>
      <c r="B17446" s="11" t="str">
        <f>"00791033"</f>
        <v>00791033</v>
      </c>
    </row>
    <row r="17447" spans="1:2" x14ac:dyDescent="0.25">
      <c r="A17447" s="2">
        <v>17442</v>
      </c>
      <c r="B17447" s="11" t="str">
        <f>"00791065"</f>
        <v>00791065</v>
      </c>
    </row>
    <row r="17448" spans="1:2" x14ac:dyDescent="0.25">
      <c r="A17448" s="2">
        <v>17443</v>
      </c>
      <c r="B17448" s="11" t="str">
        <f>"00791067"</f>
        <v>00791067</v>
      </c>
    </row>
    <row r="17449" spans="1:2" x14ac:dyDescent="0.25">
      <c r="A17449" s="2">
        <v>17444</v>
      </c>
      <c r="B17449" s="11" t="str">
        <f>"00791073"</f>
        <v>00791073</v>
      </c>
    </row>
    <row r="17450" spans="1:2" x14ac:dyDescent="0.25">
      <c r="A17450" s="2">
        <v>17445</v>
      </c>
      <c r="B17450" s="11" t="str">
        <f>"00791105"</f>
        <v>00791105</v>
      </c>
    </row>
    <row r="17451" spans="1:2" x14ac:dyDescent="0.25">
      <c r="A17451" s="2">
        <v>17446</v>
      </c>
      <c r="B17451" s="11" t="str">
        <f>"00791111"</f>
        <v>00791111</v>
      </c>
    </row>
    <row r="17452" spans="1:2" x14ac:dyDescent="0.25">
      <c r="A17452" s="2">
        <v>17447</v>
      </c>
      <c r="B17452" s="11" t="str">
        <f>"00791125"</f>
        <v>00791125</v>
      </c>
    </row>
    <row r="17453" spans="1:2" x14ac:dyDescent="0.25">
      <c r="A17453" s="2">
        <v>17448</v>
      </c>
      <c r="B17453" s="11" t="str">
        <f>"00791138"</f>
        <v>00791138</v>
      </c>
    </row>
    <row r="17454" spans="1:2" x14ac:dyDescent="0.25">
      <c r="A17454" s="2">
        <v>17449</v>
      </c>
      <c r="B17454" s="11" t="str">
        <f>"00791167"</f>
        <v>00791167</v>
      </c>
    </row>
    <row r="17455" spans="1:2" x14ac:dyDescent="0.25">
      <c r="A17455" s="2">
        <v>17450</v>
      </c>
      <c r="B17455" s="11" t="str">
        <f>"00791179"</f>
        <v>00791179</v>
      </c>
    </row>
    <row r="17456" spans="1:2" x14ac:dyDescent="0.25">
      <c r="A17456" s="2">
        <v>17451</v>
      </c>
      <c r="B17456" s="11" t="str">
        <f>"00791203"</f>
        <v>00791203</v>
      </c>
    </row>
    <row r="17457" spans="1:2" x14ac:dyDescent="0.25">
      <c r="A17457" s="2">
        <v>17452</v>
      </c>
      <c r="B17457" s="11" t="str">
        <f>"00791230"</f>
        <v>00791230</v>
      </c>
    </row>
    <row r="17458" spans="1:2" x14ac:dyDescent="0.25">
      <c r="A17458" s="2">
        <v>17453</v>
      </c>
      <c r="B17458" s="11" t="str">
        <f>"00791269"</f>
        <v>00791269</v>
      </c>
    </row>
    <row r="17459" spans="1:2" x14ac:dyDescent="0.25">
      <c r="A17459" s="2">
        <v>17454</v>
      </c>
      <c r="B17459" s="11" t="str">
        <f>"00791272"</f>
        <v>00791272</v>
      </c>
    </row>
    <row r="17460" spans="1:2" x14ac:dyDescent="0.25">
      <c r="A17460" s="2">
        <v>17455</v>
      </c>
      <c r="B17460" s="11" t="str">
        <f>"00791281"</f>
        <v>00791281</v>
      </c>
    </row>
    <row r="17461" spans="1:2" x14ac:dyDescent="0.25">
      <c r="A17461" s="2">
        <v>17456</v>
      </c>
      <c r="B17461" s="11" t="str">
        <f>"00791285"</f>
        <v>00791285</v>
      </c>
    </row>
    <row r="17462" spans="1:2" x14ac:dyDescent="0.25">
      <c r="A17462" s="2">
        <v>17457</v>
      </c>
      <c r="B17462" s="11" t="str">
        <f>"00791409"</f>
        <v>00791409</v>
      </c>
    </row>
    <row r="17463" spans="1:2" x14ac:dyDescent="0.25">
      <c r="A17463" s="2">
        <v>17458</v>
      </c>
      <c r="B17463" s="11" t="str">
        <f>"00791461"</f>
        <v>00791461</v>
      </c>
    </row>
    <row r="17464" spans="1:2" x14ac:dyDescent="0.25">
      <c r="A17464" s="2">
        <v>17459</v>
      </c>
      <c r="B17464" s="11" t="str">
        <f>"00791503"</f>
        <v>00791503</v>
      </c>
    </row>
    <row r="17465" spans="1:2" x14ac:dyDescent="0.25">
      <c r="A17465" s="2">
        <v>17460</v>
      </c>
      <c r="B17465" s="11" t="str">
        <f>"00791549"</f>
        <v>00791549</v>
      </c>
    </row>
    <row r="17466" spans="1:2" x14ac:dyDescent="0.25">
      <c r="A17466" s="2">
        <v>17461</v>
      </c>
      <c r="B17466" s="11" t="str">
        <f>"00791595"</f>
        <v>00791595</v>
      </c>
    </row>
    <row r="17467" spans="1:2" x14ac:dyDescent="0.25">
      <c r="A17467" s="2">
        <v>17462</v>
      </c>
      <c r="B17467" s="11" t="str">
        <f>"00791602"</f>
        <v>00791602</v>
      </c>
    </row>
    <row r="17468" spans="1:2" x14ac:dyDescent="0.25">
      <c r="A17468" s="2">
        <v>17463</v>
      </c>
      <c r="B17468" s="11" t="str">
        <f>"00791624"</f>
        <v>00791624</v>
      </c>
    </row>
    <row r="17469" spans="1:2" x14ac:dyDescent="0.25">
      <c r="A17469" s="2">
        <v>17464</v>
      </c>
      <c r="B17469" s="11" t="str">
        <f>"00791632"</f>
        <v>00791632</v>
      </c>
    </row>
    <row r="17470" spans="1:2" x14ac:dyDescent="0.25">
      <c r="A17470" s="2">
        <v>17465</v>
      </c>
      <c r="B17470" s="11" t="str">
        <f>"00791653"</f>
        <v>00791653</v>
      </c>
    </row>
    <row r="17471" spans="1:2" x14ac:dyDescent="0.25">
      <c r="A17471" s="2">
        <v>17466</v>
      </c>
      <c r="B17471" s="11" t="str">
        <f>"00791716"</f>
        <v>00791716</v>
      </c>
    </row>
    <row r="17472" spans="1:2" x14ac:dyDescent="0.25">
      <c r="A17472" s="2">
        <v>17467</v>
      </c>
      <c r="B17472" s="11" t="str">
        <f>"00791725"</f>
        <v>00791725</v>
      </c>
    </row>
    <row r="17473" spans="1:2" x14ac:dyDescent="0.25">
      <c r="A17473" s="2">
        <v>17468</v>
      </c>
      <c r="B17473" s="11" t="str">
        <f>"00791771"</f>
        <v>00791771</v>
      </c>
    </row>
    <row r="17474" spans="1:2" x14ac:dyDescent="0.25">
      <c r="A17474" s="2">
        <v>17469</v>
      </c>
      <c r="B17474" s="11" t="str">
        <f>"00791782"</f>
        <v>00791782</v>
      </c>
    </row>
    <row r="17475" spans="1:2" x14ac:dyDescent="0.25">
      <c r="A17475" s="2">
        <v>17470</v>
      </c>
      <c r="B17475" s="11" t="str">
        <f>"00791784"</f>
        <v>00791784</v>
      </c>
    </row>
    <row r="17476" spans="1:2" x14ac:dyDescent="0.25">
      <c r="A17476" s="2">
        <v>17471</v>
      </c>
      <c r="B17476" s="11" t="str">
        <f>"00791797"</f>
        <v>00791797</v>
      </c>
    </row>
    <row r="17477" spans="1:2" x14ac:dyDescent="0.25">
      <c r="A17477" s="2">
        <v>17472</v>
      </c>
      <c r="B17477" s="11" t="str">
        <f>"00791803"</f>
        <v>00791803</v>
      </c>
    </row>
    <row r="17478" spans="1:2" x14ac:dyDescent="0.25">
      <c r="A17478" s="2">
        <v>17473</v>
      </c>
      <c r="B17478" s="11" t="str">
        <f>"00791804"</f>
        <v>00791804</v>
      </c>
    </row>
    <row r="17479" spans="1:2" x14ac:dyDescent="0.25">
      <c r="A17479" s="2">
        <v>17474</v>
      </c>
      <c r="B17479" s="11" t="str">
        <f>"00791837"</f>
        <v>00791837</v>
      </c>
    </row>
    <row r="17480" spans="1:2" x14ac:dyDescent="0.25">
      <c r="A17480" s="2">
        <v>17475</v>
      </c>
      <c r="B17480" s="11" t="str">
        <f>"00791894"</f>
        <v>00791894</v>
      </c>
    </row>
    <row r="17481" spans="1:2" x14ac:dyDescent="0.25">
      <c r="A17481" s="2">
        <v>17476</v>
      </c>
      <c r="B17481" s="11" t="str">
        <f>"00791906"</f>
        <v>00791906</v>
      </c>
    </row>
    <row r="17482" spans="1:2" x14ac:dyDescent="0.25">
      <c r="A17482" s="2">
        <v>17477</v>
      </c>
      <c r="B17482" s="11" t="str">
        <f>"00791913"</f>
        <v>00791913</v>
      </c>
    </row>
    <row r="17483" spans="1:2" x14ac:dyDescent="0.25">
      <c r="A17483" s="2">
        <v>17478</v>
      </c>
      <c r="B17483" s="11" t="str">
        <f>"00791921"</f>
        <v>00791921</v>
      </c>
    </row>
    <row r="17484" spans="1:2" x14ac:dyDescent="0.25">
      <c r="A17484" s="2">
        <v>17479</v>
      </c>
      <c r="B17484" s="11" t="str">
        <f>"00791940"</f>
        <v>00791940</v>
      </c>
    </row>
    <row r="17485" spans="1:2" x14ac:dyDescent="0.25">
      <c r="A17485" s="2">
        <v>17480</v>
      </c>
      <c r="B17485" s="11" t="str">
        <f>"00791941"</f>
        <v>00791941</v>
      </c>
    </row>
    <row r="17486" spans="1:2" x14ac:dyDescent="0.25">
      <c r="A17486" s="2">
        <v>17481</v>
      </c>
      <c r="B17486" s="11" t="str">
        <f>"00792025"</f>
        <v>00792025</v>
      </c>
    </row>
    <row r="17487" spans="1:2" x14ac:dyDescent="0.25">
      <c r="A17487" s="2">
        <v>17482</v>
      </c>
      <c r="B17487" s="11" t="str">
        <f>"00792071"</f>
        <v>00792071</v>
      </c>
    </row>
    <row r="17488" spans="1:2" x14ac:dyDescent="0.25">
      <c r="A17488" s="2">
        <v>17483</v>
      </c>
      <c r="B17488" s="11" t="str">
        <f>"00792086"</f>
        <v>00792086</v>
      </c>
    </row>
    <row r="17489" spans="1:2" x14ac:dyDescent="0.25">
      <c r="A17489" s="2">
        <v>17484</v>
      </c>
      <c r="B17489" s="11" t="str">
        <f>"00792106"</f>
        <v>00792106</v>
      </c>
    </row>
    <row r="17490" spans="1:2" x14ac:dyDescent="0.25">
      <c r="A17490" s="2">
        <v>17485</v>
      </c>
      <c r="B17490" s="11" t="str">
        <f>"00792117"</f>
        <v>00792117</v>
      </c>
    </row>
    <row r="17491" spans="1:2" x14ac:dyDescent="0.25">
      <c r="A17491" s="2">
        <v>17486</v>
      </c>
      <c r="B17491" s="11" t="str">
        <f>"00792128"</f>
        <v>00792128</v>
      </c>
    </row>
    <row r="17492" spans="1:2" x14ac:dyDescent="0.25">
      <c r="A17492" s="2">
        <v>17487</v>
      </c>
      <c r="B17492" s="11" t="str">
        <f>"00792149"</f>
        <v>00792149</v>
      </c>
    </row>
    <row r="17493" spans="1:2" x14ac:dyDescent="0.25">
      <c r="A17493" s="2">
        <v>17488</v>
      </c>
      <c r="B17493" s="11" t="str">
        <f>"00792157"</f>
        <v>00792157</v>
      </c>
    </row>
    <row r="17494" spans="1:2" x14ac:dyDescent="0.25">
      <c r="A17494" s="2">
        <v>17489</v>
      </c>
      <c r="B17494" s="11" t="str">
        <f>"00792170"</f>
        <v>00792170</v>
      </c>
    </row>
    <row r="17495" spans="1:2" x14ac:dyDescent="0.25">
      <c r="A17495" s="2">
        <v>17490</v>
      </c>
      <c r="B17495" s="11" t="str">
        <f>"00792209"</f>
        <v>00792209</v>
      </c>
    </row>
    <row r="17496" spans="1:2" x14ac:dyDescent="0.25">
      <c r="A17496" s="2">
        <v>17491</v>
      </c>
      <c r="B17496" s="11" t="str">
        <f>"00792212"</f>
        <v>00792212</v>
      </c>
    </row>
    <row r="17497" spans="1:2" x14ac:dyDescent="0.25">
      <c r="A17497" s="2">
        <v>17492</v>
      </c>
      <c r="B17497" s="11" t="str">
        <f>"00792213"</f>
        <v>00792213</v>
      </c>
    </row>
    <row r="17498" spans="1:2" x14ac:dyDescent="0.25">
      <c r="A17498" s="2">
        <v>17493</v>
      </c>
      <c r="B17498" s="11" t="str">
        <f>"00792222"</f>
        <v>00792222</v>
      </c>
    </row>
    <row r="17499" spans="1:2" x14ac:dyDescent="0.25">
      <c r="A17499" s="2">
        <v>17494</v>
      </c>
      <c r="B17499" s="11" t="str">
        <f>"00792243"</f>
        <v>00792243</v>
      </c>
    </row>
    <row r="17500" spans="1:2" x14ac:dyDescent="0.25">
      <c r="A17500" s="2">
        <v>17495</v>
      </c>
      <c r="B17500" s="11" t="str">
        <f>"00792260"</f>
        <v>00792260</v>
      </c>
    </row>
    <row r="17501" spans="1:2" x14ac:dyDescent="0.25">
      <c r="A17501" s="2">
        <v>17496</v>
      </c>
      <c r="B17501" s="11" t="str">
        <f>"00792261"</f>
        <v>00792261</v>
      </c>
    </row>
    <row r="17502" spans="1:2" x14ac:dyDescent="0.25">
      <c r="A17502" s="2">
        <v>17497</v>
      </c>
      <c r="B17502" s="11" t="str">
        <f>"00792274"</f>
        <v>00792274</v>
      </c>
    </row>
    <row r="17503" spans="1:2" x14ac:dyDescent="0.25">
      <c r="A17503" s="2">
        <v>17498</v>
      </c>
      <c r="B17503" s="11" t="str">
        <f>"00792277"</f>
        <v>00792277</v>
      </c>
    </row>
    <row r="17504" spans="1:2" x14ac:dyDescent="0.25">
      <c r="A17504" s="2">
        <v>17499</v>
      </c>
      <c r="B17504" s="11" t="str">
        <f>"00792325"</f>
        <v>00792325</v>
      </c>
    </row>
    <row r="17505" spans="1:2" x14ac:dyDescent="0.25">
      <c r="A17505" s="2">
        <v>17500</v>
      </c>
      <c r="B17505" s="11" t="str">
        <f>"00792342"</f>
        <v>00792342</v>
      </c>
    </row>
    <row r="17506" spans="1:2" x14ac:dyDescent="0.25">
      <c r="A17506" s="2">
        <v>17501</v>
      </c>
      <c r="B17506" s="11" t="str">
        <f>"00792353"</f>
        <v>00792353</v>
      </c>
    </row>
    <row r="17507" spans="1:2" x14ac:dyDescent="0.25">
      <c r="A17507" s="2">
        <v>17502</v>
      </c>
      <c r="B17507" s="11" t="str">
        <f>"00792360"</f>
        <v>00792360</v>
      </c>
    </row>
    <row r="17508" spans="1:2" x14ac:dyDescent="0.25">
      <c r="A17508" s="2">
        <v>17503</v>
      </c>
      <c r="B17508" s="11" t="str">
        <f>"00792381"</f>
        <v>00792381</v>
      </c>
    </row>
    <row r="17509" spans="1:2" x14ac:dyDescent="0.25">
      <c r="A17509" s="2">
        <v>17504</v>
      </c>
      <c r="B17509" s="11" t="str">
        <f>"00792390"</f>
        <v>00792390</v>
      </c>
    </row>
    <row r="17510" spans="1:2" x14ac:dyDescent="0.25">
      <c r="A17510" s="2">
        <v>17505</v>
      </c>
      <c r="B17510" s="11" t="str">
        <f>"00792438"</f>
        <v>00792438</v>
      </c>
    </row>
    <row r="17511" spans="1:2" x14ac:dyDescent="0.25">
      <c r="A17511" s="2">
        <v>17506</v>
      </c>
      <c r="B17511" s="11" t="str">
        <f>"00792442"</f>
        <v>00792442</v>
      </c>
    </row>
    <row r="17512" spans="1:2" x14ac:dyDescent="0.25">
      <c r="A17512" s="2">
        <v>17507</v>
      </c>
      <c r="B17512" s="11" t="str">
        <f>"00792450"</f>
        <v>00792450</v>
      </c>
    </row>
    <row r="17513" spans="1:2" x14ac:dyDescent="0.25">
      <c r="A17513" s="2">
        <v>17508</v>
      </c>
      <c r="B17513" s="11" t="str">
        <f>"00792457"</f>
        <v>00792457</v>
      </c>
    </row>
    <row r="17514" spans="1:2" x14ac:dyDescent="0.25">
      <c r="A17514" s="2">
        <v>17509</v>
      </c>
      <c r="B17514" s="11" t="str">
        <f>"00792502"</f>
        <v>00792502</v>
      </c>
    </row>
    <row r="17515" spans="1:2" x14ac:dyDescent="0.25">
      <c r="A17515" s="2">
        <v>17510</v>
      </c>
      <c r="B17515" s="11" t="str">
        <f>"00792510"</f>
        <v>00792510</v>
      </c>
    </row>
    <row r="17516" spans="1:2" x14ac:dyDescent="0.25">
      <c r="A17516" s="2">
        <v>17511</v>
      </c>
      <c r="B17516" s="11" t="str">
        <f>"00792513"</f>
        <v>00792513</v>
      </c>
    </row>
    <row r="17517" spans="1:2" x14ac:dyDescent="0.25">
      <c r="A17517" s="2">
        <v>17512</v>
      </c>
      <c r="B17517" s="11" t="str">
        <f>"00792521"</f>
        <v>00792521</v>
      </c>
    </row>
    <row r="17518" spans="1:2" x14ac:dyDescent="0.25">
      <c r="A17518" s="2">
        <v>17513</v>
      </c>
      <c r="B17518" s="11" t="str">
        <f>"00792531"</f>
        <v>00792531</v>
      </c>
    </row>
    <row r="17519" spans="1:2" x14ac:dyDescent="0.25">
      <c r="A17519" s="2">
        <v>17514</v>
      </c>
      <c r="B17519" s="11" t="str">
        <f>"00792536"</f>
        <v>00792536</v>
      </c>
    </row>
    <row r="17520" spans="1:2" x14ac:dyDescent="0.25">
      <c r="A17520" s="2">
        <v>17515</v>
      </c>
      <c r="B17520" s="11" t="str">
        <f>"00792537"</f>
        <v>00792537</v>
      </c>
    </row>
    <row r="17521" spans="1:2" x14ac:dyDescent="0.25">
      <c r="A17521" s="2">
        <v>17516</v>
      </c>
      <c r="B17521" s="11" t="str">
        <f>"00792547"</f>
        <v>00792547</v>
      </c>
    </row>
    <row r="17522" spans="1:2" x14ac:dyDescent="0.25">
      <c r="A17522" s="2">
        <v>17517</v>
      </c>
      <c r="B17522" s="11" t="str">
        <f>"00792576"</f>
        <v>00792576</v>
      </c>
    </row>
    <row r="17523" spans="1:2" x14ac:dyDescent="0.25">
      <c r="A17523" s="2">
        <v>17518</v>
      </c>
      <c r="B17523" s="11" t="str">
        <f>"00792590"</f>
        <v>00792590</v>
      </c>
    </row>
    <row r="17524" spans="1:2" x14ac:dyDescent="0.25">
      <c r="A17524" s="2">
        <v>17519</v>
      </c>
      <c r="B17524" s="11" t="str">
        <f>"00792628"</f>
        <v>00792628</v>
      </c>
    </row>
    <row r="17525" spans="1:2" x14ac:dyDescent="0.25">
      <c r="A17525" s="2">
        <v>17520</v>
      </c>
      <c r="B17525" s="11" t="str">
        <f>"00792640"</f>
        <v>00792640</v>
      </c>
    </row>
    <row r="17526" spans="1:2" x14ac:dyDescent="0.25">
      <c r="A17526" s="2">
        <v>17521</v>
      </c>
      <c r="B17526" s="11" t="str">
        <f>"00792695"</f>
        <v>00792695</v>
      </c>
    </row>
    <row r="17527" spans="1:2" x14ac:dyDescent="0.25">
      <c r="A17527" s="2">
        <v>17522</v>
      </c>
      <c r="B17527" s="11" t="str">
        <f>"00792791"</f>
        <v>00792791</v>
      </c>
    </row>
    <row r="17528" spans="1:2" x14ac:dyDescent="0.25">
      <c r="A17528" s="2">
        <v>17523</v>
      </c>
      <c r="B17528" s="11" t="str">
        <f>"00792803"</f>
        <v>00792803</v>
      </c>
    </row>
    <row r="17529" spans="1:2" x14ac:dyDescent="0.25">
      <c r="A17529" s="2">
        <v>17524</v>
      </c>
      <c r="B17529" s="11" t="str">
        <f>"00792804"</f>
        <v>00792804</v>
      </c>
    </row>
    <row r="17530" spans="1:2" x14ac:dyDescent="0.25">
      <c r="A17530" s="2">
        <v>17525</v>
      </c>
      <c r="B17530" s="11" t="str">
        <f>"00792809"</f>
        <v>00792809</v>
      </c>
    </row>
    <row r="17531" spans="1:2" x14ac:dyDescent="0.25">
      <c r="A17531" s="2">
        <v>17526</v>
      </c>
      <c r="B17531" s="11" t="str">
        <f>"00792839"</f>
        <v>00792839</v>
      </c>
    </row>
    <row r="17532" spans="1:2" x14ac:dyDescent="0.25">
      <c r="A17532" s="2">
        <v>17527</v>
      </c>
      <c r="B17532" s="11" t="str">
        <f>"00792842"</f>
        <v>00792842</v>
      </c>
    </row>
    <row r="17533" spans="1:2" x14ac:dyDescent="0.25">
      <c r="A17533" s="2">
        <v>17528</v>
      </c>
      <c r="B17533" s="11" t="str">
        <f>"00792864"</f>
        <v>00792864</v>
      </c>
    </row>
    <row r="17534" spans="1:2" x14ac:dyDescent="0.25">
      <c r="A17534" s="2">
        <v>17529</v>
      </c>
      <c r="B17534" s="11" t="str">
        <f>"00792908"</f>
        <v>00792908</v>
      </c>
    </row>
    <row r="17535" spans="1:2" x14ac:dyDescent="0.25">
      <c r="A17535" s="2">
        <v>17530</v>
      </c>
      <c r="B17535" s="11" t="str">
        <f>"00792926"</f>
        <v>00792926</v>
      </c>
    </row>
    <row r="17536" spans="1:2" x14ac:dyDescent="0.25">
      <c r="A17536" s="2">
        <v>17531</v>
      </c>
      <c r="B17536" s="11" t="str">
        <f>"00792935"</f>
        <v>00792935</v>
      </c>
    </row>
    <row r="17537" spans="1:2" x14ac:dyDescent="0.25">
      <c r="A17537" s="2">
        <v>17532</v>
      </c>
      <c r="B17537" s="11" t="str">
        <f>"00792973"</f>
        <v>00792973</v>
      </c>
    </row>
    <row r="17538" spans="1:2" x14ac:dyDescent="0.25">
      <c r="A17538" s="2">
        <v>17533</v>
      </c>
      <c r="B17538" s="11" t="str">
        <f>"00792979"</f>
        <v>00792979</v>
      </c>
    </row>
    <row r="17539" spans="1:2" x14ac:dyDescent="0.25">
      <c r="A17539" s="2">
        <v>17534</v>
      </c>
      <c r="B17539" s="11" t="str">
        <f>"00792987"</f>
        <v>00792987</v>
      </c>
    </row>
    <row r="17540" spans="1:2" x14ac:dyDescent="0.25">
      <c r="A17540" s="2">
        <v>17535</v>
      </c>
      <c r="B17540" s="11" t="str">
        <f>"00792988"</f>
        <v>00792988</v>
      </c>
    </row>
    <row r="17541" spans="1:2" x14ac:dyDescent="0.25">
      <c r="A17541" s="2">
        <v>17536</v>
      </c>
      <c r="B17541" s="11" t="str">
        <f>"00792990"</f>
        <v>00792990</v>
      </c>
    </row>
    <row r="17542" spans="1:2" x14ac:dyDescent="0.25">
      <c r="A17542" s="2">
        <v>17537</v>
      </c>
      <c r="B17542" s="11" t="str">
        <f>"00792994"</f>
        <v>00792994</v>
      </c>
    </row>
    <row r="17543" spans="1:2" x14ac:dyDescent="0.25">
      <c r="A17543" s="2">
        <v>17538</v>
      </c>
      <c r="B17543" s="11" t="str">
        <f>"00792999"</f>
        <v>00792999</v>
      </c>
    </row>
    <row r="17544" spans="1:2" x14ac:dyDescent="0.25">
      <c r="A17544" s="2">
        <v>17539</v>
      </c>
      <c r="B17544" s="11" t="str">
        <f>"00793021"</f>
        <v>00793021</v>
      </c>
    </row>
    <row r="17545" spans="1:2" x14ac:dyDescent="0.25">
      <c r="A17545" s="2">
        <v>17540</v>
      </c>
      <c r="B17545" s="11" t="str">
        <f>"00793023"</f>
        <v>00793023</v>
      </c>
    </row>
    <row r="17546" spans="1:2" x14ac:dyDescent="0.25">
      <c r="A17546" s="2">
        <v>17541</v>
      </c>
      <c r="B17546" s="11" t="str">
        <f>"00793029"</f>
        <v>00793029</v>
      </c>
    </row>
    <row r="17547" spans="1:2" x14ac:dyDescent="0.25">
      <c r="A17547" s="2">
        <v>17542</v>
      </c>
      <c r="B17547" s="11" t="str">
        <f>"00793053"</f>
        <v>00793053</v>
      </c>
    </row>
    <row r="17548" spans="1:2" x14ac:dyDescent="0.25">
      <c r="A17548" s="2">
        <v>17543</v>
      </c>
      <c r="B17548" s="11" t="str">
        <f>"00793054"</f>
        <v>00793054</v>
      </c>
    </row>
    <row r="17549" spans="1:2" x14ac:dyDescent="0.25">
      <c r="A17549" s="2">
        <v>17544</v>
      </c>
      <c r="B17549" s="11" t="str">
        <f>"00793060"</f>
        <v>00793060</v>
      </c>
    </row>
    <row r="17550" spans="1:2" x14ac:dyDescent="0.25">
      <c r="A17550" s="2">
        <v>17545</v>
      </c>
      <c r="B17550" s="11" t="str">
        <f>"00793120"</f>
        <v>00793120</v>
      </c>
    </row>
    <row r="17551" spans="1:2" x14ac:dyDescent="0.25">
      <c r="A17551" s="2">
        <v>17546</v>
      </c>
      <c r="B17551" s="11" t="str">
        <f>"00793134"</f>
        <v>00793134</v>
      </c>
    </row>
    <row r="17552" spans="1:2" x14ac:dyDescent="0.25">
      <c r="A17552" s="2">
        <v>17547</v>
      </c>
      <c r="B17552" s="11" t="str">
        <f>"00793158"</f>
        <v>00793158</v>
      </c>
    </row>
    <row r="17553" spans="1:2" x14ac:dyDescent="0.25">
      <c r="A17553" s="2">
        <v>17548</v>
      </c>
      <c r="B17553" s="11" t="str">
        <f>"00793263"</f>
        <v>00793263</v>
      </c>
    </row>
    <row r="17554" spans="1:2" x14ac:dyDescent="0.25">
      <c r="A17554" s="2">
        <v>17549</v>
      </c>
      <c r="B17554" s="11" t="str">
        <f>"00793268"</f>
        <v>00793268</v>
      </c>
    </row>
    <row r="17555" spans="1:2" x14ac:dyDescent="0.25">
      <c r="A17555" s="2">
        <v>17550</v>
      </c>
      <c r="B17555" s="11" t="str">
        <f>"00793285"</f>
        <v>00793285</v>
      </c>
    </row>
    <row r="17556" spans="1:2" x14ac:dyDescent="0.25">
      <c r="A17556" s="2">
        <v>17551</v>
      </c>
      <c r="B17556" s="11" t="str">
        <f>"00793289"</f>
        <v>00793289</v>
      </c>
    </row>
    <row r="17557" spans="1:2" x14ac:dyDescent="0.25">
      <c r="A17557" s="2">
        <v>17552</v>
      </c>
      <c r="B17557" s="11" t="str">
        <f>"00793308"</f>
        <v>00793308</v>
      </c>
    </row>
    <row r="17558" spans="1:2" x14ac:dyDescent="0.25">
      <c r="A17558" s="2">
        <v>17553</v>
      </c>
      <c r="B17558" s="11" t="str">
        <f>"00793326"</f>
        <v>00793326</v>
      </c>
    </row>
    <row r="17559" spans="1:2" x14ac:dyDescent="0.25">
      <c r="A17559" s="2">
        <v>17554</v>
      </c>
      <c r="B17559" s="11" t="str">
        <f>"00793416"</f>
        <v>00793416</v>
      </c>
    </row>
    <row r="17560" spans="1:2" x14ac:dyDescent="0.25">
      <c r="A17560" s="2">
        <v>17555</v>
      </c>
      <c r="B17560" s="11" t="str">
        <f>"00793444"</f>
        <v>00793444</v>
      </c>
    </row>
    <row r="17561" spans="1:2" x14ac:dyDescent="0.25">
      <c r="A17561" s="2">
        <v>17556</v>
      </c>
      <c r="B17561" s="11" t="str">
        <f>"00793466"</f>
        <v>00793466</v>
      </c>
    </row>
    <row r="17562" spans="1:2" x14ac:dyDescent="0.25">
      <c r="A17562" s="2">
        <v>17557</v>
      </c>
      <c r="B17562" s="11" t="str">
        <f>"00793586"</f>
        <v>00793586</v>
      </c>
    </row>
    <row r="17563" spans="1:2" x14ac:dyDescent="0.25">
      <c r="A17563" s="2">
        <v>17558</v>
      </c>
      <c r="B17563" s="11" t="str">
        <f>"00793601"</f>
        <v>00793601</v>
      </c>
    </row>
    <row r="17564" spans="1:2" x14ac:dyDescent="0.25">
      <c r="A17564" s="2">
        <v>17559</v>
      </c>
      <c r="B17564" s="11" t="str">
        <f>"00793627"</f>
        <v>00793627</v>
      </c>
    </row>
    <row r="17565" spans="1:2" x14ac:dyDescent="0.25">
      <c r="A17565" s="2">
        <v>17560</v>
      </c>
      <c r="B17565" s="11" t="str">
        <f>"00793638"</f>
        <v>00793638</v>
      </c>
    </row>
    <row r="17566" spans="1:2" x14ac:dyDescent="0.25">
      <c r="A17566" s="2">
        <v>17561</v>
      </c>
      <c r="B17566" s="11" t="str">
        <f>"00793639"</f>
        <v>00793639</v>
      </c>
    </row>
    <row r="17567" spans="1:2" x14ac:dyDescent="0.25">
      <c r="A17567" s="2">
        <v>17562</v>
      </c>
      <c r="B17567" s="11" t="str">
        <f>"00793641"</f>
        <v>00793641</v>
      </c>
    </row>
    <row r="17568" spans="1:2" x14ac:dyDescent="0.25">
      <c r="A17568" s="2">
        <v>17563</v>
      </c>
      <c r="B17568" s="11" t="str">
        <f>"00793642"</f>
        <v>00793642</v>
      </c>
    </row>
    <row r="17569" spans="1:2" x14ac:dyDescent="0.25">
      <c r="A17569" s="2">
        <v>17564</v>
      </c>
      <c r="B17569" s="11" t="str">
        <f>"00793674"</f>
        <v>00793674</v>
      </c>
    </row>
    <row r="17570" spans="1:2" x14ac:dyDescent="0.25">
      <c r="A17570" s="2">
        <v>17565</v>
      </c>
      <c r="B17570" s="11" t="str">
        <f>"00793687"</f>
        <v>00793687</v>
      </c>
    </row>
    <row r="17571" spans="1:2" x14ac:dyDescent="0.25">
      <c r="A17571" s="2">
        <v>17566</v>
      </c>
      <c r="B17571" s="11" t="str">
        <f>"00793714"</f>
        <v>00793714</v>
      </c>
    </row>
    <row r="17572" spans="1:2" x14ac:dyDescent="0.25">
      <c r="A17572" s="2">
        <v>17567</v>
      </c>
      <c r="B17572" s="11" t="str">
        <f>"00793754"</f>
        <v>00793754</v>
      </c>
    </row>
    <row r="17573" spans="1:2" x14ac:dyDescent="0.25">
      <c r="A17573" s="2">
        <v>17568</v>
      </c>
      <c r="B17573" s="11" t="str">
        <f>"00793764"</f>
        <v>00793764</v>
      </c>
    </row>
    <row r="17574" spans="1:2" x14ac:dyDescent="0.25">
      <c r="A17574" s="2">
        <v>17569</v>
      </c>
      <c r="B17574" s="11" t="str">
        <f>"00793782"</f>
        <v>00793782</v>
      </c>
    </row>
    <row r="17575" spans="1:2" x14ac:dyDescent="0.25">
      <c r="A17575" s="2">
        <v>17570</v>
      </c>
      <c r="B17575" s="11" t="str">
        <f>"00793830"</f>
        <v>00793830</v>
      </c>
    </row>
    <row r="17576" spans="1:2" x14ac:dyDescent="0.25">
      <c r="A17576" s="2">
        <v>17571</v>
      </c>
      <c r="B17576" s="11" t="str">
        <f>"00793878"</f>
        <v>00793878</v>
      </c>
    </row>
    <row r="17577" spans="1:2" x14ac:dyDescent="0.25">
      <c r="A17577" s="2">
        <v>17572</v>
      </c>
      <c r="B17577" s="11" t="str">
        <f>"00793896"</f>
        <v>00793896</v>
      </c>
    </row>
    <row r="17578" spans="1:2" x14ac:dyDescent="0.25">
      <c r="A17578" s="2">
        <v>17573</v>
      </c>
      <c r="B17578" s="11" t="str">
        <f>"00793927"</f>
        <v>00793927</v>
      </c>
    </row>
    <row r="17579" spans="1:2" x14ac:dyDescent="0.25">
      <c r="A17579" s="2">
        <v>17574</v>
      </c>
      <c r="B17579" s="11" t="str">
        <f>"00793929"</f>
        <v>00793929</v>
      </c>
    </row>
    <row r="17580" spans="1:2" x14ac:dyDescent="0.25">
      <c r="A17580" s="2">
        <v>17575</v>
      </c>
      <c r="B17580" s="11" t="str">
        <f>"00793971"</f>
        <v>00793971</v>
      </c>
    </row>
    <row r="17581" spans="1:2" x14ac:dyDescent="0.25">
      <c r="A17581" s="2">
        <v>17576</v>
      </c>
      <c r="B17581" s="11" t="str">
        <f>"00793984"</f>
        <v>00793984</v>
      </c>
    </row>
    <row r="17582" spans="1:2" x14ac:dyDescent="0.25">
      <c r="A17582" s="2">
        <v>17577</v>
      </c>
      <c r="B17582" s="11" t="str">
        <f>"00794019"</f>
        <v>00794019</v>
      </c>
    </row>
    <row r="17583" spans="1:2" x14ac:dyDescent="0.25">
      <c r="A17583" s="2">
        <v>17578</v>
      </c>
      <c r="B17583" s="11" t="str">
        <f>"00794020"</f>
        <v>00794020</v>
      </c>
    </row>
    <row r="17584" spans="1:2" x14ac:dyDescent="0.25">
      <c r="A17584" s="2">
        <v>17579</v>
      </c>
      <c r="B17584" s="11" t="str">
        <f>"00794022"</f>
        <v>00794022</v>
      </c>
    </row>
    <row r="17585" spans="1:2" x14ac:dyDescent="0.25">
      <c r="A17585" s="2">
        <v>17580</v>
      </c>
      <c r="B17585" s="11" t="str">
        <f>"00794058"</f>
        <v>00794058</v>
      </c>
    </row>
    <row r="17586" spans="1:2" x14ac:dyDescent="0.25">
      <c r="A17586" s="2">
        <v>17581</v>
      </c>
      <c r="B17586" s="11" t="str">
        <f>"00794084"</f>
        <v>00794084</v>
      </c>
    </row>
    <row r="17587" spans="1:2" x14ac:dyDescent="0.25">
      <c r="A17587" s="2">
        <v>17582</v>
      </c>
      <c r="B17587" s="11" t="str">
        <f>"00794097"</f>
        <v>00794097</v>
      </c>
    </row>
    <row r="17588" spans="1:2" x14ac:dyDescent="0.25">
      <c r="A17588" s="2">
        <v>17583</v>
      </c>
      <c r="B17588" s="11" t="str">
        <f>"00794115"</f>
        <v>00794115</v>
      </c>
    </row>
    <row r="17589" spans="1:2" x14ac:dyDescent="0.25">
      <c r="A17589" s="2">
        <v>17584</v>
      </c>
      <c r="B17589" s="11" t="str">
        <f>"00794142"</f>
        <v>00794142</v>
      </c>
    </row>
    <row r="17590" spans="1:2" x14ac:dyDescent="0.25">
      <c r="A17590" s="2">
        <v>17585</v>
      </c>
      <c r="B17590" s="11" t="str">
        <f>"00794155"</f>
        <v>00794155</v>
      </c>
    </row>
    <row r="17591" spans="1:2" x14ac:dyDescent="0.25">
      <c r="A17591" s="2">
        <v>17586</v>
      </c>
      <c r="B17591" s="11" t="str">
        <f>"00794162"</f>
        <v>00794162</v>
      </c>
    </row>
    <row r="17592" spans="1:2" x14ac:dyDescent="0.25">
      <c r="A17592" s="2">
        <v>17587</v>
      </c>
      <c r="B17592" s="11" t="str">
        <f>"00794178"</f>
        <v>00794178</v>
      </c>
    </row>
    <row r="17593" spans="1:2" x14ac:dyDescent="0.25">
      <c r="A17593" s="2">
        <v>17588</v>
      </c>
      <c r="B17593" s="11" t="str">
        <f>"00794213"</f>
        <v>00794213</v>
      </c>
    </row>
    <row r="17594" spans="1:2" x14ac:dyDescent="0.25">
      <c r="A17594" s="2">
        <v>17589</v>
      </c>
      <c r="B17594" s="11" t="str">
        <f>"00794217"</f>
        <v>00794217</v>
      </c>
    </row>
    <row r="17595" spans="1:2" x14ac:dyDescent="0.25">
      <c r="A17595" s="2">
        <v>17590</v>
      </c>
      <c r="B17595" s="11" t="str">
        <f>"00794256"</f>
        <v>00794256</v>
      </c>
    </row>
    <row r="17596" spans="1:2" x14ac:dyDescent="0.25">
      <c r="A17596" s="2">
        <v>17591</v>
      </c>
      <c r="B17596" s="11" t="str">
        <f>"00794267"</f>
        <v>00794267</v>
      </c>
    </row>
    <row r="17597" spans="1:2" x14ac:dyDescent="0.25">
      <c r="A17597" s="2">
        <v>17592</v>
      </c>
      <c r="B17597" s="11" t="str">
        <f>"00794278"</f>
        <v>00794278</v>
      </c>
    </row>
    <row r="17598" spans="1:2" x14ac:dyDescent="0.25">
      <c r="A17598" s="2">
        <v>17593</v>
      </c>
      <c r="B17598" s="11" t="str">
        <f>"00794286"</f>
        <v>00794286</v>
      </c>
    </row>
    <row r="17599" spans="1:2" x14ac:dyDescent="0.25">
      <c r="A17599" s="2">
        <v>17594</v>
      </c>
      <c r="B17599" s="11" t="str">
        <f>"00794299"</f>
        <v>00794299</v>
      </c>
    </row>
    <row r="17600" spans="1:2" x14ac:dyDescent="0.25">
      <c r="A17600" s="2">
        <v>17595</v>
      </c>
      <c r="B17600" s="11" t="str">
        <f>"00794324"</f>
        <v>00794324</v>
      </c>
    </row>
    <row r="17601" spans="1:2" x14ac:dyDescent="0.25">
      <c r="A17601" s="2">
        <v>17596</v>
      </c>
      <c r="B17601" s="11" t="str">
        <f>"00794326"</f>
        <v>00794326</v>
      </c>
    </row>
    <row r="17602" spans="1:2" x14ac:dyDescent="0.25">
      <c r="A17602" s="2">
        <v>17597</v>
      </c>
      <c r="B17602" s="11" t="str">
        <f>"00794331"</f>
        <v>00794331</v>
      </c>
    </row>
    <row r="17603" spans="1:2" x14ac:dyDescent="0.25">
      <c r="A17603" s="2">
        <v>17598</v>
      </c>
      <c r="B17603" s="11" t="str">
        <f>"00794354"</f>
        <v>00794354</v>
      </c>
    </row>
    <row r="17604" spans="1:2" x14ac:dyDescent="0.25">
      <c r="A17604" s="2">
        <v>17599</v>
      </c>
      <c r="B17604" s="11" t="str">
        <f>"00794359"</f>
        <v>00794359</v>
      </c>
    </row>
    <row r="17605" spans="1:2" x14ac:dyDescent="0.25">
      <c r="A17605" s="2">
        <v>17600</v>
      </c>
      <c r="B17605" s="11" t="str">
        <f>"00794404"</f>
        <v>00794404</v>
      </c>
    </row>
    <row r="17606" spans="1:2" x14ac:dyDescent="0.25">
      <c r="A17606" s="2">
        <v>17601</v>
      </c>
      <c r="B17606" s="11" t="str">
        <f>"00794414"</f>
        <v>00794414</v>
      </c>
    </row>
    <row r="17607" spans="1:2" x14ac:dyDescent="0.25">
      <c r="A17607" s="2">
        <v>17602</v>
      </c>
      <c r="B17607" s="11" t="str">
        <f>"00794421"</f>
        <v>00794421</v>
      </c>
    </row>
    <row r="17608" spans="1:2" x14ac:dyDescent="0.25">
      <c r="A17608" s="2">
        <v>17603</v>
      </c>
      <c r="B17608" s="11" t="str">
        <f>"00794455"</f>
        <v>00794455</v>
      </c>
    </row>
    <row r="17609" spans="1:2" x14ac:dyDescent="0.25">
      <c r="A17609" s="2">
        <v>17604</v>
      </c>
      <c r="B17609" s="11" t="str">
        <f>"00794489"</f>
        <v>00794489</v>
      </c>
    </row>
    <row r="17610" spans="1:2" x14ac:dyDescent="0.25">
      <c r="A17610" s="2">
        <v>17605</v>
      </c>
      <c r="B17610" s="11" t="str">
        <f>"00794501"</f>
        <v>00794501</v>
      </c>
    </row>
    <row r="17611" spans="1:2" x14ac:dyDescent="0.25">
      <c r="A17611" s="2">
        <v>17606</v>
      </c>
      <c r="B17611" s="11" t="str">
        <f>"00794599"</f>
        <v>00794599</v>
      </c>
    </row>
    <row r="17612" spans="1:2" x14ac:dyDescent="0.25">
      <c r="A17612" s="2">
        <v>17607</v>
      </c>
      <c r="B17612" s="11" t="str">
        <f>"00794895"</f>
        <v>00794895</v>
      </c>
    </row>
    <row r="17613" spans="1:2" x14ac:dyDescent="0.25">
      <c r="A17613" s="2">
        <v>17608</v>
      </c>
      <c r="B17613" s="11" t="str">
        <f>"00794930"</f>
        <v>00794930</v>
      </c>
    </row>
    <row r="17614" spans="1:2" x14ac:dyDescent="0.25">
      <c r="A17614" s="2">
        <v>17609</v>
      </c>
      <c r="B17614" s="11" t="str">
        <f>"00794950"</f>
        <v>00794950</v>
      </c>
    </row>
    <row r="17615" spans="1:2" x14ac:dyDescent="0.25">
      <c r="A17615" s="2">
        <v>17610</v>
      </c>
      <c r="B17615" s="11" t="str">
        <f>"00794952"</f>
        <v>00794952</v>
      </c>
    </row>
    <row r="17616" spans="1:2" x14ac:dyDescent="0.25">
      <c r="A17616" s="2">
        <v>17611</v>
      </c>
      <c r="B17616" s="11" t="str">
        <f>"00794969"</f>
        <v>00794969</v>
      </c>
    </row>
    <row r="17617" spans="1:2" x14ac:dyDescent="0.25">
      <c r="A17617" s="2">
        <v>17612</v>
      </c>
      <c r="B17617" s="11" t="str">
        <f>"00794976"</f>
        <v>00794976</v>
      </c>
    </row>
    <row r="17618" spans="1:2" x14ac:dyDescent="0.25">
      <c r="A17618" s="2">
        <v>17613</v>
      </c>
      <c r="B17618" s="11" t="str">
        <f>"00794978"</f>
        <v>00794978</v>
      </c>
    </row>
    <row r="17619" spans="1:2" x14ac:dyDescent="0.25">
      <c r="A17619" s="2">
        <v>17614</v>
      </c>
      <c r="B17619" s="11" t="str">
        <f>"00795009"</f>
        <v>00795009</v>
      </c>
    </row>
    <row r="17620" spans="1:2" x14ac:dyDescent="0.25">
      <c r="A17620" s="2">
        <v>17615</v>
      </c>
      <c r="B17620" s="11" t="str">
        <f>"00795016"</f>
        <v>00795016</v>
      </c>
    </row>
    <row r="17621" spans="1:2" x14ac:dyDescent="0.25">
      <c r="A17621" s="2">
        <v>17616</v>
      </c>
      <c r="B17621" s="11" t="str">
        <f>"00795093"</f>
        <v>00795093</v>
      </c>
    </row>
    <row r="17622" spans="1:2" x14ac:dyDescent="0.25">
      <c r="A17622" s="2">
        <v>17617</v>
      </c>
      <c r="B17622" s="11" t="str">
        <f>"00795113"</f>
        <v>00795113</v>
      </c>
    </row>
    <row r="17623" spans="1:2" x14ac:dyDescent="0.25">
      <c r="A17623" s="2">
        <v>17618</v>
      </c>
      <c r="B17623" s="11" t="str">
        <f>"00795132"</f>
        <v>00795132</v>
      </c>
    </row>
    <row r="17624" spans="1:2" x14ac:dyDescent="0.25">
      <c r="A17624" s="2">
        <v>17619</v>
      </c>
      <c r="B17624" s="11" t="str">
        <f>"00795135"</f>
        <v>00795135</v>
      </c>
    </row>
    <row r="17625" spans="1:2" x14ac:dyDescent="0.25">
      <c r="A17625" s="2">
        <v>17620</v>
      </c>
      <c r="B17625" s="11" t="str">
        <f>"00795147"</f>
        <v>00795147</v>
      </c>
    </row>
    <row r="17626" spans="1:2" x14ac:dyDescent="0.25">
      <c r="A17626" s="2">
        <v>17621</v>
      </c>
      <c r="B17626" s="11" t="str">
        <f>"00795150"</f>
        <v>00795150</v>
      </c>
    </row>
    <row r="17627" spans="1:2" x14ac:dyDescent="0.25">
      <c r="A17627" s="2">
        <v>17622</v>
      </c>
      <c r="B17627" s="11" t="str">
        <f>"00795196"</f>
        <v>00795196</v>
      </c>
    </row>
    <row r="17628" spans="1:2" x14ac:dyDescent="0.25">
      <c r="A17628" s="2">
        <v>17623</v>
      </c>
      <c r="B17628" s="11" t="str">
        <f>"00795243"</f>
        <v>00795243</v>
      </c>
    </row>
    <row r="17629" spans="1:2" x14ac:dyDescent="0.25">
      <c r="A17629" s="2">
        <v>17624</v>
      </c>
      <c r="B17629" s="11" t="str">
        <f>"00795279"</f>
        <v>00795279</v>
      </c>
    </row>
    <row r="17630" spans="1:2" x14ac:dyDescent="0.25">
      <c r="A17630" s="2">
        <v>17625</v>
      </c>
      <c r="B17630" s="11" t="str">
        <f>"00795282"</f>
        <v>00795282</v>
      </c>
    </row>
    <row r="17631" spans="1:2" x14ac:dyDescent="0.25">
      <c r="A17631" s="2">
        <v>17626</v>
      </c>
      <c r="B17631" s="11" t="str">
        <f>"00795318"</f>
        <v>00795318</v>
      </c>
    </row>
    <row r="17632" spans="1:2" x14ac:dyDescent="0.25">
      <c r="A17632" s="2">
        <v>17627</v>
      </c>
      <c r="B17632" s="11" t="str">
        <f>"00795320"</f>
        <v>00795320</v>
      </c>
    </row>
    <row r="17633" spans="1:2" x14ac:dyDescent="0.25">
      <c r="A17633" s="2">
        <v>17628</v>
      </c>
      <c r="B17633" s="11" t="str">
        <f>"00795331"</f>
        <v>00795331</v>
      </c>
    </row>
    <row r="17634" spans="1:2" x14ac:dyDescent="0.25">
      <c r="A17634" s="2">
        <v>17629</v>
      </c>
      <c r="B17634" s="11" t="str">
        <f>"00795341"</f>
        <v>00795341</v>
      </c>
    </row>
    <row r="17635" spans="1:2" x14ac:dyDescent="0.25">
      <c r="A17635" s="2">
        <v>17630</v>
      </c>
      <c r="B17635" s="11" t="str">
        <f>"00795343"</f>
        <v>00795343</v>
      </c>
    </row>
    <row r="17636" spans="1:2" x14ac:dyDescent="0.25">
      <c r="A17636" s="2">
        <v>17631</v>
      </c>
      <c r="B17636" s="11" t="str">
        <f>"00795348"</f>
        <v>00795348</v>
      </c>
    </row>
    <row r="17637" spans="1:2" x14ac:dyDescent="0.25">
      <c r="A17637" s="2">
        <v>17632</v>
      </c>
      <c r="B17637" s="11" t="str">
        <f>"00795350"</f>
        <v>00795350</v>
      </c>
    </row>
    <row r="17638" spans="1:2" x14ac:dyDescent="0.25">
      <c r="A17638" s="2">
        <v>17633</v>
      </c>
      <c r="B17638" s="11" t="str">
        <f>"00795358"</f>
        <v>00795358</v>
      </c>
    </row>
    <row r="17639" spans="1:2" x14ac:dyDescent="0.25">
      <c r="A17639" s="2">
        <v>17634</v>
      </c>
      <c r="B17639" s="11" t="str">
        <f>"00795365"</f>
        <v>00795365</v>
      </c>
    </row>
    <row r="17640" spans="1:2" x14ac:dyDescent="0.25">
      <c r="A17640" s="2">
        <v>17635</v>
      </c>
      <c r="B17640" s="11" t="str">
        <f>"00795390"</f>
        <v>00795390</v>
      </c>
    </row>
    <row r="17641" spans="1:2" x14ac:dyDescent="0.25">
      <c r="A17641" s="2">
        <v>17636</v>
      </c>
      <c r="B17641" s="11" t="str">
        <f>"00795391"</f>
        <v>00795391</v>
      </c>
    </row>
    <row r="17642" spans="1:2" x14ac:dyDescent="0.25">
      <c r="A17642" s="2">
        <v>17637</v>
      </c>
      <c r="B17642" s="11" t="str">
        <f>"00795399"</f>
        <v>00795399</v>
      </c>
    </row>
    <row r="17643" spans="1:2" x14ac:dyDescent="0.25">
      <c r="A17643" s="2">
        <v>17638</v>
      </c>
      <c r="B17643" s="11" t="str">
        <f>"00795400"</f>
        <v>00795400</v>
      </c>
    </row>
    <row r="17644" spans="1:2" x14ac:dyDescent="0.25">
      <c r="A17644" s="2">
        <v>17639</v>
      </c>
      <c r="B17644" s="11" t="str">
        <f>"00795414"</f>
        <v>00795414</v>
      </c>
    </row>
    <row r="17645" spans="1:2" x14ac:dyDescent="0.25">
      <c r="A17645" s="2">
        <v>17640</v>
      </c>
      <c r="B17645" s="11" t="str">
        <f>"00795570"</f>
        <v>00795570</v>
      </c>
    </row>
    <row r="17646" spans="1:2" x14ac:dyDescent="0.25">
      <c r="A17646" s="2">
        <v>17641</v>
      </c>
      <c r="B17646" s="11" t="str">
        <f>"00795739"</f>
        <v>00795739</v>
      </c>
    </row>
    <row r="17647" spans="1:2" x14ac:dyDescent="0.25">
      <c r="A17647" s="2">
        <v>17642</v>
      </c>
      <c r="B17647" s="11" t="str">
        <f>"00795815"</f>
        <v>00795815</v>
      </c>
    </row>
    <row r="17648" spans="1:2" x14ac:dyDescent="0.25">
      <c r="A17648" s="2">
        <v>17643</v>
      </c>
      <c r="B17648" s="11" t="str">
        <f>"00795845"</f>
        <v>00795845</v>
      </c>
    </row>
    <row r="17649" spans="1:2" x14ac:dyDescent="0.25">
      <c r="A17649" s="2">
        <v>17644</v>
      </c>
      <c r="B17649" s="11" t="str">
        <f>"00795848"</f>
        <v>00795848</v>
      </c>
    </row>
    <row r="17650" spans="1:2" x14ac:dyDescent="0.25">
      <c r="A17650" s="2">
        <v>17645</v>
      </c>
      <c r="B17650" s="11" t="str">
        <f>"00795878"</f>
        <v>00795878</v>
      </c>
    </row>
    <row r="17651" spans="1:2" x14ac:dyDescent="0.25">
      <c r="A17651" s="2">
        <v>17646</v>
      </c>
      <c r="B17651" s="11" t="str">
        <f>"00795919"</f>
        <v>00795919</v>
      </c>
    </row>
    <row r="17652" spans="1:2" x14ac:dyDescent="0.25">
      <c r="A17652" s="2">
        <v>17647</v>
      </c>
      <c r="B17652" s="11" t="str">
        <f>"00795928"</f>
        <v>00795928</v>
      </c>
    </row>
    <row r="17653" spans="1:2" x14ac:dyDescent="0.25">
      <c r="A17653" s="2">
        <v>17648</v>
      </c>
      <c r="B17653" s="11" t="str">
        <f>"00795948"</f>
        <v>00795948</v>
      </c>
    </row>
    <row r="17654" spans="1:2" x14ac:dyDescent="0.25">
      <c r="A17654" s="2">
        <v>17649</v>
      </c>
      <c r="B17654" s="11" t="str">
        <f>"00795958"</f>
        <v>00795958</v>
      </c>
    </row>
    <row r="17655" spans="1:2" x14ac:dyDescent="0.25">
      <c r="A17655" s="2">
        <v>17650</v>
      </c>
      <c r="B17655" s="11" t="str">
        <f>"00795975"</f>
        <v>00795975</v>
      </c>
    </row>
    <row r="17656" spans="1:2" x14ac:dyDescent="0.25">
      <c r="A17656" s="2">
        <v>17651</v>
      </c>
      <c r="B17656" s="11" t="str">
        <f>"00795999"</f>
        <v>00795999</v>
      </c>
    </row>
    <row r="17657" spans="1:2" x14ac:dyDescent="0.25">
      <c r="A17657" s="2">
        <v>17652</v>
      </c>
      <c r="B17657" s="11" t="str">
        <f>"00796001"</f>
        <v>00796001</v>
      </c>
    </row>
    <row r="17658" spans="1:2" x14ac:dyDescent="0.25">
      <c r="A17658" s="2">
        <v>17653</v>
      </c>
      <c r="B17658" s="11" t="str">
        <f>"00796010"</f>
        <v>00796010</v>
      </c>
    </row>
    <row r="17659" spans="1:2" x14ac:dyDescent="0.25">
      <c r="A17659" s="2">
        <v>17654</v>
      </c>
      <c r="B17659" s="11" t="str">
        <f>"00796016"</f>
        <v>00796016</v>
      </c>
    </row>
    <row r="17660" spans="1:2" x14ac:dyDescent="0.25">
      <c r="A17660" s="2">
        <v>17655</v>
      </c>
      <c r="B17660" s="11" t="str">
        <f>"00796051"</f>
        <v>00796051</v>
      </c>
    </row>
    <row r="17661" spans="1:2" x14ac:dyDescent="0.25">
      <c r="A17661" s="2">
        <v>17656</v>
      </c>
      <c r="B17661" s="11" t="str">
        <f>"00796057"</f>
        <v>00796057</v>
      </c>
    </row>
    <row r="17662" spans="1:2" x14ac:dyDescent="0.25">
      <c r="A17662" s="2">
        <v>17657</v>
      </c>
      <c r="B17662" s="11" t="str">
        <f>"00796117"</f>
        <v>00796117</v>
      </c>
    </row>
    <row r="17663" spans="1:2" x14ac:dyDescent="0.25">
      <c r="A17663" s="2">
        <v>17658</v>
      </c>
      <c r="B17663" s="11" t="str">
        <f>"00796118"</f>
        <v>00796118</v>
      </c>
    </row>
    <row r="17664" spans="1:2" x14ac:dyDescent="0.25">
      <c r="A17664" s="2">
        <v>17659</v>
      </c>
      <c r="B17664" s="11" t="str">
        <f>"00796141"</f>
        <v>00796141</v>
      </c>
    </row>
    <row r="17665" spans="1:2" x14ac:dyDescent="0.25">
      <c r="A17665" s="2">
        <v>17660</v>
      </c>
      <c r="B17665" s="11" t="str">
        <f>"00796154"</f>
        <v>00796154</v>
      </c>
    </row>
    <row r="17666" spans="1:2" x14ac:dyDescent="0.25">
      <c r="A17666" s="2">
        <v>17661</v>
      </c>
      <c r="B17666" s="11" t="str">
        <f>"00796206"</f>
        <v>00796206</v>
      </c>
    </row>
    <row r="17667" spans="1:2" x14ac:dyDescent="0.25">
      <c r="A17667" s="2">
        <v>17662</v>
      </c>
      <c r="B17667" s="11" t="str">
        <f>"00796219"</f>
        <v>00796219</v>
      </c>
    </row>
    <row r="17668" spans="1:2" x14ac:dyDescent="0.25">
      <c r="A17668" s="2">
        <v>17663</v>
      </c>
      <c r="B17668" s="11" t="str">
        <f>"00796230"</f>
        <v>00796230</v>
      </c>
    </row>
    <row r="17669" spans="1:2" x14ac:dyDescent="0.25">
      <c r="A17669" s="2">
        <v>17664</v>
      </c>
      <c r="B17669" s="11" t="str">
        <f>"00796249"</f>
        <v>00796249</v>
      </c>
    </row>
    <row r="17670" spans="1:2" x14ac:dyDescent="0.25">
      <c r="A17670" s="2">
        <v>17665</v>
      </c>
      <c r="B17670" s="11" t="str">
        <f>"00796311"</f>
        <v>00796311</v>
      </c>
    </row>
    <row r="17671" spans="1:2" x14ac:dyDescent="0.25">
      <c r="A17671" s="2">
        <v>17666</v>
      </c>
      <c r="B17671" s="11" t="str">
        <f>"00796318"</f>
        <v>00796318</v>
      </c>
    </row>
    <row r="17672" spans="1:2" x14ac:dyDescent="0.25">
      <c r="A17672" s="2">
        <v>17667</v>
      </c>
      <c r="B17672" s="11" t="str">
        <f>"00796343"</f>
        <v>00796343</v>
      </c>
    </row>
    <row r="17673" spans="1:2" x14ac:dyDescent="0.25">
      <c r="A17673" s="2">
        <v>17668</v>
      </c>
      <c r="B17673" s="11" t="str">
        <f>"00796347"</f>
        <v>00796347</v>
      </c>
    </row>
    <row r="17674" spans="1:2" x14ac:dyDescent="0.25">
      <c r="A17674" s="2">
        <v>17669</v>
      </c>
      <c r="B17674" s="11" t="str">
        <f>"00796349"</f>
        <v>00796349</v>
      </c>
    </row>
    <row r="17675" spans="1:2" x14ac:dyDescent="0.25">
      <c r="A17675" s="2">
        <v>17670</v>
      </c>
      <c r="B17675" s="11" t="str">
        <f>"00796369"</f>
        <v>00796369</v>
      </c>
    </row>
    <row r="17676" spans="1:2" x14ac:dyDescent="0.25">
      <c r="A17676" s="2">
        <v>17671</v>
      </c>
      <c r="B17676" s="11" t="str">
        <f>"00796378"</f>
        <v>00796378</v>
      </c>
    </row>
    <row r="17677" spans="1:2" x14ac:dyDescent="0.25">
      <c r="A17677" s="2">
        <v>17672</v>
      </c>
      <c r="B17677" s="11" t="str">
        <f>"00796390"</f>
        <v>00796390</v>
      </c>
    </row>
    <row r="17678" spans="1:2" x14ac:dyDescent="0.25">
      <c r="A17678" s="2">
        <v>17673</v>
      </c>
      <c r="B17678" s="11" t="str">
        <f>"00796414"</f>
        <v>00796414</v>
      </c>
    </row>
    <row r="17679" spans="1:2" x14ac:dyDescent="0.25">
      <c r="A17679" s="2">
        <v>17674</v>
      </c>
      <c r="B17679" s="11" t="str">
        <f>"00796417"</f>
        <v>00796417</v>
      </c>
    </row>
    <row r="17680" spans="1:2" x14ac:dyDescent="0.25">
      <c r="A17680" s="2">
        <v>17675</v>
      </c>
      <c r="B17680" s="11" t="str">
        <f>"00796425"</f>
        <v>00796425</v>
      </c>
    </row>
    <row r="17681" spans="1:2" x14ac:dyDescent="0.25">
      <c r="A17681" s="2">
        <v>17676</v>
      </c>
      <c r="B17681" s="11" t="str">
        <f>"00796427"</f>
        <v>00796427</v>
      </c>
    </row>
    <row r="17682" spans="1:2" x14ac:dyDescent="0.25">
      <c r="A17682" s="2">
        <v>17677</v>
      </c>
      <c r="B17682" s="11" t="str">
        <f>"00796492"</f>
        <v>00796492</v>
      </c>
    </row>
    <row r="17683" spans="1:2" x14ac:dyDescent="0.25">
      <c r="A17683" s="2">
        <v>17678</v>
      </c>
      <c r="B17683" s="11" t="str">
        <f>"00796505"</f>
        <v>00796505</v>
      </c>
    </row>
    <row r="17684" spans="1:2" x14ac:dyDescent="0.25">
      <c r="A17684" s="2">
        <v>17679</v>
      </c>
      <c r="B17684" s="11" t="str">
        <f>"00796511"</f>
        <v>00796511</v>
      </c>
    </row>
    <row r="17685" spans="1:2" x14ac:dyDescent="0.25">
      <c r="A17685" s="2">
        <v>17680</v>
      </c>
      <c r="B17685" s="11" t="str">
        <f>"00796526"</f>
        <v>00796526</v>
      </c>
    </row>
    <row r="17686" spans="1:2" x14ac:dyDescent="0.25">
      <c r="A17686" s="2">
        <v>17681</v>
      </c>
      <c r="B17686" s="11" t="str">
        <f>"00796539"</f>
        <v>00796539</v>
      </c>
    </row>
    <row r="17687" spans="1:2" x14ac:dyDescent="0.25">
      <c r="A17687" s="2">
        <v>17682</v>
      </c>
      <c r="B17687" s="11" t="str">
        <f>"00796547"</f>
        <v>00796547</v>
      </c>
    </row>
    <row r="17688" spans="1:2" x14ac:dyDescent="0.25">
      <c r="A17688" s="2">
        <v>17683</v>
      </c>
      <c r="B17688" s="11" t="str">
        <f>"00796550"</f>
        <v>00796550</v>
      </c>
    </row>
    <row r="17689" spans="1:2" x14ac:dyDescent="0.25">
      <c r="A17689" s="2">
        <v>17684</v>
      </c>
      <c r="B17689" s="11" t="str">
        <f>"00796570"</f>
        <v>00796570</v>
      </c>
    </row>
    <row r="17690" spans="1:2" x14ac:dyDescent="0.25">
      <c r="A17690" s="2">
        <v>17685</v>
      </c>
      <c r="B17690" s="11" t="str">
        <f>"00796571"</f>
        <v>00796571</v>
      </c>
    </row>
    <row r="17691" spans="1:2" x14ac:dyDescent="0.25">
      <c r="A17691" s="2">
        <v>17686</v>
      </c>
      <c r="B17691" s="11" t="str">
        <f>"00796589"</f>
        <v>00796589</v>
      </c>
    </row>
    <row r="17692" spans="1:2" x14ac:dyDescent="0.25">
      <c r="A17692" s="2">
        <v>17687</v>
      </c>
      <c r="B17692" s="11" t="str">
        <f>"00796603"</f>
        <v>00796603</v>
      </c>
    </row>
    <row r="17693" spans="1:2" x14ac:dyDescent="0.25">
      <c r="A17693" s="2">
        <v>17688</v>
      </c>
      <c r="B17693" s="11" t="str">
        <f>"00796620"</f>
        <v>00796620</v>
      </c>
    </row>
    <row r="17694" spans="1:2" x14ac:dyDescent="0.25">
      <c r="A17694" s="2">
        <v>17689</v>
      </c>
      <c r="B17694" s="11" t="str">
        <f>"00796626"</f>
        <v>00796626</v>
      </c>
    </row>
    <row r="17695" spans="1:2" x14ac:dyDescent="0.25">
      <c r="A17695" s="2">
        <v>17690</v>
      </c>
      <c r="B17695" s="11" t="str">
        <f>"00796630"</f>
        <v>00796630</v>
      </c>
    </row>
    <row r="17696" spans="1:2" x14ac:dyDescent="0.25">
      <c r="A17696" s="2">
        <v>17691</v>
      </c>
      <c r="B17696" s="11" t="str">
        <f>"00796641"</f>
        <v>00796641</v>
      </c>
    </row>
    <row r="17697" spans="1:2" x14ac:dyDescent="0.25">
      <c r="A17697" s="2">
        <v>17692</v>
      </c>
      <c r="B17697" s="11" t="str">
        <f>"00796651"</f>
        <v>00796651</v>
      </c>
    </row>
    <row r="17698" spans="1:2" x14ac:dyDescent="0.25">
      <c r="A17698" s="2">
        <v>17693</v>
      </c>
      <c r="B17698" s="11" t="str">
        <f>"00796658"</f>
        <v>00796658</v>
      </c>
    </row>
    <row r="17699" spans="1:2" x14ac:dyDescent="0.25">
      <c r="A17699" s="2">
        <v>17694</v>
      </c>
      <c r="B17699" s="11" t="str">
        <f>"00796670"</f>
        <v>00796670</v>
      </c>
    </row>
    <row r="17700" spans="1:2" x14ac:dyDescent="0.25">
      <c r="A17700" s="2">
        <v>17695</v>
      </c>
      <c r="B17700" s="11" t="str">
        <f>"00796688"</f>
        <v>00796688</v>
      </c>
    </row>
    <row r="17701" spans="1:2" x14ac:dyDescent="0.25">
      <c r="A17701" s="2">
        <v>17696</v>
      </c>
      <c r="B17701" s="11" t="str">
        <f>"00796690"</f>
        <v>00796690</v>
      </c>
    </row>
    <row r="17702" spans="1:2" x14ac:dyDescent="0.25">
      <c r="A17702" s="2">
        <v>17697</v>
      </c>
      <c r="B17702" s="11" t="str">
        <f>"00796705"</f>
        <v>00796705</v>
      </c>
    </row>
    <row r="17703" spans="1:2" x14ac:dyDescent="0.25">
      <c r="A17703" s="2">
        <v>17698</v>
      </c>
      <c r="B17703" s="11" t="str">
        <f>"00796714"</f>
        <v>00796714</v>
      </c>
    </row>
    <row r="17704" spans="1:2" x14ac:dyDescent="0.25">
      <c r="A17704" s="2">
        <v>17699</v>
      </c>
      <c r="B17704" s="11" t="str">
        <f>"00796718"</f>
        <v>00796718</v>
      </c>
    </row>
    <row r="17705" spans="1:2" x14ac:dyDescent="0.25">
      <c r="A17705" s="2">
        <v>17700</v>
      </c>
      <c r="B17705" s="11" t="str">
        <f>"00796726"</f>
        <v>00796726</v>
      </c>
    </row>
    <row r="17706" spans="1:2" x14ac:dyDescent="0.25">
      <c r="A17706" s="2">
        <v>17701</v>
      </c>
      <c r="B17706" s="11" t="str">
        <f>"00796785"</f>
        <v>00796785</v>
      </c>
    </row>
    <row r="17707" spans="1:2" x14ac:dyDescent="0.25">
      <c r="A17707" s="2">
        <v>17702</v>
      </c>
      <c r="B17707" s="11" t="str">
        <f>"00796812"</f>
        <v>00796812</v>
      </c>
    </row>
    <row r="17708" spans="1:2" x14ac:dyDescent="0.25">
      <c r="A17708" s="2">
        <v>17703</v>
      </c>
      <c r="B17708" s="11" t="str">
        <f>"00796823"</f>
        <v>00796823</v>
      </c>
    </row>
    <row r="17709" spans="1:2" x14ac:dyDescent="0.25">
      <c r="A17709" s="2">
        <v>17704</v>
      </c>
      <c r="B17709" s="11" t="str">
        <f>"00796840"</f>
        <v>00796840</v>
      </c>
    </row>
    <row r="17710" spans="1:2" x14ac:dyDescent="0.25">
      <c r="A17710" s="2">
        <v>17705</v>
      </c>
      <c r="B17710" s="11" t="str">
        <f>"00796861"</f>
        <v>00796861</v>
      </c>
    </row>
    <row r="17711" spans="1:2" x14ac:dyDescent="0.25">
      <c r="A17711" s="2">
        <v>17706</v>
      </c>
      <c r="B17711" s="11" t="str">
        <f>"00796877"</f>
        <v>00796877</v>
      </c>
    </row>
    <row r="17712" spans="1:2" x14ac:dyDescent="0.25">
      <c r="A17712" s="2">
        <v>17707</v>
      </c>
      <c r="B17712" s="11" t="str">
        <f>"00796919"</f>
        <v>00796919</v>
      </c>
    </row>
    <row r="17713" spans="1:2" x14ac:dyDescent="0.25">
      <c r="A17713" s="2">
        <v>17708</v>
      </c>
      <c r="B17713" s="11" t="str">
        <f>"00796935"</f>
        <v>00796935</v>
      </c>
    </row>
    <row r="17714" spans="1:2" x14ac:dyDescent="0.25">
      <c r="A17714" s="2">
        <v>17709</v>
      </c>
      <c r="B17714" s="11" t="str">
        <f>"00796950"</f>
        <v>00796950</v>
      </c>
    </row>
    <row r="17715" spans="1:2" x14ac:dyDescent="0.25">
      <c r="A17715" s="2">
        <v>17710</v>
      </c>
      <c r="B17715" s="11" t="str">
        <f>"00796998"</f>
        <v>00796998</v>
      </c>
    </row>
    <row r="17716" spans="1:2" x14ac:dyDescent="0.25">
      <c r="A17716" s="2">
        <v>17711</v>
      </c>
      <c r="B17716" s="11" t="str">
        <f>"00797005"</f>
        <v>00797005</v>
      </c>
    </row>
    <row r="17717" spans="1:2" x14ac:dyDescent="0.25">
      <c r="A17717" s="2">
        <v>17712</v>
      </c>
      <c r="B17717" s="11" t="str">
        <f>"00797007"</f>
        <v>00797007</v>
      </c>
    </row>
    <row r="17718" spans="1:2" x14ac:dyDescent="0.25">
      <c r="A17718" s="2">
        <v>17713</v>
      </c>
      <c r="B17718" s="11" t="str">
        <f>"00797035"</f>
        <v>00797035</v>
      </c>
    </row>
    <row r="17719" spans="1:2" x14ac:dyDescent="0.25">
      <c r="A17719" s="2">
        <v>17714</v>
      </c>
      <c r="B17719" s="11" t="str">
        <f>"00797066"</f>
        <v>00797066</v>
      </c>
    </row>
    <row r="17720" spans="1:2" x14ac:dyDescent="0.25">
      <c r="A17720" s="2">
        <v>17715</v>
      </c>
      <c r="B17720" s="11" t="str">
        <f>"00797116"</f>
        <v>00797116</v>
      </c>
    </row>
    <row r="17721" spans="1:2" x14ac:dyDescent="0.25">
      <c r="A17721" s="2">
        <v>17716</v>
      </c>
      <c r="B17721" s="11" t="str">
        <f>"00797178"</f>
        <v>00797178</v>
      </c>
    </row>
    <row r="17722" spans="1:2" x14ac:dyDescent="0.25">
      <c r="A17722" s="2">
        <v>17717</v>
      </c>
      <c r="B17722" s="11" t="str">
        <f>"00797184"</f>
        <v>00797184</v>
      </c>
    </row>
    <row r="17723" spans="1:2" x14ac:dyDescent="0.25">
      <c r="A17723" s="2">
        <v>17718</v>
      </c>
      <c r="B17723" s="11" t="str">
        <f>"00797187"</f>
        <v>00797187</v>
      </c>
    </row>
    <row r="17724" spans="1:2" x14ac:dyDescent="0.25">
      <c r="A17724" s="2">
        <v>17719</v>
      </c>
      <c r="B17724" s="11" t="str">
        <f>"00797195"</f>
        <v>00797195</v>
      </c>
    </row>
    <row r="17725" spans="1:2" x14ac:dyDescent="0.25">
      <c r="A17725" s="2">
        <v>17720</v>
      </c>
      <c r="B17725" s="11" t="str">
        <f>"00797237"</f>
        <v>00797237</v>
      </c>
    </row>
    <row r="17726" spans="1:2" x14ac:dyDescent="0.25">
      <c r="A17726" s="2">
        <v>17721</v>
      </c>
      <c r="B17726" s="11" t="str">
        <f>"00797249"</f>
        <v>00797249</v>
      </c>
    </row>
    <row r="17727" spans="1:2" x14ac:dyDescent="0.25">
      <c r="A17727" s="2">
        <v>17722</v>
      </c>
      <c r="B17727" s="11" t="str">
        <f>"00797258"</f>
        <v>00797258</v>
      </c>
    </row>
    <row r="17728" spans="1:2" x14ac:dyDescent="0.25">
      <c r="A17728" s="2">
        <v>17723</v>
      </c>
      <c r="B17728" s="11" t="str">
        <f>"00797259"</f>
        <v>00797259</v>
      </c>
    </row>
    <row r="17729" spans="1:2" x14ac:dyDescent="0.25">
      <c r="A17729" s="2">
        <v>17724</v>
      </c>
      <c r="B17729" s="11" t="str">
        <f>"00797263"</f>
        <v>00797263</v>
      </c>
    </row>
    <row r="17730" spans="1:2" x14ac:dyDescent="0.25">
      <c r="A17730" s="2">
        <v>17725</v>
      </c>
      <c r="B17730" s="11" t="str">
        <f>"00797271"</f>
        <v>00797271</v>
      </c>
    </row>
    <row r="17731" spans="1:2" x14ac:dyDescent="0.25">
      <c r="A17731" s="2">
        <v>17726</v>
      </c>
      <c r="B17731" s="11" t="str">
        <f>"00797287"</f>
        <v>00797287</v>
      </c>
    </row>
    <row r="17732" spans="1:2" x14ac:dyDescent="0.25">
      <c r="A17732" s="2">
        <v>17727</v>
      </c>
      <c r="B17732" s="11" t="str">
        <f>"00797306"</f>
        <v>00797306</v>
      </c>
    </row>
    <row r="17733" spans="1:2" x14ac:dyDescent="0.25">
      <c r="A17733" s="2">
        <v>17728</v>
      </c>
      <c r="B17733" s="11" t="str">
        <f>"00797317"</f>
        <v>00797317</v>
      </c>
    </row>
    <row r="17734" spans="1:2" x14ac:dyDescent="0.25">
      <c r="A17734" s="2">
        <v>17729</v>
      </c>
      <c r="B17734" s="11" t="str">
        <f>"00797330"</f>
        <v>00797330</v>
      </c>
    </row>
    <row r="17735" spans="1:2" x14ac:dyDescent="0.25">
      <c r="A17735" s="2">
        <v>17730</v>
      </c>
      <c r="B17735" s="11" t="str">
        <f>"00797352"</f>
        <v>00797352</v>
      </c>
    </row>
    <row r="17736" spans="1:2" x14ac:dyDescent="0.25">
      <c r="A17736" s="2">
        <v>17731</v>
      </c>
      <c r="B17736" s="11" t="str">
        <f>"00797357"</f>
        <v>00797357</v>
      </c>
    </row>
    <row r="17737" spans="1:2" x14ac:dyDescent="0.25">
      <c r="A17737" s="2">
        <v>17732</v>
      </c>
      <c r="B17737" s="11" t="str">
        <f>"00797367"</f>
        <v>00797367</v>
      </c>
    </row>
    <row r="17738" spans="1:2" x14ac:dyDescent="0.25">
      <c r="A17738" s="2">
        <v>17733</v>
      </c>
      <c r="B17738" s="11" t="str">
        <f>"00797371"</f>
        <v>00797371</v>
      </c>
    </row>
    <row r="17739" spans="1:2" x14ac:dyDescent="0.25">
      <c r="A17739" s="2">
        <v>17734</v>
      </c>
      <c r="B17739" s="11" t="str">
        <f>"00797374"</f>
        <v>00797374</v>
      </c>
    </row>
    <row r="17740" spans="1:2" x14ac:dyDescent="0.25">
      <c r="A17740" s="2">
        <v>17735</v>
      </c>
      <c r="B17740" s="11" t="str">
        <f>"00797375"</f>
        <v>00797375</v>
      </c>
    </row>
    <row r="17741" spans="1:2" x14ac:dyDescent="0.25">
      <c r="A17741" s="2">
        <v>17736</v>
      </c>
      <c r="B17741" s="11" t="str">
        <f>"00797385"</f>
        <v>00797385</v>
      </c>
    </row>
    <row r="17742" spans="1:2" x14ac:dyDescent="0.25">
      <c r="A17742" s="2">
        <v>17737</v>
      </c>
      <c r="B17742" s="11" t="str">
        <f>"00797389"</f>
        <v>00797389</v>
      </c>
    </row>
    <row r="17743" spans="1:2" x14ac:dyDescent="0.25">
      <c r="A17743" s="2">
        <v>17738</v>
      </c>
      <c r="B17743" s="11" t="str">
        <f>"00797394"</f>
        <v>00797394</v>
      </c>
    </row>
    <row r="17744" spans="1:2" x14ac:dyDescent="0.25">
      <c r="A17744" s="2">
        <v>17739</v>
      </c>
      <c r="B17744" s="11" t="str">
        <f>"00797400"</f>
        <v>00797400</v>
      </c>
    </row>
    <row r="17745" spans="1:2" x14ac:dyDescent="0.25">
      <c r="A17745" s="2">
        <v>17740</v>
      </c>
      <c r="B17745" s="11" t="str">
        <f>"00797402"</f>
        <v>00797402</v>
      </c>
    </row>
    <row r="17746" spans="1:2" x14ac:dyDescent="0.25">
      <c r="A17746" s="2">
        <v>17741</v>
      </c>
      <c r="B17746" s="11" t="str">
        <f>"00797434"</f>
        <v>00797434</v>
      </c>
    </row>
    <row r="17747" spans="1:2" x14ac:dyDescent="0.25">
      <c r="A17747" s="2">
        <v>17742</v>
      </c>
      <c r="B17747" s="11" t="str">
        <f>"00797443"</f>
        <v>00797443</v>
      </c>
    </row>
    <row r="17748" spans="1:2" x14ac:dyDescent="0.25">
      <c r="A17748" s="2">
        <v>17743</v>
      </c>
      <c r="B17748" s="11" t="str">
        <f>"00797457"</f>
        <v>00797457</v>
      </c>
    </row>
    <row r="17749" spans="1:2" x14ac:dyDescent="0.25">
      <c r="A17749" s="2">
        <v>17744</v>
      </c>
      <c r="B17749" s="11" t="str">
        <f>"00797487"</f>
        <v>00797487</v>
      </c>
    </row>
    <row r="17750" spans="1:2" x14ac:dyDescent="0.25">
      <c r="A17750" s="2">
        <v>17745</v>
      </c>
      <c r="B17750" s="11" t="str">
        <f>"00797500"</f>
        <v>00797500</v>
      </c>
    </row>
    <row r="17751" spans="1:2" x14ac:dyDescent="0.25">
      <c r="A17751" s="2">
        <v>17746</v>
      </c>
      <c r="B17751" s="11" t="str">
        <f>"00797503"</f>
        <v>00797503</v>
      </c>
    </row>
    <row r="17752" spans="1:2" x14ac:dyDescent="0.25">
      <c r="A17752" s="2">
        <v>17747</v>
      </c>
      <c r="B17752" s="11" t="str">
        <f>"00797526"</f>
        <v>00797526</v>
      </c>
    </row>
    <row r="17753" spans="1:2" x14ac:dyDescent="0.25">
      <c r="A17753" s="2">
        <v>17748</v>
      </c>
      <c r="B17753" s="11" t="str">
        <f>"00797560"</f>
        <v>00797560</v>
      </c>
    </row>
    <row r="17754" spans="1:2" x14ac:dyDescent="0.25">
      <c r="A17754" s="2">
        <v>17749</v>
      </c>
      <c r="B17754" s="11" t="str">
        <f>"00797583"</f>
        <v>00797583</v>
      </c>
    </row>
    <row r="17755" spans="1:2" x14ac:dyDescent="0.25">
      <c r="A17755" s="2">
        <v>17750</v>
      </c>
      <c r="B17755" s="11" t="str">
        <f>"00797620"</f>
        <v>00797620</v>
      </c>
    </row>
    <row r="17756" spans="1:2" x14ac:dyDescent="0.25">
      <c r="A17756" s="2">
        <v>17751</v>
      </c>
      <c r="B17756" s="11" t="str">
        <f>"00797628"</f>
        <v>00797628</v>
      </c>
    </row>
    <row r="17757" spans="1:2" x14ac:dyDescent="0.25">
      <c r="A17757" s="2">
        <v>17752</v>
      </c>
      <c r="B17757" s="11" t="str">
        <f>"00797636"</f>
        <v>00797636</v>
      </c>
    </row>
    <row r="17758" spans="1:2" x14ac:dyDescent="0.25">
      <c r="A17758" s="2">
        <v>17753</v>
      </c>
      <c r="B17758" s="11" t="str">
        <f>"00797639"</f>
        <v>00797639</v>
      </c>
    </row>
    <row r="17759" spans="1:2" x14ac:dyDescent="0.25">
      <c r="A17759" s="2">
        <v>17754</v>
      </c>
      <c r="B17759" s="11" t="str">
        <f>"00797646"</f>
        <v>00797646</v>
      </c>
    </row>
    <row r="17760" spans="1:2" x14ac:dyDescent="0.25">
      <c r="A17760" s="2">
        <v>17755</v>
      </c>
      <c r="B17760" s="11" t="str">
        <f>"00797649"</f>
        <v>00797649</v>
      </c>
    </row>
    <row r="17761" spans="1:2" x14ac:dyDescent="0.25">
      <c r="A17761" s="2">
        <v>17756</v>
      </c>
      <c r="B17761" s="11" t="str">
        <f>"00797665"</f>
        <v>00797665</v>
      </c>
    </row>
    <row r="17762" spans="1:2" x14ac:dyDescent="0.25">
      <c r="A17762" s="2">
        <v>17757</v>
      </c>
      <c r="B17762" s="11" t="str">
        <f>"00797712"</f>
        <v>00797712</v>
      </c>
    </row>
    <row r="17763" spans="1:2" x14ac:dyDescent="0.25">
      <c r="A17763" s="2">
        <v>17758</v>
      </c>
      <c r="B17763" s="11" t="str">
        <f>"00797719"</f>
        <v>00797719</v>
      </c>
    </row>
    <row r="17764" spans="1:2" x14ac:dyDescent="0.25">
      <c r="A17764" s="2">
        <v>17759</v>
      </c>
      <c r="B17764" s="11" t="str">
        <f>"00797747"</f>
        <v>00797747</v>
      </c>
    </row>
    <row r="17765" spans="1:2" x14ac:dyDescent="0.25">
      <c r="A17765" s="2">
        <v>17760</v>
      </c>
      <c r="B17765" s="11" t="str">
        <f>"00797752"</f>
        <v>00797752</v>
      </c>
    </row>
    <row r="17766" spans="1:2" x14ac:dyDescent="0.25">
      <c r="A17766" s="2">
        <v>17761</v>
      </c>
      <c r="B17766" s="11" t="str">
        <f>"00797756"</f>
        <v>00797756</v>
      </c>
    </row>
    <row r="17767" spans="1:2" x14ac:dyDescent="0.25">
      <c r="A17767" s="2">
        <v>17762</v>
      </c>
      <c r="B17767" s="11" t="str">
        <f>"00797762"</f>
        <v>00797762</v>
      </c>
    </row>
    <row r="17768" spans="1:2" x14ac:dyDescent="0.25">
      <c r="A17768" s="2">
        <v>17763</v>
      </c>
      <c r="B17768" s="11" t="str">
        <f>"00797769"</f>
        <v>00797769</v>
      </c>
    </row>
    <row r="17769" spans="1:2" x14ac:dyDescent="0.25">
      <c r="A17769" s="2">
        <v>17764</v>
      </c>
      <c r="B17769" s="11" t="str">
        <f>"00797771"</f>
        <v>00797771</v>
      </c>
    </row>
    <row r="17770" spans="1:2" x14ac:dyDescent="0.25">
      <c r="A17770" s="2">
        <v>17765</v>
      </c>
      <c r="B17770" s="11" t="str">
        <f>"00797776"</f>
        <v>00797776</v>
      </c>
    </row>
    <row r="17771" spans="1:2" x14ac:dyDescent="0.25">
      <c r="A17771" s="2">
        <v>17766</v>
      </c>
      <c r="B17771" s="11" t="str">
        <f>"00797782"</f>
        <v>00797782</v>
      </c>
    </row>
    <row r="17772" spans="1:2" x14ac:dyDescent="0.25">
      <c r="A17772" s="2">
        <v>17767</v>
      </c>
      <c r="B17772" s="11" t="str">
        <f>"00797827"</f>
        <v>00797827</v>
      </c>
    </row>
    <row r="17773" spans="1:2" x14ac:dyDescent="0.25">
      <c r="A17773" s="2">
        <v>17768</v>
      </c>
      <c r="B17773" s="11" t="str">
        <f>"00797845"</f>
        <v>00797845</v>
      </c>
    </row>
    <row r="17774" spans="1:2" x14ac:dyDescent="0.25">
      <c r="A17774" s="2">
        <v>17769</v>
      </c>
      <c r="B17774" s="11" t="str">
        <f>"00797848"</f>
        <v>00797848</v>
      </c>
    </row>
    <row r="17775" spans="1:2" x14ac:dyDescent="0.25">
      <c r="A17775" s="2">
        <v>17770</v>
      </c>
      <c r="B17775" s="11" t="str">
        <f>"00797858"</f>
        <v>00797858</v>
      </c>
    </row>
    <row r="17776" spans="1:2" x14ac:dyDescent="0.25">
      <c r="A17776" s="2">
        <v>17771</v>
      </c>
      <c r="B17776" s="11" t="str">
        <f>"00797864"</f>
        <v>00797864</v>
      </c>
    </row>
    <row r="17777" spans="1:2" x14ac:dyDescent="0.25">
      <c r="A17777" s="2">
        <v>17772</v>
      </c>
      <c r="B17777" s="11" t="str">
        <f>"00797903"</f>
        <v>00797903</v>
      </c>
    </row>
    <row r="17778" spans="1:2" x14ac:dyDescent="0.25">
      <c r="A17778" s="2">
        <v>17773</v>
      </c>
      <c r="B17778" s="11" t="str">
        <f>"00797905"</f>
        <v>00797905</v>
      </c>
    </row>
    <row r="17779" spans="1:2" x14ac:dyDescent="0.25">
      <c r="A17779" s="2">
        <v>17774</v>
      </c>
      <c r="B17779" s="11" t="str">
        <f>"00797915"</f>
        <v>00797915</v>
      </c>
    </row>
    <row r="17780" spans="1:2" x14ac:dyDescent="0.25">
      <c r="A17780" s="2">
        <v>17775</v>
      </c>
      <c r="B17780" s="11" t="str">
        <f>"00797940"</f>
        <v>00797940</v>
      </c>
    </row>
    <row r="17781" spans="1:2" x14ac:dyDescent="0.25">
      <c r="A17781" s="2">
        <v>17776</v>
      </c>
      <c r="B17781" s="11" t="str">
        <f>"00797953"</f>
        <v>00797953</v>
      </c>
    </row>
    <row r="17782" spans="1:2" x14ac:dyDescent="0.25">
      <c r="A17782" s="2">
        <v>17777</v>
      </c>
      <c r="B17782" s="11" t="str">
        <f>"00797959"</f>
        <v>00797959</v>
      </c>
    </row>
    <row r="17783" spans="1:2" x14ac:dyDescent="0.25">
      <c r="A17783" s="2">
        <v>17778</v>
      </c>
      <c r="B17783" s="11" t="str">
        <f>"00797980"</f>
        <v>00797980</v>
      </c>
    </row>
    <row r="17784" spans="1:2" x14ac:dyDescent="0.25">
      <c r="A17784" s="2">
        <v>17779</v>
      </c>
      <c r="B17784" s="11" t="str">
        <f>"00797999"</f>
        <v>00797999</v>
      </c>
    </row>
    <row r="17785" spans="1:2" x14ac:dyDescent="0.25">
      <c r="A17785" s="2">
        <v>17780</v>
      </c>
      <c r="B17785" s="11" t="str">
        <f>"00798013"</f>
        <v>00798013</v>
      </c>
    </row>
    <row r="17786" spans="1:2" x14ac:dyDescent="0.25">
      <c r="A17786" s="2">
        <v>17781</v>
      </c>
      <c r="B17786" s="11" t="str">
        <f>"00798036"</f>
        <v>00798036</v>
      </c>
    </row>
    <row r="17787" spans="1:2" x14ac:dyDescent="0.25">
      <c r="A17787" s="2">
        <v>17782</v>
      </c>
      <c r="B17787" s="11" t="str">
        <f>"00798048"</f>
        <v>00798048</v>
      </c>
    </row>
    <row r="17788" spans="1:2" x14ac:dyDescent="0.25">
      <c r="A17788" s="2">
        <v>17783</v>
      </c>
      <c r="B17788" s="11" t="str">
        <f>"00798060"</f>
        <v>00798060</v>
      </c>
    </row>
    <row r="17789" spans="1:2" x14ac:dyDescent="0.25">
      <c r="A17789" s="2">
        <v>17784</v>
      </c>
      <c r="B17789" s="11" t="str">
        <f>"00798073"</f>
        <v>00798073</v>
      </c>
    </row>
    <row r="17790" spans="1:2" x14ac:dyDescent="0.25">
      <c r="A17790" s="2">
        <v>17785</v>
      </c>
      <c r="B17790" s="11" t="str">
        <f>"00798168"</f>
        <v>00798168</v>
      </c>
    </row>
    <row r="17791" spans="1:2" x14ac:dyDescent="0.25">
      <c r="A17791" s="2">
        <v>17786</v>
      </c>
      <c r="B17791" s="11" t="str">
        <f>"00798181"</f>
        <v>00798181</v>
      </c>
    </row>
    <row r="17792" spans="1:2" x14ac:dyDescent="0.25">
      <c r="A17792" s="2">
        <v>17787</v>
      </c>
      <c r="B17792" s="11" t="str">
        <f>"00798185"</f>
        <v>00798185</v>
      </c>
    </row>
    <row r="17793" spans="1:2" x14ac:dyDescent="0.25">
      <c r="A17793" s="2">
        <v>17788</v>
      </c>
      <c r="B17793" s="11" t="str">
        <f>"00798197"</f>
        <v>00798197</v>
      </c>
    </row>
    <row r="17794" spans="1:2" x14ac:dyDescent="0.25">
      <c r="A17794" s="2">
        <v>17789</v>
      </c>
      <c r="B17794" s="11" t="str">
        <f>"00798232"</f>
        <v>00798232</v>
      </c>
    </row>
    <row r="17795" spans="1:2" x14ac:dyDescent="0.25">
      <c r="A17795" s="2">
        <v>17790</v>
      </c>
      <c r="B17795" s="11" t="str">
        <f>"00798291"</f>
        <v>00798291</v>
      </c>
    </row>
    <row r="17796" spans="1:2" x14ac:dyDescent="0.25">
      <c r="A17796" s="2">
        <v>17791</v>
      </c>
      <c r="B17796" s="11" t="str">
        <f>"00798341"</f>
        <v>00798341</v>
      </c>
    </row>
    <row r="17797" spans="1:2" x14ac:dyDescent="0.25">
      <c r="A17797" s="2">
        <v>17792</v>
      </c>
      <c r="B17797" s="11" t="str">
        <f>"00798366"</f>
        <v>00798366</v>
      </c>
    </row>
    <row r="17798" spans="1:2" x14ac:dyDescent="0.25">
      <c r="A17798" s="2">
        <v>17793</v>
      </c>
      <c r="B17798" s="11" t="str">
        <f>"00798389"</f>
        <v>00798389</v>
      </c>
    </row>
    <row r="17799" spans="1:2" x14ac:dyDescent="0.25">
      <c r="A17799" s="2">
        <v>17794</v>
      </c>
      <c r="B17799" s="11" t="str">
        <f>"00798414"</f>
        <v>00798414</v>
      </c>
    </row>
    <row r="17800" spans="1:2" x14ac:dyDescent="0.25">
      <c r="A17800" s="2">
        <v>17795</v>
      </c>
      <c r="B17800" s="11" t="str">
        <f>"00798415"</f>
        <v>00798415</v>
      </c>
    </row>
    <row r="17801" spans="1:2" x14ac:dyDescent="0.25">
      <c r="A17801" s="2">
        <v>17796</v>
      </c>
      <c r="B17801" s="11" t="str">
        <f>"00798521"</f>
        <v>00798521</v>
      </c>
    </row>
    <row r="17802" spans="1:2" x14ac:dyDescent="0.25">
      <c r="A17802" s="2">
        <v>17797</v>
      </c>
      <c r="B17802" s="11" t="str">
        <f>"00798542"</f>
        <v>00798542</v>
      </c>
    </row>
    <row r="17803" spans="1:2" x14ac:dyDescent="0.25">
      <c r="A17803" s="2">
        <v>17798</v>
      </c>
      <c r="B17803" s="11" t="str">
        <f>"00798629"</f>
        <v>00798629</v>
      </c>
    </row>
    <row r="17804" spans="1:2" x14ac:dyDescent="0.25">
      <c r="A17804" s="2">
        <v>17799</v>
      </c>
      <c r="B17804" s="11" t="str">
        <f>"00798642"</f>
        <v>00798642</v>
      </c>
    </row>
    <row r="17805" spans="1:2" x14ac:dyDescent="0.25">
      <c r="A17805" s="2">
        <v>17800</v>
      </c>
      <c r="B17805" s="11" t="str">
        <f>"00798684"</f>
        <v>00798684</v>
      </c>
    </row>
    <row r="17806" spans="1:2" x14ac:dyDescent="0.25">
      <c r="A17806" s="2">
        <v>17801</v>
      </c>
      <c r="B17806" s="11" t="str">
        <f>"00798697"</f>
        <v>00798697</v>
      </c>
    </row>
    <row r="17807" spans="1:2" x14ac:dyDescent="0.25">
      <c r="A17807" s="2">
        <v>17802</v>
      </c>
      <c r="B17807" s="11" t="str">
        <f>"00798716"</f>
        <v>00798716</v>
      </c>
    </row>
    <row r="17808" spans="1:2" x14ac:dyDescent="0.25">
      <c r="A17808" s="2">
        <v>17803</v>
      </c>
      <c r="B17808" s="11" t="str">
        <f>"00798745"</f>
        <v>00798745</v>
      </c>
    </row>
    <row r="17809" spans="1:2" x14ac:dyDescent="0.25">
      <c r="A17809" s="2">
        <v>17804</v>
      </c>
      <c r="B17809" s="11" t="str">
        <f>"00798889"</f>
        <v>00798889</v>
      </c>
    </row>
    <row r="17810" spans="1:2" x14ac:dyDescent="0.25">
      <c r="A17810" s="2">
        <v>17805</v>
      </c>
      <c r="B17810" s="11" t="str">
        <f>"00798921"</f>
        <v>00798921</v>
      </c>
    </row>
    <row r="17811" spans="1:2" x14ac:dyDescent="0.25">
      <c r="A17811" s="2">
        <v>17806</v>
      </c>
      <c r="B17811" s="11" t="str">
        <f>"00798950"</f>
        <v>00798950</v>
      </c>
    </row>
    <row r="17812" spans="1:2" x14ac:dyDescent="0.25">
      <c r="A17812" s="2">
        <v>17807</v>
      </c>
      <c r="B17812" s="11" t="str">
        <f>"00798998"</f>
        <v>00798998</v>
      </c>
    </row>
    <row r="17813" spans="1:2" x14ac:dyDescent="0.25">
      <c r="A17813" s="2">
        <v>17808</v>
      </c>
      <c r="B17813" s="11" t="str">
        <f>"00799027"</f>
        <v>00799027</v>
      </c>
    </row>
    <row r="17814" spans="1:2" x14ac:dyDescent="0.25">
      <c r="A17814" s="2">
        <v>17809</v>
      </c>
      <c r="B17814" s="11" t="str">
        <f>"00799030"</f>
        <v>00799030</v>
      </c>
    </row>
    <row r="17815" spans="1:2" x14ac:dyDescent="0.25">
      <c r="A17815" s="2">
        <v>17810</v>
      </c>
      <c r="B17815" s="11" t="str">
        <f>"00799031"</f>
        <v>00799031</v>
      </c>
    </row>
    <row r="17816" spans="1:2" x14ac:dyDescent="0.25">
      <c r="A17816" s="2">
        <v>17811</v>
      </c>
      <c r="B17816" s="11" t="str">
        <f>"00799039"</f>
        <v>00799039</v>
      </c>
    </row>
    <row r="17817" spans="1:2" x14ac:dyDescent="0.25">
      <c r="A17817" s="2">
        <v>17812</v>
      </c>
      <c r="B17817" s="11" t="str">
        <f>"00799099"</f>
        <v>00799099</v>
      </c>
    </row>
    <row r="17818" spans="1:2" x14ac:dyDescent="0.25">
      <c r="A17818" s="2">
        <v>17813</v>
      </c>
      <c r="B17818" s="11" t="str">
        <f>"00799130"</f>
        <v>00799130</v>
      </c>
    </row>
    <row r="17819" spans="1:2" x14ac:dyDescent="0.25">
      <c r="A17819" s="2">
        <v>17814</v>
      </c>
      <c r="B17819" s="11" t="str">
        <f>"00799131"</f>
        <v>00799131</v>
      </c>
    </row>
    <row r="17820" spans="1:2" x14ac:dyDescent="0.25">
      <c r="A17820" s="2">
        <v>17815</v>
      </c>
      <c r="B17820" s="11" t="str">
        <f>"00799135"</f>
        <v>00799135</v>
      </c>
    </row>
    <row r="17821" spans="1:2" x14ac:dyDescent="0.25">
      <c r="A17821" s="2">
        <v>17816</v>
      </c>
      <c r="B17821" s="11" t="str">
        <f>"00799141"</f>
        <v>00799141</v>
      </c>
    </row>
    <row r="17822" spans="1:2" x14ac:dyDescent="0.25">
      <c r="A17822" s="2">
        <v>17817</v>
      </c>
      <c r="B17822" s="11" t="str">
        <f>"00799159"</f>
        <v>00799159</v>
      </c>
    </row>
    <row r="17823" spans="1:2" x14ac:dyDescent="0.25">
      <c r="A17823" s="2">
        <v>17818</v>
      </c>
      <c r="B17823" s="11" t="str">
        <f>"00799195"</f>
        <v>00799195</v>
      </c>
    </row>
    <row r="17824" spans="1:2" x14ac:dyDescent="0.25">
      <c r="A17824" s="2">
        <v>17819</v>
      </c>
      <c r="B17824" s="11" t="str">
        <f>"00799402"</f>
        <v>00799402</v>
      </c>
    </row>
    <row r="17825" spans="1:2" x14ac:dyDescent="0.25">
      <c r="A17825" s="2">
        <v>17820</v>
      </c>
      <c r="B17825" s="11" t="str">
        <f>"00799780"</f>
        <v>00799780</v>
      </c>
    </row>
    <row r="17826" spans="1:2" x14ac:dyDescent="0.25">
      <c r="A17826" s="2">
        <v>17821</v>
      </c>
      <c r="B17826" s="11" t="str">
        <f>"00799797"</f>
        <v>00799797</v>
      </c>
    </row>
    <row r="17827" spans="1:2" x14ac:dyDescent="0.25">
      <c r="A17827" s="2">
        <v>17822</v>
      </c>
      <c r="B17827" s="11" t="str">
        <f>"00799815"</f>
        <v>00799815</v>
      </c>
    </row>
    <row r="17828" spans="1:2" x14ac:dyDescent="0.25">
      <c r="A17828" s="2">
        <v>17823</v>
      </c>
      <c r="B17828" s="11" t="str">
        <f>"00799817"</f>
        <v>00799817</v>
      </c>
    </row>
    <row r="17829" spans="1:2" x14ac:dyDescent="0.25">
      <c r="A17829" s="2">
        <v>17824</v>
      </c>
      <c r="B17829" s="11" t="str">
        <f>"00799821"</f>
        <v>00799821</v>
      </c>
    </row>
    <row r="17830" spans="1:2" x14ac:dyDescent="0.25">
      <c r="A17830" s="2">
        <v>17825</v>
      </c>
      <c r="B17830" s="11" t="str">
        <f>"00799870"</f>
        <v>00799870</v>
      </c>
    </row>
    <row r="17831" spans="1:2" x14ac:dyDescent="0.25">
      <c r="A17831" s="2">
        <v>17826</v>
      </c>
      <c r="B17831" s="11" t="str">
        <f>"00799899"</f>
        <v>00799899</v>
      </c>
    </row>
    <row r="17832" spans="1:2" x14ac:dyDescent="0.25">
      <c r="A17832" s="2">
        <v>17827</v>
      </c>
      <c r="B17832" s="11" t="str">
        <f>"00799953"</f>
        <v>00799953</v>
      </c>
    </row>
    <row r="17833" spans="1:2" x14ac:dyDescent="0.25">
      <c r="A17833" s="2">
        <v>17828</v>
      </c>
      <c r="B17833" s="11" t="str">
        <f>"00799960"</f>
        <v>00799960</v>
      </c>
    </row>
    <row r="17834" spans="1:2" x14ac:dyDescent="0.25">
      <c r="A17834" s="2">
        <v>17829</v>
      </c>
      <c r="B17834" s="11" t="str">
        <f>"00799979"</f>
        <v>00799979</v>
      </c>
    </row>
    <row r="17835" spans="1:2" x14ac:dyDescent="0.25">
      <c r="A17835" s="2">
        <v>17830</v>
      </c>
      <c r="B17835" s="11" t="str">
        <f>"00799984"</f>
        <v>00799984</v>
      </c>
    </row>
    <row r="17836" spans="1:2" x14ac:dyDescent="0.25">
      <c r="A17836" s="2">
        <v>17831</v>
      </c>
      <c r="B17836" s="11" t="str">
        <f>"00799999"</f>
        <v>00799999</v>
      </c>
    </row>
    <row r="17837" spans="1:2" x14ac:dyDescent="0.25">
      <c r="A17837" s="2">
        <v>17832</v>
      </c>
      <c r="B17837" s="11" t="str">
        <f>"00800045"</f>
        <v>00800045</v>
      </c>
    </row>
    <row r="17838" spans="1:2" x14ac:dyDescent="0.25">
      <c r="A17838" s="2">
        <v>17833</v>
      </c>
      <c r="B17838" s="11" t="str">
        <f>"00800059"</f>
        <v>00800059</v>
      </c>
    </row>
    <row r="17839" spans="1:2" x14ac:dyDescent="0.25">
      <c r="A17839" s="2">
        <v>17834</v>
      </c>
      <c r="B17839" s="11" t="str">
        <f>"00800099"</f>
        <v>00800099</v>
      </c>
    </row>
    <row r="17840" spans="1:2" x14ac:dyDescent="0.25">
      <c r="A17840" s="2">
        <v>17835</v>
      </c>
      <c r="B17840" s="11" t="str">
        <f>"00800102"</f>
        <v>00800102</v>
      </c>
    </row>
    <row r="17841" spans="1:2" x14ac:dyDescent="0.25">
      <c r="A17841" s="2">
        <v>17836</v>
      </c>
      <c r="B17841" s="11" t="str">
        <f>"00800172"</f>
        <v>00800172</v>
      </c>
    </row>
    <row r="17842" spans="1:2" x14ac:dyDescent="0.25">
      <c r="A17842" s="2">
        <v>17837</v>
      </c>
      <c r="B17842" s="11" t="str">
        <f>"00800210"</f>
        <v>00800210</v>
      </c>
    </row>
    <row r="17843" spans="1:2" x14ac:dyDescent="0.25">
      <c r="A17843" s="2">
        <v>17838</v>
      </c>
      <c r="B17843" s="11" t="str">
        <f>"00800232"</f>
        <v>00800232</v>
      </c>
    </row>
    <row r="17844" spans="1:2" x14ac:dyDescent="0.25">
      <c r="A17844" s="2">
        <v>17839</v>
      </c>
      <c r="B17844" s="11" t="str">
        <f>"00800249"</f>
        <v>00800249</v>
      </c>
    </row>
    <row r="17845" spans="1:2" x14ac:dyDescent="0.25">
      <c r="A17845" s="2">
        <v>17840</v>
      </c>
      <c r="B17845" s="11" t="str">
        <f>"00800257"</f>
        <v>00800257</v>
      </c>
    </row>
    <row r="17846" spans="1:2" x14ac:dyDescent="0.25">
      <c r="A17846" s="2">
        <v>17841</v>
      </c>
      <c r="B17846" s="11" t="str">
        <f>"00800258"</f>
        <v>00800258</v>
      </c>
    </row>
    <row r="17847" spans="1:2" x14ac:dyDescent="0.25">
      <c r="A17847" s="2">
        <v>17842</v>
      </c>
      <c r="B17847" s="11" t="str">
        <f>"00800284"</f>
        <v>00800284</v>
      </c>
    </row>
    <row r="17848" spans="1:2" x14ac:dyDescent="0.25">
      <c r="A17848" s="2">
        <v>17843</v>
      </c>
      <c r="B17848" s="11" t="str">
        <f>"00800375"</f>
        <v>00800375</v>
      </c>
    </row>
    <row r="17849" spans="1:2" x14ac:dyDescent="0.25">
      <c r="A17849" s="2">
        <v>17844</v>
      </c>
      <c r="B17849" s="11" t="str">
        <f>"00800408"</f>
        <v>00800408</v>
      </c>
    </row>
    <row r="17850" spans="1:2" x14ac:dyDescent="0.25">
      <c r="A17850" s="2">
        <v>17845</v>
      </c>
      <c r="B17850" s="11" t="str">
        <f>"00800425"</f>
        <v>00800425</v>
      </c>
    </row>
    <row r="17851" spans="1:2" x14ac:dyDescent="0.25">
      <c r="A17851" s="2">
        <v>17846</v>
      </c>
      <c r="B17851" s="11" t="str">
        <f>"00800449"</f>
        <v>00800449</v>
      </c>
    </row>
    <row r="17852" spans="1:2" x14ac:dyDescent="0.25">
      <c r="A17852" s="2">
        <v>17847</v>
      </c>
      <c r="B17852" s="11" t="str">
        <f>"00800477"</f>
        <v>00800477</v>
      </c>
    </row>
    <row r="17853" spans="1:2" x14ac:dyDescent="0.25">
      <c r="A17853" s="2">
        <v>17848</v>
      </c>
      <c r="B17853" s="11" t="str">
        <f>"00800480"</f>
        <v>00800480</v>
      </c>
    </row>
    <row r="17854" spans="1:2" x14ac:dyDescent="0.25">
      <c r="A17854" s="2">
        <v>17849</v>
      </c>
      <c r="B17854" s="11" t="str">
        <f>"00800489"</f>
        <v>00800489</v>
      </c>
    </row>
    <row r="17855" spans="1:2" x14ac:dyDescent="0.25">
      <c r="A17855" s="2">
        <v>17850</v>
      </c>
      <c r="B17855" s="11" t="str">
        <f>"00800498"</f>
        <v>00800498</v>
      </c>
    </row>
    <row r="17856" spans="1:2" x14ac:dyDescent="0.25">
      <c r="A17856" s="2">
        <v>17851</v>
      </c>
      <c r="B17856" s="11" t="str">
        <f>"00800504"</f>
        <v>00800504</v>
      </c>
    </row>
    <row r="17857" spans="1:2" x14ac:dyDescent="0.25">
      <c r="A17857" s="2">
        <v>17852</v>
      </c>
      <c r="B17857" s="11" t="str">
        <f>"00800505"</f>
        <v>00800505</v>
      </c>
    </row>
    <row r="17858" spans="1:2" x14ac:dyDescent="0.25">
      <c r="A17858" s="2">
        <v>17853</v>
      </c>
      <c r="B17858" s="11" t="str">
        <f>"00800506"</f>
        <v>00800506</v>
      </c>
    </row>
    <row r="17859" spans="1:2" x14ac:dyDescent="0.25">
      <c r="A17859" s="2">
        <v>17854</v>
      </c>
      <c r="B17859" s="11" t="str">
        <f>"00800508"</f>
        <v>00800508</v>
      </c>
    </row>
    <row r="17860" spans="1:2" x14ac:dyDescent="0.25">
      <c r="A17860" s="2">
        <v>17855</v>
      </c>
      <c r="B17860" s="11" t="str">
        <f>"00800526"</f>
        <v>00800526</v>
      </c>
    </row>
    <row r="17861" spans="1:2" x14ac:dyDescent="0.25">
      <c r="A17861" s="2">
        <v>17856</v>
      </c>
      <c r="B17861" s="11" t="str">
        <f>"00800547"</f>
        <v>00800547</v>
      </c>
    </row>
    <row r="17862" spans="1:2" x14ac:dyDescent="0.25">
      <c r="A17862" s="2">
        <v>17857</v>
      </c>
      <c r="B17862" s="11" t="str">
        <f>"00800571"</f>
        <v>00800571</v>
      </c>
    </row>
    <row r="17863" spans="1:2" x14ac:dyDescent="0.25">
      <c r="A17863" s="2">
        <v>17858</v>
      </c>
      <c r="B17863" s="11" t="str">
        <f>"00800578"</f>
        <v>00800578</v>
      </c>
    </row>
    <row r="17864" spans="1:2" x14ac:dyDescent="0.25">
      <c r="A17864" s="2">
        <v>17859</v>
      </c>
      <c r="B17864" s="11" t="str">
        <f>"00800582"</f>
        <v>00800582</v>
      </c>
    </row>
    <row r="17865" spans="1:2" x14ac:dyDescent="0.25">
      <c r="A17865" s="2">
        <v>17860</v>
      </c>
      <c r="B17865" s="11" t="str">
        <f>"00800638"</f>
        <v>00800638</v>
      </c>
    </row>
    <row r="17866" spans="1:2" x14ac:dyDescent="0.25">
      <c r="A17866" s="2">
        <v>17861</v>
      </c>
      <c r="B17866" s="11" t="str">
        <f>"00800652"</f>
        <v>00800652</v>
      </c>
    </row>
    <row r="17867" spans="1:2" x14ac:dyDescent="0.25">
      <c r="A17867" s="2">
        <v>17862</v>
      </c>
      <c r="B17867" s="11" t="str">
        <f>"00800662"</f>
        <v>00800662</v>
      </c>
    </row>
    <row r="17868" spans="1:2" x14ac:dyDescent="0.25">
      <c r="A17868" s="2">
        <v>17863</v>
      </c>
      <c r="B17868" s="11" t="str">
        <f>"00800685"</f>
        <v>00800685</v>
      </c>
    </row>
    <row r="17869" spans="1:2" x14ac:dyDescent="0.25">
      <c r="A17869" s="2">
        <v>17864</v>
      </c>
      <c r="B17869" s="11" t="str">
        <f>"00800708"</f>
        <v>00800708</v>
      </c>
    </row>
    <row r="17870" spans="1:2" x14ac:dyDescent="0.25">
      <c r="A17870" s="2">
        <v>17865</v>
      </c>
      <c r="B17870" s="11" t="str">
        <f>"00800721"</f>
        <v>00800721</v>
      </c>
    </row>
    <row r="17871" spans="1:2" x14ac:dyDescent="0.25">
      <c r="A17871" s="2">
        <v>17866</v>
      </c>
      <c r="B17871" s="11" t="str">
        <f>"00800780"</f>
        <v>00800780</v>
      </c>
    </row>
    <row r="17872" spans="1:2" x14ac:dyDescent="0.25">
      <c r="A17872" s="2">
        <v>17867</v>
      </c>
      <c r="B17872" s="11" t="str">
        <f>"00800782"</f>
        <v>00800782</v>
      </c>
    </row>
    <row r="17873" spans="1:2" x14ac:dyDescent="0.25">
      <c r="A17873" s="2">
        <v>17868</v>
      </c>
      <c r="B17873" s="11" t="str">
        <f>"00800817"</f>
        <v>00800817</v>
      </c>
    </row>
    <row r="17874" spans="1:2" x14ac:dyDescent="0.25">
      <c r="A17874" s="2">
        <v>17869</v>
      </c>
      <c r="B17874" s="11" t="str">
        <f>"00800820"</f>
        <v>00800820</v>
      </c>
    </row>
    <row r="17875" spans="1:2" x14ac:dyDescent="0.25">
      <c r="A17875" s="2">
        <v>17870</v>
      </c>
      <c r="B17875" s="11" t="str">
        <f>"00800824"</f>
        <v>00800824</v>
      </c>
    </row>
    <row r="17876" spans="1:2" x14ac:dyDescent="0.25">
      <c r="A17876" s="2">
        <v>17871</v>
      </c>
      <c r="B17876" s="11" t="str">
        <f>"00800837"</f>
        <v>00800837</v>
      </c>
    </row>
    <row r="17877" spans="1:2" x14ac:dyDescent="0.25">
      <c r="A17877" s="2">
        <v>17872</v>
      </c>
      <c r="B17877" s="11" t="str">
        <f>"00800842"</f>
        <v>00800842</v>
      </c>
    </row>
    <row r="17878" spans="1:2" x14ac:dyDescent="0.25">
      <c r="A17878" s="2">
        <v>17873</v>
      </c>
      <c r="B17878" s="11" t="str">
        <f>"00800894"</f>
        <v>00800894</v>
      </c>
    </row>
    <row r="17879" spans="1:2" x14ac:dyDescent="0.25">
      <c r="A17879" s="2">
        <v>17874</v>
      </c>
      <c r="B17879" s="11" t="str">
        <f>"00800898"</f>
        <v>00800898</v>
      </c>
    </row>
    <row r="17880" spans="1:2" x14ac:dyDescent="0.25">
      <c r="A17880" s="2">
        <v>17875</v>
      </c>
      <c r="B17880" s="11" t="str">
        <f>"00800974"</f>
        <v>00800974</v>
      </c>
    </row>
    <row r="17881" spans="1:2" x14ac:dyDescent="0.25">
      <c r="A17881" s="2">
        <v>17876</v>
      </c>
      <c r="B17881" s="11" t="str">
        <f>"00800991"</f>
        <v>00800991</v>
      </c>
    </row>
    <row r="17882" spans="1:2" x14ac:dyDescent="0.25">
      <c r="A17882" s="2">
        <v>17877</v>
      </c>
      <c r="B17882" s="11" t="str">
        <f>"00801007"</f>
        <v>00801007</v>
      </c>
    </row>
    <row r="17883" spans="1:2" x14ac:dyDescent="0.25">
      <c r="A17883" s="2">
        <v>17878</v>
      </c>
      <c r="B17883" s="11" t="str">
        <f>"00801013"</f>
        <v>00801013</v>
      </c>
    </row>
    <row r="17884" spans="1:2" x14ac:dyDescent="0.25">
      <c r="A17884" s="2">
        <v>17879</v>
      </c>
      <c r="B17884" s="11" t="str">
        <f>"00801055"</f>
        <v>00801055</v>
      </c>
    </row>
    <row r="17885" spans="1:2" x14ac:dyDescent="0.25">
      <c r="A17885" s="2">
        <v>17880</v>
      </c>
      <c r="B17885" s="11" t="str">
        <f>"00801117"</f>
        <v>00801117</v>
      </c>
    </row>
    <row r="17886" spans="1:2" x14ac:dyDescent="0.25">
      <c r="A17886" s="2">
        <v>17881</v>
      </c>
      <c r="B17886" s="11" t="str">
        <f>"00801160"</f>
        <v>00801160</v>
      </c>
    </row>
    <row r="17887" spans="1:2" x14ac:dyDescent="0.25">
      <c r="A17887" s="2">
        <v>17882</v>
      </c>
      <c r="B17887" s="11" t="str">
        <f>"00801211"</f>
        <v>00801211</v>
      </c>
    </row>
    <row r="17888" spans="1:2" x14ac:dyDescent="0.25">
      <c r="A17888" s="2">
        <v>17883</v>
      </c>
      <c r="B17888" s="11" t="str">
        <f>"00801218"</f>
        <v>00801218</v>
      </c>
    </row>
    <row r="17889" spans="1:2" x14ac:dyDescent="0.25">
      <c r="A17889" s="2">
        <v>17884</v>
      </c>
      <c r="B17889" s="11" t="str">
        <f>"00801238"</f>
        <v>00801238</v>
      </c>
    </row>
    <row r="17890" spans="1:2" x14ac:dyDescent="0.25">
      <c r="A17890" s="2">
        <v>17885</v>
      </c>
      <c r="B17890" s="11" t="str">
        <f>"00801273"</f>
        <v>00801273</v>
      </c>
    </row>
    <row r="17891" spans="1:2" x14ac:dyDescent="0.25">
      <c r="A17891" s="2">
        <v>17886</v>
      </c>
      <c r="B17891" s="11" t="str">
        <f>"00801281"</f>
        <v>00801281</v>
      </c>
    </row>
    <row r="17892" spans="1:2" x14ac:dyDescent="0.25">
      <c r="A17892" s="2">
        <v>17887</v>
      </c>
      <c r="B17892" s="11" t="str">
        <f>"00801297"</f>
        <v>00801297</v>
      </c>
    </row>
    <row r="17893" spans="1:2" x14ac:dyDescent="0.25">
      <c r="A17893" s="2">
        <v>17888</v>
      </c>
      <c r="B17893" s="11" t="str">
        <f>"00801331"</f>
        <v>00801331</v>
      </c>
    </row>
    <row r="17894" spans="1:2" x14ac:dyDescent="0.25">
      <c r="A17894" s="2">
        <v>17889</v>
      </c>
      <c r="B17894" s="11" t="str">
        <f>"00801339"</f>
        <v>00801339</v>
      </c>
    </row>
    <row r="17895" spans="1:2" x14ac:dyDescent="0.25">
      <c r="A17895" s="2">
        <v>17890</v>
      </c>
      <c r="B17895" s="11" t="str">
        <f>"00801343"</f>
        <v>00801343</v>
      </c>
    </row>
    <row r="17896" spans="1:2" x14ac:dyDescent="0.25">
      <c r="A17896" s="2">
        <v>17891</v>
      </c>
      <c r="B17896" s="11" t="str">
        <f>"00801352"</f>
        <v>00801352</v>
      </c>
    </row>
    <row r="17897" spans="1:2" x14ac:dyDescent="0.25">
      <c r="A17897" s="2">
        <v>17892</v>
      </c>
      <c r="B17897" s="11" t="str">
        <f>"00801354"</f>
        <v>00801354</v>
      </c>
    </row>
    <row r="17898" spans="1:2" x14ac:dyDescent="0.25">
      <c r="A17898" s="2">
        <v>17893</v>
      </c>
      <c r="B17898" s="11" t="str">
        <f>"00801361"</f>
        <v>00801361</v>
      </c>
    </row>
    <row r="17899" spans="1:2" x14ac:dyDescent="0.25">
      <c r="A17899" s="2">
        <v>17894</v>
      </c>
      <c r="B17899" s="11" t="str">
        <f>"00801369"</f>
        <v>00801369</v>
      </c>
    </row>
    <row r="17900" spans="1:2" x14ac:dyDescent="0.25">
      <c r="A17900" s="2">
        <v>17895</v>
      </c>
      <c r="B17900" s="11" t="str">
        <f>"00801385"</f>
        <v>00801385</v>
      </c>
    </row>
    <row r="17901" spans="1:2" x14ac:dyDescent="0.25">
      <c r="A17901" s="2">
        <v>17896</v>
      </c>
      <c r="B17901" s="11" t="str">
        <f>"00801402"</f>
        <v>00801402</v>
      </c>
    </row>
    <row r="17902" spans="1:2" x14ac:dyDescent="0.25">
      <c r="A17902" s="2">
        <v>17897</v>
      </c>
      <c r="B17902" s="11" t="str">
        <f>"00801404"</f>
        <v>00801404</v>
      </c>
    </row>
    <row r="17903" spans="1:2" x14ac:dyDescent="0.25">
      <c r="A17903" s="2">
        <v>17898</v>
      </c>
      <c r="B17903" s="11" t="str">
        <f>"00801436"</f>
        <v>00801436</v>
      </c>
    </row>
    <row r="17904" spans="1:2" x14ac:dyDescent="0.25">
      <c r="A17904" s="2">
        <v>17899</v>
      </c>
      <c r="B17904" s="11" t="str">
        <f>"00801464"</f>
        <v>00801464</v>
      </c>
    </row>
    <row r="17905" spans="1:2" x14ac:dyDescent="0.25">
      <c r="A17905" s="2">
        <v>17900</v>
      </c>
      <c r="B17905" s="11" t="str">
        <f>"00801474"</f>
        <v>00801474</v>
      </c>
    </row>
    <row r="17906" spans="1:2" x14ac:dyDescent="0.25">
      <c r="A17906" s="2">
        <v>17901</v>
      </c>
      <c r="B17906" s="11" t="str">
        <f>"00801561"</f>
        <v>00801561</v>
      </c>
    </row>
    <row r="17907" spans="1:2" x14ac:dyDescent="0.25">
      <c r="A17907" s="2">
        <v>17902</v>
      </c>
      <c r="B17907" s="11" t="str">
        <f>"00801566"</f>
        <v>00801566</v>
      </c>
    </row>
    <row r="17908" spans="1:2" x14ac:dyDescent="0.25">
      <c r="A17908" s="2">
        <v>17903</v>
      </c>
      <c r="B17908" s="11" t="str">
        <f>"00801575"</f>
        <v>00801575</v>
      </c>
    </row>
    <row r="17909" spans="1:2" x14ac:dyDescent="0.25">
      <c r="A17909" s="2">
        <v>17904</v>
      </c>
      <c r="B17909" s="11" t="str">
        <f>"00801580"</f>
        <v>00801580</v>
      </c>
    </row>
    <row r="17910" spans="1:2" x14ac:dyDescent="0.25">
      <c r="A17910" s="2">
        <v>17905</v>
      </c>
      <c r="B17910" s="11" t="str">
        <f>"00801612"</f>
        <v>00801612</v>
      </c>
    </row>
    <row r="17911" spans="1:2" x14ac:dyDescent="0.25">
      <c r="A17911" s="2">
        <v>17906</v>
      </c>
      <c r="B17911" s="11" t="str">
        <f>"00801624"</f>
        <v>00801624</v>
      </c>
    </row>
    <row r="17912" spans="1:2" x14ac:dyDescent="0.25">
      <c r="A17912" s="2">
        <v>17907</v>
      </c>
      <c r="B17912" s="11" t="str">
        <f>"00801696"</f>
        <v>00801696</v>
      </c>
    </row>
    <row r="17913" spans="1:2" x14ac:dyDescent="0.25">
      <c r="A17913" s="2">
        <v>17908</v>
      </c>
      <c r="B17913" s="11" t="str">
        <f>"00801702"</f>
        <v>00801702</v>
      </c>
    </row>
    <row r="17914" spans="1:2" x14ac:dyDescent="0.25">
      <c r="A17914" s="2">
        <v>17909</v>
      </c>
      <c r="B17914" s="11" t="str">
        <f>"00801709"</f>
        <v>00801709</v>
      </c>
    </row>
    <row r="17915" spans="1:2" x14ac:dyDescent="0.25">
      <c r="A17915" s="2">
        <v>17910</v>
      </c>
      <c r="B17915" s="11" t="str">
        <f>"00801729"</f>
        <v>00801729</v>
      </c>
    </row>
    <row r="17916" spans="1:2" x14ac:dyDescent="0.25">
      <c r="A17916" s="2">
        <v>17911</v>
      </c>
      <c r="B17916" s="11" t="str">
        <f>"00801760"</f>
        <v>00801760</v>
      </c>
    </row>
    <row r="17917" spans="1:2" x14ac:dyDescent="0.25">
      <c r="A17917" s="2">
        <v>17912</v>
      </c>
      <c r="B17917" s="11" t="str">
        <f>"00801803"</f>
        <v>00801803</v>
      </c>
    </row>
    <row r="17918" spans="1:2" x14ac:dyDescent="0.25">
      <c r="A17918" s="2">
        <v>17913</v>
      </c>
      <c r="B17918" s="11" t="str">
        <f>"00801816"</f>
        <v>00801816</v>
      </c>
    </row>
    <row r="17919" spans="1:2" x14ac:dyDescent="0.25">
      <c r="A17919" s="2">
        <v>17914</v>
      </c>
      <c r="B17919" s="11" t="str">
        <f>"00801857"</f>
        <v>00801857</v>
      </c>
    </row>
    <row r="17920" spans="1:2" x14ac:dyDescent="0.25">
      <c r="A17920" s="2">
        <v>17915</v>
      </c>
      <c r="B17920" s="11" t="str">
        <f>"00801895"</f>
        <v>00801895</v>
      </c>
    </row>
    <row r="17921" spans="1:2" x14ac:dyDescent="0.25">
      <c r="A17921" s="2">
        <v>17916</v>
      </c>
      <c r="B17921" s="11" t="str">
        <f>"00801930"</f>
        <v>00801930</v>
      </c>
    </row>
    <row r="17922" spans="1:2" x14ac:dyDescent="0.25">
      <c r="A17922" s="2">
        <v>17917</v>
      </c>
      <c r="B17922" s="11" t="str">
        <f>"00801957"</f>
        <v>00801957</v>
      </c>
    </row>
    <row r="17923" spans="1:2" x14ac:dyDescent="0.25">
      <c r="A17923" s="2">
        <v>17918</v>
      </c>
      <c r="B17923" s="11" t="str">
        <f>"00801960"</f>
        <v>00801960</v>
      </c>
    </row>
    <row r="17924" spans="1:2" x14ac:dyDescent="0.25">
      <c r="A17924" s="2">
        <v>17919</v>
      </c>
      <c r="B17924" s="11" t="str">
        <f>"00801974"</f>
        <v>00801974</v>
      </c>
    </row>
    <row r="17925" spans="1:2" x14ac:dyDescent="0.25">
      <c r="A17925" s="2">
        <v>17920</v>
      </c>
      <c r="B17925" s="11" t="str">
        <f>"00801990"</f>
        <v>00801990</v>
      </c>
    </row>
    <row r="17926" spans="1:2" x14ac:dyDescent="0.25">
      <c r="A17926" s="2">
        <v>17921</v>
      </c>
      <c r="B17926" s="11" t="str">
        <f>"00801997"</f>
        <v>00801997</v>
      </c>
    </row>
    <row r="17927" spans="1:2" x14ac:dyDescent="0.25">
      <c r="A17927" s="2">
        <v>17922</v>
      </c>
      <c r="B17927" s="11" t="str">
        <f>"00802026"</f>
        <v>00802026</v>
      </c>
    </row>
    <row r="17928" spans="1:2" x14ac:dyDescent="0.25">
      <c r="A17928" s="2">
        <v>17923</v>
      </c>
      <c r="B17928" s="11" t="str">
        <f>"00802030"</f>
        <v>00802030</v>
      </c>
    </row>
    <row r="17929" spans="1:2" x14ac:dyDescent="0.25">
      <c r="A17929" s="2">
        <v>17924</v>
      </c>
      <c r="B17929" s="11" t="str">
        <f>"00802045"</f>
        <v>00802045</v>
      </c>
    </row>
    <row r="17930" spans="1:2" x14ac:dyDescent="0.25">
      <c r="A17930" s="2">
        <v>17925</v>
      </c>
      <c r="B17930" s="11" t="str">
        <f>"00802077"</f>
        <v>00802077</v>
      </c>
    </row>
    <row r="17931" spans="1:2" x14ac:dyDescent="0.25">
      <c r="A17931" s="2">
        <v>17926</v>
      </c>
      <c r="B17931" s="11" t="str">
        <f>"00802080"</f>
        <v>00802080</v>
      </c>
    </row>
    <row r="17932" spans="1:2" x14ac:dyDescent="0.25">
      <c r="A17932" s="2">
        <v>17927</v>
      </c>
      <c r="B17932" s="11" t="str">
        <f>"00802100"</f>
        <v>00802100</v>
      </c>
    </row>
    <row r="17933" spans="1:2" x14ac:dyDescent="0.25">
      <c r="A17933" s="2">
        <v>17928</v>
      </c>
      <c r="B17933" s="11" t="str">
        <f>"00802147"</f>
        <v>00802147</v>
      </c>
    </row>
    <row r="17934" spans="1:2" x14ac:dyDescent="0.25">
      <c r="A17934" s="2">
        <v>17929</v>
      </c>
      <c r="B17934" s="11" t="str">
        <f>"00802176"</f>
        <v>00802176</v>
      </c>
    </row>
    <row r="17935" spans="1:2" x14ac:dyDescent="0.25">
      <c r="A17935" s="2">
        <v>17930</v>
      </c>
      <c r="B17935" s="11" t="str">
        <f>"00802224"</f>
        <v>00802224</v>
      </c>
    </row>
    <row r="17936" spans="1:2" x14ac:dyDescent="0.25">
      <c r="A17936" s="2">
        <v>17931</v>
      </c>
      <c r="B17936" s="11" t="str">
        <f>"00802274"</f>
        <v>00802274</v>
      </c>
    </row>
    <row r="17937" spans="1:2" x14ac:dyDescent="0.25">
      <c r="A17937" s="2">
        <v>17932</v>
      </c>
      <c r="B17937" s="11" t="str">
        <f>"00802276"</f>
        <v>00802276</v>
      </c>
    </row>
    <row r="17938" spans="1:2" x14ac:dyDescent="0.25">
      <c r="A17938" s="2">
        <v>17933</v>
      </c>
      <c r="B17938" s="11" t="str">
        <f>"00802291"</f>
        <v>00802291</v>
      </c>
    </row>
    <row r="17939" spans="1:2" x14ac:dyDescent="0.25">
      <c r="A17939" s="2">
        <v>17934</v>
      </c>
      <c r="B17939" s="11" t="str">
        <f>"00802320"</f>
        <v>00802320</v>
      </c>
    </row>
    <row r="17940" spans="1:2" x14ac:dyDescent="0.25">
      <c r="A17940" s="2">
        <v>17935</v>
      </c>
      <c r="B17940" s="11" t="str">
        <f>"00802333"</f>
        <v>00802333</v>
      </c>
    </row>
    <row r="17941" spans="1:2" x14ac:dyDescent="0.25">
      <c r="A17941" s="2">
        <v>17936</v>
      </c>
      <c r="B17941" s="11" t="str">
        <f>"00802336"</f>
        <v>00802336</v>
      </c>
    </row>
    <row r="17942" spans="1:2" x14ac:dyDescent="0.25">
      <c r="A17942" s="2">
        <v>17937</v>
      </c>
      <c r="B17942" s="11" t="str">
        <f>"00802343"</f>
        <v>00802343</v>
      </c>
    </row>
    <row r="17943" spans="1:2" x14ac:dyDescent="0.25">
      <c r="A17943" s="2">
        <v>17938</v>
      </c>
      <c r="B17943" s="11" t="str">
        <f>"00802359"</f>
        <v>00802359</v>
      </c>
    </row>
    <row r="17944" spans="1:2" x14ac:dyDescent="0.25">
      <c r="A17944" s="2">
        <v>17939</v>
      </c>
      <c r="B17944" s="11" t="str">
        <f>"00802376"</f>
        <v>00802376</v>
      </c>
    </row>
    <row r="17945" spans="1:2" x14ac:dyDescent="0.25">
      <c r="A17945" s="2">
        <v>17940</v>
      </c>
      <c r="B17945" s="11" t="str">
        <f>"00802382"</f>
        <v>00802382</v>
      </c>
    </row>
    <row r="17946" spans="1:2" x14ac:dyDescent="0.25">
      <c r="A17946" s="2">
        <v>17941</v>
      </c>
      <c r="B17946" s="11" t="str">
        <f>"00802421"</f>
        <v>00802421</v>
      </c>
    </row>
    <row r="17947" spans="1:2" x14ac:dyDescent="0.25">
      <c r="A17947" s="2">
        <v>17942</v>
      </c>
      <c r="B17947" s="11" t="str">
        <f>"00802426"</f>
        <v>00802426</v>
      </c>
    </row>
    <row r="17948" spans="1:2" x14ac:dyDescent="0.25">
      <c r="A17948" s="2">
        <v>17943</v>
      </c>
      <c r="B17948" s="11" t="str">
        <f>"00802460"</f>
        <v>00802460</v>
      </c>
    </row>
    <row r="17949" spans="1:2" x14ac:dyDescent="0.25">
      <c r="A17949" s="2">
        <v>17944</v>
      </c>
      <c r="B17949" s="11" t="str">
        <f>"00802466"</f>
        <v>00802466</v>
      </c>
    </row>
    <row r="17950" spans="1:2" x14ac:dyDescent="0.25">
      <c r="A17950" s="2">
        <v>17945</v>
      </c>
      <c r="B17950" s="11" t="str">
        <f>"00802492"</f>
        <v>00802492</v>
      </c>
    </row>
    <row r="17951" spans="1:2" x14ac:dyDescent="0.25">
      <c r="A17951" s="2">
        <v>17946</v>
      </c>
      <c r="B17951" s="11" t="str">
        <f>"00802515"</f>
        <v>00802515</v>
      </c>
    </row>
    <row r="17952" spans="1:2" x14ac:dyDescent="0.25">
      <c r="A17952" s="2">
        <v>17947</v>
      </c>
      <c r="B17952" s="11" t="str">
        <f>"00802538"</f>
        <v>00802538</v>
      </c>
    </row>
    <row r="17953" spans="1:2" x14ac:dyDescent="0.25">
      <c r="A17953" s="2">
        <v>17948</v>
      </c>
      <c r="B17953" s="11" t="str">
        <f>"00802560"</f>
        <v>00802560</v>
      </c>
    </row>
    <row r="17954" spans="1:2" x14ac:dyDescent="0.25">
      <c r="A17954" s="2">
        <v>17949</v>
      </c>
      <c r="B17954" s="11" t="str">
        <f>"00802667"</f>
        <v>00802667</v>
      </c>
    </row>
    <row r="17955" spans="1:2" x14ac:dyDescent="0.25">
      <c r="A17955" s="2">
        <v>17950</v>
      </c>
      <c r="B17955" s="11" t="str">
        <f>"00802707"</f>
        <v>00802707</v>
      </c>
    </row>
    <row r="17956" spans="1:2" x14ac:dyDescent="0.25">
      <c r="A17956" s="2">
        <v>17951</v>
      </c>
      <c r="B17956" s="11" t="str">
        <f>"00802719"</f>
        <v>00802719</v>
      </c>
    </row>
    <row r="17957" spans="1:2" x14ac:dyDescent="0.25">
      <c r="A17957" s="2">
        <v>17952</v>
      </c>
      <c r="B17957" s="11" t="str">
        <f>"00802726"</f>
        <v>00802726</v>
      </c>
    </row>
    <row r="17958" spans="1:2" x14ac:dyDescent="0.25">
      <c r="A17958" s="2">
        <v>17953</v>
      </c>
      <c r="B17958" s="11" t="str">
        <f>"00802747"</f>
        <v>00802747</v>
      </c>
    </row>
    <row r="17959" spans="1:2" x14ac:dyDescent="0.25">
      <c r="A17959" s="2">
        <v>17954</v>
      </c>
      <c r="B17959" s="11" t="str">
        <f>"00802780"</f>
        <v>00802780</v>
      </c>
    </row>
    <row r="17960" spans="1:2" x14ac:dyDescent="0.25">
      <c r="A17960" s="2">
        <v>17955</v>
      </c>
      <c r="B17960" s="11" t="str">
        <f>"00802787"</f>
        <v>00802787</v>
      </c>
    </row>
    <row r="17961" spans="1:2" x14ac:dyDescent="0.25">
      <c r="A17961" s="2">
        <v>17956</v>
      </c>
      <c r="B17961" s="11" t="str">
        <f>"00802807"</f>
        <v>00802807</v>
      </c>
    </row>
    <row r="17962" spans="1:2" x14ac:dyDescent="0.25">
      <c r="A17962" s="2">
        <v>17957</v>
      </c>
      <c r="B17962" s="11" t="str">
        <f>"00802820"</f>
        <v>00802820</v>
      </c>
    </row>
    <row r="17963" spans="1:2" x14ac:dyDescent="0.25">
      <c r="A17963" s="2">
        <v>17958</v>
      </c>
      <c r="B17963" s="11" t="str">
        <f>"00802849"</f>
        <v>00802849</v>
      </c>
    </row>
    <row r="17964" spans="1:2" x14ac:dyDescent="0.25">
      <c r="A17964" s="2">
        <v>17959</v>
      </c>
      <c r="B17964" s="11" t="str">
        <f>"00802851"</f>
        <v>00802851</v>
      </c>
    </row>
    <row r="17965" spans="1:2" x14ac:dyDescent="0.25">
      <c r="A17965" s="2">
        <v>17960</v>
      </c>
      <c r="B17965" s="11" t="str">
        <f>"00802857"</f>
        <v>00802857</v>
      </c>
    </row>
    <row r="17966" spans="1:2" x14ac:dyDescent="0.25">
      <c r="A17966" s="2">
        <v>17961</v>
      </c>
      <c r="B17966" s="11" t="str">
        <f>"00802869"</f>
        <v>00802869</v>
      </c>
    </row>
    <row r="17967" spans="1:2" x14ac:dyDescent="0.25">
      <c r="A17967" s="2">
        <v>17962</v>
      </c>
      <c r="B17967" s="11" t="str">
        <f>"00802900"</f>
        <v>00802900</v>
      </c>
    </row>
    <row r="17968" spans="1:2" x14ac:dyDescent="0.25">
      <c r="A17968" s="2">
        <v>17963</v>
      </c>
      <c r="B17968" s="11" t="str">
        <f>"00802922"</f>
        <v>00802922</v>
      </c>
    </row>
    <row r="17969" spans="1:2" x14ac:dyDescent="0.25">
      <c r="A17969" s="2">
        <v>17964</v>
      </c>
      <c r="B17969" s="11" t="str">
        <f>"00802934"</f>
        <v>00802934</v>
      </c>
    </row>
    <row r="17970" spans="1:2" x14ac:dyDescent="0.25">
      <c r="A17970" s="2">
        <v>17965</v>
      </c>
      <c r="B17970" s="11" t="str">
        <f>"00802964"</f>
        <v>00802964</v>
      </c>
    </row>
    <row r="17971" spans="1:2" x14ac:dyDescent="0.25">
      <c r="A17971" s="2">
        <v>17966</v>
      </c>
      <c r="B17971" s="11" t="str">
        <f>"00802968"</f>
        <v>00802968</v>
      </c>
    </row>
    <row r="17972" spans="1:2" x14ac:dyDescent="0.25">
      <c r="A17972" s="2">
        <v>17967</v>
      </c>
      <c r="B17972" s="11" t="str">
        <f>"00803000"</f>
        <v>00803000</v>
      </c>
    </row>
    <row r="17973" spans="1:2" x14ac:dyDescent="0.25">
      <c r="A17973" s="2">
        <v>17968</v>
      </c>
      <c r="B17973" s="11" t="str">
        <f>"00803029"</f>
        <v>00803029</v>
      </c>
    </row>
    <row r="17974" spans="1:2" x14ac:dyDescent="0.25">
      <c r="A17974" s="2">
        <v>17969</v>
      </c>
      <c r="B17974" s="11" t="str">
        <f>"00803031"</f>
        <v>00803031</v>
      </c>
    </row>
    <row r="17975" spans="1:2" x14ac:dyDescent="0.25">
      <c r="A17975" s="2">
        <v>17970</v>
      </c>
      <c r="B17975" s="11" t="str">
        <f>"00803067"</f>
        <v>00803067</v>
      </c>
    </row>
    <row r="17976" spans="1:2" x14ac:dyDescent="0.25">
      <c r="A17976" s="2">
        <v>17971</v>
      </c>
      <c r="B17976" s="11" t="str">
        <f>"00803076"</f>
        <v>00803076</v>
      </c>
    </row>
    <row r="17977" spans="1:2" x14ac:dyDescent="0.25">
      <c r="A17977" s="2">
        <v>17972</v>
      </c>
      <c r="B17977" s="11" t="str">
        <f>"00803241"</f>
        <v>00803241</v>
      </c>
    </row>
    <row r="17978" spans="1:2" x14ac:dyDescent="0.25">
      <c r="A17978" s="2">
        <v>17973</v>
      </c>
      <c r="B17978" s="11" t="str">
        <f>"00803256"</f>
        <v>00803256</v>
      </c>
    </row>
    <row r="17979" spans="1:2" x14ac:dyDescent="0.25">
      <c r="A17979" s="2">
        <v>17974</v>
      </c>
      <c r="B17979" s="11" t="str">
        <f>"00803323"</f>
        <v>00803323</v>
      </c>
    </row>
    <row r="17980" spans="1:2" x14ac:dyDescent="0.25">
      <c r="A17980" s="2">
        <v>17975</v>
      </c>
      <c r="B17980" s="11" t="str">
        <f>"00803346"</f>
        <v>00803346</v>
      </c>
    </row>
    <row r="17981" spans="1:2" x14ac:dyDescent="0.25">
      <c r="A17981" s="2">
        <v>17976</v>
      </c>
      <c r="B17981" s="11" t="str">
        <f>"00803462"</f>
        <v>00803462</v>
      </c>
    </row>
    <row r="17982" spans="1:2" x14ac:dyDescent="0.25">
      <c r="A17982" s="2">
        <v>17977</v>
      </c>
      <c r="B17982" s="11" t="str">
        <f>"00803479"</f>
        <v>00803479</v>
      </c>
    </row>
    <row r="17983" spans="1:2" x14ac:dyDescent="0.25">
      <c r="A17983" s="2">
        <v>17978</v>
      </c>
      <c r="B17983" s="11" t="str">
        <f>"00803481"</f>
        <v>00803481</v>
      </c>
    </row>
    <row r="17984" spans="1:2" x14ac:dyDescent="0.25">
      <c r="A17984" s="2">
        <v>17979</v>
      </c>
      <c r="B17984" s="11" t="str">
        <f>"00803588"</f>
        <v>00803588</v>
      </c>
    </row>
    <row r="17985" spans="1:2" x14ac:dyDescent="0.25">
      <c r="A17985" s="2">
        <v>17980</v>
      </c>
      <c r="B17985" s="11" t="str">
        <f>"00803616"</f>
        <v>00803616</v>
      </c>
    </row>
    <row r="17986" spans="1:2" x14ac:dyDescent="0.25">
      <c r="A17986" s="2">
        <v>17981</v>
      </c>
      <c r="B17986" s="11" t="str">
        <f>"00803677"</f>
        <v>00803677</v>
      </c>
    </row>
    <row r="17987" spans="1:2" x14ac:dyDescent="0.25">
      <c r="A17987" s="2">
        <v>17982</v>
      </c>
      <c r="B17987" s="11" t="str">
        <f>"00803713"</f>
        <v>00803713</v>
      </c>
    </row>
    <row r="17988" spans="1:2" x14ac:dyDescent="0.25">
      <c r="A17988" s="2">
        <v>17983</v>
      </c>
      <c r="B17988" s="11" t="str">
        <f>"00803742"</f>
        <v>00803742</v>
      </c>
    </row>
    <row r="17989" spans="1:2" x14ac:dyDescent="0.25">
      <c r="A17989" s="2">
        <v>17984</v>
      </c>
      <c r="B17989" s="11" t="str">
        <f>"00803825"</f>
        <v>00803825</v>
      </c>
    </row>
    <row r="17990" spans="1:2" x14ac:dyDescent="0.25">
      <c r="A17990" s="2">
        <v>17985</v>
      </c>
      <c r="B17990" s="11" t="str">
        <f>"00803845"</f>
        <v>00803845</v>
      </c>
    </row>
    <row r="17991" spans="1:2" x14ac:dyDescent="0.25">
      <c r="A17991" s="2">
        <v>17986</v>
      </c>
      <c r="B17991" s="11" t="str">
        <f>"00803849"</f>
        <v>00803849</v>
      </c>
    </row>
    <row r="17992" spans="1:2" x14ac:dyDescent="0.25">
      <c r="A17992" s="2">
        <v>17987</v>
      </c>
      <c r="B17992" s="11" t="str">
        <f>"00803917"</f>
        <v>00803917</v>
      </c>
    </row>
    <row r="17993" spans="1:2" x14ac:dyDescent="0.25">
      <c r="A17993" s="2">
        <v>17988</v>
      </c>
      <c r="B17993" s="11" t="str">
        <f>"00804013"</f>
        <v>00804013</v>
      </c>
    </row>
    <row r="17994" spans="1:2" x14ac:dyDescent="0.25">
      <c r="A17994" s="2">
        <v>17989</v>
      </c>
      <c r="B17994" s="11" t="str">
        <f>"00804022"</f>
        <v>00804022</v>
      </c>
    </row>
    <row r="17995" spans="1:2" x14ac:dyDescent="0.25">
      <c r="A17995" s="2">
        <v>17990</v>
      </c>
      <c r="B17995" s="11" t="str">
        <f>"00804031"</f>
        <v>00804031</v>
      </c>
    </row>
    <row r="17996" spans="1:2" x14ac:dyDescent="0.25">
      <c r="A17996" s="2">
        <v>17991</v>
      </c>
      <c r="B17996" s="11" t="str">
        <f>"00804037"</f>
        <v>00804037</v>
      </c>
    </row>
    <row r="17997" spans="1:2" x14ac:dyDescent="0.25">
      <c r="A17997" s="2">
        <v>17992</v>
      </c>
      <c r="B17997" s="11" t="str">
        <f>"00804074"</f>
        <v>00804074</v>
      </c>
    </row>
    <row r="17998" spans="1:2" x14ac:dyDescent="0.25">
      <c r="A17998" s="2">
        <v>17993</v>
      </c>
      <c r="B17998" s="11" t="str">
        <f>"00804077"</f>
        <v>00804077</v>
      </c>
    </row>
    <row r="17999" spans="1:2" x14ac:dyDescent="0.25">
      <c r="A17999" s="2">
        <v>17994</v>
      </c>
      <c r="B17999" s="11" t="str">
        <f>"00804093"</f>
        <v>00804093</v>
      </c>
    </row>
    <row r="18000" spans="1:2" x14ac:dyDescent="0.25">
      <c r="A18000" s="2">
        <v>17995</v>
      </c>
      <c r="B18000" s="11" t="str">
        <f>"00804162"</f>
        <v>00804162</v>
      </c>
    </row>
    <row r="18001" spans="1:2" x14ac:dyDescent="0.25">
      <c r="A18001" s="2">
        <v>17996</v>
      </c>
      <c r="B18001" s="11" t="str">
        <f>"00804206"</f>
        <v>00804206</v>
      </c>
    </row>
    <row r="18002" spans="1:2" x14ac:dyDescent="0.25">
      <c r="A18002" s="2">
        <v>17997</v>
      </c>
      <c r="B18002" s="11" t="str">
        <f>"00804225"</f>
        <v>00804225</v>
      </c>
    </row>
    <row r="18003" spans="1:2" x14ac:dyDescent="0.25">
      <c r="A18003" s="2">
        <v>17998</v>
      </c>
      <c r="B18003" s="11" t="str">
        <f>"00804240"</f>
        <v>00804240</v>
      </c>
    </row>
    <row r="18004" spans="1:2" x14ac:dyDescent="0.25">
      <c r="A18004" s="2">
        <v>17999</v>
      </c>
      <c r="B18004" s="11" t="str">
        <f>"00804246"</f>
        <v>00804246</v>
      </c>
    </row>
    <row r="18005" spans="1:2" x14ac:dyDescent="0.25">
      <c r="A18005" s="2">
        <v>18000</v>
      </c>
      <c r="B18005" s="11" t="str">
        <f>"00804273"</f>
        <v>00804273</v>
      </c>
    </row>
    <row r="18006" spans="1:2" x14ac:dyDescent="0.25">
      <c r="A18006" s="2">
        <v>18001</v>
      </c>
      <c r="B18006" s="11" t="str">
        <f>"00804310"</f>
        <v>00804310</v>
      </c>
    </row>
    <row r="18007" spans="1:2" x14ac:dyDescent="0.25">
      <c r="A18007" s="2">
        <v>18002</v>
      </c>
      <c r="B18007" s="11" t="str">
        <f>"00804322"</f>
        <v>00804322</v>
      </c>
    </row>
    <row r="18008" spans="1:2" x14ac:dyDescent="0.25">
      <c r="A18008" s="2">
        <v>18003</v>
      </c>
      <c r="B18008" s="11" t="str">
        <f>"00804517"</f>
        <v>00804517</v>
      </c>
    </row>
    <row r="18009" spans="1:2" x14ac:dyDescent="0.25">
      <c r="A18009" s="2">
        <v>18004</v>
      </c>
      <c r="B18009" s="11" t="str">
        <f>"00804608"</f>
        <v>00804608</v>
      </c>
    </row>
    <row r="18010" spans="1:2" x14ac:dyDescent="0.25">
      <c r="A18010" s="2">
        <v>18005</v>
      </c>
      <c r="B18010" s="11" t="str">
        <f>"00804675"</f>
        <v>00804675</v>
      </c>
    </row>
    <row r="18011" spans="1:2" x14ac:dyDescent="0.25">
      <c r="A18011" s="2">
        <v>18006</v>
      </c>
      <c r="B18011" s="11" t="str">
        <f>"00804682"</f>
        <v>00804682</v>
      </c>
    </row>
    <row r="18012" spans="1:2" x14ac:dyDescent="0.25">
      <c r="A18012" s="2">
        <v>18007</v>
      </c>
      <c r="B18012" s="11" t="str">
        <f>"00804729"</f>
        <v>00804729</v>
      </c>
    </row>
    <row r="18013" spans="1:2" x14ac:dyDescent="0.25">
      <c r="A18013" s="2">
        <v>18008</v>
      </c>
      <c r="B18013" s="11" t="str">
        <f>"00804807"</f>
        <v>00804807</v>
      </c>
    </row>
    <row r="18014" spans="1:2" x14ac:dyDescent="0.25">
      <c r="A18014" s="2">
        <v>18009</v>
      </c>
      <c r="B18014" s="11" t="str">
        <f>"00804909"</f>
        <v>00804909</v>
      </c>
    </row>
    <row r="18015" spans="1:2" x14ac:dyDescent="0.25">
      <c r="A18015" s="2">
        <v>18010</v>
      </c>
      <c r="B18015" s="11" t="str">
        <f>"00805005"</f>
        <v>00805005</v>
      </c>
    </row>
    <row r="18016" spans="1:2" x14ac:dyDescent="0.25">
      <c r="A18016" s="2">
        <v>18011</v>
      </c>
      <c r="B18016" s="11" t="str">
        <f>"00805006"</f>
        <v>00805006</v>
      </c>
    </row>
    <row r="18017" spans="1:2" x14ac:dyDescent="0.25">
      <c r="A18017" s="2">
        <v>18012</v>
      </c>
      <c r="B18017" s="11" t="str">
        <f>"00805070"</f>
        <v>00805070</v>
      </c>
    </row>
    <row r="18018" spans="1:2" x14ac:dyDescent="0.25">
      <c r="A18018" s="2">
        <v>18013</v>
      </c>
      <c r="B18018" s="11" t="str">
        <f>"00805071"</f>
        <v>00805071</v>
      </c>
    </row>
    <row r="18019" spans="1:2" x14ac:dyDescent="0.25">
      <c r="A18019" s="2">
        <v>18014</v>
      </c>
      <c r="B18019" s="11" t="str">
        <f>"00805144"</f>
        <v>00805144</v>
      </c>
    </row>
    <row r="18020" spans="1:2" x14ac:dyDescent="0.25">
      <c r="A18020" s="2">
        <v>18015</v>
      </c>
      <c r="B18020" s="11" t="str">
        <f>"00805163"</f>
        <v>00805163</v>
      </c>
    </row>
    <row r="18021" spans="1:2" x14ac:dyDescent="0.25">
      <c r="A18021" s="2">
        <v>18016</v>
      </c>
      <c r="B18021" s="11" t="str">
        <f>"00805182"</f>
        <v>00805182</v>
      </c>
    </row>
    <row r="18022" spans="1:2" x14ac:dyDescent="0.25">
      <c r="A18022" s="2">
        <v>18017</v>
      </c>
      <c r="B18022" s="11" t="str">
        <f>"00805331"</f>
        <v>00805331</v>
      </c>
    </row>
    <row r="18023" spans="1:2" x14ac:dyDescent="0.25">
      <c r="A18023" s="2">
        <v>18018</v>
      </c>
      <c r="B18023" s="11" t="str">
        <f>"00805353"</f>
        <v>00805353</v>
      </c>
    </row>
    <row r="18024" spans="1:2" x14ac:dyDescent="0.25">
      <c r="A18024" s="2">
        <v>18019</v>
      </c>
      <c r="B18024" s="11" t="str">
        <f>"00805399"</f>
        <v>00805399</v>
      </c>
    </row>
    <row r="18025" spans="1:2" x14ac:dyDescent="0.25">
      <c r="A18025" s="2">
        <v>18020</v>
      </c>
      <c r="B18025" s="11" t="str">
        <f>"00805440"</f>
        <v>00805440</v>
      </c>
    </row>
    <row r="18026" spans="1:2" x14ac:dyDescent="0.25">
      <c r="A18026" s="2">
        <v>18021</v>
      </c>
      <c r="B18026" s="11" t="str">
        <f>"00805476"</f>
        <v>00805476</v>
      </c>
    </row>
    <row r="18027" spans="1:2" x14ac:dyDescent="0.25">
      <c r="A18027" s="2">
        <v>18022</v>
      </c>
      <c r="B18027" s="11" t="str">
        <f>"00805535"</f>
        <v>00805535</v>
      </c>
    </row>
    <row r="18028" spans="1:2" x14ac:dyDescent="0.25">
      <c r="A18028" s="2">
        <v>18023</v>
      </c>
      <c r="B18028" s="11" t="str">
        <f>"00805538"</f>
        <v>00805538</v>
      </c>
    </row>
    <row r="18029" spans="1:2" x14ac:dyDescent="0.25">
      <c r="A18029" s="2">
        <v>18024</v>
      </c>
      <c r="B18029" s="11" t="str">
        <f>"00805543"</f>
        <v>00805543</v>
      </c>
    </row>
    <row r="18030" spans="1:2" x14ac:dyDescent="0.25">
      <c r="A18030" s="2">
        <v>18025</v>
      </c>
      <c r="B18030" s="11" t="str">
        <f>"00805577"</f>
        <v>00805577</v>
      </c>
    </row>
    <row r="18031" spans="1:2" x14ac:dyDescent="0.25">
      <c r="A18031" s="2">
        <v>18026</v>
      </c>
      <c r="B18031" s="11" t="str">
        <f>"00805652"</f>
        <v>00805652</v>
      </c>
    </row>
    <row r="18032" spans="1:2" x14ac:dyDescent="0.25">
      <c r="A18032" s="2">
        <v>18027</v>
      </c>
      <c r="B18032" s="11" t="str">
        <f>"00805698"</f>
        <v>00805698</v>
      </c>
    </row>
    <row r="18033" spans="1:2" x14ac:dyDescent="0.25">
      <c r="A18033" s="2">
        <v>18028</v>
      </c>
      <c r="B18033" s="11" t="str">
        <f>"00805713"</f>
        <v>00805713</v>
      </c>
    </row>
    <row r="18034" spans="1:2" x14ac:dyDescent="0.25">
      <c r="A18034" s="2">
        <v>18029</v>
      </c>
      <c r="B18034" s="11" t="str">
        <f>"00805787"</f>
        <v>00805787</v>
      </c>
    </row>
    <row r="18035" spans="1:2" x14ac:dyDescent="0.25">
      <c r="A18035" s="2">
        <v>18030</v>
      </c>
      <c r="B18035" s="11" t="str">
        <f>"00805815"</f>
        <v>00805815</v>
      </c>
    </row>
    <row r="18036" spans="1:2" x14ac:dyDescent="0.25">
      <c r="A18036" s="2">
        <v>18031</v>
      </c>
      <c r="B18036" s="11" t="str">
        <f>"00805826"</f>
        <v>00805826</v>
      </c>
    </row>
    <row r="18037" spans="1:2" x14ac:dyDescent="0.25">
      <c r="A18037" s="2">
        <v>18032</v>
      </c>
      <c r="B18037" s="11" t="str">
        <f>"00805860"</f>
        <v>00805860</v>
      </c>
    </row>
    <row r="18038" spans="1:2" x14ac:dyDescent="0.25">
      <c r="A18038" s="2">
        <v>18033</v>
      </c>
      <c r="B18038" s="11" t="str">
        <f>"00805897"</f>
        <v>00805897</v>
      </c>
    </row>
    <row r="18039" spans="1:2" x14ac:dyDescent="0.25">
      <c r="A18039" s="2">
        <v>18034</v>
      </c>
      <c r="B18039" s="11" t="str">
        <f>"00805918"</f>
        <v>00805918</v>
      </c>
    </row>
    <row r="18040" spans="1:2" x14ac:dyDescent="0.25">
      <c r="A18040" s="2">
        <v>18035</v>
      </c>
      <c r="B18040" s="11" t="str">
        <f>"00805945"</f>
        <v>00805945</v>
      </c>
    </row>
    <row r="18041" spans="1:2" x14ac:dyDescent="0.25">
      <c r="A18041" s="2">
        <v>18036</v>
      </c>
      <c r="B18041" s="11" t="str">
        <f>"00805952"</f>
        <v>00805952</v>
      </c>
    </row>
    <row r="18042" spans="1:2" x14ac:dyDescent="0.25">
      <c r="A18042" s="2">
        <v>18037</v>
      </c>
      <c r="B18042" s="11" t="str">
        <f>"00805975"</f>
        <v>00805975</v>
      </c>
    </row>
    <row r="18043" spans="1:2" x14ac:dyDescent="0.25">
      <c r="A18043" s="2">
        <v>18038</v>
      </c>
      <c r="B18043" s="11" t="str">
        <f>"00805981"</f>
        <v>00805981</v>
      </c>
    </row>
    <row r="18044" spans="1:2" x14ac:dyDescent="0.25">
      <c r="A18044" s="2">
        <v>18039</v>
      </c>
      <c r="B18044" s="11" t="str">
        <f>"00806030"</f>
        <v>00806030</v>
      </c>
    </row>
    <row r="18045" spans="1:2" x14ac:dyDescent="0.25">
      <c r="A18045" s="2">
        <v>18040</v>
      </c>
      <c r="B18045" s="11" t="str">
        <f>"00806127"</f>
        <v>00806127</v>
      </c>
    </row>
    <row r="18046" spans="1:2" x14ac:dyDescent="0.25">
      <c r="A18046" s="2">
        <v>18041</v>
      </c>
      <c r="B18046" s="11" t="str">
        <f>"00806162"</f>
        <v>00806162</v>
      </c>
    </row>
    <row r="18047" spans="1:2" x14ac:dyDescent="0.25">
      <c r="A18047" s="2">
        <v>18042</v>
      </c>
      <c r="B18047" s="11" t="str">
        <f>"00806256"</f>
        <v>00806256</v>
      </c>
    </row>
    <row r="18048" spans="1:2" x14ac:dyDescent="0.25">
      <c r="A18048" s="2">
        <v>18043</v>
      </c>
      <c r="B18048" s="11" t="str">
        <f>"00806305"</f>
        <v>00806305</v>
      </c>
    </row>
    <row r="18049" spans="1:2" x14ac:dyDescent="0.25">
      <c r="A18049" s="2">
        <v>18044</v>
      </c>
      <c r="B18049" s="11" t="str">
        <f>"00806308"</f>
        <v>00806308</v>
      </c>
    </row>
    <row r="18050" spans="1:2" x14ac:dyDescent="0.25">
      <c r="A18050" s="2">
        <v>18045</v>
      </c>
      <c r="B18050" s="11" t="str">
        <f>"00806375"</f>
        <v>00806375</v>
      </c>
    </row>
    <row r="18051" spans="1:2" x14ac:dyDescent="0.25">
      <c r="A18051" s="2">
        <v>18046</v>
      </c>
      <c r="B18051" s="11" t="str">
        <f>"00806417"</f>
        <v>00806417</v>
      </c>
    </row>
    <row r="18052" spans="1:2" x14ac:dyDescent="0.25">
      <c r="A18052" s="2">
        <v>18047</v>
      </c>
      <c r="B18052" s="11" t="str">
        <f>"00806443"</f>
        <v>00806443</v>
      </c>
    </row>
    <row r="18053" spans="1:2" x14ac:dyDescent="0.25">
      <c r="A18053" s="2">
        <v>18048</v>
      </c>
      <c r="B18053" s="11" t="str">
        <f>"00806480"</f>
        <v>00806480</v>
      </c>
    </row>
    <row r="18054" spans="1:2" x14ac:dyDescent="0.25">
      <c r="A18054" s="2">
        <v>18049</v>
      </c>
      <c r="B18054" s="11" t="str">
        <f>"00806501"</f>
        <v>00806501</v>
      </c>
    </row>
    <row r="18055" spans="1:2" x14ac:dyDescent="0.25">
      <c r="A18055" s="2">
        <v>18050</v>
      </c>
      <c r="B18055" s="11" t="str">
        <f>"00806512"</f>
        <v>00806512</v>
      </c>
    </row>
    <row r="18056" spans="1:2" x14ac:dyDescent="0.25">
      <c r="A18056" s="2">
        <v>18051</v>
      </c>
      <c r="B18056" s="11" t="str">
        <f>"00806515"</f>
        <v>00806515</v>
      </c>
    </row>
    <row r="18057" spans="1:2" x14ac:dyDescent="0.25">
      <c r="A18057" s="2">
        <v>18052</v>
      </c>
      <c r="B18057" s="11" t="str">
        <f>"00806612"</f>
        <v>00806612</v>
      </c>
    </row>
    <row r="18058" spans="1:2" x14ac:dyDescent="0.25">
      <c r="A18058" s="2">
        <v>18053</v>
      </c>
      <c r="B18058" s="11" t="str">
        <f>"00806655"</f>
        <v>00806655</v>
      </c>
    </row>
    <row r="18059" spans="1:2" x14ac:dyDescent="0.25">
      <c r="A18059" s="2">
        <v>18054</v>
      </c>
      <c r="B18059" s="11" t="str">
        <f>"00806695"</f>
        <v>00806695</v>
      </c>
    </row>
    <row r="18060" spans="1:2" x14ac:dyDescent="0.25">
      <c r="A18060" s="2">
        <v>18055</v>
      </c>
      <c r="B18060" s="11" t="str">
        <f>"00806711"</f>
        <v>00806711</v>
      </c>
    </row>
    <row r="18061" spans="1:2" x14ac:dyDescent="0.25">
      <c r="A18061" s="2">
        <v>18056</v>
      </c>
      <c r="B18061" s="11" t="str">
        <f>"00806735"</f>
        <v>00806735</v>
      </c>
    </row>
    <row r="18062" spans="1:2" x14ac:dyDescent="0.25">
      <c r="A18062" s="2">
        <v>18057</v>
      </c>
      <c r="B18062" s="11" t="str">
        <f>"00806757"</f>
        <v>00806757</v>
      </c>
    </row>
    <row r="18063" spans="1:2" x14ac:dyDescent="0.25">
      <c r="A18063" s="2">
        <v>18058</v>
      </c>
      <c r="B18063" s="11" t="str">
        <f>"00806800"</f>
        <v>00806800</v>
      </c>
    </row>
    <row r="18064" spans="1:2" x14ac:dyDescent="0.25">
      <c r="A18064" s="2">
        <v>18059</v>
      </c>
      <c r="B18064" s="11" t="str">
        <f>"00806887"</f>
        <v>00806887</v>
      </c>
    </row>
    <row r="18065" spans="1:2" x14ac:dyDescent="0.25">
      <c r="A18065" s="2">
        <v>18060</v>
      </c>
      <c r="B18065" s="11" t="str">
        <f>"00806923"</f>
        <v>00806923</v>
      </c>
    </row>
    <row r="18066" spans="1:2" x14ac:dyDescent="0.25">
      <c r="A18066" s="2">
        <v>18061</v>
      </c>
      <c r="B18066" s="11" t="str">
        <f>"00806931"</f>
        <v>00806931</v>
      </c>
    </row>
    <row r="18067" spans="1:2" x14ac:dyDescent="0.25">
      <c r="A18067" s="2">
        <v>18062</v>
      </c>
      <c r="B18067" s="11" t="str">
        <f>"00807031"</f>
        <v>00807031</v>
      </c>
    </row>
    <row r="18068" spans="1:2" x14ac:dyDescent="0.25">
      <c r="A18068" s="2">
        <v>18063</v>
      </c>
      <c r="B18068" s="11" t="str">
        <f>"00807131"</f>
        <v>00807131</v>
      </c>
    </row>
    <row r="18069" spans="1:2" x14ac:dyDescent="0.25">
      <c r="A18069" s="2">
        <v>18064</v>
      </c>
      <c r="B18069" s="11" t="str">
        <f>"00807180"</f>
        <v>00807180</v>
      </c>
    </row>
    <row r="18070" spans="1:2" x14ac:dyDescent="0.25">
      <c r="A18070" s="2">
        <v>18065</v>
      </c>
      <c r="B18070" s="11" t="str">
        <f>"00807192"</f>
        <v>00807192</v>
      </c>
    </row>
    <row r="18071" spans="1:2" x14ac:dyDescent="0.25">
      <c r="A18071" s="2">
        <v>18066</v>
      </c>
      <c r="B18071" s="11" t="str">
        <f>"00807205"</f>
        <v>00807205</v>
      </c>
    </row>
    <row r="18072" spans="1:2" x14ac:dyDescent="0.25">
      <c r="A18072" s="2">
        <v>18067</v>
      </c>
      <c r="B18072" s="11" t="str">
        <f>"00807282"</f>
        <v>00807282</v>
      </c>
    </row>
    <row r="18073" spans="1:2" x14ac:dyDescent="0.25">
      <c r="A18073" s="2">
        <v>18068</v>
      </c>
      <c r="B18073" s="11" t="str">
        <f>"00807313"</f>
        <v>00807313</v>
      </c>
    </row>
    <row r="18074" spans="1:2" x14ac:dyDescent="0.25">
      <c r="A18074" s="2">
        <v>18069</v>
      </c>
      <c r="B18074" s="11" t="str">
        <f>"00807345"</f>
        <v>00807345</v>
      </c>
    </row>
    <row r="18075" spans="1:2" x14ac:dyDescent="0.25">
      <c r="A18075" s="2">
        <v>18070</v>
      </c>
      <c r="B18075" s="11" t="str">
        <f>"00807381"</f>
        <v>00807381</v>
      </c>
    </row>
    <row r="18076" spans="1:2" x14ac:dyDescent="0.25">
      <c r="A18076" s="2">
        <v>18071</v>
      </c>
      <c r="B18076" s="11" t="str">
        <f>"00807400"</f>
        <v>00807400</v>
      </c>
    </row>
    <row r="18077" spans="1:2" x14ac:dyDescent="0.25">
      <c r="A18077" s="2">
        <v>18072</v>
      </c>
      <c r="B18077" s="11" t="str">
        <f>"00807418"</f>
        <v>00807418</v>
      </c>
    </row>
    <row r="18078" spans="1:2" x14ac:dyDescent="0.25">
      <c r="A18078" s="2">
        <v>18073</v>
      </c>
      <c r="B18078" s="11" t="str">
        <f>"00807423"</f>
        <v>00807423</v>
      </c>
    </row>
    <row r="18079" spans="1:2" x14ac:dyDescent="0.25">
      <c r="A18079" s="2">
        <v>18074</v>
      </c>
      <c r="B18079" s="11" t="str">
        <f>"00807510"</f>
        <v>00807510</v>
      </c>
    </row>
    <row r="18080" spans="1:2" x14ac:dyDescent="0.25">
      <c r="A18080" s="2">
        <v>18075</v>
      </c>
      <c r="B18080" s="11" t="str">
        <f>"00807536"</f>
        <v>00807536</v>
      </c>
    </row>
    <row r="18081" spans="1:2" x14ac:dyDescent="0.25">
      <c r="A18081" s="2">
        <v>18076</v>
      </c>
      <c r="B18081" s="11" t="str">
        <f>"00807584"</f>
        <v>00807584</v>
      </c>
    </row>
    <row r="18082" spans="1:2" x14ac:dyDescent="0.25">
      <c r="A18082" s="2">
        <v>18077</v>
      </c>
      <c r="B18082" s="11" t="str">
        <f>"00807588"</f>
        <v>00807588</v>
      </c>
    </row>
    <row r="18083" spans="1:2" x14ac:dyDescent="0.25">
      <c r="A18083" s="2">
        <v>18078</v>
      </c>
      <c r="B18083" s="11" t="str">
        <f>"00807626"</f>
        <v>00807626</v>
      </c>
    </row>
    <row r="18084" spans="1:2" x14ac:dyDescent="0.25">
      <c r="A18084" s="2">
        <v>18079</v>
      </c>
      <c r="B18084" s="11" t="str">
        <f>"00807633"</f>
        <v>00807633</v>
      </c>
    </row>
    <row r="18085" spans="1:2" x14ac:dyDescent="0.25">
      <c r="A18085" s="2">
        <v>18080</v>
      </c>
      <c r="B18085" s="11" t="str">
        <f>"00807648"</f>
        <v>00807648</v>
      </c>
    </row>
    <row r="18086" spans="1:2" x14ac:dyDescent="0.25">
      <c r="A18086" s="2">
        <v>18081</v>
      </c>
      <c r="B18086" s="11" t="str">
        <f>"00807654"</f>
        <v>00807654</v>
      </c>
    </row>
    <row r="18087" spans="1:2" x14ac:dyDescent="0.25">
      <c r="A18087" s="2">
        <v>18082</v>
      </c>
      <c r="B18087" s="11" t="str">
        <f>"00807660"</f>
        <v>00807660</v>
      </c>
    </row>
    <row r="18088" spans="1:2" x14ac:dyDescent="0.25">
      <c r="A18088" s="2">
        <v>18083</v>
      </c>
      <c r="B18088" s="11" t="str">
        <f>"00807670"</f>
        <v>00807670</v>
      </c>
    </row>
    <row r="18089" spans="1:2" x14ac:dyDescent="0.25">
      <c r="A18089" s="2">
        <v>18084</v>
      </c>
      <c r="B18089" s="11" t="str">
        <f>"00807715"</f>
        <v>00807715</v>
      </c>
    </row>
    <row r="18090" spans="1:2" x14ac:dyDescent="0.25">
      <c r="A18090" s="2">
        <v>18085</v>
      </c>
      <c r="B18090" s="11" t="str">
        <f>"00807751"</f>
        <v>00807751</v>
      </c>
    </row>
    <row r="18091" spans="1:2" x14ac:dyDescent="0.25">
      <c r="A18091" s="2">
        <v>18086</v>
      </c>
      <c r="B18091" s="11" t="str">
        <f>"00807757"</f>
        <v>00807757</v>
      </c>
    </row>
    <row r="18092" spans="1:2" x14ac:dyDescent="0.25">
      <c r="A18092" s="2">
        <v>18087</v>
      </c>
      <c r="B18092" s="11" t="str">
        <f>"00807817"</f>
        <v>00807817</v>
      </c>
    </row>
    <row r="18093" spans="1:2" x14ac:dyDescent="0.25">
      <c r="A18093" s="2">
        <v>18088</v>
      </c>
      <c r="B18093" s="11" t="str">
        <f>"00807851"</f>
        <v>00807851</v>
      </c>
    </row>
    <row r="18094" spans="1:2" x14ac:dyDescent="0.25">
      <c r="A18094" s="2">
        <v>18089</v>
      </c>
      <c r="B18094" s="11" t="str">
        <f>"00807854"</f>
        <v>00807854</v>
      </c>
    </row>
    <row r="18095" spans="1:2" x14ac:dyDescent="0.25">
      <c r="A18095" s="2">
        <v>18090</v>
      </c>
      <c r="B18095" s="11" t="str">
        <f>"00807865"</f>
        <v>00807865</v>
      </c>
    </row>
    <row r="18096" spans="1:2" x14ac:dyDescent="0.25">
      <c r="A18096" s="2">
        <v>18091</v>
      </c>
      <c r="B18096" s="11" t="str">
        <f>"00807962"</f>
        <v>00807962</v>
      </c>
    </row>
    <row r="18097" spans="1:2" x14ac:dyDescent="0.25">
      <c r="A18097" s="2">
        <v>18092</v>
      </c>
      <c r="B18097" s="11" t="str">
        <f>"00807978"</f>
        <v>00807978</v>
      </c>
    </row>
    <row r="18098" spans="1:2" x14ac:dyDescent="0.25">
      <c r="A18098" s="2">
        <v>18093</v>
      </c>
      <c r="B18098" s="11" t="str">
        <f>"00808055"</f>
        <v>00808055</v>
      </c>
    </row>
    <row r="18099" spans="1:2" x14ac:dyDescent="0.25">
      <c r="A18099" s="2">
        <v>18094</v>
      </c>
      <c r="B18099" s="11" t="str">
        <f>"00808082"</f>
        <v>00808082</v>
      </c>
    </row>
    <row r="18100" spans="1:2" x14ac:dyDescent="0.25">
      <c r="A18100" s="2">
        <v>18095</v>
      </c>
      <c r="B18100" s="11" t="str">
        <f>"00808094"</f>
        <v>00808094</v>
      </c>
    </row>
    <row r="18101" spans="1:2" x14ac:dyDescent="0.25">
      <c r="A18101" s="2">
        <v>18096</v>
      </c>
      <c r="B18101" s="11" t="str">
        <f>"00808157"</f>
        <v>00808157</v>
      </c>
    </row>
    <row r="18102" spans="1:2" x14ac:dyDescent="0.25">
      <c r="A18102" s="2">
        <v>18097</v>
      </c>
      <c r="B18102" s="11" t="str">
        <f>"00808215"</f>
        <v>00808215</v>
      </c>
    </row>
    <row r="18103" spans="1:2" x14ac:dyDescent="0.25">
      <c r="A18103" s="2">
        <v>18098</v>
      </c>
      <c r="B18103" s="11" t="str">
        <f>"00808217"</f>
        <v>00808217</v>
      </c>
    </row>
    <row r="18104" spans="1:2" x14ac:dyDescent="0.25">
      <c r="A18104" s="2">
        <v>18099</v>
      </c>
      <c r="B18104" s="11" t="str">
        <f>"00808239"</f>
        <v>00808239</v>
      </c>
    </row>
    <row r="18105" spans="1:2" x14ac:dyDescent="0.25">
      <c r="A18105" s="2">
        <v>18100</v>
      </c>
      <c r="B18105" s="11" t="str">
        <f>"00808300"</f>
        <v>00808300</v>
      </c>
    </row>
    <row r="18106" spans="1:2" x14ac:dyDescent="0.25">
      <c r="A18106" s="2">
        <v>18101</v>
      </c>
      <c r="B18106" s="11" t="str">
        <f>"00808328"</f>
        <v>00808328</v>
      </c>
    </row>
    <row r="18107" spans="1:2" x14ac:dyDescent="0.25">
      <c r="A18107" s="2">
        <v>18102</v>
      </c>
      <c r="B18107" s="11" t="str">
        <f>"00808364"</f>
        <v>00808364</v>
      </c>
    </row>
    <row r="18108" spans="1:2" x14ac:dyDescent="0.25">
      <c r="A18108" s="2">
        <v>18103</v>
      </c>
      <c r="B18108" s="11" t="str">
        <f>"00808423"</f>
        <v>00808423</v>
      </c>
    </row>
    <row r="18109" spans="1:2" x14ac:dyDescent="0.25">
      <c r="A18109" s="2">
        <v>18104</v>
      </c>
      <c r="B18109" s="11" t="str">
        <f>"00808453"</f>
        <v>00808453</v>
      </c>
    </row>
    <row r="18110" spans="1:2" x14ac:dyDescent="0.25">
      <c r="A18110" s="2">
        <v>18105</v>
      </c>
      <c r="B18110" s="11" t="str">
        <f>"00808499"</f>
        <v>00808499</v>
      </c>
    </row>
    <row r="18111" spans="1:2" x14ac:dyDescent="0.25">
      <c r="A18111" s="2">
        <v>18106</v>
      </c>
      <c r="B18111" s="11" t="str">
        <f>"00808550"</f>
        <v>00808550</v>
      </c>
    </row>
    <row r="18112" spans="1:2" x14ac:dyDescent="0.25">
      <c r="A18112" s="2">
        <v>18107</v>
      </c>
      <c r="B18112" s="11" t="str">
        <f>"00808636"</f>
        <v>00808636</v>
      </c>
    </row>
    <row r="18113" spans="1:2" x14ac:dyDescent="0.25">
      <c r="A18113" s="2">
        <v>18108</v>
      </c>
      <c r="B18113" s="11" t="str">
        <f>"00808682"</f>
        <v>00808682</v>
      </c>
    </row>
    <row r="18114" spans="1:2" x14ac:dyDescent="0.25">
      <c r="A18114" s="2">
        <v>18109</v>
      </c>
      <c r="B18114" s="11" t="str">
        <f>"00808699"</f>
        <v>00808699</v>
      </c>
    </row>
    <row r="18115" spans="1:2" x14ac:dyDescent="0.25">
      <c r="A18115" s="2">
        <v>18110</v>
      </c>
      <c r="B18115" s="11" t="str">
        <f>"00808704"</f>
        <v>00808704</v>
      </c>
    </row>
    <row r="18116" spans="1:2" x14ac:dyDescent="0.25">
      <c r="A18116" s="2">
        <v>18111</v>
      </c>
      <c r="B18116" s="11" t="str">
        <f>"00808794"</f>
        <v>00808794</v>
      </c>
    </row>
    <row r="18117" spans="1:2" x14ac:dyDescent="0.25">
      <c r="A18117" s="2">
        <v>18112</v>
      </c>
      <c r="B18117" s="11" t="str">
        <f>"00808795"</f>
        <v>00808795</v>
      </c>
    </row>
    <row r="18118" spans="1:2" x14ac:dyDescent="0.25">
      <c r="A18118" s="2">
        <v>18113</v>
      </c>
      <c r="B18118" s="11" t="str">
        <f>"00808990"</f>
        <v>00808990</v>
      </c>
    </row>
    <row r="18119" spans="1:2" x14ac:dyDescent="0.25">
      <c r="A18119" s="2">
        <v>18114</v>
      </c>
      <c r="B18119" s="11" t="str">
        <f>"00809167"</f>
        <v>00809167</v>
      </c>
    </row>
    <row r="18120" spans="1:2" x14ac:dyDescent="0.25">
      <c r="A18120" s="2">
        <v>18115</v>
      </c>
      <c r="B18120" s="11" t="str">
        <f>"00809280"</f>
        <v>00809280</v>
      </c>
    </row>
    <row r="18121" spans="1:2" x14ac:dyDescent="0.25">
      <c r="A18121" s="2">
        <v>18116</v>
      </c>
      <c r="B18121" s="11" t="str">
        <f>"00809350"</f>
        <v>00809350</v>
      </c>
    </row>
    <row r="18122" spans="1:2" x14ac:dyDescent="0.25">
      <c r="A18122" s="2">
        <v>18117</v>
      </c>
      <c r="B18122" s="11" t="str">
        <f>"00809405"</f>
        <v>00809405</v>
      </c>
    </row>
    <row r="18123" spans="1:2" x14ac:dyDescent="0.25">
      <c r="A18123" s="2">
        <v>18118</v>
      </c>
      <c r="B18123" s="11" t="str">
        <f>"00809418"</f>
        <v>00809418</v>
      </c>
    </row>
    <row r="18124" spans="1:2" x14ac:dyDescent="0.25">
      <c r="A18124" s="2">
        <v>18119</v>
      </c>
      <c r="B18124" s="11" t="str">
        <f>"00809419"</f>
        <v>00809419</v>
      </c>
    </row>
    <row r="18125" spans="1:2" x14ac:dyDescent="0.25">
      <c r="A18125" s="2">
        <v>18120</v>
      </c>
      <c r="B18125" s="11" t="str">
        <f>"00809458"</f>
        <v>00809458</v>
      </c>
    </row>
    <row r="18126" spans="1:2" x14ac:dyDescent="0.25">
      <c r="A18126" s="2">
        <v>18121</v>
      </c>
      <c r="B18126" s="11" t="str">
        <f>"00809462"</f>
        <v>00809462</v>
      </c>
    </row>
    <row r="18127" spans="1:2" x14ac:dyDescent="0.25">
      <c r="A18127" s="2">
        <v>18122</v>
      </c>
      <c r="B18127" s="11" t="str">
        <f>"00809463"</f>
        <v>00809463</v>
      </c>
    </row>
    <row r="18128" spans="1:2" x14ac:dyDescent="0.25">
      <c r="A18128" s="2">
        <v>18123</v>
      </c>
      <c r="B18128" s="11" t="str">
        <f>"00809526"</f>
        <v>00809526</v>
      </c>
    </row>
    <row r="18129" spans="1:2" x14ac:dyDescent="0.25">
      <c r="A18129" s="2">
        <v>18124</v>
      </c>
      <c r="B18129" s="11" t="str">
        <f>"00809581"</f>
        <v>00809581</v>
      </c>
    </row>
    <row r="18130" spans="1:2" x14ac:dyDescent="0.25">
      <c r="A18130" s="2">
        <v>18125</v>
      </c>
      <c r="B18130" s="11" t="str">
        <f>"00809635"</f>
        <v>00809635</v>
      </c>
    </row>
    <row r="18131" spans="1:2" x14ac:dyDescent="0.25">
      <c r="A18131" s="2">
        <v>18126</v>
      </c>
      <c r="B18131" s="11" t="str">
        <f>"00809673"</f>
        <v>00809673</v>
      </c>
    </row>
    <row r="18132" spans="1:2" x14ac:dyDescent="0.25">
      <c r="A18132" s="2">
        <v>18127</v>
      </c>
      <c r="B18132" s="11" t="str">
        <f>"00809812"</f>
        <v>00809812</v>
      </c>
    </row>
    <row r="18133" spans="1:2" x14ac:dyDescent="0.25">
      <c r="A18133" s="2">
        <v>18128</v>
      </c>
      <c r="B18133" s="11" t="str">
        <f>"00809813"</f>
        <v>00809813</v>
      </c>
    </row>
    <row r="18134" spans="1:2" x14ac:dyDescent="0.25">
      <c r="A18134" s="2">
        <v>18129</v>
      </c>
      <c r="B18134" s="11" t="str">
        <f>"00809835"</f>
        <v>00809835</v>
      </c>
    </row>
    <row r="18135" spans="1:2" x14ac:dyDescent="0.25">
      <c r="A18135" s="2">
        <v>18130</v>
      </c>
      <c r="B18135" s="11" t="str">
        <f>"00809900"</f>
        <v>00809900</v>
      </c>
    </row>
    <row r="18136" spans="1:2" x14ac:dyDescent="0.25">
      <c r="A18136" s="2">
        <v>18131</v>
      </c>
      <c r="B18136" s="11" t="str">
        <f>"00809908"</f>
        <v>00809908</v>
      </c>
    </row>
    <row r="18137" spans="1:2" x14ac:dyDescent="0.25">
      <c r="A18137" s="2">
        <v>18132</v>
      </c>
      <c r="B18137" s="11" t="str">
        <f>"00809996"</f>
        <v>00809996</v>
      </c>
    </row>
    <row r="18138" spans="1:2" x14ac:dyDescent="0.25">
      <c r="A18138" s="2">
        <v>18133</v>
      </c>
      <c r="B18138" s="11" t="str">
        <f>"00810018"</f>
        <v>00810018</v>
      </c>
    </row>
    <row r="18139" spans="1:2" x14ac:dyDescent="0.25">
      <c r="A18139" s="2">
        <v>18134</v>
      </c>
      <c r="B18139" s="11" t="str">
        <f>"00810022"</f>
        <v>00810022</v>
      </c>
    </row>
    <row r="18140" spans="1:2" x14ac:dyDescent="0.25">
      <c r="A18140" s="2">
        <v>18135</v>
      </c>
      <c r="B18140" s="11" t="str">
        <f>"00810056"</f>
        <v>00810056</v>
      </c>
    </row>
    <row r="18141" spans="1:2" x14ac:dyDescent="0.25">
      <c r="A18141" s="2">
        <v>18136</v>
      </c>
      <c r="B18141" s="11" t="str">
        <f>"00810066"</f>
        <v>00810066</v>
      </c>
    </row>
    <row r="18142" spans="1:2" x14ac:dyDescent="0.25">
      <c r="A18142" s="2">
        <v>18137</v>
      </c>
      <c r="B18142" s="11" t="str">
        <f>"00810089"</f>
        <v>00810089</v>
      </c>
    </row>
    <row r="18143" spans="1:2" x14ac:dyDescent="0.25">
      <c r="A18143" s="2">
        <v>18138</v>
      </c>
      <c r="B18143" s="11" t="str">
        <f>"00810111"</f>
        <v>00810111</v>
      </c>
    </row>
    <row r="18144" spans="1:2" x14ac:dyDescent="0.25">
      <c r="A18144" s="2">
        <v>18139</v>
      </c>
      <c r="B18144" s="11" t="str">
        <f>"00810128"</f>
        <v>00810128</v>
      </c>
    </row>
    <row r="18145" spans="1:2" x14ac:dyDescent="0.25">
      <c r="A18145" s="2">
        <v>18140</v>
      </c>
      <c r="B18145" s="11" t="str">
        <f>"00810146"</f>
        <v>00810146</v>
      </c>
    </row>
    <row r="18146" spans="1:2" x14ac:dyDescent="0.25">
      <c r="A18146" s="2">
        <v>18141</v>
      </c>
      <c r="B18146" s="11" t="str">
        <f>"00810205"</f>
        <v>00810205</v>
      </c>
    </row>
    <row r="18147" spans="1:2" x14ac:dyDescent="0.25">
      <c r="A18147" s="2">
        <v>18142</v>
      </c>
      <c r="B18147" s="11" t="str">
        <f>"00810206"</f>
        <v>00810206</v>
      </c>
    </row>
    <row r="18148" spans="1:2" x14ac:dyDescent="0.25">
      <c r="A18148" s="2">
        <v>18143</v>
      </c>
      <c r="B18148" s="11" t="str">
        <f>"00810244"</f>
        <v>00810244</v>
      </c>
    </row>
    <row r="18149" spans="1:2" x14ac:dyDescent="0.25">
      <c r="A18149" s="2">
        <v>18144</v>
      </c>
      <c r="B18149" s="11" t="str">
        <f>"00810270"</f>
        <v>00810270</v>
      </c>
    </row>
    <row r="18150" spans="1:2" x14ac:dyDescent="0.25">
      <c r="A18150" s="2">
        <v>18145</v>
      </c>
      <c r="B18150" s="11" t="str">
        <f>"00810330"</f>
        <v>00810330</v>
      </c>
    </row>
    <row r="18151" spans="1:2" x14ac:dyDescent="0.25">
      <c r="A18151" s="2">
        <v>18146</v>
      </c>
      <c r="B18151" s="11" t="str">
        <f>"00810344"</f>
        <v>00810344</v>
      </c>
    </row>
    <row r="18152" spans="1:2" x14ac:dyDescent="0.25">
      <c r="A18152" s="2">
        <v>18147</v>
      </c>
      <c r="B18152" s="11" t="str">
        <f>"00810369"</f>
        <v>00810369</v>
      </c>
    </row>
    <row r="18153" spans="1:2" x14ac:dyDescent="0.25">
      <c r="A18153" s="2">
        <v>18148</v>
      </c>
      <c r="B18153" s="11" t="str">
        <f>"00810433"</f>
        <v>00810433</v>
      </c>
    </row>
    <row r="18154" spans="1:2" x14ac:dyDescent="0.25">
      <c r="A18154" s="2">
        <v>18149</v>
      </c>
      <c r="B18154" s="11" t="str">
        <f>"00810454"</f>
        <v>00810454</v>
      </c>
    </row>
    <row r="18155" spans="1:2" x14ac:dyDescent="0.25">
      <c r="A18155" s="2">
        <v>18150</v>
      </c>
      <c r="B18155" s="11" t="str">
        <f>"00810466"</f>
        <v>00810466</v>
      </c>
    </row>
    <row r="18156" spans="1:2" x14ac:dyDescent="0.25">
      <c r="A18156" s="2">
        <v>18151</v>
      </c>
      <c r="B18156" s="11" t="str">
        <f>"00810478"</f>
        <v>00810478</v>
      </c>
    </row>
    <row r="18157" spans="1:2" x14ac:dyDescent="0.25">
      <c r="A18157" s="2">
        <v>18152</v>
      </c>
      <c r="B18157" s="11" t="str">
        <f>"00810532"</f>
        <v>00810532</v>
      </c>
    </row>
    <row r="18158" spans="1:2" x14ac:dyDescent="0.25">
      <c r="A18158" s="2">
        <v>18153</v>
      </c>
      <c r="B18158" s="11" t="str">
        <f>"00810548"</f>
        <v>00810548</v>
      </c>
    </row>
    <row r="18159" spans="1:2" x14ac:dyDescent="0.25">
      <c r="A18159" s="2">
        <v>18154</v>
      </c>
      <c r="B18159" s="11" t="str">
        <f>"00810562"</f>
        <v>00810562</v>
      </c>
    </row>
    <row r="18160" spans="1:2" x14ac:dyDescent="0.25">
      <c r="A18160" s="2">
        <v>18155</v>
      </c>
      <c r="B18160" s="11" t="str">
        <f>"00810563"</f>
        <v>00810563</v>
      </c>
    </row>
    <row r="18161" spans="1:2" x14ac:dyDescent="0.25">
      <c r="A18161" s="2">
        <v>18156</v>
      </c>
      <c r="B18161" s="11" t="str">
        <f>"00810567"</f>
        <v>00810567</v>
      </c>
    </row>
    <row r="18162" spans="1:2" x14ac:dyDescent="0.25">
      <c r="A18162" s="2">
        <v>18157</v>
      </c>
      <c r="B18162" s="11" t="str">
        <f>"00810585"</f>
        <v>00810585</v>
      </c>
    </row>
    <row r="18163" spans="1:2" x14ac:dyDescent="0.25">
      <c r="A18163" s="2">
        <v>18158</v>
      </c>
      <c r="B18163" s="11" t="str">
        <f>"00810595"</f>
        <v>00810595</v>
      </c>
    </row>
    <row r="18164" spans="1:2" x14ac:dyDescent="0.25">
      <c r="A18164" s="2">
        <v>18159</v>
      </c>
      <c r="B18164" s="11" t="str">
        <f>"00810611"</f>
        <v>00810611</v>
      </c>
    </row>
    <row r="18165" spans="1:2" x14ac:dyDescent="0.25">
      <c r="A18165" s="2">
        <v>18160</v>
      </c>
      <c r="B18165" s="11" t="str">
        <f>"00810642"</f>
        <v>00810642</v>
      </c>
    </row>
    <row r="18166" spans="1:2" x14ac:dyDescent="0.25">
      <c r="A18166" s="2">
        <v>18161</v>
      </c>
      <c r="B18166" s="11" t="str">
        <f>"00810687"</f>
        <v>00810687</v>
      </c>
    </row>
    <row r="18167" spans="1:2" x14ac:dyDescent="0.25">
      <c r="A18167" s="2">
        <v>18162</v>
      </c>
      <c r="B18167" s="11" t="str">
        <f>"00810703"</f>
        <v>00810703</v>
      </c>
    </row>
    <row r="18168" spans="1:2" x14ac:dyDescent="0.25">
      <c r="A18168" s="2">
        <v>18163</v>
      </c>
      <c r="B18168" s="11" t="str">
        <f>"00810742"</f>
        <v>00810742</v>
      </c>
    </row>
    <row r="18169" spans="1:2" x14ac:dyDescent="0.25">
      <c r="A18169" s="2">
        <v>18164</v>
      </c>
      <c r="B18169" s="11" t="str">
        <f>"00810753"</f>
        <v>00810753</v>
      </c>
    </row>
    <row r="18170" spans="1:2" x14ac:dyDescent="0.25">
      <c r="A18170" s="2">
        <v>18165</v>
      </c>
      <c r="B18170" s="11" t="str">
        <f>"00810839"</f>
        <v>00810839</v>
      </c>
    </row>
    <row r="18171" spans="1:2" x14ac:dyDescent="0.25">
      <c r="A18171" s="2">
        <v>18166</v>
      </c>
      <c r="B18171" s="11" t="str">
        <f>"00810844"</f>
        <v>00810844</v>
      </c>
    </row>
    <row r="18172" spans="1:2" x14ac:dyDescent="0.25">
      <c r="A18172" s="2">
        <v>18167</v>
      </c>
      <c r="B18172" s="11" t="str">
        <f>"00810845"</f>
        <v>00810845</v>
      </c>
    </row>
    <row r="18173" spans="1:2" x14ac:dyDescent="0.25">
      <c r="A18173" s="2">
        <v>18168</v>
      </c>
      <c r="B18173" s="11" t="str">
        <f>"00810859"</f>
        <v>00810859</v>
      </c>
    </row>
    <row r="18174" spans="1:2" x14ac:dyDescent="0.25">
      <c r="A18174" s="2">
        <v>18169</v>
      </c>
      <c r="B18174" s="11" t="str">
        <f>"00810860"</f>
        <v>00810860</v>
      </c>
    </row>
    <row r="18175" spans="1:2" x14ac:dyDescent="0.25">
      <c r="A18175" s="2">
        <v>18170</v>
      </c>
      <c r="B18175" s="11" t="str">
        <f>"00810939"</f>
        <v>00810939</v>
      </c>
    </row>
    <row r="18176" spans="1:2" x14ac:dyDescent="0.25">
      <c r="A18176" s="2">
        <v>18171</v>
      </c>
      <c r="B18176" s="11" t="str">
        <f>"00810944"</f>
        <v>00810944</v>
      </c>
    </row>
    <row r="18177" spans="1:2" x14ac:dyDescent="0.25">
      <c r="A18177" s="2">
        <v>18172</v>
      </c>
      <c r="B18177" s="11" t="str">
        <f>"00810969"</f>
        <v>00810969</v>
      </c>
    </row>
    <row r="18178" spans="1:2" x14ac:dyDescent="0.25">
      <c r="A18178" s="2">
        <v>18173</v>
      </c>
      <c r="B18178" s="11" t="str">
        <f>"00811000"</f>
        <v>00811000</v>
      </c>
    </row>
    <row r="18179" spans="1:2" x14ac:dyDescent="0.25">
      <c r="A18179" s="2">
        <v>18174</v>
      </c>
      <c r="B18179" s="11" t="str">
        <f>"00811002"</f>
        <v>00811002</v>
      </c>
    </row>
    <row r="18180" spans="1:2" x14ac:dyDescent="0.25">
      <c r="A18180" s="2">
        <v>18175</v>
      </c>
      <c r="B18180" s="11" t="str">
        <f>"00811010"</f>
        <v>00811010</v>
      </c>
    </row>
    <row r="18181" spans="1:2" x14ac:dyDescent="0.25">
      <c r="A18181" s="2">
        <v>18176</v>
      </c>
      <c r="B18181" s="11" t="str">
        <f>"00811104"</f>
        <v>00811104</v>
      </c>
    </row>
    <row r="18182" spans="1:2" x14ac:dyDescent="0.25">
      <c r="A18182" s="2">
        <v>18177</v>
      </c>
      <c r="B18182" s="11" t="str">
        <f>"00811142"</f>
        <v>00811142</v>
      </c>
    </row>
    <row r="18183" spans="1:2" x14ac:dyDescent="0.25">
      <c r="A18183" s="2">
        <v>18178</v>
      </c>
      <c r="B18183" s="11" t="str">
        <f>"00811145"</f>
        <v>00811145</v>
      </c>
    </row>
    <row r="18184" spans="1:2" x14ac:dyDescent="0.25">
      <c r="A18184" s="2">
        <v>18179</v>
      </c>
      <c r="B18184" s="11" t="str">
        <f>"00811170"</f>
        <v>00811170</v>
      </c>
    </row>
    <row r="18185" spans="1:2" x14ac:dyDescent="0.25">
      <c r="A18185" s="2">
        <v>18180</v>
      </c>
      <c r="B18185" s="11" t="str">
        <f>"00811172"</f>
        <v>00811172</v>
      </c>
    </row>
    <row r="18186" spans="1:2" x14ac:dyDescent="0.25">
      <c r="A18186" s="2">
        <v>18181</v>
      </c>
      <c r="B18186" s="11" t="str">
        <f>"00811303"</f>
        <v>00811303</v>
      </c>
    </row>
    <row r="18187" spans="1:2" x14ac:dyDescent="0.25">
      <c r="A18187" s="2">
        <v>18182</v>
      </c>
      <c r="B18187" s="11" t="str">
        <f>"00811307"</f>
        <v>00811307</v>
      </c>
    </row>
    <row r="18188" spans="1:2" x14ac:dyDescent="0.25">
      <c r="A18188" s="2">
        <v>18183</v>
      </c>
      <c r="B18188" s="11" t="str">
        <f>"00811315"</f>
        <v>00811315</v>
      </c>
    </row>
    <row r="18189" spans="1:2" x14ac:dyDescent="0.25">
      <c r="A18189" s="2">
        <v>18184</v>
      </c>
      <c r="B18189" s="11" t="str">
        <f>"00811338"</f>
        <v>00811338</v>
      </c>
    </row>
    <row r="18190" spans="1:2" x14ac:dyDescent="0.25">
      <c r="A18190" s="2">
        <v>18185</v>
      </c>
      <c r="B18190" s="11" t="str">
        <f>"00811374"</f>
        <v>00811374</v>
      </c>
    </row>
    <row r="18191" spans="1:2" x14ac:dyDescent="0.25">
      <c r="A18191" s="2">
        <v>18186</v>
      </c>
      <c r="B18191" s="11" t="str">
        <f>"00811421"</f>
        <v>00811421</v>
      </c>
    </row>
    <row r="18192" spans="1:2" x14ac:dyDescent="0.25">
      <c r="A18192" s="2">
        <v>18187</v>
      </c>
      <c r="B18192" s="11" t="str">
        <f>"00811436"</f>
        <v>00811436</v>
      </c>
    </row>
    <row r="18193" spans="1:2" x14ac:dyDescent="0.25">
      <c r="A18193" s="2">
        <v>18188</v>
      </c>
      <c r="B18193" s="11" t="str">
        <f>"00811451"</f>
        <v>00811451</v>
      </c>
    </row>
    <row r="18194" spans="1:2" x14ac:dyDescent="0.25">
      <c r="A18194" s="2">
        <v>18189</v>
      </c>
      <c r="B18194" s="11" t="str">
        <f>"00811457"</f>
        <v>00811457</v>
      </c>
    </row>
    <row r="18195" spans="1:2" x14ac:dyDescent="0.25">
      <c r="A18195" s="2">
        <v>18190</v>
      </c>
      <c r="B18195" s="11" t="str">
        <f>"00811458"</f>
        <v>00811458</v>
      </c>
    </row>
    <row r="18196" spans="1:2" x14ac:dyDescent="0.25">
      <c r="A18196" s="2">
        <v>18191</v>
      </c>
      <c r="B18196" s="11" t="str">
        <f>"00811459"</f>
        <v>00811459</v>
      </c>
    </row>
    <row r="18197" spans="1:2" x14ac:dyDescent="0.25">
      <c r="A18197" s="2">
        <v>18192</v>
      </c>
      <c r="B18197" s="11" t="str">
        <f>"00811560"</f>
        <v>00811560</v>
      </c>
    </row>
    <row r="18198" spans="1:2" x14ac:dyDescent="0.25">
      <c r="A18198" s="2">
        <v>18193</v>
      </c>
      <c r="B18198" s="11" t="str">
        <f>"00811582"</f>
        <v>00811582</v>
      </c>
    </row>
    <row r="18199" spans="1:2" x14ac:dyDescent="0.25">
      <c r="A18199" s="2">
        <v>18194</v>
      </c>
      <c r="B18199" s="11" t="str">
        <f>"00811592"</f>
        <v>00811592</v>
      </c>
    </row>
    <row r="18200" spans="1:2" x14ac:dyDescent="0.25">
      <c r="A18200" s="2">
        <v>18195</v>
      </c>
      <c r="B18200" s="11" t="str">
        <f>"00811624"</f>
        <v>00811624</v>
      </c>
    </row>
    <row r="18201" spans="1:2" x14ac:dyDescent="0.25">
      <c r="A18201" s="2">
        <v>18196</v>
      </c>
      <c r="B18201" s="11" t="str">
        <f>"00811630"</f>
        <v>00811630</v>
      </c>
    </row>
    <row r="18202" spans="1:2" x14ac:dyDescent="0.25">
      <c r="A18202" s="2">
        <v>18197</v>
      </c>
      <c r="B18202" s="11" t="str">
        <f>"00811673"</f>
        <v>00811673</v>
      </c>
    </row>
    <row r="18203" spans="1:2" x14ac:dyDescent="0.25">
      <c r="A18203" s="2">
        <v>18198</v>
      </c>
      <c r="B18203" s="11" t="str">
        <f>"00811677"</f>
        <v>00811677</v>
      </c>
    </row>
    <row r="18204" spans="1:2" x14ac:dyDescent="0.25">
      <c r="A18204" s="2">
        <v>18199</v>
      </c>
      <c r="B18204" s="11" t="str">
        <f>"00811710"</f>
        <v>00811710</v>
      </c>
    </row>
    <row r="18205" spans="1:2" x14ac:dyDescent="0.25">
      <c r="A18205" s="2">
        <v>18200</v>
      </c>
      <c r="B18205" s="11" t="str">
        <f>"00811736"</f>
        <v>00811736</v>
      </c>
    </row>
    <row r="18206" spans="1:2" x14ac:dyDescent="0.25">
      <c r="A18206" s="2">
        <v>18201</v>
      </c>
      <c r="B18206" s="11" t="str">
        <f>"00811772"</f>
        <v>00811772</v>
      </c>
    </row>
    <row r="18207" spans="1:2" x14ac:dyDescent="0.25">
      <c r="A18207" s="2">
        <v>18202</v>
      </c>
      <c r="B18207" s="11" t="str">
        <f>"00811775"</f>
        <v>00811775</v>
      </c>
    </row>
    <row r="18208" spans="1:2" x14ac:dyDescent="0.25">
      <c r="A18208" s="2">
        <v>18203</v>
      </c>
      <c r="B18208" s="11" t="str">
        <f>"00811792"</f>
        <v>00811792</v>
      </c>
    </row>
    <row r="18209" spans="1:2" x14ac:dyDescent="0.25">
      <c r="A18209" s="2">
        <v>18204</v>
      </c>
      <c r="B18209" s="11" t="str">
        <f>"00811864"</f>
        <v>00811864</v>
      </c>
    </row>
    <row r="18210" spans="1:2" x14ac:dyDescent="0.25">
      <c r="A18210" s="2">
        <v>18205</v>
      </c>
      <c r="B18210" s="11" t="str">
        <f>"00811933"</f>
        <v>00811933</v>
      </c>
    </row>
    <row r="18211" spans="1:2" x14ac:dyDescent="0.25">
      <c r="A18211" s="2">
        <v>18206</v>
      </c>
      <c r="B18211" s="11" t="str">
        <f>"00811939"</f>
        <v>00811939</v>
      </c>
    </row>
    <row r="18212" spans="1:2" x14ac:dyDescent="0.25">
      <c r="A18212" s="2">
        <v>18207</v>
      </c>
      <c r="B18212" s="11" t="str">
        <f>"00811945"</f>
        <v>00811945</v>
      </c>
    </row>
    <row r="18213" spans="1:2" x14ac:dyDescent="0.25">
      <c r="A18213" s="2">
        <v>18208</v>
      </c>
      <c r="B18213" s="11" t="str">
        <f>"00811955"</f>
        <v>00811955</v>
      </c>
    </row>
    <row r="18214" spans="1:2" x14ac:dyDescent="0.25">
      <c r="A18214" s="2">
        <v>18209</v>
      </c>
      <c r="B18214" s="11" t="str">
        <f>"00811989"</f>
        <v>00811989</v>
      </c>
    </row>
    <row r="18215" spans="1:2" x14ac:dyDescent="0.25">
      <c r="A18215" s="2">
        <v>18210</v>
      </c>
      <c r="B18215" s="11" t="str">
        <f>"00812002"</f>
        <v>00812002</v>
      </c>
    </row>
    <row r="18216" spans="1:2" x14ac:dyDescent="0.25">
      <c r="A18216" s="2">
        <v>18211</v>
      </c>
      <c r="B18216" s="11" t="str">
        <f>"00812015"</f>
        <v>00812015</v>
      </c>
    </row>
    <row r="18217" spans="1:2" x14ac:dyDescent="0.25">
      <c r="A18217" s="2">
        <v>18212</v>
      </c>
      <c r="B18217" s="11" t="str">
        <f>"00812016"</f>
        <v>00812016</v>
      </c>
    </row>
    <row r="18218" spans="1:2" x14ac:dyDescent="0.25">
      <c r="A18218" s="2">
        <v>18213</v>
      </c>
      <c r="B18218" s="11" t="str">
        <f>"00812025"</f>
        <v>00812025</v>
      </c>
    </row>
    <row r="18219" spans="1:2" x14ac:dyDescent="0.25">
      <c r="A18219" s="2">
        <v>18214</v>
      </c>
      <c r="B18219" s="11" t="str">
        <f>"00812050"</f>
        <v>00812050</v>
      </c>
    </row>
    <row r="18220" spans="1:2" x14ac:dyDescent="0.25">
      <c r="A18220" s="2">
        <v>18215</v>
      </c>
      <c r="B18220" s="11" t="str">
        <f>"00812102"</f>
        <v>00812102</v>
      </c>
    </row>
    <row r="18221" spans="1:2" x14ac:dyDescent="0.25">
      <c r="A18221" s="2">
        <v>18216</v>
      </c>
      <c r="B18221" s="11" t="str">
        <f>"00812106"</f>
        <v>00812106</v>
      </c>
    </row>
    <row r="18222" spans="1:2" x14ac:dyDescent="0.25">
      <c r="A18222" s="2">
        <v>18217</v>
      </c>
      <c r="B18222" s="11" t="str">
        <f>"00812133"</f>
        <v>00812133</v>
      </c>
    </row>
    <row r="18223" spans="1:2" x14ac:dyDescent="0.25">
      <c r="A18223" s="2">
        <v>18218</v>
      </c>
      <c r="B18223" s="11" t="str">
        <f>"00812138"</f>
        <v>00812138</v>
      </c>
    </row>
    <row r="18224" spans="1:2" x14ac:dyDescent="0.25">
      <c r="A18224" s="2">
        <v>18219</v>
      </c>
      <c r="B18224" s="11" t="str">
        <f>"00812178"</f>
        <v>00812178</v>
      </c>
    </row>
    <row r="18225" spans="1:2" x14ac:dyDescent="0.25">
      <c r="A18225" s="2">
        <v>18220</v>
      </c>
      <c r="B18225" s="11" t="str">
        <f>"00812256"</f>
        <v>00812256</v>
      </c>
    </row>
    <row r="18226" spans="1:2" x14ac:dyDescent="0.25">
      <c r="A18226" s="2">
        <v>18221</v>
      </c>
      <c r="B18226" s="11" t="str">
        <f>"00812266"</f>
        <v>00812266</v>
      </c>
    </row>
    <row r="18227" spans="1:2" x14ac:dyDescent="0.25">
      <c r="A18227" s="2">
        <v>18222</v>
      </c>
      <c r="B18227" s="11" t="str">
        <f>"00812269"</f>
        <v>00812269</v>
      </c>
    </row>
    <row r="18228" spans="1:2" x14ac:dyDescent="0.25">
      <c r="A18228" s="2">
        <v>18223</v>
      </c>
      <c r="B18228" s="11" t="str">
        <f>"00812306"</f>
        <v>00812306</v>
      </c>
    </row>
    <row r="18229" spans="1:2" x14ac:dyDescent="0.25">
      <c r="A18229" s="2">
        <v>18224</v>
      </c>
      <c r="B18229" s="11" t="str">
        <f>"00812317"</f>
        <v>00812317</v>
      </c>
    </row>
    <row r="18230" spans="1:2" x14ac:dyDescent="0.25">
      <c r="A18230" s="2">
        <v>18225</v>
      </c>
      <c r="B18230" s="11" t="str">
        <f>"00812320"</f>
        <v>00812320</v>
      </c>
    </row>
    <row r="18231" spans="1:2" x14ac:dyDescent="0.25">
      <c r="A18231" s="2">
        <v>18226</v>
      </c>
      <c r="B18231" s="11" t="str">
        <f>"00812350"</f>
        <v>00812350</v>
      </c>
    </row>
    <row r="18232" spans="1:2" x14ac:dyDescent="0.25">
      <c r="A18232" s="2">
        <v>18227</v>
      </c>
      <c r="B18232" s="11" t="str">
        <f>"00812376"</f>
        <v>00812376</v>
      </c>
    </row>
    <row r="18233" spans="1:2" x14ac:dyDescent="0.25">
      <c r="A18233" s="2">
        <v>18228</v>
      </c>
      <c r="B18233" s="11" t="str">
        <f>"00812400"</f>
        <v>00812400</v>
      </c>
    </row>
    <row r="18234" spans="1:2" x14ac:dyDescent="0.25">
      <c r="A18234" s="2">
        <v>18229</v>
      </c>
      <c r="B18234" s="11" t="str">
        <f>"00812417"</f>
        <v>00812417</v>
      </c>
    </row>
    <row r="18235" spans="1:2" x14ac:dyDescent="0.25">
      <c r="A18235" s="2">
        <v>18230</v>
      </c>
      <c r="B18235" s="11" t="str">
        <f>"00812423"</f>
        <v>00812423</v>
      </c>
    </row>
    <row r="18236" spans="1:2" x14ac:dyDescent="0.25">
      <c r="A18236" s="2">
        <v>18231</v>
      </c>
      <c r="B18236" s="11" t="str">
        <f>"00812457"</f>
        <v>00812457</v>
      </c>
    </row>
    <row r="18237" spans="1:2" x14ac:dyDescent="0.25">
      <c r="A18237" s="2">
        <v>18232</v>
      </c>
      <c r="B18237" s="11" t="str">
        <f>"00812501"</f>
        <v>00812501</v>
      </c>
    </row>
    <row r="18238" spans="1:2" x14ac:dyDescent="0.25">
      <c r="A18238" s="2">
        <v>18233</v>
      </c>
      <c r="B18238" s="11" t="str">
        <f>"00812518"</f>
        <v>00812518</v>
      </c>
    </row>
    <row r="18239" spans="1:2" x14ac:dyDescent="0.25">
      <c r="A18239" s="2">
        <v>18234</v>
      </c>
      <c r="B18239" s="11" t="str">
        <f>"00812560"</f>
        <v>00812560</v>
      </c>
    </row>
    <row r="18240" spans="1:2" x14ac:dyDescent="0.25">
      <c r="A18240" s="2">
        <v>18235</v>
      </c>
      <c r="B18240" s="11" t="str">
        <f>"00812564"</f>
        <v>00812564</v>
      </c>
    </row>
    <row r="18241" spans="1:2" x14ac:dyDescent="0.25">
      <c r="A18241" s="2">
        <v>18236</v>
      </c>
      <c r="B18241" s="11" t="str">
        <f>"00812567"</f>
        <v>00812567</v>
      </c>
    </row>
    <row r="18242" spans="1:2" x14ac:dyDescent="0.25">
      <c r="A18242" s="2">
        <v>18237</v>
      </c>
      <c r="B18242" s="11" t="str">
        <f>"00812568"</f>
        <v>00812568</v>
      </c>
    </row>
    <row r="18243" spans="1:2" x14ac:dyDescent="0.25">
      <c r="A18243" s="2">
        <v>18238</v>
      </c>
      <c r="B18243" s="11" t="str">
        <f>"00812581"</f>
        <v>00812581</v>
      </c>
    </row>
    <row r="18244" spans="1:2" x14ac:dyDescent="0.25">
      <c r="A18244" s="2">
        <v>18239</v>
      </c>
      <c r="B18244" s="11" t="str">
        <f>"00812583"</f>
        <v>00812583</v>
      </c>
    </row>
    <row r="18245" spans="1:2" x14ac:dyDescent="0.25">
      <c r="A18245" s="2">
        <v>18240</v>
      </c>
      <c r="B18245" s="11" t="str">
        <f>"00812599"</f>
        <v>00812599</v>
      </c>
    </row>
    <row r="18246" spans="1:2" x14ac:dyDescent="0.25">
      <c r="A18246" s="2">
        <v>18241</v>
      </c>
      <c r="B18246" s="11" t="str">
        <f>"00812669"</f>
        <v>00812669</v>
      </c>
    </row>
    <row r="18247" spans="1:2" x14ac:dyDescent="0.25">
      <c r="A18247" s="2">
        <v>18242</v>
      </c>
      <c r="B18247" s="11" t="str">
        <f>"00812708"</f>
        <v>00812708</v>
      </c>
    </row>
    <row r="18248" spans="1:2" x14ac:dyDescent="0.25">
      <c r="A18248" s="2">
        <v>18243</v>
      </c>
      <c r="B18248" s="11" t="str">
        <f>"00812719"</f>
        <v>00812719</v>
      </c>
    </row>
    <row r="18249" spans="1:2" x14ac:dyDescent="0.25">
      <c r="A18249" s="2">
        <v>18244</v>
      </c>
      <c r="B18249" s="11" t="str">
        <f>"00812747"</f>
        <v>00812747</v>
      </c>
    </row>
    <row r="18250" spans="1:2" x14ac:dyDescent="0.25">
      <c r="A18250" s="2">
        <v>18245</v>
      </c>
      <c r="B18250" s="11" t="str">
        <f>"00812790"</f>
        <v>00812790</v>
      </c>
    </row>
    <row r="18251" spans="1:2" x14ac:dyDescent="0.25">
      <c r="A18251" s="2">
        <v>18246</v>
      </c>
      <c r="B18251" s="11" t="str">
        <f>"00812794"</f>
        <v>00812794</v>
      </c>
    </row>
    <row r="18252" spans="1:2" x14ac:dyDescent="0.25">
      <c r="A18252" s="2">
        <v>18247</v>
      </c>
      <c r="B18252" s="11" t="str">
        <f>"00812802"</f>
        <v>00812802</v>
      </c>
    </row>
    <row r="18253" spans="1:2" x14ac:dyDescent="0.25">
      <c r="A18253" s="2">
        <v>18248</v>
      </c>
      <c r="B18253" s="11" t="str">
        <f>"00812813"</f>
        <v>00812813</v>
      </c>
    </row>
    <row r="18254" spans="1:2" x14ac:dyDescent="0.25">
      <c r="A18254" s="2">
        <v>18249</v>
      </c>
      <c r="B18254" s="11" t="str">
        <f>"00812835"</f>
        <v>00812835</v>
      </c>
    </row>
    <row r="18255" spans="1:2" x14ac:dyDescent="0.25">
      <c r="A18255" s="2">
        <v>18250</v>
      </c>
      <c r="B18255" s="11" t="str">
        <f>"00812846"</f>
        <v>00812846</v>
      </c>
    </row>
    <row r="18256" spans="1:2" x14ac:dyDescent="0.25">
      <c r="A18256" s="2">
        <v>18251</v>
      </c>
      <c r="B18256" s="11" t="str">
        <f>"00812863"</f>
        <v>00812863</v>
      </c>
    </row>
    <row r="18257" spans="1:2" x14ac:dyDescent="0.25">
      <c r="A18257" s="2">
        <v>18252</v>
      </c>
      <c r="B18257" s="11" t="str">
        <f>"00812881"</f>
        <v>00812881</v>
      </c>
    </row>
    <row r="18258" spans="1:2" x14ac:dyDescent="0.25">
      <c r="A18258" s="2">
        <v>18253</v>
      </c>
      <c r="B18258" s="11" t="str">
        <f>"00812890"</f>
        <v>00812890</v>
      </c>
    </row>
    <row r="18259" spans="1:2" x14ac:dyDescent="0.25">
      <c r="A18259" s="2">
        <v>18254</v>
      </c>
      <c r="B18259" s="11" t="str">
        <f>"00812901"</f>
        <v>00812901</v>
      </c>
    </row>
    <row r="18260" spans="1:2" x14ac:dyDescent="0.25">
      <c r="A18260" s="2">
        <v>18255</v>
      </c>
      <c r="B18260" s="11" t="str">
        <f>"00812930"</f>
        <v>00812930</v>
      </c>
    </row>
    <row r="18261" spans="1:2" x14ac:dyDescent="0.25">
      <c r="A18261" s="2">
        <v>18256</v>
      </c>
      <c r="B18261" s="11" t="str">
        <f>"00812940"</f>
        <v>00812940</v>
      </c>
    </row>
    <row r="18262" spans="1:2" x14ac:dyDescent="0.25">
      <c r="A18262" s="2">
        <v>18257</v>
      </c>
      <c r="B18262" s="11" t="str">
        <f>"00812961"</f>
        <v>00812961</v>
      </c>
    </row>
    <row r="18263" spans="1:2" x14ac:dyDescent="0.25">
      <c r="A18263" s="2">
        <v>18258</v>
      </c>
      <c r="B18263" s="11" t="str">
        <f>"00812974"</f>
        <v>00812974</v>
      </c>
    </row>
    <row r="18264" spans="1:2" x14ac:dyDescent="0.25">
      <c r="A18264" s="2">
        <v>18259</v>
      </c>
      <c r="B18264" s="11" t="str">
        <f>"00813014"</f>
        <v>00813014</v>
      </c>
    </row>
    <row r="18265" spans="1:2" x14ac:dyDescent="0.25">
      <c r="A18265" s="2">
        <v>18260</v>
      </c>
      <c r="B18265" s="11" t="str">
        <f>"00813024"</f>
        <v>00813024</v>
      </c>
    </row>
    <row r="18266" spans="1:2" x14ac:dyDescent="0.25">
      <c r="A18266" s="2">
        <v>18261</v>
      </c>
      <c r="B18266" s="11" t="str">
        <f>"00813040"</f>
        <v>00813040</v>
      </c>
    </row>
    <row r="18267" spans="1:2" x14ac:dyDescent="0.25">
      <c r="A18267" s="2">
        <v>18262</v>
      </c>
      <c r="B18267" s="11" t="str">
        <f>"00813062"</f>
        <v>00813062</v>
      </c>
    </row>
    <row r="18268" spans="1:2" x14ac:dyDescent="0.25">
      <c r="A18268" s="2">
        <v>18263</v>
      </c>
      <c r="B18268" s="11" t="str">
        <f>"00813076"</f>
        <v>00813076</v>
      </c>
    </row>
    <row r="18269" spans="1:2" x14ac:dyDescent="0.25">
      <c r="A18269" s="2">
        <v>18264</v>
      </c>
      <c r="B18269" s="11" t="str">
        <f>"00813109"</f>
        <v>00813109</v>
      </c>
    </row>
    <row r="18270" spans="1:2" x14ac:dyDescent="0.25">
      <c r="A18270" s="2">
        <v>18265</v>
      </c>
      <c r="B18270" s="11" t="str">
        <f>"00813117"</f>
        <v>00813117</v>
      </c>
    </row>
    <row r="18271" spans="1:2" x14ac:dyDescent="0.25">
      <c r="A18271" s="2">
        <v>18266</v>
      </c>
      <c r="B18271" s="11" t="str">
        <f>"00813128"</f>
        <v>00813128</v>
      </c>
    </row>
    <row r="18272" spans="1:2" x14ac:dyDescent="0.25">
      <c r="A18272" s="2">
        <v>18267</v>
      </c>
      <c r="B18272" s="11" t="str">
        <f>"00813130"</f>
        <v>00813130</v>
      </c>
    </row>
    <row r="18273" spans="1:2" x14ac:dyDescent="0.25">
      <c r="A18273" s="2">
        <v>18268</v>
      </c>
      <c r="B18273" s="11" t="str">
        <f>"00813213"</f>
        <v>00813213</v>
      </c>
    </row>
    <row r="18274" spans="1:2" x14ac:dyDescent="0.25">
      <c r="A18274" s="2">
        <v>18269</v>
      </c>
      <c r="B18274" s="11" t="str">
        <f>"00813216"</f>
        <v>00813216</v>
      </c>
    </row>
    <row r="18275" spans="1:2" x14ac:dyDescent="0.25">
      <c r="A18275" s="2">
        <v>18270</v>
      </c>
      <c r="B18275" s="11" t="str">
        <f>"00813221"</f>
        <v>00813221</v>
      </c>
    </row>
    <row r="18276" spans="1:2" x14ac:dyDescent="0.25">
      <c r="A18276" s="2">
        <v>18271</v>
      </c>
      <c r="B18276" s="11" t="str">
        <f>"00813267"</f>
        <v>00813267</v>
      </c>
    </row>
    <row r="18277" spans="1:2" x14ac:dyDescent="0.25">
      <c r="A18277" s="2">
        <v>18272</v>
      </c>
      <c r="B18277" s="11" t="str">
        <f>"00813287"</f>
        <v>00813287</v>
      </c>
    </row>
    <row r="18278" spans="1:2" x14ac:dyDescent="0.25">
      <c r="A18278" s="2">
        <v>18273</v>
      </c>
      <c r="B18278" s="11" t="str">
        <f>"00813317"</f>
        <v>00813317</v>
      </c>
    </row>
    <row r="18279" spans="1:2" x14ac:dyDescent="0.25">
      <c r="A18279" s="2">
        <v>18274</v>
      </c>
      <c r="B18279" s="11" t="str">
        <f>"00813349"</f>
        <v>00813349</v>
      </c>
    </row>
    <row r="18280" spans="1:2" x14ac:dyDescent="0.25">
      <c r="A18280" s="2">
        <v>18275</v>
      </c>
      <c r="B18280" s="11" t="str">
        <f>"00813359"</f>
        <v>00813359</v>
      </c>
    </row>
    <row r="18281" spans="1:2" x14ac:dyDescent="0.25">
      <c r="A18281" s="2">
        <v>18276</v>
      </c>
      <c r="B18281" s="11" t="str">
        <f>"00813380"</f>
        <v>00813380</v>
      </c>
    </row>
    <row r="18282" spans="1:2" x14ac:dyDescent="0.25">
      <c r="A18282" s="2">
        <v>18277</v>
      </c>
      <c r="B18282" s="11" t="str">
        <f>"00813399"</f>
        <v>00813399</v>
      </c>
    </row>
    <row r="18283" spans="1:2" x14ac:dyDescent="0.25">
      <c r="A18283" s="2">
        <v>18278</v>
      </c>
      <c r="B18283" s="11" t="str">
        <f>"00813404"</f>
        <v>00813404</v>
      </c>
    </row>
    <row r="18284" spans="1:2" x14ac:dyDescent="0.25">
      <c r="A18284" s="2">
        <v>18279</v>
      </c>
      <c r="B18284" s="11" t="str">
        <f>"00813409"</f>
        <v>00813409</v>
      </c>
    </row>
    <row r="18285" spans="1:2" x14ac:dyDescent="0.25">
      <c r="A18285" s="2">
        <v>18280</v>
      </c>
      <c r="B18285" s="11" t="str">
        <f>"00813424"</f>
        <v>00813424</v>
      </c>
    </row>
    <row r="18286" spans="1:2" x14ac:dyDescent="0.25">
      <c r="A18286" s="2">
        <v>18281</v>
      </c>
      <c r="B18286" s="11" t="str">
        <f>"00813443"</f>
        <v>00813443</v>
      </c>
    </row>
    <row r="18287" spans="1:2" x14ac:dyDescent="0.25">
      <c r="A18287" s="2">
        <v>18282</v>
      </c>
      <c r="B18287" s="11" t="str">
        <f>"00813477"</f>
        <v>00813477</v>
      </c>
    </row>
    <row r="18288" spans="1:2" x14ac:dyDescent="0.25">
      <c r="A18288" s="2">
        <v>18283</v>
      </c>
      <c r="B18288" s="11" t="str">
        <f>"00813613"</f>
        <v>00813613</v>
      </c>
    </row>
    <row r="18289" spans="1:2" x14ac:dyDescent="0.25">
      <c r="A18289" s="2">
        <v>18284</v>
      </c>
      <c r="B18289" s="11" t="str">
        <f>"00813671"</f>
        <v>00813671</v>
      </c>
    </row>
    <row r="18290" spans="1:2" x14ac:dyDescent="0.25">
      <c r="A18290" s="2">
        <v>18285</v>
      </c>
      <c r="B18290" s="11" t="str">
        <f>"00813690"</f>
        <v>00813690</v>
      </c>
    </row>
    <row r="18291" spans="1:2" x14ac:dyDescent="0.25">
      <c r="A18291" s="2">
        <v>18286</v>
      </c>
      <c r="B18291" s="11" t="str">
        <f>"00813738"</f>
        <v>00813738</v>
      </c>
    </row>
    <row r="18292" spans="1:2" x14ac:dyDescent="0.25">
      <c r="A18292" s="2">
        <v>18287</v>
      </c>
      <c r="B18292" s="11" t="str">
        <f>"00813747"</f>
        <v>00813747</v>
      </c>
    </row>
    <row r="18293" spans="1:2" x14ac:dyDescent="0.25">
      <c r="A18293" s="2">
        <v>18288</v>
      </c>
      <c r="B18293" s="11" t="str">
        <f>"00813761"</f>
        <v>00813761</v>
      </c>
    </row>
    <row r="18294" spans="1:2" x14ac:dyDescent="0.25">
      <c r="A18294" s="2">
        <v>18289</v>
      </c>
      <c r="B18294" s="11" t="str">
        <f>"00813779"</f>
        <v>00813779</v>
      </c>
    </row>
    <row r="18295" spans="1:2" x14ac:dyDescent="0.25">
      <c r="A18295" s="2">
        <v>18290</v>
      </c>
      <c r="B18295" s="11" t="str">
        <f>"00813840"</f>
        <v>00813840</v>
      </c>
    </row>
    <row r="18296" spans="1:2" x14ac:dyDescent="0.25">
      <c r="A18296" s="2">
        <v>18291</v>
      </c>
      <c r="B18296" s="11" t="str">
        <f>"00813910"</f>
        <v>00813910</v>
      </c>
    </row>
    <row r="18297" spans="1:2" x14ac:dyDescent="0.25">
      <c r="A18297" s="2">
        <v>18292</v>
      </c>
      <c r="B18297" s="11" t="str">
        <f>"00813923"</f>
        <v>00813923</v>
      </c>
    </row>
    <row r="18298" spans="1:2" x14ac:dyDescent="0.25">
      <c r="A18298" s="2">
        <v>18293</v>
      </c>
      <c r="B18298" s="11" t="str">
        <f>"00813935"</f>
        <v>00813935</v>
      </c>
    </row>
    <row r="18299" spans="1:2" x14ac:dyDescent="0.25">
      <c r="A18299" s="2">
        <v>18294</v>
      </c>
      <c r="B18299" s="11" t="str">
        <f>"00814008"</f>
        <v>00814008</v>
      </c>
    </row>
    <row r="18300" spans="1:2" x14ac:dyDescent="0.25">
      <c r="A18300" s="2">
        <v>18295</v>
      </c>
      <c r="B18300" s="11" t="str">
        <f>"00814019"</f>
        <v>00814019</v>
      </c>
    </row>
    <row r="18301" spans="1:2" x14ac:dyDescent="0.25">
      <c r="A18301" s="2">
        <v>18296</v>
      </c>
      <c r="B18301" s="11" t="str">
        <f>"00814111"</f>
        <v>00814111</v>
      </c>
    </row>
    <row r="18302" spans="1:2" x14ac:dyDescent="0.25">
      <c r="A18302" s="2">
        <v>18297</v>
      </c>
      <c r="B18302" s="11" t="str">
        <f>"00814130"</f>
        <v>00814130</v>
      </c>
    </row>
    <row r="18303" spans="1:2" x14ac:dyDescent="0.25">
      <c r="A18303" s="2">
        <v>18298</v>
      </c>
      <c r="B18303" s="11" t="str">
        <f>"00814150"</f>
        <v>00814150</v>
      </c>
    </row>
    <row r="18304" spans="1:2" x14ac:dyDescent="0.25">
      <c r="A18304" s="2">
        <v>18299</v>
      </c>
      <c r="B18304" s="11" t="str">
        <f>"00814153"</f>
        <v>00814153</v>
      </c>
    </row>
    <row r="18305" spans="1:2" x14ac:dyDescent="0.25">
      <c r="A18305" s="2">
        <v>18300</v>
      </c>
      <c r="B18305" s="11" t="str">
        <f>"00814164"</f>
        <v>00814164</v>
      </c>
    </row>
    <row r="18306" spans="1:2" x14ac:dyDescent="0.25">
      <c r="A18306" s="2">
        <v>18301</v>
      </c>
      <c r="B18306" s="11" t="str">
        <f>"00814201"</f>
        <v>00814201</v>
      </c>
    </row>
    <row r="18307" spans="1:2" x14ac:dyDescent="0.25">
      <c r="A18307" s="2">
        <v>18302</v>
      </c>
      <c r="B18307" s="11" t="str">
        <f>"00814279"</f>
        <v>00814279</v>
      </c>
    </row>
    <row r="18308" spans="1:2" x14ac:dyDescent="0.25">
      <c r="A18308" s="2">
        <v>18303</v>
      </c>
      <c r="B18308" s="11" t="str">
        <f>"00814290"</f>
        <v>00814290</v>
      </c>
    </row>
    <row r="18309" spans="1:2" x14ac:dyDescent="0.25">
      <c r="A18309" s="2">
        <v>18304</v>
      </c>
      <c r="B18309" s="11" t="str">
        <f>"00814295"</f>
        <v>00814295</v>
      </c>
    </row>
    <row r="18310" spans="1:2" x14ac:dyDescent="0.25">
      <c r="A18310" s="2">
        <v>18305</v>
      </c>
      <c r="B18310" s="11" t="str">
        <f>"00814308"</f>
        <v>00814308</v>
      </c>
    </row>
    <row r="18311" spans="1:2" x14ac:dyDescent="0.25">
      <c r="A18311" s="2">
        <v>18306</v>
      </c>
      <c r="B18311" s="11" t="str">
        <f>"00814310"</f>
        <v>00814310</v>
      </c>
    </row>
    <row r="18312" spans="1:2" x14ac:dyDescent="0.25">
      <c r="A18312" s="2">
        <v>18307</v>
      </c>
      <c r="B18312" s="11" t="str">
        <f>"00814335"</f>
        <v>00814335</v>
      </c>
    </row>
    <row r="18313" spans="1:2" x14ac:dyDescent="0.25">
      <c r="A18313" s="2">
        <v>18308</v>
      </c>
      <c r="B18313" s="11" t="str">
        <f>"00814378"</f>
        <v>00814378</v>
      </c>
    </row>
    <row r="18314" spans="1:2" x14ac:dyDescent="0.25">
      <c r="A18314" s="2">
        <v>18309</v>
      </c>
      <c r="B18314" s="11" t="str">
        <f>"00814394"</f>
        <v>00814394</v>
      </c>
    </row>
    <row r="18315" spans="1:2" x14ac:dyDescent="0.25">
      <c r="A18315" s="2">
        <v>18310</v>
      </c>
      <c r="B18315" s="11" t="str">
        <f>"00814444"</f>
        <v>00814444</v>
      </c>
    </row>
    <row r="18316" spans="1:2" x14ac:dyDescent="0.25">
      <c r="A18316" s="2">
        <v>18311</v>
      </c>
      <c r="B18316" s="11" t="str">
        <f>"00814498"</f>
        <v>00814498</v>
      </c>
    </row>
    <row r="18317" spans="1:2" x14ac:dyDescent="0.25">
      <c r="A18317" s="2">
        <v>18312</v>
      </c>
      <c r="B18317" s="11" t="str">
        <f>"00814499"</f>
        <v>00814499</v>
      </c>
    </row>
    <row r="18318" spans="1:2" x14ac:dyDescent="0.25">
      <c r="A18318" s="2">
        <v>18313</v>
      </c>
      <c r="B18318" s="11" t="str">
        <f>"00814521"</f>
        <v>00814521</v>
      </c>
    </row>
    <row r="18319" spans="1:2" x14ac:dyDescent="0.25">
      <c r="A18319" s="2">
        <v>18314</v>
      </c>
      <c r="B18319" s="11" t="str">
        <f>"00814547"</f>
        <v>00814547</v>
      </c>
    </row>
    <row r="18320" spans="1:2" x14ac:dyDescent="0.25">
      <c r="A18320" s="2">
        <v>18315</v>
      </c>
      <c r="B18320" s="11" t="str">
        <f>"00814590"</f>
        <v>00814590</v>
      </c>
    </row>
    <row r="18321" spans="1:2" x14ac:dyDescent="0.25">
      <c r="A18321" s="2">
        <v>18316</v>
      </c>
      <c r="B18321" s="11" t="str">
        <f>"00814624"</f>
        <v>00814624</v>
      </c>
    </row>
    <row r="18322" spans="1:2" x14ac:dyDescent="0.25">
      <c r="A18322" s="2">
        <v>18317</v>
      </c>
      <c r="B18322" s="11" t="str">
        <f>"00814630"</f>
        <v>00814630</v>
      </c>
    </row>
    <row r="18323" spans="1:2" x14ac:dyDescent="0.25">
      <c r="A18323" s="2">
        <v>18318</v>
      </c>
      <c r="B18323" s="11" t="str">
        <f>"00814646"</f>
        <v>00814646</v>
      </c>
    </row>
    <row r="18324" spans="1:2" x14ac:dyDescent="0.25">
      <c r="A18324" s="2">
        <v>18319</v>
      </c>
      <c r="B18324" s="11" t="str">
        <f>"00814672"</f>
        <v>00814672</v>
      </c>
    </row>
    <row r="18325" spans="1:2" x14ac:dyDescent="0.25">
      <c r="A18325" s="2">
        <v>18320</v>
      </c>
      <c r="B18325" s="11" t="str">
        <f>"00814702"</f>
        <v>00814702</v>
      </c>
    </row>
    <row r="18326" spans="1:2" x14ac:dyDescent="0.25">
      <c r="A18326" s="2">
        <v>18321</v>
      </c>
      <c r="B18326" s="11" t="str">
        <f>"00814705"</f>
        <v>00814705</v>
      </c>
    </row>
    <row r="18327" spans="1:2" x14ac:dyDescent="0.25">
      <c r="A18327" s="2">
        <v>18322</v>
      </c>
      <c r="B18327" s="11" t="str">
        <f>"00814732"</f>
        <v>00814732</v>
      </c>
    </row>
    <row r="18328" spans="1:2" x14ac:dyDescent="0.25">
      <c r="A18328" s="2">
        <v>18323</v>
      </c>
      <c r="B18328" s="11" t="str">
        <f>"00814767"</f>
        <v>00814767</v>
      </c>
    </row>
    <row r="18329" spans="1:2" x14ac:dyDescent="0.25">
      <c r="A18329" s="2">
        <v>18324</v>
      </c>
      <c r="B18329" s="11" t="str">
        <f>"00814851"</f>
        <v>00814851</v>
      </c>
    </row>
    <row r="18330" spans="1:2" x14ac:dyDescent="0.25">
      <c r="A18330" s="2">
        <v>18325</v>
      </c>
      <c r="B18330" s="11" t="str">
        <f>"00814911"</f>
        <v>00814911</v>
      </c>
    </row>
    <row r="18331" spans="1:2" x14ac:dyDescent="0.25">
      <c r="A18331" s="2">
        <v>18326</v>
      </c>
      <c r="B18331" s="11" t="str">
        <f>"00814932"</f>
        <v>00814932</v>
      </c>
    </row>
    <row r="18332" spans="1:2" x14ac:dyDescent="0.25">
      <c r="A18332" s="2">
        <v>18327</v>
      </c>
      <c r="B18332" s="11" t="str">
        <f>"00814980"</f>
        <v>00814980</v>
      </c>
    </row>
    <row r="18333" spans="1:2" x14ac:dyDescent="0.25">
      <c r="A18333" s="2">
        <v>18328</v>
      </c>
      <c r="B18333" s="11" t="str">
        <f>"00814998"</f>
        <v>00814998</v>
      </c>
    </row>
    <row r="18334" spans="1:2" x14ac:dyDescent="0.25">
      <c r="A18334" s="2">
        <v>18329</v>
      </c>
      <c r="B18334" s="11" t="str">
        <f>"00815048"</f>
        <v>00815048</v>
      </c>
    </row>
    <row r="18335" spans="1:2" x14ac:dyDescent="0.25">
      <c r="A18335" s="2">
        <v>18330</v>
      </c>
      <c r="B18335" s="11" t="str">
        <f>"00815063"</f>
        <v>00815063</v>
      </c>
    </row>
    <row r="18336" spans="1:2" x14ac:dyDescent="0.25">
      <c r="A18336" s="2">
        <v>18331</v>
      </c>
      <c r="B18336" s="11" t="str">
        <f>"00815071"</f>
        <v>00815071</v>
      </c>
    </row>
    <row r="18337" spans="1:2" x14ac:dyDescent="0.25">
      <c r="A18337" s="2">
        <v>18332</v>
      </c>
      <c r="B18337" s="11" t="str">
        <f>"00815153"</f>
        <v>00815153</v>
      </c>
    </row>
    <row r="18338" spans="1:2" x14ac:dyDescent="0.25">
      <c r="A18338" s="2">
        <v>18333</v>
      </c>
      <c r="B18338" s="11" t="str">
        <f>"00815175"</f>
        <v>00815175</v>
      </c>
    </row>
    <row r="18339" spans="1:2" x14ac:dyDescent="0.25">
      <c r="A18339" s="2">
        <v>18334</v>
      </c>
      <c r="B18339" s="11" t="str">
        <f>"00815216"</f>
        <v>00815216</v>
      </c>
    </row>
    <row r="18340" spans="1:2" x14ac:dyDescent="0.25">
      <c r="A18340" s="2">
        <v>18335</v>
      </c>
      <c r="B18340" s="11" t="str">
        <f>"00815348"</f>
        <v>00815348</v>
      </c>
    </row>
    <row r="18341" spans="1:2" x14ac:dyDescent="0.25">
      <c r="A18341" s="2">
        <v>18336</v>
      </c>
      <c r="B18341" s="11" t="str">
        <f>"00815371"</f>
        <v>00815371</v>
      </c>
    </row>
    <row r="18342" spans="1:2" x14ac:dyDescent="0.25">
      <c r="A18342" s="2">
        <v>18337</v>
      </c>
      <c r="B18342" s="11" t="str">
        <f>"00815409"</f>
        <v>00815409</v>
      </c>
    </row>
    <row r="18343" spans="1:2" x14ac:dyDescent="0.25">
      <c r="A18343" s="2">
        <v>18338</v>
      </c>
      <c r="B18343" s="11" t="str">
        <f>"00815419"</f>
        <v>00815419</v>
      </c>
    </row>
    <row r="18344" spans="1:2" x14ac:dyDescent="0.25">
      <c r="A18344" s="2">
        <v>18339</v>
      </c>
      <c r="B18344" s="11" t="str">
        <f>"00815488"</f>
        <v>00815488</v>
      </c>
    </row>
    <row r="18345" spans="1:2" x14ac:dyDescent="0.25">
      <c r="A18345" s="2">
        <v>18340</v>
      </c>
      <c r="B18345" s="11" t="str">
        <f>"00815503"</f>
        <v>00815503</v>
      </c>
    </row>
    <row r="18346" spans="1:2" x14ac:dyDescent="0.25">
      <c r="A18346" s="2">
        <v>18341</v>
      </c>
      <c r="B18346" s="11" t="str">
        <f>"00815528"</f>
        <v>00815528</v>
      </c>
    </row>
    <row r="18347" spans="1:2" x14ac:dyDescent="0.25">
      <c r="A18347" s="2">
        <v>18342</v>
      </c>
      <c r="B18347" s="11" t="str">
        <f>"00815621"</f>
        <v>00815621</v>
      </c>
    </row>
    <row r="18348" spans="1:2" x14ac:dyDescent="0.25">
      <c r="A18348" s="2">
        <v>18343</v>
      </c>
      <c r="B18348" s="11" t="str">
        <f>"00815628"</f>
        <v>00815628</v>
      </c>
    </row>
    <row r="18349" spans="1:2" x14ac:dyDescent="0.25">
      <c r="A18349" s="2">
        <v>18344</v>
      </c>
      <c r="B18349" s="11" t="str">
        <f>"00815641"</f>
        <v>00815641</v>
      </c>
    </row>
    <row r="18350" spans="1:2" x14ac:dyDescent="0.25">
      <c r="A18350" s="2">
        <v>18345</v>
      </c>
      <c r="B18350" s="11" t="str">
        <f>"00815699"</f>
        <v>00815699</v>
      </c>
    </row>
    <row r="18351" spans="1:2" x14ac:dyDescent="0.25">
      <c r="A18351" s="2">
        <v>18346</v>
      </c>
      <c r="B18351" s="11" t="str">
        <f>"00815723"</f>
        <v>00815723</v>
      </c>
    </row>
    <row r="18352" spans="1:2" x14ac:dyDescent="0.25">
      <c r="A18352" s="2">
        <v>18347</v>
      </c>
      <c r="B18352" s="11" t="str">
        <f>"00815727"</f>
        <v>00815727</v>
      </c>
    </row>
    <row r="18353" spans="1:2" x14ac:dyDescent="0.25">
      <c r="A18353" s="2">
        <v>18348</v>
      </c>
      <c r="B18353" s="11" t="str">
        <f>"00815729"</f>
        <v>00815729</v>
      </c>
    </row>
    <row r="18354" spans="1:2" x14ac:dyDescent="0.25">
      <c r="A18354" s="2">
        <v>18349</v>
      </c>
      <c r="B18354" s="11" t="str">
        <f>"00815749"</f>
        <v>00815749</v>
      </c>
    </row>
    <row r="18355" spans="1:2" x14ac:dyDescent="0.25">
      <c r="A18355" s="2">
        <v>18350</v>
      </c>
      <c r="B18355" s="11" t="str">
        <f>"00815838"</f>
        <v>00815838</v>
      </c>
    </row>
    <row r="18356" spans="1:2" x14ac:dyDescent="0.25">
      <c r="A18356" s="2">
        <v>18351</v>
      </c>
      <c r="B18356" s="11" t="str">
        <f>"00815960"</f>
        <v>00815960</v>
      </c>
    </row>
    <row r="18357" spans="1:2" x14ac:dyDescent="0.25">
      <c r="A18357" s="2">
        <v>18352</v>
      </c>
      <c r="B18357" s="11" t="str">
        <f>"00816006"</f>
        <v>00816006</v>
      </c>
    </row>
    <row r="18358" spans="1:2" x14ac:dyDescent="0.25">
      <c r="A18358" s="2">
        <v>18353</v>
      </c>
      <c r="B18358" s="11" t="str">
        <f>"00816045"</f>
        <v>00816045</v>
      </c>
    </row>
    <row r="18359" spans="1:2" x14ac:dyDescent="0.25">
      <c r="A18359" s="2">
        <v>18354</v>
      </c>
      <c r="B18359" s="11" t="str">
        <f>"00816079"</f>
        <v>00816079</v>
      </c>
    </row>
    <row r="18360" spans="1:2" x14ac:dyDescent="0.25">
      <c r="A18360" s="2">
        <v>18355</v>
      </c>
      <c r="B18360" s="11" t="str">
        <f>"00816092"</f>
        <v>00816092</v>
      </c>
    </row>
    <row r="18361" spans="1:2" x14ac:dyDescent="0.25">
      <c r="A18361" s="2">
        <v>18356</v>
      </c>
      <c r="B18361" s="11" t="str">
        <f>"00816122"</f>
        <v>00816122</v>
      </c>
    </row>
    <row r="18362" spans="1:2" x14ac:dyDescent="0.25">
      <c r="A18362" s="2">
        <v>18357</v>
      </c>
      <c r="B18362" s="11" t="str">
        <f>"00816239"</f>
        <v>00816239</v>
      </c>
    </row>
    <row r="18363" spans="1:2" x14ac:dyDescent="0.25">
      <c r="A18363" s="2">
        <v>18358</v>
      </c>
      <c r="B18363" s="11" t="str">
        <f>"00816270"</f>
        <v>00816270</v>
      </c>
    </row>
    <row r="18364" spans="1:2" x14ac:dyDescent="0.25">
      <c r="A18364" s="2">
        <v>18359</v>
      </c>
      <c r="B18364" s="11" t="str">
        <f>"00816279"</f>
        <v>00816279</v>
      </c>
    </row>
    <row r="18365" spans="1:2" x14ac:dyDescent="0.25">
      <c r="A18365" s="2">
        <v>18360</v>
      </c>
      <c r="B18365" s="11" t="str">
        <f>"00816294"</f>
        <v>00816294</v>
      </c>
    </row>
    <row r="18366" spans="1:2" x14ac:dyDescent="0.25">
      <c r="A18366" s="2">
        <v>18361</v>
      </c>
      <c r="B18366" s="11" t="str">
        <f>"00816305"</f>
        <v>00816305</v>
      </c>
    </row>
    <row r="18367" spans="1:2" x14ac:dyDescent="0.25">
      <c r="A18367" s="2">
        <v>18362</v>
      </c>
      <c r="B18367" s="11" t="str">
        <f>"00816335"</f>
        <v>00816335</v>
      </c>
    </row>
    <row r="18368" spans="1:2" x14ac:dyDescent="0.25">
      <c r="A18368" s="2">
        <v>18363</v>
      </c>
      <c r="B18368" s="11" t="str">
        <f>"00816353"</f>
        <v>00816353</v>
      </c>
    </row>
    <row r="18369" spans="1:2" x14ac:dyDescent="0.25">
      <c r="A18369" s="2">
        <v>18364</v>
      </c>
      <c r="B18369" s="11" t="str">
        <f>"00816401"</f>
        <v>00816401</v>
      </c>
    </row>
    <row r="18370" spans="1:2" x14ac:dyDescent="0.25">
      <c r="A18370" s="2">
        <v>18365</v>
      </c>
      <c r="B18370" s="11" t="str">
        <f>"00816473"</f>
        <v>00816473</v>
      </c>
    </row>
    <row r="18371" spans="1:2" x14ac:dyDescent="0.25">
      <c r="A18371" s="2">
        <v>18366</v>
      </c>
      <c r="B18371" s="11" t="str">
        <f>"00816584"</f>
        <v>00816584</v>
      </c>
    </row>
    <row r="18372" spans="1:2" x14ac:dyDescent="0.25">
      <c r="A18372" s="2">
        <v>18367</v>
      </c>
      <c r="B18372" s="11" t="str">
        <f>"00816591"</f>
        <v>00816591</v>
      </c>
    </row>
    <row r="18373" spans="1:2" x14ac:dyDescent="0.25">
      <c r="A18373" s="2">
        <v>18368</v>
      </c>
      <c r="B18373" s="11" t="str">
        <f>"00816595"</f>
        <v>00816595</v>
      </c>
    </row>
    <row r="18374" spans="1:2" x14ac:dyDescent="0.25">
      <c r="A18374" s="2">
        <v>18369</v>
      </c>
      <c r="B18374" s="11" t="str">
        <f>"00816621"</f>
        <v>00816621</v>
      </c>
    </row>
    <row r="18375" spans="1:2" x14ac:dyDescent="0.25">
      <c r="A18375" s="2">
        <v>18370</v>
      </c>
      <c r="B18375" s="11" t="str">
        <f>"00816624"</f>
        <v>00816624</v>
      </c>
    </row>
    <row r="18376" spans="1:2" x14ac:dyDescent="0.25">
      <c r="A18376" s="2">
        <v>18371</v>
      </c>
      <c r="B18376" s="11" t="str">
        <f>"00816652"</f>
        <v>00816652</v>
      </c>
    </row>
    <row r="18377" spans="1:2" x14ac:dyDescent="0.25">
      <c r="A18377" s="2">
        <v>18372</v>
      </c>
      <c r="B18377" s="11" t="str">
        <f>"00816661"</f>
        <v>00816661</v>
      </c>
    </row>
    <row r="18378" spans="1:2" x14ac:dyDescent="0.25">
      <c r="A18378" s="2">
        <v>18373</v>
      </c>
      <c r="B18378" s="11" t="str">
        <f>"00816691"</f>
        <v>00816691</v>
      </c>
    </row>
    <row r="18379" spans="1:2" x14ac:dyDescent="0.25">
      <c r="A18379" s="2">
        <v>18374</v>
      </c>
      <c r="B18379" s="11" t="str">
        <f>"00816697"</f>
        <v>00816697</v>
      </c>
    </row>
    <row r="18380" spans="1:2" x14ac:dyDescent="0.25">
      <c r="A18380" s="2">
        <v>18375</v>
      </c>
      <c r="B18380" s="11" t="str">
        <f>"00816723"</f>
        <v>00816723</v>
      </c>
    </row>
    <row r="18381" spans="1:2" x14ac:dyDescent="0.25">
      <c r="A18381" s="2">
        <v>18376</v>
      </c>
      <c r="B18381" s="11" t="str">
        <f>"00816767"</f>
        <v>00816767</v>
      </c>
    </row>
    <row r="18382" spans="1:2" x14ac:dyDescent="0.25">
      <c r="A18382" s="2">
        <v>18377</v>
      </c>
      <c r="B18382" s="11" t="str">
        <f>"00816769"</f>
        <v>00816769</v>
      </c>
    </row>
    <row r="18383" spans="1:2" x14ac:dyDescent="0.25">
      <c r="A18383" s="2">
        <v>18378</v>
      </c>
      <c r="B18383" s="11" t="str">
        <f>"00816772"</f>
        <v>00816772</v>
      </c>
    </row>
    <row r="18384" spans="1:2" x14ac:dyDescent="0.25">
      <c r="A18384" s="2">
        <v>18379</v>
      </c>
      <c r="B18384" s="11" t="str">
        <f>"00816801"</f>
        <v>00816801</v>
      </c>
    </row>
    <row r="18385" spans="1:2" x14ac:dyDescent="0.25">
      <c r="A18385" s="2">
        <v>18380</v>
      </c>
      <c r="B18385" s="11" t="str">
        <f>"00816831"</f>
        <v>00816831</v>
      </c>
    </row>
    <row r="18386" spans="1:2" x14ac:dyDescent="0.25">
      <c r="A18386" s="2">
        <v>18381</v>
      </c>
      <c r="B18386" s="11" t="str">
        <f>"00816834"</f>
        <v>00816834</v>
      </c>
    </row>
    <row r="18387" spans="1:2" x14ac:dyDescent="0.25">
      <c r="A18387" s="2">
        <v>18382</v>
      </c>
      <c r="B18387" s="11" t="str">
        <f>"00816854"</f>
        <v>00816854</v>
      </c>
    </row>
    <row r="18388" spans="1:2" x14ac:dyDescent="0.25">
      <c r="A18388" s="2">
        <v>18383</v>
      </c>
      <c r="B18388" s="11" t="str">
        <f>"00816966"</f>
        <v>00816966</v>
      </c>
    </row>
    <row r="18389" spans="1:2" x14ac:dyDescent="0.25">
      <c r="A18389" s="2">
        <v>18384</v>
      </c>
      <c r="B18389" s="11" t="str">
        <f>"00816985"</f>
        <v>00816985</v>
      </c>
    </row>
    <row r="18390" spans="1:2" x14ac:dyDescent="0.25">
      <c r="A18390" s="2">
        <v>18385</v>
      </c>
      <c r="B18390" s="11" t="str">
        <f>"00817006"</f>
        <v>00817006</v>
      </c>
    </row>
    <row r="18391" spans="1:2" x14ac:dyDescent="0.25">
      <c r="A18391" s="2">
        <v>18386</v>
      </c>
      <c r="B18391" s="11" t="str">
        <f>"00817007"</f>
        <v>00817007</v>
      </c>
    </row>
    <row r="18392" spans="1:2" x14ac:dyDescent="0.25">
      <c r="A18392" s="2">
        <v>18387</v>
      </c>
      <c r="B18392" s="11" t="str">
        <f>"00817098"</f>
        <v>00817098</v>
      </c>
    </row>
    <row r="18393" spans="1:2" x14ac:dyDescent="0.25">
      <c r="A18393" s="2">
        <v>18388</v>
      </c>
      <c r="B18393" s="11" t="str">
        <f>"00817100"</f>
        <v>00817100</v>
      </c>
    </row>
    <row r="18394" spans="1:2" x14ac:dyDescent="0.25">
      <c r="A18394" s="2">
        <v>18389</v>
      </c>
      <c r="B18394" s="11" t="str">
        <f>"00817117"</f>
        <v>00817117</v>
      </c>
    </row>
    <row r="18395" spans="1:2" x14ac:dyDescent="0.25">
      <c r="A18395" s="2">
        <v>18390</v>
      </c>
      <c r="B18395" s="11" t="str">
        <f>"00817198"</f>
        <v>00817198</v>
      </c>
    </row>
    <row r="18396" spans="1:2" x14ac:dyDescent="0.25">
      <c r="A18396" s="2">
        <v>18391</v>
      </c>
      <c r="B18396" s="11" t="str">
        <f>"00817225"</f>
        <v>00817225</v>
      </c>
    </row>
    <row r="18397" spans="1:2" x14ac:dyDescent="0.25">
      <c r="A18397" s="2">
        <v>18392</v>
      </c>
      <c r="B18397" s="11" t="str">
        <f>"00817252"</f>
        <v>00817252</v>
      </c>
    </row>
    <row r="18398" spans="1:2" x14ac:dyDescent="0.25">
      <c r="A18398" s="2">
        <v>18393</v>
      </c>
      <c r="B18398" s="11" t="str">
        <f>"00817294"</f>
        <v>00817294</v>
      </c>
    </row>
    <row r="18399" spans="1:2" x14ac:dyDescent="0.25">
      <c r="A18399" s="2">
        <v>18394</v>
      </c>
      <c r="B18399" s="11" t="str">
        <f>"00817295"</f>
        <v>00817295</v>
      </c>
    </row>
    <row r="18400" spans="1:2" x14ac:dyDescent="0.25">
      <c r="A18400" s="2">
        <v>18395</v>
      </c>
      <c r="B18400" s="11" t="str">
        <f>"00817342"</f>
        <v>00817342</v>
      </c>
    </row>
    <row r="18401" spans="1:2" x14ac:dyDescent="0.25">
      <c r="A18401" s="2">
        <v>18396</v>
      </c>
      <c r="B18401" s="11" t="str">
        <f>"00817405"</f>
        <v>00817405</v>
      </c>
    </row>
    <row r="18402" spans="1:2" x14ac:dyDescent="0.25">
      <c r="A18402" s="2">
        <v>18397</v>
      </c>
      <c r="B18402" s="11" t="str">
        <f>"00817415"</f>
        <v>00817415</v>
      </c>
    </row>
    <row r="18403" spans="1:2" x14ac:dyDescent="0.25">
      <c r="A18403" s="2">
        <v>18398</v>
      </c>
      <c r="B18403" s="11" t="str">
        <f>"00817448"</f>
        <v>00817448</v>
      </c>
    </row>
    <row r="18404" spans="1:2" x14ac:dyDescent="0.25">
      <c r="A18404" s="2">
        <v>18399</v>
      </c>
      <c r="B18404" s="11" t="str">
        <f>"00817459"</f>
        <v>00817459</v>
      </c>
    </row>
    <row r="18405" spans="1:2" x14ac:dyDescent="0.25">
      <c r="A18405" s="2">
        <v>18400</v>
      </c>
      <c r="B18405" s="11" t="str">
        <f>"00817512"</f>
        <v>00817512</v>
      </c>
    </row>
    <row r="18406" spans="1:2" x14ac:dyDescent="0.25">
      <c r="A18406" s="2">
        <v>18401</v>
      </c>
      <c r="B18406" s="11" t="str">
        <f>"00817518"</f>
        <v>00817518</v>
      </c>
    </row>
    <row r="18407" spans="1:2" x14ac:dyDescent="0.25">
      <c r="A18407" s="2">
        <v>18402</v>
      </c>
      <c r="B18407" s="11" t="str">
        <f>"00817529"</f>
        <v>00817529</v>
      </c>
    </row>
    <row r="18408" spans="1:2" x14ac:dyDescent="0.25">
      <c r="A18408" s="2">
        <v>18403</v>
      </c>
      <c r="B18408" s="11" t="str">
        <f>"00817538"</f>
        <v>00817538</v>
      </c>
    </row>
    <row r="18409" spans="1:2" x14ac:dyDescent="0.25">
      <c r="A18409" s="2">
        <v>18404</v>
      </c>
      <c r="B18409" s="11" t="str">
        <f>"00817587"</f>
        <v>00817587</v>
      </c>
    </row>
    <row r="18410" spans="1:2" x14ac:dyDescent="0.25">
      <c r="A18410" s="2">
        <v>18405</v>
      </c>
      <c r="B18410" s="11" t="str">
        <f>"00817605"</f>
        <v>00817605</v>
      </c>
    </row>
    <row r="18411" spans="1:2" x14ac:dyDescent="0.25">
      <c r="A18411" s="2">
        <v>18406</v>
      </c>
      <c r="B18411" s="11" t="str">
        <f>"00817704"</f>
        <v>00817704</v>
      </c>
    </row>
    <row r="18412" spans="1:2" x14ac:dyDescent="0.25">
      <c r="A18412" s="2">
        <v>18407</v>
      </c>
      <c r="B18412" s="11" t="str">
        <f>"00817758"</f>
        <v>00817758</v>
      </c>
    </row>
    <row r="18413" spans="1:2" x14ac:dyDescent="0.25">
      <c r="A18413" s="2">
        <v>18408</v>
      </c>
      <c r="B18413" s="11" t="str">
        <f>"00817778"</f>
        <v>00817778</v>
      </c>
    </row>
    <row r="18414" spans="1:2" x14ac:dyDescent="0.25">
      <c r="A18414" s="2">
        <v>18409</v>
      </c>
      <c r="B18414" s="11" t="str">
        <f>"00817802"</f>
        <v>00817802</v>
      </c>
    </row>
    <row r="18415" spans="1:2" x14ac:dyDescent="0.25">
      <c r="A18415" s="2">
        <v>18410</v>
      </c>
      <c r="B18415" s="11" t="str">
        <f>"00817850"</f>
        <v>00817850</v>
      </c>
    </row>
    <row r="18416" spans="1:2" x14ac:dyDescent="0.25">
      <c r="A18416" s="2">
        <v>18411</v>
      </c>
      <c r="B18416" s="11" t="str">
        <f>"00817893"</f>
        <v>00817893</v>
      </c>
    </row>
    <row r="18417" spans="1:2" x14ac:dyDescent="0.25">
      <c r="A18417" s="2">
        <v>18412</v>
      </c>
      <c r="B18417" s="11" t="str">
        <f>"00817896"</f>
        <v>00817896</v>
      </c>
    </row>
    <row r="18418" spans="1:2" x14ac:dyDescent="0.25">
      <c r="A18418" s="2">
        <v>18413</v>
      </c>
      <c r="B18418" s="11" t="str">
        <f>"00817952"</f>
        <v>00817952</v>
      </c>
    </row>
    <row r="18419" spans="1:2" x14ac:dyDescent="0.25">
      <c r="A18419" s="2">
        <v>18414</v>
      </c>
      <c r="B18419" s="11" t="str">
        <f>"00817975"</f>
        <v>00817975</v>
      </c>
    </row>
    <row r="18420" spans="1:2" x14ac:dyDescent="0.25">
      <c r="A18420" s="2">
        <v>18415</v>
      </c>
      <c r="B18420" s="11" t="str">
        <f>"00818033"</f>
        <v>00818033</v>
      </c>
    </row>
    <row r="18421" spans="1:2" x14ac:dyDescent="0.25">
      <c r="A18421" s="2">
        <v>18416</v>
      </c>
      <c r="B18421" s="11" t="str">
        <f>"00818055"</f>
        <v>00818055</v>
      </c>
    </row>
    <row r="18422" spans="1:2" x14ac:dyDescent="0.25">
      <c r="A18422" s="2">
        <v>18417</v>
      </c>
      <c r="B18422" s="11" t="str">
        <f>"00818183"</f>
        <v>00818183</v>
      </c>
    </row>
    <row r="18423" spans="1:2" x14ac:dyDescent="0.25">
      <c r="A18423" s="2">
        <v>18418</v>
      </c>
      <c r="B18423" s="11" t="str">
        <f>"00818202"</f>
        <v>00818202</v>
      </c>
    </row>
    <row r="18424" spans="1:2" x14ac:dyDescent="0.25">
      <c r="A18424" s="2">
        <v>18419</v>
      </c>
      <c r="B18424" s="11" t="str">
        <f>"00818253"</f>
        <v>00818253</v>
      </c>
    </row>
    <row r="18425" spans="1:2" x14ac:dyDescent="0.25">
      <c r="A18425" s="2">
        <v>18420</v>
      </c>
      <c r="B18425" s="11" t="str">
        <f>"00818323"</f>
        <v>00818323</v>
      </c>
    </row>
    <row r="18426" spans="1:2" x14ac:dyDescent="0.25">
      <c r="A18426" s="2">
        <v>18421</v>
      </c>
      <c r="B18426" s="11" t="str">
        <f>"00818341"</f>
        <v>00818341</v>
      </c>
    </row>
    <row r="18427" spans="1:2" x14ac:dyDescent="0.25">
      <c r="A18427" s="2">
        <v>18422</v>
      </c>
      <c r="B18427" s="11" t="str">
        <f>"00818369"</f>
        <v>00818369</v>
      </c>
    </row>
    <row r="18428" spans="1:2" x14ac:dyDescent="0.25">
      <c r="A18428" s="2">
        <v>18423</v>
      </c>
      <c r="B18428" s="11" t="str">
        <f>"00818390"</f>
        <v>00818390</v>
      </c>
    </row>
    <row r="18429" spans="1:2" x14ac:dyDescent="0.25">
      <c r="A18429" s="2">
        <v>18424</v>
      </c>
      <c r="B18429" s="11" t="str">
        <f>"00818400"</f>
        <v>00818400</v>
      </c>
    </row>
    <row r="18430" spans="1:2" x14ac:dyDescent="0.25">
      <c r="A18430" s="2">
        <v>18425</v>
      </c>
      <c r="B18430" s="11" t="str">
        <f>"00818443"</f>
        <v>00818443</v>
      </c>
    </row>
    <row r="18431" spans="1:2" x14ac:dyDescent="0.25">
      <c r="A18431" s="2">
        <v>18426</v>
      </c>
      <c r="B18431" s="11" t="str">
        <f>"00818444"</f>
        <v>00818444</v>
      </c>
    </row>
    <row r="18432" spans="1:2" x14ac:dyDescent="0.25">
      <c r="A18432" s="2">
        <v>18427</v>
      </c>
      <c r="B18432" s="11" t="str">
        <f>"00818464"</f>
        <v>00818464</v>
      </c>
    </row>
    <row r="18433" spans="1:2" x14ac:dyDescent="0.25">
      <c r="A18433" s="2">
        <v>18428</v>
      </c>
      <c r="B18433" s="11" t="str">
        <f>"00818543"</f>
        <v>00818543</v>
      </c>
    </row>
    <row r="18434" spans="1:2" x14ac:dyDescent="0.25">
      <c r="A18434" s="2">
        <v>18429</v>
      </c>
      <c r="B18434" s="11" t="str">
        <f>"00818587"</f>
        <v>00818587</v>
      </c>
    </row>
    <row r="18435" spans="1:2" x14ac:dyDescent="0.25">
      <c r="A18435" s="2">
        <v>18430</v>
      </c>
      <c r="B18435" s="11" t="str">
        <f>"00818591"</f>
        <v>00818591</v>
      </c>
    </row>
    <row r="18436" spans="1:2" x14ac:dyDescent="0.25">
      <c r="A18436" s="2">
        <v>18431</v>
      </c>
      <c r="B18436" s="11" t="str">
        <f>"00818598"</f>
        <v>00818598</v>
      </c>
    </row>
    <row r="18437" spans="1:2" x14ac:dyDescent="0.25">
      <c r="A18437" s="2">
        <v>18432</v>
      </c>
      <c r="B18437" s="11" t="str">
        <f>"00818604"</f>
        <v>00818604</v>
      </c>
    </row>
    <row r="18438" spans="1:2" x14ac:dyDescent="0.25">
      <c r="A18438" s="2">
        <v>18433</v>
      </c>
      <c r="B18438" s="11" t="str">
        <f>"00818693"</f>
        <v>00818693</v>
      </c>
    </row>
    <row r="18439" spans="1:2" x14ac:dyDescent="0.25">
      <c r="A18439" s="2">
        <v>18434</v>
      </c>
      <c r="B18439" s="11" t="str">
        <f>"00818698"</f>
        <v>00818698</v>
      </c>
    </row>
    <row r="18440" spans="1:2" x14ac:dyDescent="0.25">
      <c r="A18440" s="2">
        <v>18435</v>
      </c>
      <c r="B18440" s="11" t="str">
        <f>"00818724"</f>
        <v>00818724</v>
      </c>
    </row>
    <row r="18441" spans="1:2" x14ac:dyDescent="0.25">
      <c r="A18441" s="2">
        <v>18436</v>
      </c>
      <c r="B18441" s="11" t="str">
        <f>"00818755"</f>
        <v>00818755</v>
      </c>
    </row>
    <row r="18442" spans="1:2" x14ac:dyDescent="0.25">
      <c r="A18442" s="2">
        <v>18437</v>
      </c>
      <c r="B18442" s="11" t="str">
        <f>"00818771"</f>
        <v>00818771</v>
      </c>
    </row>
    <row r="18443" spans="1:2" x14ac:dyDescent="0.25">
      <c r="A18443" s="2">
        <v>18438</v>
      </c>
      <c r="B18443" s="11" t="str">
        <f>"00818777"</f>
        <v>00818777</v>
      </c>
    </row>
    <row r="18444" spans="1:2" x14ac:dyDescent="0.25">
      <c r="A18444" s="2">
        <v>18439</v>
      </c>
      <c r="B18444" s="11" t="str">
        <f>"00818794"</f>
        <v>00818794</v>
      </c>
    </row>
    <row r="18445" spans="1:2" x14ac:dyDescent="0.25">
      <c r="A18445" s="2">
        <v>18440</v>
      </c>
      <c r="B18445" s="11" t="str">
        <f>"00818805"</f>
        <v>00818805</v>
      </c>
    </row>
    <row r="18446" spans="1:2" x14ac:dyDescent="0.25">
      <c r="A18446" s="2">
        <v>18441</v>
      </c>
      <c r="B18446" s="11" t="str">
        <f>"00818907"</f>
        <v>00818907</v>
      </c>
    </row>
    <row r="18447" spans="1:2" x14ac:dyDescent="0.25">
      <c r="A18447" s="2">
        <v>18442</v>
      </c>
      <c r="B18447" s="11" t="str">
        <f>"00818985"</f>
        <v>00818985</v>
      </c>
    </row>
    <row r="18448" spans="1:2" x14ac:dyDescent="0.25">
      <c r="A18448" s="2">
        <v>18443</v>
      </c>
      <c r="B18448" s="11" t="str">
        <f>"00818994"</f>
        <v>00818994</v>
      </c>
    </row>
    <row r="18449" spans="1:2" x14ac:dyDescent="0.25">
      <c r="A18449" s="2">
        <v>18444</v>
      </c>
      <c r="B18449" s="11" t="str">
        <f>"00819037"</f>
        <v>00819037</v>
      </c>
    </row>
    <row r="18450" spans="1:2" x14ac:dyDescent="0.25">
      <c r="A18450" s="2">
        <v>18445</v>
      </c>
      <c r="B18450" s="11" t="str">
        <f>"00819048"</f>
        <v>00819048</v>
      </c>
    </row>
    <row r="18451" spans="1:2" x14ac:dyDescent="0.25">
      <c r="A18451" s="2">
        <v>18446</v>
      </c>
      <c r="B18451" s="11" t="str">
        <f>"00819067"</f>
        <v>00819067</v>
      </c>
    </row>
    <row r="18452" spans="1:2" x14ac:dyDescent="0.25">
      <c r="A18452" s="2">
        <v>18447</v>
      </c>
      <c r="B18452" s="11" t="str">
        <f>"00819291"</f>
        <v>00819291</v>
      </c>
    </row>
    <row r="18453" spans="1:2" x14ac:dyDescent="0.25">
      <c r="A18453" s="2">
        <v>18448</v>
      </c>
      <c r="B18453" s="11" t="str">
        <f>"00819308"</f>
        <v>00819308</v>
      </c>
    </row>
    <row r="18454" spans="1:2" x14ac:dyDescent="0.25">
      <c r="A18454" s="2">
        <v>18449</v>
      </c>
      <c r="B18454" s="11" t="str">
        <f>"00819310"</f>
        <v>00819310</v>
      </c>
    </row>
    <row r="18455" spans="1:2" x14ac:dyDescent="0.25">
      <c r="A18455" s="2">
        <v>18450</v>
      </c>
      <c r="B18455" s="11" t="str">
        <f>"00819322"</f>
        <v>00819322</v>
      </c>
    </row>
    <row r="18456" spans="1:2" x14ac:dyDescent="0.25">
      <c r="A18456" s="2">
        <v>18451</v>
      </c>
      <c r="B18456" s="11" t="str">
        <f>"00819330"</f>
        <v>00819330</v>
      </c>
    </row>
    <row r="18457" spans="1:2" x14ac:dyDescent="0.25">
      <c r="A18457" s="2">
        <v>18452</v>
      </c>
      <c r="B18457" s="11" t="str">
        <f>"00819355"</f>
        <v>00819355</v>
      </c>
    </row>
    <row r="18458" spans="1:2" x14ac:dyDescent="0.25">
      <c r="A18458" s="2">
        <v>18453</v>
      </c>
      <c r="B18458" s="11" t="str">
        <f>"00819392"</f>
        <v>00819392</v>
      </c>
    </row>
    <row r="18459" spans="1:2" x14ac:dyDescent="0.25">
      <c r="A18459" s="2">
        <v>18454</v>
      </c>
      <c r="B18459" s="11" t="str">
        <f>"00819400"</f>
        <v>00819400</v>
      </c>
    </row>
    <row r="18460" spans="1:2" x14ac:dyDescent="0.25">
      <c r="A18460" s="2">
        <v>18455</v>
      </c>
      <c r="B18460" s="11" t="str">
        <f>"00819404"</f>
        <v>00819404</v>
      </c>
    </row>
    <row r="18461" spans="1:2" x14ac:dyDescent="0.25">
      <c r="A18461" s="2">
        <v>18456</v>
      </c>
      <c r="B18461" s="11" t="str">
        <f>"00819436"</f>
        <v>00819436</v>
      </c>
    </row>
    <row r="18462" spans="1:2" x14ac:dyDescent="0.25">
      <c r="A18462" s="2">
        <v>18457</v>
      </c>
      <c r="B18462" s="11" t="str">
        <f>"00819447"</f>
        <v>00819447</v>
      </c>
    </row>
    <row r="18463" spans="1:2" x14ac:dyDescent="0.25">
      <c r="A18463" s="2">
        <v>18458</v>
      </c>
      <c r="B18463" s="11" t="str">
        <f>"00819560"</f>
        <v>00819560</v>
      </c>
    </row>
    <row r="18464" spans="1:2" x14ac:dyDescent="0.25">
      <c r="A18464" s="2">
        <v>18459</v>
      </c>
      <c r="B18464" s="11" t="str">
        <f>"00819566"</f>
        <v>00819566</v>
      </c>
    </row>
    <row r="18465" spans="1:2" x14ac:dyDescent="0.25">
      <c r="A18465" s="2">
        <v>18460</v>
      </c>
      <c r="B18465" s="11" t="str">
        <f>"00819569"</f>
        <v>00819569</v>
      </c>
    </row>
    <row r="18466" spans="1:2" x14ac:dyDescent="0.25">
      <c r="A18466" s="2">
        <v>18461</v>
      </c>
      <c r="B18466" s="11" t="str">
        <f>"00819570"</f>
        <v>00819570</v>
      </c>
    </row>
    <row r="18467" spans="1:2" x14ac:dyDescent="0.25">
      <c r="A18467" s="2">
        <v>18462</v>
      </c>
      <c r="B18467" s="11" t="str">
        <f>"00819579"</f>
        <v>00819579</v>
      </c>
    </row>
    <row r="18468" spans="1:2" x14ac:dyDescent="0.25">
      <c r="A18468" s="2">
        <v>18463</v>
      </c>
      <c r="B18468" s="11" t="str">
        <f>"00819611"</f>
        <v>00819611</v>
      </c>
    </row>
    <row r="18469" spans="1:2" x14ac:dyDescent="0.25">
      <c r="A18469" s="2">
        <v>18464</v>
      </c>
      <c r="B18469" s="11" t="str">
        <f>"00819668"</f>
        <v>00819668</v>
      </c>
    </row>
    <row r="18470" spans="1:2" x14ac:dyDescent="0.25">
      <c r="A18470" s="2">
        <v>18465</v>
      </c>
      <c r="B18470" s="11" t="str">
        <f>"00819672"</f>
        <v>00819672</v>
      </c>
    </row>
    <row r="18471" spans="1:2" x14ac:dyDescent="0.25">
      <c r="A18471" s="2">
        <v>18466</v>
      </c>
      <c r="B18471" s="11" t="str">
        <f>"00819702"</f>
        <v>00819702</v>
      </c>
    </row>
    <row r="18472" spans="1:2" x14ac:dyDescent="0.25">
      <c r="A18472" s="2">
        <v>18467</v>
      </c>
      <c r="B18472" s="11" t="str">
        <f>"00819732"</f>
        <v>00819732</v>
      </c>
    </row>
    <row r="18473" spans="1:2" x14ac:dyDescent="0.25">
      <c r="A18473" s="2">
        <v>18468</v>
      </c>
      <c r="B18473" s="11" t="str">
        <f>"00819797"</f>
        <v>00819797</v>
      </c>
    </row>
    <row r="18474" spans="1:2" x14ac:dyDescent="0.25">
      <c r="A18474" s="2">
        <v>18469</v>
      </c>
      <c r="B18474" s="11" t="str">
        <f>"00819835"</f>
        <v>00819835</v>
      </c>
    </row>
    <row r="18475" spans="1:2" x14ac:dyDescent="0.25">
      <c r="A18475" s="2">
        <v>18470</v>
      </c>
      <c r="B18475" s="11" t="str">
        <f>"00819869"</f>
        <v>00819869</v>
      </c>
    </row>
    <row r="18476" spans="1:2" x14ac:dyDescent="0.25">
      <c r="A18476" s="2">
        <v>18471</v>
      </c>
      <c r="B18476" s="11" t="str">
        <f>"00819875"</f>
        <v>00819875</v>
      </c>
    </row>
    <row r="18477" spans="1:2" x14ac:dyDescent="0.25">
      <c r="A18477" s="2">
        <v>18472</v>
      </c>
      <c r="B18477" s="11" t="str">
        <f>"00819916"</f>
        <v>00819916</v>
      </c>
    </row>
    <row r="18478" spans="1:2" x14ac:dyDescent="0.25">
      <c r="A18478" s="2">
        <v>18473</v>
      </c>
      <c r="B18478" s="11" t="str">
        <f>"00819924"</f>
        <v>00819924</v>
      </c>
    </row>
    <row r="18479" spans="1:2" x14ac:dyDescent="0.25">
      <c r="A18479" s="2">
        <v>18474</v>
      </c>
      <c r="B18479" s="11" t="str">
        <f>"00820043"</f>
        <v>00820043</v>
      </c>
    </row>
    <row r="18480" spans="1:2" x14ac:dyDescent="0.25">
      <c r="A18480" s="2">
        <v>18475</v>
      </c>
      <c r="B18480" s="11" t="str">
        <f>"00820046"</f>
        <v>00820046</v>
      </c>
    </row>
    <row r="18481" spans="1:2" x14ac:dyDescent="0.25">
      <c r="A18481" s="2">
        <v>18476</v>
      </c>
      <c r="B18481" s="11" t="str">
        <f>"00820062"</f>
        <v>00820062</v>
      </c>
    </row>
    <row r="18482" spans="1:2" x14ac:dyDescent="0.25">
      <c r="A18482" s="2">
        <v>18477</v>
      </c>
      <c r="B18482" s="11" t="str">
        <f>"00820084"</f>
        <v>00820084</v>
      </c>
    </row>
    <row r="18483" spans="1:2" x14ac:dyDescent="0.25">
      <c r="A18483" s="2">
        <v>18478</v>
      </c>
      <c r="B18483" s="11" t="str">
        <f>"00820089"</f>
        <v>00820089</v>
      </c>
    </row>
    <row r="18484" spans="1:2" x14ac:dyDescent="0.25">
      <c r="A18484" s="2">
        <v>18479</v>
      </c>
      <c r="B18484" s="11" t="str">
        <f>"00820092"</f>
        <v>00820092</v>
      </c>
    </row>
    <row r="18485" spans="1:2" x14ac:dyDescent="0.25">
      <c r="A18485" s="2">
        <v>18480</v>
      </c>
      <c r="B18485" s="11" t="str">
        <f>"00820160"</f>
        <v>00820160</v>
      </c>
    </row>
    <row r="18486" spans="1:2" x14ac:dyDescent="0.25">
      <c r="A18486" s="2">
        <v>18481</v>
      </c>
      <c r="B18486" s="11" t="str">
        <f>"00820175"</f>
        <v>00820175</v>
      </c>
    </row>
    <row r="18487" spans="1:2" x14ac:dyDescent="0.25">
      <c r="A18487" s="2">
        <v>18482</v>
      </c>
      <c r="B18487" s="11" t="str">
        <f>"00820216"</f>
        <v>00820216</v>
      </c>
    </row>
    <row r="18488" spans="1:2" x14ac:dyDescent="0.25">
      <c r="A18488" s="2">
        <v>18483</v>
      </c>
      <c r="B18488" s="11" t="str">
        <f>"00820237"</f>
        <v>00820237</v>
      </c>
    </row>
    <row r="18489" spans="1:2" x14ac:dyDescent="0.25">
      <c r="A18489" s="2">
        <v>18484</v>
      </c>
      <c r="B18489" s="11" t="str">
        <f>"00820261"</f>
        <v>00820261</v>
      </c>
    </row>
    <row r="18490" spans="1:2" x14ac:dyDescent="0.25">
      <c r="A18490" s="2">
        <v>18485</v>
      </c>
      <c r="B18490" s="11" t="str">
        <f>"00820370"</f>
        <v>00820370</v>
      </c>
    </row>
    <row r="18491" spans="1:2" x14ac:dyDescent="0.25">
      <c r="A18491" s="2">
        <v>18486</v>
      </c>
      <c r="B18491" s="11" t="str">
        <f>"00820501"</f>
        <v>00820501</v>
      </c>
    </row>
    <row r="18492" spans="1:2" x14ac:dyDescent="0.25">
      <c r="A18492" s="2">
        <v>18487</v>
      </c>
      <c r="B18492" s="11" t="str">
        <f>"00820505"</f>
        <v>00820505</v>
      </c>
    </row>
    <row r="18493" spans="1:2" x14ac:dyDescent="0.25">
      <c r="A18493" s="2">
        <v>18488</v>
      </c>
      <c r="B18493" s="11" t="str">
        <f>"00820611"</f>
        <v>00820611</v>
      </c>
    </row>
    <row r="18494" spans="1:2" x14ac:dyDescent="0.25">
      <c r="A18494" s="2">
        <v>18489</v>
      </c>
      <c r="B18494" s="11" t="str">
        <f>"00820675"</f>
        <v>00820675</v>
      </c>
    </row>
    <row r="18495" spans="1:2" x14ac:dyDescent="0.25">
      <c r="A18495" s="2">
        <v>18490</v>
      </c>
      <c r="B18495" s="11" t="str">
        <f>"00820816"</f>
        <v>00820816</v>
      </c>
    </row>
    <row r="18496" spans="1:2" x14ac:dyDescent="0.25">
      <c r="A18496" s="2">
        <v>18491</v>
      </c>
      <c r="B18496" s="11" t="str">
        <f>"00820853"</f>
        <v>00820853</v>
      </c>
    </row>
    <row r="18497" spans="1:2" x14ac:dyDescent="0.25">
      <c r="A18497" s="2">
        <v>18492</v>
      </c>
      <c r="B18497" s="11" t="str">
        <f>"00820860"</f>
        <v>00820860</v>
      </c>
    </row>
    <row r="18498" spans="1:2" x14ac:dyDescent="0.25">
      <c r="A18498" s="2">
        <v>18493</v>
      </c>
      <c r="B18498" s="11" t="str">
        <f>"00820892"</f>
        <v>00820892</v>
      </c>
    </row>
    <row r="18499" spans="1:2" x14ac:dyDescent="0.25">
      <c r="A18499" s="2">
        <v>18494</v>
      </c>
      <c r="B18499" s="11" t="str">
        <f>"00820907"</f>
        <v>00820907</v>
      </c>
    </row>
    <row r="18500" spans="1:2" x14ac:dyDescent="0.25">
      <c r="A18500" s="2">
        <v>18495</v>
      </c>
      <c r="B18500" s="11" t="str">
        <f>"00820939"</f>
        <v>00820939</v>
      </c>
    </row>
    <row r="18501" spans="1:2" x14ac:dyDescent="0.25">
      <c r="A18501" s="2">
        <v>18496</v>
      </c>
      <c r="B18501" s="11" t="str">
        <f>"00820976"</f>
        <v>00820976</v>
      </c>
    </row>
    <row r="18502" spans="1:2" x14ac:dyDescent="0.25">
      <c r="A18502" s="2">
        <v>18497</v>
      </c>
      <c r="B18502" s="11" t="str">
        <f>"00821060"</f>
        <v>00821060</v>
      </c>
    </row>
    <row r="18503" spans="1:2" x14ac:dyDescent="0.25">
      <c r="A18503" s="2">
        <v>18498</v>
      </c>
      <c r="B18503" s="11" t="str">
        <f>"00821086"</f>
        <v>00821086</v>
      </c>
    </row>
    <row r="18504" spans="1:2" x14ac:dyDescent="0.25">
      <c r="A18504" s="2">
        <v>18499</v>
      </c>
      <c r="B18504" s="11" t="str">
        <f>"00821087"</f>
        <v>00821087</v>
      </c>
    </row>
    <row r="18505" spans="1:2" x14ac:dyDescent="0.25">
      <c r="A18505" s="2">
        <v>18500</v>
      </c>
      <c r="B18505" s="11" t="str">
        <f>"00821100"</f>
        <v>00821100</v>
      </c>
    </row>
    <row r="18506" spans="1:2" x14ac:dyDescent="0.25">
      <c r="A18506" s="2">
        <v>18501</v>
      </c>
      <c r="B18506" s="11" t="str">
        <f>"00821101"</f>
        <v>00821101</v>
      </c>
    </row>
    <row r="18507" spans="1:2" x14ac:dyDescent="0.25">
      <c r="A18507" s="2">
        <v>18502</v>
      </c>
      <c r="B18507" s="11" t="str">
        <f>"00821135"</f>
        <v>00821135</v>
      </c>
    </row>
    <row r="18508" spans="1:2" x14ac:dyDescent="0.25">
      <c r="A18508" s="2">
        <v>18503</v>
      </c>
      <c r="B18508" s="11" t="str">
        <f>"00821204"</f>
        <v>00821204</v>
      </c>
    </row>
    <row r="18509" spans="1:2" x14ac:dyDescent="0.25">
      <c r="A18509" s="2">
        <v>18504</v>
      </c>
      <c r="B18509" s="11" t="str">
        <f>"00821229"</f>
        <v>00821229</v>
      </c>
    </row>
    <row r="18510" spans="1:2" x14ac:dyDescent="0.25">
      <c r="A18510" s="2">
        <v>18505</v>
      </c>
      <c r="B18510" s="11" t="str">
        <f>"00821290"</f>
        <v>00821290</v>
      </c>
    </row>
    <row r="18511" spans="1:2" x14ac:dyDescent="0.25">
      <c r="A18511" s="2">
        <v>18506</v>
      </c>
      <c r="B18511" s="11" t="str">
        <f>"00821298"</f>
        <v>00821298</v>
      </c>
    </row>
    <row r="18512" spans="1:2" x14ac:dyDescent="0.25">
      <c r="A18512" s="2">
        <v>18507</v>
      </c>
      <c r="B18512" s="11" t="str">
        <f>"00821326"</f>
        <v>00821326</v>
      </c>
    </row>
    <row r="18513" spans="1:2" x14ac:dyDescent="0.25">
      <c r="A18513" s="2">
        <v>18508</v>
      </c>
      <c r="B18513" s="11" t="str">
        <f>"00821391"</f>
        <v>00821391</v>
      </c>
    </row>
    <row r="18514" spans="1:2" x14ac:dyDescent="0.25">
      <c r="A18514" s="2">
        <v>18509</v>
      </c>
      <c r="B18514" s="11" t="str">
        <f>"00821581"</f>
        <v>00821581</v>
      </c>
    </row>
    <row r="18515" spans="1:2" x14ac:dyDescent="0.25">
      <c r="A18515" s="2">
        <v>18510</v>
      </c>
      <c r="B18515" s="11" t="str">
        <f>"00821606"</f>
        <v>00821606</v>
      </c>
    </row>
    <row r="18516" spans="1:2" x14ac:dyDescent="0.25">
      <c r="A18516" s="2">
        <v>18511</v>
      </c>
      <c r="B18516" s="11" t="str">
        <f>"00821620"</f>
        <v>00821620</v>
      </c>
    </row>
    <row r="18517" spans="1:2" x14ac:dyDescent="0.25">
      <c r="A18517" s="2">
        <v>18512</v>
      </c>
      <c r="B18517" s="11" t="str">
        <f>"00821708"</f>
        <v>00821708</v>
      </c>
    </row>
    <row r="18518" spans="1:2" x14ac:dyDescent="0.25">
      <c r="A18518" s="2">
        <v>18513</v>
      </c>
      <c r="B18518" s="11" t="str">
        <f>"00821716"</f>
        <v>00821716</v>
      </c>
    </row>
    <row r="18519" spans="1:2" x14ac:dyDescent="0.25">
      <c r="A18519" s="2">
        <v>18514</v>
      </c>
      <c r="B18519" s="11" t="str">
        <f>"00821789"</f>
        <v>00821789</v>
      </c>
    </row>
    <row r="18520" spans="1:2" x14ac:dyDescent="0.25">
      <c r="A18520" s="2">
        <v>18515</v>
      </c>
      <c r="B18520" s="11" t="str">
        <f>"00821900"</f>
        <v>00821900</v>
      </c>
    </row>
    <row r="18521" spans="1:2" x14ac:dyDescent="0.25">
      <c r="A18521" s="2">
        <v>18516</v>
      </c>
      <c r="B18521" s="11" t="str">
        <f>"00821956"</f>
        <v>00821956</v>
      </c>
    </row>
    <row r="18522" spans="1:2" x14ac:dyDescent="0.25">
      <c r="A18522" s="2">
        <v>18517</v>
      </c>
      <c r="B18522" s="11" t="str">
        <f>"00821958"</f>
        <v>00821958</v>
      </c>
    </row>
    <row r="18523" spans="1:2" x14ac:dyDescent="0.25">
      <c r="A18523" s="2">
        <v>18518</v>
      </c>
      <c r="B18523" s="11" t="str">
        <f>"00821959"</f>
        <v>00821959</v>
      </c>
    </row>
    <row r="18524" spans="1:2" x14ac:dyDescent="0.25">
      <c r="A18524" s="2">
        <v>18519</v>
      </c>
      <c r="B18524" s="11" t="str">
        <f>"00821963"</f>
        <v>00821963</v>
      </c>
    </row>
    <row r="18525" spans="1:2" x14ac:dyDescent="0.25">
      <c r="A18525" s="2">
        <v>18520</v>
      </c>
      <c r="B18525" s="11" t="str">
        <f>"00821965"</f>
        <v>00821965</v>
      </c>
    </row>
    <row r="18526" spans="1:2" x14ac:dyDescent="0.25">
      <c r="A18526" s="2">
        <v>18521</v>
      </c>
      <c r="B18526" s="11" t="str">
        <f>"00821977"</f>
        <v>00821977</v>
      </c>
    </row>
    <row r="18527" spans="1:2" x14ac:dyDescent="0.25">
      <c r="A18527" s="2">
        <v>18522</v>
      </c>
      <c r="B18527" s="11" t="str">
        <f>"00822084"</f>
        <v>00822084</v>
      </c>
    </row>
    <row r="18528" spans="1:2" x14ac:dyDescent="0.25">
      <c r="A18528" s="2">
        <v>18523</v>
      </c>
      <c r="B18528" s="11" t="str">
        <f>"00822162"</f>
        <v>00822162</v>
      </c>
    </row>
    <row r="18529" spans="1:2" x14ac:dyDescent="0.25">
      <c r="A18529" s="2">
        <v>18524</v>
      </c>
      <c r="B18529" s="11" t="str">
        <f>"00822194"</f>
        <v>00822194</v>
      </c>
    </row>
    <row r="18530" spans="1:2" x14ac:dyDescent="0.25">
      <c r="A18530" s="2">
        <v>18525</v>
      </c>
      <c r="B18530" s="11" t="str">
        <f>"00822230"</f>
        <v>00822230</v>
      </c>
    </row>
    <row r="18531" spans="1:2" x14ac:dyDescent="0.25">
      <c r="A18531" s="2">
        <v>18526</v>
      </c>
      <c r="B18531" s="11" t="str">
        <f>"00822246"</f>
        <v>00822246</v>
      </c>
    </row>
    <row r="18532" spans="1:2" x14ac:dyDescent="0.25">
      <c r="A18532" s="2">
        <v>18527</v>
      </c>
      <c r="B18532" s="11" t="str">
        <f>"00822250"</f>
        <v>00822250</v>
      </c>
    </row>
    <row r="18533" spans="1:2" x14ac:dyDescent="0.25">
      <c r="A18533" s="2">
        <v>18528</v>
      </c>
      <c r="B18533" s="11" t="str">
        <f>"00822252"</f>
        <v>00822252</v>
      </c>
    </row>
    <row r="18534" spans="1:2" x14ac:dyDescent="0.25">
      <c r="A18534" s="2">
        <v>18529</v>
      </c>
      <c r="B18534" s="11" t="str">
        <f>"00822257"</f>
        <v>00822257</v>
      </c>
    </row>
    <row r="18535" spans="1:2" x14ac:dyDescent="0.25">
      <c r="A18535" s="2">
        <v>18530</v>
      </c>
      <c r="B18535" s="11" t="str">
        <f>"00822425"</f>
        <v>00822425</v>
      </c>
    </row>
    <row r="18536" spans="1:2" x14ac:dyDescent="0.25">
      <c r="A18536" s="2">
        <v>18531</v>
      </c>
      <c r="B18536" s="11" t="str">
        <f>"00822462"</f>
        <v>00822462</v>
      </c>
    </row>
    <row r="18537" spans="1:2" x14ac:dyDescent="0.25">
      <c r="A18537" s="2">
        <v>18532</v>
      </c>
      <c r="B18537" s="11" t="str">
        <f>"00822508"</f>
        <v>00822508</v>
      </c>
    </row>
    <row r="18538" spans="1:2" x14ac:dyDescent="0.25">
      <c r="A18538" s="2">
        <v>18533</v>
      </c>
      <c r="B18538" s="11" t="str">
        <f>"00822514"</f>
        <v>00822514</v>
      </c>
    </row>
    <row r="18539" spans="1:2" x14ac:dyDescent="0.25">
      <c r="A18539" s="2">
        <v>18534</v>
      </c>
      <c r="B18539" s="11" t="str">
        <f>"00822537"</f>
        <v>00822537</v>
      </c>
    </row>
    <row r="18540" spans="1:2" x14ac:dyDescent="0.25">
      <c r="A18540" s="2">
        <v>18535</v>
      </c>
      <c r="B18540" s="11" t="str">
        <f>"00822563"</f>
        <v>00822563</v>
      </c>
    </row>
    <row r="18541" spans="1:2" x14ac:dyDescent="0.25">
      <c r="A18541" s="2">
        <v>18536</v>
      </c>
      <c r="B18541" s="11" t="str">
        <f>"00822597"</f>
        <v>00822597</v>
      </c>
    </row>
    <row r="18542" spans="1:2" x14ac:dyDescent="0.25">
      <c r="A18542" s="2">
        <v>18537</v>
      </c>
      <c r="B18542" s="11" t="str">
        <f>"00822634"</f>
        <v>00822634</v>
      </c>
    </row>
    <row r="18543" spans="1:2" x14ac:dyDescent="0.25">
      <c r="A18543" s="2">
        <v>18538</v>
      </c>
      <c r="B18543" s="11" t="str">
        <f>"00822686"</f>
        <v>00822686</v>
      </c>
    </row>
    <row r="18544" spans="1:2" x14ac:dyDescent="0.25">
      <c r="A18544" s="2">
        <v>18539</v>
      </c>
      <c r="B18544" s="11" t="str">
        <f>"00822708"</f>
        <v>00822708</v>
      </c>
    </row>
    <row r="18545" spans="1:2" x14ac:dyDescent="0.25">
      <c r="A18545" s="2">
        <v>18540</v>
      </c>
      <c r="B18545" s="11" t="str">
        <f>"00822768"</f>
        <v>00822768</v>
      </c>
    </row>
    <row r="18546" spans="1:2" x14ac:dyDescent="0.25">
      <c r="A18546" s="2">
        <v>18541</v>
      </c>
      <c r="B18546" s="11" t="str">
        <f>"00822781"</f>
        <v>00822781</v>
      </c>
    </row>
    <row r="18547" spans="1:2" x14ac:dyDescent="0.25">
      <c r="A18547" s="2">
        <v>18542</v>
      </c>
      <c r="B18547" s="11" t="str">
        <f>"00822797"</f>
        <v>00822797</v>
      </c>
    </row>
    <row r="18548" spans="1:2" x14ac:dyDescent="0.25">
      <c r="A18548" s="2">
        <v>18543</v>
      </c>
      <c r="B18548" s="11" t="str">
        <f>"00822805"</f>
        <v>00822805</v>
      </c>
    </row>
    <row r="18549" spans="1:2" x14ac:dyDescent="0.25">
      <c r="A18549" s="2">
        <v>18544</v>
      </c>
      <c r="B18549" s="11" t="str">
        <f>"00822812"</f>
        <v>00822812</v>
      </c>
    </row>
    <row r="18550" spans="1:2" x14ac:dyDescent="0.25">
      <c r="A18550" s="2">
        <v>18545</v>
      </c>
      <c r="B18550" s="11" t="str">
        <f>"00822863"</f>
        <v>00822863</v>
      </c>
    </row>
    <row r="18551" spans="1:2" x14ac:dyDescent="0.25">
      <c r="A18551" s="2">
        <v>18546</v>
      </c>
      <c r="B18551" s="11" t="str">
        <f>"00822891"</f>
        <v>00822891</v>
      </c>
    </row>
    <row r="18552" spans="1:2" x14ac:dyDescent="0.25">
      <c r="A18552" s="2">
        <v>18547</v>
      </c>
      <c r="B18552" s="11" t="str">
        <f>"00822906"</f>
        <v>00822906</v>
      </c>
    </row>
    <row r="18553" spans="1:2" x14ac:dyDescent="0.25">
      <c r="A18553" s="2">
        <v>18548</v>
      </c>
      <c r="B18553" s="11" t="str">
        <f>"00822951"</f>
        <v>00822951</v>
      </c>
    </row>
    <row r="18554" spans="1:2" x14ac:dyDescent="0.25">
      <c r="A18554" s="2">
        <v>18549</v>
      </c>
      <c r="B18554" s="11" t="str">
        <f>"00822994"</f>
        <v>00822994</v>
      </c>
    </row>
    <row r="18555" spans="1:2" x14ac:dyDescent="0.25">
      <c r="A18555" s="2">
        <v>18550</v>
      </c>
      <c r="B18555" s="11" t="str">
        <f>"00823027"</f>
        <v>00823027</v>
      </c>
    </row>
    <row r="18556" spans="1:2" x14ac:dyDescent="0.25">
      <c r="A18556" s="2">
        <v>18551</v>
      </c>
      <c r="B18556" s="11" t="str">
        <f>"00823062"</f>
        <v>00823062</v>
      </c>
    </row>
    <row r="18557" spans="1:2" x14ac:dyDescent="0.25">
      <c r="A18557" s="2">
        <v>18552</v>
      </c>
      <c r="B18557" s="11" t="str">
        <f>"00823069"</f>
        <v>00823069</v>
      </c>
    </row>
    <row r="18558" spans="1:2" x14ac:dyDescent="0.25">
      <c r="A18558" s="2">
        <v>18553</v>
      </c>
      <c r="B18558" s="11" t="str">
        <f>"00823118"</f>
        <v>00823118</v>
      </c>
    </row>
    <row r="18559" spans="1:2" x14ac:dyDescent="0.25">
      <c r="A18559" s="2">
        <v>18554</v>
      </c>
      <c r="B18559" s="11" t="str">
        <f>"00823238"</f>
        <v>00823238</v>
      </c>
    </row>
    <row r="18560" spans="1:2" x14ac:dyDescent="0.25">
      <c r="A18560" s="2">
        <v>18555</v>
      </c>
      <c r="B18560" s="11" t="str">
        <f>"00823261"</f>
        <v>00823261</v>
      </c>
    </row>
    <row r="18561" spans="1:2" x14ac:dyDescent="0.25">
      <c r="A18561" s="2">
        <v>18556</v>
      </c>
      <c r="B18561" s="11" t="str">
        <f>"00823270"</f>
        <v>00823270</v>
      </c>
    </row>
    <row r="18562" spans="1:2" x14ac:dyDescent="0.25">
      <c r="A18562" s="2">
        <v>18557</v>
      </c>
      <c r="B18562" s="11" t="str">
        <f>"00823294"</f>
        <v>00823294</v>
      </c>
    </row>
    <row r="18563" spans="1:2" x14ac:dyDescent="0.25">
      <c r="A18563" s="2">
        <v>18558</v>
      </c>
      <c r="B18563" s="11" t="str">
        <f>"00823325"</f>
        <v>00823325</v>
      </c>
    </row>
    <row r="18564" spans="1:2" x14ac:dyDescent="0.25">
      <c r="A18564" s="2">
        <v>18559</v>
      </c>
      <c r="B18564" s="11" t="str">
        <f>"00823337"</f>
        <v>00823337</v>
      </c>
    </row>
    <row r="18565" spans="1:2" x14ac:dyDescent="0.25">
      <c r="A18565" s="2">
        <v>18560</v>
      </c>
      <c r="B18565" s="11" t="str">
        <f>"00823347"</f>
        <v>00823347</v>
      </c>
    </row>
    <row r="18566" spans="1:2" x14ac:dyDescent="0.25">
      <c r="A18566" s="2">
        <v>18561</v>
      </c>
      <c r="B18566" s="11" t="str">
        <f>"00823435"</f>
        <v>00823435</v>
      </c>
    </row>
    <row r="18567" spans="1:2" x14ac:dyDescent="0.25">
      <c r="A18567" s="2">
        <v>18562</v>
      </c>
      <c r="B18567" s="11" t="str">
        <f>"00823439"</f>
        <v>00823439</v>
      </c>
    </row>
    <row r="18568" spans="1:2" x14ac:dyDescent="0.25">
      <c r="A18568" s="2">
        <v>18563</v>
      </c>
      <c r="B18568" s="11" t="str">
        <f>"00823502"</f>
        <v>00823502</v>
      </c>
    </row>
    <row r="18569" spans="1:2" x14ac:dyDescent="0.25">
      <c r="A18569" s="2">
        <v>18564</v>
      </c>
      <c r="B18569" s="11" t="str">
        <f>"00823526"</f>
        <v>00823526</v>
      </c>
    </row>
    <row r="18570" spans="1:2" x14ac:dyDescent="0.25">
      <c r="A18570" s="2">
        <v>18565</v>
      </c>
      <c r="B18570" s="11" t="str">
        <f>"00823591"</f>
        <v>00823591</v>
      </c>
    </row>
    <row r="18571" spans="1:2" x14ac:dyDescent="0.25">
      <c r="A18571" s="2">
        <v>18566</v>
      </c>
      <c r="B18571" s="11" t="str">
        <f>"00823592"</f>
        <v>00823592</v>
      </c>
    </row>
    <row r="18572" spans="1:2" x14ac:dyDescent="0.25">
      <c r="A18572" s="2">
        <v>18567</v>
      </c>
      <c r="B18572" s="11" t="str">
        <f>"00823652"</f>
        <v>00823652</v>
      </c>
    </row>
    <row r="18573" spans="1:2" x14ac:dyDescent="0.25">
      <c r="A18573" s="2">
        <v>18568</v>
      </c>
      <c r="B18573" s="11" t="str">
        <f>"00823662"</f>
        <v>00823662</v>
      </c>
    </row>
    <row r="18574" spans="1:2" x14ac:dyDescent="0.25">
      <c r="A18574" s="2">
        <v>18569</v>
      </c>
      <c r="B18574" s="11" t="str">
        <f>"00823693"</f>
        <v>00823693</v>
      </c>
    </row>
    <row r="18575" spans="1:2" x14ac:dyDescent="0.25">
      <c r="A18575" s="2">
        <v>18570</v>
      </c>
      <c r="B18575" s="11" t="str">
        <f>"00823708"</f>
        <v>00823708</v>
      </c>
    </row>
    <row r="18576" spans="1:2" x14ac:dyDescent="0.25">
      <c r="A18576" s="2">
        <v>18571</v>
      </c>
      <c r="B18576" s="11" t="str">
        <f>"00823710"</f>
        <v>00823710</v>
      </c>
    </row>
    <row r="18577" spans="1:2" x14ac:dyDescent="0.25">
      <c r="A18577" s="2">
        <v>18572</v>
      </c>
      <c r="B18577" s="11" t="str">
        <f>"00823823"</f>
        <v>00823823</v>
      </c>
    </row>
    <row r="18578" spans="1:2" x14ac:dyDescent="0.25">
      <c r="A18578" s="2">
        <v>18573</v>
      </c>
      <c r="B18578" s="11" t="str">
        <f>"00823847"</f>
        <v>00823847</v>
      </c>
    </row>
    <row r="18579" spans="1:2" x14ac:dyDescent="0.25">
      <c r="A18579" s="2">
        <v>18574</v>
      </c>
      <c r="B18579" s="11" t="str">
        <f>"00823858"</f>
        <v>00823858</v>
      </c>
    </row>
    <row r="18580" spans="1:2" x14ac:dyDescent="0.25">
      <c r="A18580" s="2">
        <v>18575</v>
      </c>
      <c r="B18580" s="11" t="str">
        <f>"00823866"</f>
        <v>00823866</v>
      </c>
    </row>
    <row r="18581" spans="1:2" x14ac:dyDescent="0.25">
      <c r="A18581" s="2">
        <v>18576</v>
      </c>
      <c r="B18581" s="11" t="str">
        <f>"00823965"</f>
        <v>00823965</v>
      </c>
    </row>
    <row r="18582" spans="1:2" x14ac:dyDescent="0.25">
      <c r="A18582" s="2">
        <v>18577</v>
      </c>
      <c r="B18582" s="11" t="str">
        <f>"00824069"</f>
        <v>00824069</v>
      </c>
    </row>
    <row r="18583" spans="1:2" x14ac:dyDescent="0.25">
      <c r="A18583" s="2">
        <v>18578</v>
      </c>
      <c r="B18583" s="11" t="str">
        <f>"00824092"</f>
        <v>00824092</v>
      </c>
    </row>
    <row r="18584" spans="1:2" x14ac:dyDescent="0.25">
      <c r="A18584" s="2">
        <v>18579</v>
      </c>
      <c r="B18584" s="11" t="str">
        <f>"00824141"</f>
        <v>00824141</v>
      </c>
    </row>
    <row r="18585" spans="1:2" x14ac:dyDescent="0.25">
      <c r="A18585" s="2">
        <v>18580</v>
      </c>
      <c r="B18585" s="11" t="str">
        <f>"00824209"</f>
        <v>00824209</v>
      </c>
    </row>
    <row r="18586" spans="1:2" x14ac:dyDescent="0.25">
      <c r="A18586" s="2">
        <v>18581</v>
      </c>
      <c r="B18586" s="11" t="str">
        <f>"00824229"</f>
        <v>00824229</v>
      </c>
    </row>
    <row r="18587" spans="1:2" x14ac:dyDescent="0.25">
      <c r="A18587" s="2">
        <v>18582</v>
      </c>
      <c r="B18587" s="11" t="str">
        <f>"00824256"</f>
        <v>00824256</v>
      </c>
    </row>
    <row r="18588" spans="1:2" x14ac:dyDescent="0.25">
      <c r="A18588" s="2">
        <v>18583</v>
      </c>
      <c r="B18588" s="11" t="str">
        <f>"00824259"</f>
        <v>00824259</v>
      </c>
    </row>
    <row r="18589" spans="1:2" x14ac:dyDescent="0.25">
      <c r="A18589" s="2">
        <v>18584</v>
      </c>
      <c r="B18589" s="11" t="str">
        <f>"00824330"</f>
        <v>00824330</v>
      </c>
    </row>
    <row r="18590" spans="1:2" x14ac:dyDescent="0.25">
      <c r="A18590" s="2">
        <v>18585</v>
      </c>
      <c r="B18590" s="11" t="str">
        <f>"00824338"</f>
        <v>00824338</v>
      </c>
    </row>
    <row r="18591" spans="1:2" x14ac:dyDescent="0.25">
      <c r="A18591" s="2">
        <v>18586</v>
      </c>
      <c r="B18591" s="11" t="str">
        <f>"00824373"</f>
        <v>00824373</v>
      </c>
    </row>
    <row r="18592" spans="1:2" x14ac:dyDescent="0.25">
      <c r="A18592" s="2">
        <v>18587</v>
      </c>
      <c r="B18592" s="11" t="str">
        <f>"00824394"</f>
        <v>00824394</v>
      </c>
    </row>
    <row r="18593" spans="1:2" x14ac:dyDescent="0.25">
      <c r="A18593" s="2">
        <v>18588</v>
      </c>
      <c r="B18593" s="11" t="str">
        <f>"00824440"</f>
        <v>00824440</v>
      </c>
    </row>
    <row r="18594" spans="1:2" x14ac:dyDescent="0.25">
      <c r="A18594" s="2">
        <v>18589</v>
      </c>
      <c r="B18594" s="11" t="str">
        <f>"00824443"</f>
        <v>00824443</v>
      </c>
    </row>
    <row r="18595" spans="1:2" x14ac:dyDescent="0.25">
      <c r="A18595" s="2">
        <v>18590</v>
      </c>
      <c r="B18595" s="11" t="str">
        <f>"00824465"</f>
        <v>00824465</v>
      </c>
    </row>
    <row r="18596" spans="1:2" x14ac:dyDescent="0.25">
      <c r="A18596" s="2">
        <v>18591</v>
      </c>
      <c r="B18596" s="11" t="str">
        <f>"00824521"</f>
        <v>00824521</v>
      </c>
    </row>
    <row r="18597" spans="1:2" x14ac:dyDescent="0.25">
      <c r="A18597" s="2">
        <v>18592</v>
      </c>
      <c r="B18597" s="11" t="str">
        <f>"00824595"</f>
        <v>00824595</v>
      </c>
    </row>
    <row r="18598" spans="1:2" x14ac:dyDescent="0.25">
      <c r="A18598" s="2">
        <v>18593</v>
      </c>
      <c r="B18598" s="11" t="str">
        <f>"00824699"</f>
        <v>00824699</v>
      </c>
    </row>
    <row r="18599" spans="1:2" x14ac:dyDescent="0.25">
      <c r="A18599" s="2">
        <v>18594</v>
      </c>
      <c r="B18599" s="11" t="str">
        <f>"00824718"</f>
        <v>00824718</v>
      </c>
    </row>
    <row r="18600" spans="1:2" x14ac:dyDescent="0.25">
      <c r="A18600" s="2">
        <v>18595</v>
      </c>
      <c r="B18600" s="11" t="str">
        <f>"00824743"</f>
        <v>00824743</v>
      </c>
    </row>
    <row r="18601" spans="1:2" x14ac:dyDescent="0.25">
      <c r="A18601" s="2">
        <v>18596</v>
      </c>
      <c r="B18601" s="11" t="str">
        <f>"00824752"</f>
        <v>00824752</v>
      </c>
    </row>
    <row r="18602" spans="1:2" x14ac:dyDescent="0.25">
      <c r="A18602" s="2">
        <v>18597</v>
      </c>
      <c r="B18602" s="11" t="str">
        <f>"00824844"</f>
        <v>00824844</v>
      </c>
    </row>
    <row r="18603" spans="1:2" x14ac:dyDescent="0.25">
      <c r="A18603" s="2">
        <v>18598</v>
      </c>
      <c r="B18603" s="11" t="str">
        <f>"00824866"</f>
        <v>00824866</v>
      </c>
    </row>
    <row r="18604" spans="1:2" x14ac:dyDescent="0.25">
      <c r="A18604" s="2">
        <v>18599</v>
      </c>
      <c r="B18604" s="11" t="str">
        <f>"00824883"</f>
        <v>00824883</v>
      </c>
    </row>
    <row r="18605" spans="1:2" x14ac:dyDescent="0.25">
      <c r="A18605" s="2">
        <v>18600</v>
      </c>
      <c r="B18605" s="11" t="str">
        <f>"00824911"</f>
        <v>00824911</v>
      </c>
    </row>
    <row r="18606" spans="1:2" x14ac:dyDescent="0.25">
      <c r="A18606" s="2">
        <v>18601</v>
      </c>
      <c r="B18606" s="11" t="str">
        <f>"00825000"</f>
        <v>00825000</v>
      </c>
    </row>
    <row r="18607" spans="1:2" x14ac:dyDescent="0.25">
      <c r="A18607" s="2">
        <v>18602</v>
      </c>
      <c r="B18607" s="11" t="str">
        <f>"00825024"</f>
        <v>00825024</v>
      </c>
    </row>
    <row r="18608" spans="1:2" x14ac:dyDescent="0.25">
      <c r="A18608" s="2">
        <v>18603</v>
      </c>
      <c r="B18608" s="11" t="str">
        <f>"00825277"</f>
        <v>00825277</v>
      </c>
    </row>
    <row r="18609" spans="1:2" x14ac:dyDescent="0.25">
      <c r="A18609" s="2">
        <v>18604</v>
      </c>
      <c r="B18609" s="11" t="str">
        <f>"00825286"</f>
        <v>00825286</v>
      </c>
    </row>
    <row r="18610" spans="1:2" x14ac:dyDescent="0.25">
      <c r="A18610" s="2">
        <v>18605</v>
      </c>
      <c r="B18610" s="11" t="str">
        <f>"00825318"</f>
        <v>00825318</v>
      </c>
    </row>
    <row r="18611" spans="1:2" x14ac:dyDescent="0.25">
      <c r="A18611" s="2">
        <v>18606</v>
      </c>
      <c r="B18611" s="11" t="str">
        <f>"00825323"</f>
        <v>00825323</v>
      </c>
    </row>
    <row r="18612" spans="1:2" x14ac:dyDescent="0.25">
      <c r="A18612" s="2">
        <v>18607</v>
      </c>
      <c r="B18612" s="11" t="str">
        <f>"00825330"</f>
        <v>00825330</v>
      </c>
    </row>
    <row r="18613" spans="1:2" x14ac:dyDescent="0.25">
      <c r="A18613" s="2">
        <v>18608</v>
      </c>
      <c r="B18613" s="11" t="str">
        <f>"00825335"</f>
        <v>00825335</v>
      </c>
    </row>
    <row r="18614" spans="1:2" x14ac:dyDescent="0.25">
      <c r="A18614" s="2">
        <v>18609</v>
      </c>
      <c r="B18614" s="11" t="str">
        <f>"00825353"</f>
        <v>00825353</v>
      </c>
    </row>
    <row r="18615" spans="1:2" x14ac:dyDescent="0.25">
      <c r="A18615" s="2">
        <v>18610</v>
      </c>
      <c r="B18615" s="11" t="str">
        <f>"00825407"</f>
        <v>00825407</v>
      </c>
    </row>
    <row r="18616" spans="1:2" x14ac:dyDescent="0.25">
      <c r="A18616" s="2">
        <v>18611</v>
      </c>
      <c r="B18616" s="11" t="str">
        <f>"00825454"</f>
        <v>00825454</v>
      </c>
    </row>
    <row r="18617" spans="1:2" x14ac:dyDescent="0.25">
      <c r="A18617" s="2">
        <v>18612</v>
      </c>
      <c r="B18617" s="11" t="str">
        <f>"00825483"</f>
        <v>00825483</v>
      </c>
    </row>
    <row r="18618" spans="1:2" x14ac:dyDescent="0.25">
      <c r="A18618" s="2">
        <v>18613</v>
      </c>
      <c r="B18618" s="11" t="str">
        <f>"00825541"</f>
        <v>00825541</v>
      </c>
    </row>
    <row r="18619" spans="1:2" x14ac:dyDescent="0.25">
      <c r="A18619" s="2">
        <v>18614</v>
      </c>
      <c r="B18619" s="11" t="str">
        <f>"00825545"</f>
        <v>00825545</v>
      </c>
    </row>
    <row r="18620" spans="1:2" x14ac:dyDescent="0.25">
      <c r="A18620" s="2">
        <v>18615</v>
      </c>
      <c r="B18620" s="11" t="str">
        <f>"00825577"</f>
        <v>00825577</v>
      </c>
    </row>
    <row r="18621" spans="1:2" x14ac:dyDescent="0.25">
      <c r="A18621" s="2">
        <v>18616</v>
      </c>
      <c r="B18621" s="11" t="str">
        <f>"00825591"</f>
        <v>00825591</v>
      </c>
    </row>
    <row r="18622" spans="1:2" x14ac:dyDescent="0.25">
      <c r="A18622" s="2">
        <v>18617</v>
      </c>
      <c r="B18622" s="11" t="str">
        <f>"00825625"</f>
        <v>00825625</v>
      </c>
    </row>
    <row r="18623" spans="1:2" x14ac:dyDescent="0.25">
      <c r="A18623" s="2">
        <v>18618</v>
      </c>
      <c r="B18623" s="11" t="str">
        <f>"00825664"</f>
        <v>00825664</v>
      </c>
    </row>
    <row r="18624" spans="1:2" x14ac:dyDescent="0.25">
      <c r="A18624" s="2">
        <v>18619</v>
      </c>
      <c r="B18624" s="11" t="str">
        <f>"00825669"</f>
        <v>00825669</v>
      </c>
    </row>
    <row r="18625" spans="1:2" x14ac:dyDescent="0.25">
      <c r="A18625" s="2">
        <v>18620</v>
      </c>
      <c r="B18625" s="11" t="str">
        <f>"00825695"</f>
        <v>00825695</v>
      </c>
    </row>
    <row r="18626" spans="1:2" x14ac:dyDescent="0.25">
      <c r="A18626" s="2">
        <v>18621</v>
      </c>
      <c r="B18626" s="11" t="str">
        <f>"00825743"</f>
        <v>00825743</v>
      </c>
    </row>
    <row r="18627" spans="1:2" x14ac:dyDescent="0.25">
      <c r="A18627" s="2">
        <v>18622</v>
      </c>
      <c r="B18627" s="11" t="str">
        <f>"00825755"</f>
        <v>00825755</v>
      </c>
    </row>
    <row r="18628" spans="1:2" x14ac:dyDescent="0.25">
      <c r="A18628" s="2">
        <v>18623</v>
      </c>
      <c r="B18628" s="11" t="str">
        <f>"00825772"</f>
        <v>00825772</v>
      </c>
    </row>
    <row r="18629" spans="1:2" x14ac:dyDescent="0.25">
      <c r="A18629" s="2">
        <v>18624</v>
      </c>
      <c r="B18629" s="11" t="str">
        <f>"00825841"</f>
        <v>00825841</v>
      </c>
    </row>
    <row r="18630" spans="1:2" x14ac:dyDescent="0.25">
      <c r="A18630" s="2">
        <v>18625</v>
      </c>
      <c r="B18630" s="11" t="str">
        <f>"00825905"</f>
        <v>00825905</v>
      </c>
    </row>
    <row r="18631" spans="1:2" x14ac:dyDescent="0.25">
      <c r="A18631" s="2">
        <v>18626</v>
      </c>
      <c r="B18631" s="11" t="str">
        <f>"00825908"</f>
        <v>00825908</v>
      </c>
    </row>
    <row r="18632" spans="1:2" x14ac:dyDescent="0.25">
      <c r="A18632" s="2">
        <v>18627</v>
      </c>
      <c r="B18632" s="11" t="str">
        <f>"00826065"</f>
        <v>00826065</v>
      </c>
    </row>
    <row r="18633" spans="1:2" x14ac:dyDescent="0.25">
      <c r="A18633" s="2">
        <v>18628</v>
      </c>
      <c r="B18633" s="11" t="str">
        <f>"00826094"</f>
        <v>00826094</v>
      </c>
    </row>
    <row r="18634" spans="1:2" x14ac:dyDescent="0.25">
      <c r="A18634" s="2">
        <v>18629</v>
      </c>
      <c r="B18634" s="11" t="str">
        <f>"00826109"</f>
        <v>00826109</v>
      </c>
    </row>
    <row r="18635" spans="1:2" x14ac:dyDescent="0.25">
      <c r="A18635" s="2">
        <v>18630</v>
      </c>
      <c r="B18635" s="11" t="str">
        <f>"00826124"</f>
        <v>00826124</v>
      </c>
    </row>
    <row r="18636" spans="1:2" x14ac:dyDescent="0.25">
      <c r="A18636" s="2">
        <v>18631</v>
      </c>
      <c r="B18636" s="11" t="str">
        <f>"00826142"</f>
        <v>00826142</v>
      </c>
    </row>
    <row r="18637" spans="1:2" x14ac:dyDescent="0.25">
      <c r="A18637" s="2">
        <v>18632</v>
      </c>
      <c r="B18637" s="11" t="str">
        <f>"00826184"</f>
        <v>00826184</v>
      </c>
    </row>
    <row r="18638" spans="1:2" x14ac:dyDescent="0.25">
      <c r="A18638" s="2">
        <v>18633</v>
      </c>
      <c r="B18638" s="11" t="str">
        <f>"00826233"</f>
        <v>00826233</v>
      </c>
    </row>
    <row r="18639" spans="1:2" x14ac:dyDescent="0.25">
      <c r="A18639" s="2">
        <v>18634</v>
      </c>
      <c r="B18639" s="11" t="str">
        <f>"00826241"</f>
        <v>00826241</v>
      </c>
    </row>
    <row r="18640" spans="1:2" x14ac:dyDescent="0.25">
      <c r="A18640" s="2">
        <v>18635</v>
      </c>
      <c r="B18640" s="11" t="str">
        <f>"00826250"</f>
        <v>00826250</v>
      </c>
    </row>
    <row r="18641" spans="1:2" x14ac:dyDescent="0.25">
      <c r="A18641" s="2">
        <v>18636</v>
      </c>
      <c r="B18641" s="11" t="str">
        <f>"00826257"</f>
        <v>00826257</v>
      </c>
    </row>
    <row r="18642" spans="1:2" x14ac:dyDescent="0.25">
      <c r="A18642" s="2">
        <v>18637</v>
      </c>
      <c r="B18642" s="11" t="str">
        <f>"00826287"</f>
        <v>00826287</v>
      </c>
    </row>
    <row r="18643" spans="1:2" x14ac:dyDescent="0.25">
      <c r="A18643" s="2">
        <v>18638</v>
      </c>
      <c r="B18643" s="11" t="str">
        <f>"00826295"</f>
        <v>00826295</v>
      </c>
    </row>
    <row r="18644" spans="1:2" x14ac:dyDescent="0.25">
      <c r="A18644" s="2">
        <v>18639</v>
      </c>
      <c r="B18644" s="11" t="str">
        <f>"00826391"</f>
        <v>00826391</v>
      </c>
    </row>
    <row r="18645" spans="1:2" x14ac:dyDescent="0.25">
      <c r="A18645" s="2">
        <v>18640</v>
      </c>
      <c r="B18645" s="11" t="str">
        <f>"00826394"</f>
        <v>00826394</v>
      </c>
    </row>
    <row r="18646" spans="1:2" x14ac:dyDescent="0.25">
      <c r="A18646" s="2">
        <v>18641</v>
      </c>
      <c r="B18646" s="11" t="str">
        <f>"00826422"</f>
        <v>00826422</v>
      </c>
    </row>
    <row r="18647" spans="1:2" x14ac:dyDescent="0.25">
      <c r="A18647" s="2">
        <v>18642</v>
      </c>
      <c r="B18647" s="11" t="str">
        <f>"00826468"</f>
        <v>00826468</v>
      </c>
    </row>
    <row r="18648" spans="1:2" x14ac:dyDescent="0.25">
      <c r="A18648" s="2">
        <v>18643</v>
      </c>
      <c r="B18648" s="11" t="str">
        <f>"00826491"</f>
        <v>00826491</v>
      </c>
    </row>
    <row r="18649" spans="1:2" x14ac:dyDescent="0.25">
      <c r="A18649" s="2">
        <v>18644</v>
      </c>
      <c r="B18649" s="11" t="str">
        <f>"00826494"</f>
        <v>00826494</v>
      </c>
    </row>
    <row r="18650" spans="1:2" x14ac:dyDescent="0.25">
      <c r="A18650" s="2">
        <v>18645</v>
      </c>
      <c r="B18650" s="11" t="str">
        <f>"00826514"</f>
        <v>00826514</v>
      </c>
    </row>
    <row r="18651" spans="1:2" x14ac:dyDescent="0.25">
      <c r="A18651" s="2">
        <v>18646</v>
      </c>
      <c r="B18651" s="11" t="str">
        <f>"00826517"</f>
        <v>00826517</v>
      </c>
    </row>
    <row r="18652" spans="1:2" x14ac:dyDescent="0.25">
      <c r="A18652" s="2">
        <v>18647</v>
      </c>
      <c r="B18652" s="11" t="str">
        <f>"00826521"</f>
        <v>00826521</v>
      </c>
    </row>
    <row r="18653" spans="1:2" x14ac:dyDescent="0.25">
      <c r="A18653" s="2">
        <v>18648</v>
      </c>
      <c r="B18653" s="11" t="str">
        <f>"00826525"</f>
        <v>00826525</v>
      </c>
    </row>
    <row r="18654" spans="1:2" x14ac:dyDescent="0.25">
      <c r="A18654" s="2">
        <v>18649</v>
      </c>
      <c r="B18654" s="11" t="str">
        <f>"00826562"</f>
        <v>00826562</v>
      </c>
    </row>
    <row r="18655" spans="1:2" x14ac:dyDescent="0.25">
      <c r="A18655" s="2">
        <v>18650</v>
      </c>
      <c r="B18655" s="11" t="str">
        <f>"00826571"</f>
        <v>00826571</v>
      </c>
    </row>
    <row r="18656" spans="1:2" x14ac:dyDescent="0.25">
      <c r="A18656" s="2">
        <v>18651</v>
      </c>
      <c r="B18656" s="11" t="str">
        <f>"00826579"</f>
        <v>00826579</v>
      </c>
    </row>
    <row r="18657" spans="1:2" x14ac:dyDescent="0.25">
      <c r="A18657" s="2">
        <v>18652</v>
      </c>
      <c r="B18657" s="11" t="str">
        <f>"00826591"</f>
        <v>00826591</v>
      </c>
    </row>
    <row r="18658" spans="1:2" x14ac:dyDescent="0.25">
      <c r="A18658" s="2">
        <v>18653</v>
      </c>
      <c r="B18658" s="11" t="str">
        <f>"00826601"</f>
        <v>00826601</v>
      </c>
    </row>
    <row r="18659" spans="1:2" x14ac:dyDescent="0.25">
      <c r="A18659" s="2">
        <v>18654</v>
      </c>
      <c r="B18659" s="11" t="str">
        <f>"00826619"</f>
        <v>00826619</v>
      </c>
    </row>
    <row r="18660" spans="1:2" x14ac:dyDescent="0.25">
      <c r="A18660" s="2">
        <v>18655</v>
      </c>
      <c r="B18660" s="11" t="str">
        <f>"00826661"</f>
        <v>00826661</v>
      </c>
    </row>
    <row r="18661" spans="1:2" x14ac:dyDescent="0.25">
      <c r="A18661" s="2">
        <v>18656</v>
      </c>
      <c r="B18661" s="11" t="str">
        <f>"00826675"</f>
        <v>00826675</v>
      </c>
    </row>
    <row r="18662" spans="1:2" x14ac:dyDescent="0.25">
      <c r="A18662" s="2">
        <v>18657</v>
      </c>
      <c r="B18662" s="11" t="str">
        <f>"00826708"</f>
        <v>00826708</v>
      </c>
    </row>
    <row r="18663" spans="1:2" x14ac:dyDescent="0.25">
      <c r="A18663" s="2">
        <v>18658</v>
      </c>
      <c r="B18663" s="11" t="str">
        <f>"00826734"</f>
        <v>00826734</v>
      </c>
    </row>
    <row r="18664" spans="1:2" x14ac:dyDescent="0.25">
      <c r="A18664" s="2">
        <v>18659</v>
      </c>
      <c r="B18664" s="11" t="str">
        <f>"00826748"</f>
        <v>00826748</v>
      </c>
    </row>
    <row r="18665" spans="1:2" x14ac:dyDescent="0.25">
      <c r="A18665" s="2">
        <v>18660</v>
      </c>
      <c r="B18665" s="11" t="str">
        <f>"00826767"</f>
        <v>00826767</v>
      </c>
    </row>
    <row r="18666" spans="1:2" x14ac:dyDescent="0.25">
      <c r="A18666" s="2">
        <v>18661</v>
      </c>
      <c r="B18666" s="11" t="str">
        <f>"00826768"</f>
        <v>00826768</v>
      </c>
    </row>
    <row r="18667" spans="1:2" x14ac:dyDescent="0.25">
      <c r="A18667" s="2">
        <v>18662</v>
      </c>
      <c r="B18667" s="11" t="str">
        <f>"00826788"</f>
        <v>00826788</v>
      </c>
    </row>
    <row r="18668" spans="1:2" x14ac:dyDescent="0.25">
      <c r="A18668" s="2">
        <v>18663</v>
      </c>
      <c r="B18668" s="11" t="str">
        <f>"00826841"</f>
        <v>00826841</v>
      </c>
    </row>
    <row r="18669" spans="1:2" x14ac:dyDescent="0.25">
      <c r="A18669" s="2">
        <v>18664</v>
      </c>
      <c r="B18669" s="11" t="str">
        <f>"00826869"</f>
        <v>00826869</v>
      </c>
    </row>
    <row r="18670" spans="1:2" x14ac:dyDescent="0.25">
      <c r="A18670" s="2">
        <v>18665</v>
      </c>
      <c r="B18670" s="11" t="str">
        <f>"00826892"</f>
        <v>00826892</v>
      </c>
    </row>
    <row r="18671" spans="1:2" x14ac:dyDescent="0.25">
      <c r="A18671" s="2">
        <v>18666</v>
      </c>
      <c r="B18671" s="11" t="str">
        <f>"00826901"</f>
        <v>00826901</v>
      </c>
    </row>
    <row r="18672" spans="1:2" x14ac:dyDescent="0.25">
      <c r="A18672" s="2">
        <v>18667</v>
      </c>
      <c r="B18672" s="11" t="str">
        <f>"00826970"</f>
        <v>00826970</v>
      </c>
    </row>
    <row r="18673" spans="1:2" x14ac:dyDescent="0.25">
      <c r="A18673" s="2">
        <v>18668</v>
      </c>
      <c r="B18673" s="11" t="str">
        <f>"00827043"</f>
        <v>00827043</v>
      </c>
    </row>
    <row r="18674" spans="1:2" x14ac:dyDescent="0.25">
      <c r="A18674" s="2">
        <v>18669</v>
      </c>
      <c r="B18674" s="11" t="str">
        <f>"00827056"</f>
        <v>00827056</v>
      </c>
    </row>
    <row r="18675" spans="1:2" x14ac:dyDescent="0.25">
      <c r="A18675" s="2">
        <v>18670</v>
      </c>
      <c r="B18675" s="11" t="str">
        <f>"00827090"</f>
        <v>00827090</v>
      </c>
    </row>
    <row r="18676" spans="1:2" x14ac:dyDescent="0.25">
      <c r="A18676" s="2">
        <v>18671</v>
      </c>
      <c r="B18676" s="11" t="str">
        <f>"00827190"</f>
        <v>00827190</v>
      </c>
    </row>
    <row r="18677" spans="1:2" x14ac:dyDescent="0.25">
      <c r="A18677" s="2">
        <v>18672</v>
      </c>
      <c r="B18677" s="11" t="str">
        <f>"00827212"</f>
        <v>00827212</v>
      </c>
    </row>
    <row r="18678" spans="1:2" x14ac:dyDescent="0.25">
      <c r="A18678" s="2">
        <v>18673</v>
      </c>
      <c r="B18678" s="11" t="str">
        <f>"00827217"</f>
        <v>00827217</v>
      </c>
    </row>
    <row r="18679" spans="1:2" x14ac:dyDescent="0.25">
      <c r="A18679" s="2">
        <v>18674</v>
      </c>
      <c r="B18679" s="11" t="str">
        <f>"00827297"</f>
        <v>00827297</v>
      </c>
    </row>
    <row r="18680" spans="1:2" x14ac:dyDescent="0.25">
      <c r="A18680" s="2">
        <v>18675</v>
      </c>
      <c r="B18680" s="11" t="str">
        <f>"00827301"</f>
        <v>00827301</v>
      </c>
    </row>
    <row r="18681" spans="1:2" x14ac:dyDescent="0.25">
      <c r="A18681" s="2">
        <v>18676</v>
      </c>
      <c r="B18681" s="11" t="str">
        <f>"00827308"</f>
        <v>00827308</v>
      </c>
    </row>
    <row r="18682" spans="1:2" x14ac:dyDescent="0.25">
      <c r="A18682" s="2">
        <v>18677</v>
      </c>
      <c r="B18682" s="11" t="str">
        <f>"00827330"</f>
        <v>00827330</v>
      </c>
    </row>
    <row r="18683" spans="1:2" x14ac:dyDescent="0.25">
      <c r="A18683" s="2">
        <v>18678</v>
      </c>
      <c r="B18683" s="11" t="str">
        <f>"00827404"</f>
        <v>00827404</v>
      </c>
    </row>
    <row r="18684" spans="1:2" x14ac:dyDescent="0.25">
      <c r="A18684" s="2">
        <v>18679</v>
      </c>
      <c r="B18684" s="11" t="str">
        <f>"00827467"</f>
        <v>00827467</v>
      </c>
    </row>
    <row r="18685" spans="1:2" x14ac:dyDescent="0.25">
      <c r="A18685" s="2">
        <v>18680</v>
      </c>
      <c r="B18685" s="11" t="str">
        <f>"00827508"</f>
        <v>00827508</v>
      </c>
    </row>
    <row r="18686" spans="1:2" x14ac:dyDescent="0.25">
      <c r="A18686" s="2">
        <v>18681</v>
      </c>
      <c r="B18686" s="11" t="str">
        <f>"00827518"</f>
        <v>00827518</v>
      </c>
    </row>
    <row r="18687" spans="1:2" x14ac:dyDescent="0.25">
      <c r="A18687" s="2">
        <v>18682</v>
      </c>
      <c r="B18687" s="11" t="str">
        <f>"00827542"</f>
        <v>00827542</v>
      </c>
    </row>
    <row r="18688" spans="1:2" x14ac:dyDescent="0.25">
      <c r="A18688" s="2">
        <v>18683</v>
      </c>
      <c r="B18688" s="11" t="str">
        <f>"00827555"</f>
        <v>00827555</v>
      </c>
    </row>
    <row r="18689" spans="1:2" x14ac:dyDescent="0.25">
      <c r="A18689" s="2">
        <v>18684</v>
      </c>
      <c r="B18689" s="11" t="str">
        <f>"00827587"</f>
        <v>00827587</v>
      </c>
    </row>
    <row r="18690" spans="1:2" x14ac:dyDescent="0.25">
      <c r="A18690" s="2">
        <v>18685</v>
      </c>
      <c r="B18690" s="11" t="str">
        <f>"00827606"</f>
        <v>00827606</v>
      </c>
    </row>
    <row r="18691" spans="1:2" x14ac:dyDescent="0.25">
      <c r="A18691" s="2">
        <v>18686</v>
      </c>
      <c r="B18691" s="11" t="str">
        <f>"00827628"</f>
        <v>00827628</v>
      </c>
    </row>
    <row r="18692" spans="1:2" x14ac:dyDescent="0.25">
      <c r="A18692" s="2">
        <v>18687</v>
      </c>
      <c r="B18692" s="11" t="str">
        <f>"00827631"</f>
        <v>00827631</v>
      </c>
    </row>
    <row r="18693" spans="1:2" x14ac:dyDescent="0.25">
      <c r="A18693" s="2">
        <v>18688</v>
      </c>
      <c r="B18693" s="11" t="str">
        <f>"00827643"</f>
        <v>00827643</v>
      </c>
    </row>
    <row r="18694" spans="1:2" x14ac:dyDescent="0.25">
      <c r="A18694" s="2">
        <v>18689</v>
      </c>
      <c r="B18694" s="11" t="str">
        <f>"00827688"</f>
        <v>00827688</v>
      </c>
    </row>
    <row r="18695" spans="1:2" x14ac:dyDescent="0.25">
      <c r="A18695" s="2">
        <v>18690</v>
      </c>
      <c r="B18695" s="11" t="str">
        <f>"00827701"</f>
        <v>00827701</v>
      </c>
    </row>
    <row r="18696" spans="1:2" x14ac:dyDescent="0.25">
      <c r="A18696" s="2">
        <v>18691</v>
      </c>
      <c r="B18696" s="11" t="str">
        <f>"00827736"</f>
        <v>00827736</v>
      </c>
    </row>
    <row r="18697" spans="1:2" x14ac:dyDescent="0.25">
      <c r="A18697" s="2">
        <v>18692</v>
      </c>
      <c r="B18697" s="11" t="str">
        <f>"00827753"</f>
        <v>00827753</v>
      </c>
    </row>
    <row r="18698" spans="1:2" x14ac:dyDescent="0.25">
      <c r="A18698" s="2">
        <v>18693</v>
      </c>
      <c r="B18698" s="11" t="str">
        <f>"00827915"</f>
        <v>00827915</v>
      </c>
    </row>
    <row r="18699" spans="1:2" x14ac:dyDescent="0.25">
      <c r="A18699" s="2">
        <v>18694</v>
      </c>
      <c r="B18699" s="11" t="str">
        <f>"00827938"</f>
        <v>00827938</v>
      </c>
    </row>
    <row r="18700" spans="1:2" x14ac:dyDescent="0.25">
      <c r="A18700" s="2">
        <v>18695</v>
      </c>
      <c r="B18700" s="11" t="str">
        <f>"00827977"</f>
        <v>00827977</v>
      </c>
    </row>
    <row r="18701" spans="1:2" x14ac:dyDescent="0.25">
      <c r="A18701" s="2">
        <v>18696</v>
      </c>
      <c r="B18701" s="11" t="str">
        <f>"00828030"</f>
        <v>00828030</v>
      </c>
    </row>
    <row r="18702" spans="1:2" x14ac:dyDescent="0.25">
      <c r="A18702" s="2">
        <v>18697</v>
      </c>
      <c r="B18702" s="11" t="str">
        <f>"00828034"</f>
        <v>00828034</v>
      </c>
    </row>
    <row r="18703" spans="1:2" x14ac:dyDescent="0.25">
      <c r="A18703" s="2">
        <v>18698</v>
      </c>
      <c r="B18703" s="11" t="str">
        <f>"00828077"</f>
        <v>00828077</v>
      </c>
    </row>
    <row r="18704" spans="1:2" x14ac:dyDescent="0.25">
      <c r="A18704" s="2">
        <v>18699</v>
      </c>
      <c r="B18704" s="11" t="str">
        <f>"00828100"</f>
        <v>00828100</v>
      </c>
    </row>
    <row r="18705" spans="1:2" x14ac:dyDescent="0.25">
      <c r="A18705" s="2">
        <v>18700</v>
      </c>
      <c r="B18705" s="11" t="str">
        <f>"00828122"</f>
        <v>00828122</v>
      </c>
    </row>
    <row r="18706" spans="1:2" x14ac:dyDescent="0.25">
      <c r="A18706" s="2">
        <v>18701</v>
      </c>
      <c r="B18706" s="11" t="str">
        <f>"00828152"</f>
        <v>00828152</v>
      </c>
    </row>
    <row r="18707" spans="1:2" x14ac:dyDescent="0.25">
      <c r="A18707" s="2">
        <v>18702</v>
      </c>
      <c r="B18707" s="11" t="str">
        <f>"00828165"</f>
        <v>00828165</v>
      </c>
    </row>
    <row r="18708" spans="1:2" x14ac:dyDescent="0.25">
      <c r="A18708" s="2">
        <v>18703</v>
      </c>
      <c r="B18708" s="11" t="str">
        <f>"00828175"</f>
        <v>00828175</v>
      </c>
    </row>
    <row r="18709" spans="1:2" x14ac:dyDescent="0.25">
      <c r="A18709" s="2">
        <v>18704</v>
      </c>
      <c r="B18709" s="11" t="str">
        <f>"00828326"</f>
        <v>00828326</v>
      </c>
    </row>
    <row r="18710" spans="1:2" x14ac:dyDescent="0.25">
      <c r="A18710" s="2">
        <v>18705</v>
      </c>
      <c r="B18710" s="11" t="str">
        <f>"00828359"</f>
        <v>00828359</v>
      </c>
    </row>
    <row r="18711" spans="1:2" x14ac:dyDescent="0.25">
      <c r="A18711" s="2">
        <v>18706</v>
      </c>
      <c r="B18711" s="11" t="str">
        <f>"00828402"</f>
        <v>00828402</v>
      </c>
    </row>
    <row r="18712" spans="1:2" x14ac:dyDescent="0.25">
      <c r="A18712" s="2">
        <v>18707</v>
      </c>
      <c r="B18712" s="11" t="str">
        <f>"00828405"</f>
        <v>00828405</v>
      </c>
    </row>
    <row r="18713" spans="1:2" x14ac:dyDescent="0.25">
      <c r="A18713" s="2">
        <v>18708</v>
      </c>
      <c r="B18713" s="11" t="str">
        <f>"00828426"</f>
        <v>00828426</v>
      </c>
    </row>
    <row r="18714" spans="1:2" x14ac:dyDescent="0.25">
      <c r="A18714" s="2">
        <v>18709</v>
      </c>
      <c r="B18714" s="11" t="str">
        <f>"00828442"</f>
        <v>00828442</v>
      </c>
    </row>
    <row r="18715" spans="1:2" x14ac:dyDescent="0.25">
      <c r="A18715" s="2">
        <v>18710</v>
      </c>
      <c r="B18715" s="11" t="str">
        <f>"00828481"</f>
        <v>00828481</v>
      </c>
    </row>
    <row r="18716" spans="1:2" x14ac:dyDescent="0.25">
      <c r="A18716" s="2">
        <v>18711</v>
      </c>
      <c r="B18716" s="11" t="str">
        <f>"00828542"</f>
        <v>00828542</v>
      </c>
    </row>
    <row r="18717" spans="1:2" x14ac:dyDescent="0.25">
      <c r="A18717" s="2">
        <v>18712</v>
      </c>
      <c r="B18717" s="11" t="str">
        <f>"00828566"</f>
        <v>00828566</v>
      </c>
    </row>
    <row r="18718" spans="1:2" x14ac:dyDescent="0.25">
      <c r="A18718" s="2">
        <v>18713</v>
      </c>
      <c r="B18718" s="11" t="str">
        <f>"00828590"</f>
        <v>00828590</v>
      </c>
    </row>
    <row r="18719" spans="1:2" x14ac:dyDescent="0.25">
      <c r="A18719" s="2">
        <v>18714</v>
      </c>
      <c r="B18719" s="11" t="str">
        <f>"00828598"</f>
        <v>00828598</v>
      </c>
    </row>
    <row r="18720" spans="1:2" x14ac:dyDescent="0.25">
      <c r="A18720" s="2">
        <v>18715</v>
      </c>
      <c r="B18720" s="11" t="str">
        <f>"00828662"</f>
        <v>00828662</v>
      </c>
    </row>
    <row r="18721" spans="1:2" x14ac:dyDescent="0.25">
      <c r="A18721" s="2">
        <v>18716</v>
      </c>
      <c r="B18721" s="11" t="str">
        <f>"00828677"</f>
        <v>00828677</v>
      </c>
    </row>
    <row r="18722" spans="1:2" x14ac:dyDescent="0.25">
      <c r="A18722" s="2">
        <v>18717</v>
      </c>
      <c r="B18722" s="11" t="str">
        <f>"00828732"</f>
        <v>00828732</v>
      </c>
    </row>
    <row r="18723" spans="1:2" x14ac:dyDescent="0.25">
      <c r="A18723" s="2">
        <v>18718</v>
      </c>
      <c r="B18723" s="11" t="str">
        <f>"00828736"</f>
        <v>00828736</v>
      </c>
    </row>
    <row r="18724" spans="1:2" x14ac:dyDescent="0.25">
      <c r="A18724" s="2">
        <v>18719</v>
      </c>
      <c r="B18724" s="11" t="str">
        <f>"00828794"</f>
        <v>00828794</v>
      </c>
    </row>
    <row r="18725" spans="1:2" x14ac:dyDescent="0.25">
      <c r="A18725" s="2">
        <v>18720</v>
      </c>
      <c r="B18725" s="11" t="str">
        <f>"00828801"</f>
        <v>00828801</v>
      </c>
    </row>
    <row r="18726" spans="1:2" x14ac:dyDescent="0.25">
      <c r="A18726" s="2">
        <v>18721</v>
      </c>
      <c r="B18726" s="11" t="str">
        <f>"00828817"</f>
        <v>00828817</v>
      </c>
    </row>
    <row r="18727" spans="1:2" x14ac:dyDescent="0.25">
      <c r="A18727" s="2">
        <v>18722</v>
      </c>
      <c r="B18727" s="11" t="str">
        <f>"00828819"</f>
        <v>00828819</v>
      </c>
    </row>
    <row r="18728" spans="1:2" x14ac:dyDescent="0.25">
      <c r="A18728" s="2">
        <v>18723</v>
      </c>
      <c r="B18728" s="11" t="str">
        <f>"00828846"</f>
        <v>00828846</v>
      </c>
    </row>
    <row r="18729" spans="1:2" x14ac:dyDescent="0.25">
      <c r="A18729" s="2">
        <v>18724</v>
      </c>
      <c r="B18729" s="11" t="str">
        <f>"00828894"</f>
        <v>00828894</v>
      </c>
    </row>
    <row r="18730" spans="1:2" x14ac:dyDescent="0.25">
      <c r="A18730" s="2">
        <v>18725</v>
      </c>
      <c r="B18730" s="11" t="str">
        <f>"00828899"</f>
        <v>00828899</v>
      </c>
    </row>
    <row r="18731" spans="1:2" x14ac:dyDescent="0.25">
      <c r="A18731" s="2">
        <v>18726</v>
      </c>
      <c r="B18731" s="11" t="str">
        <f>"00828904"</f>
        <v>00828904</v>
      </c>
    </row>
    <row r="18732" spans="1:2" x14ac:dyDescent="0.25">
      <c r="A18732" s="2">
        <v>18727</v>
      </c>
      <c r="B18732" s="11" t="str">
        <f>"00828960"</f>
        <v>00828960</v>
      </c>
    </row>
    <row r="18733" spans="1:2" x14ac:dyDescent="0.25">
      <c r="A18733" s="2">
        <v>18728</v>
      </c>
      <c r="B18733" s="11" t="str">
        <f>"00828971"</f>
        <v>00828971</v>
      </c>
    </row>
    <row r="18734" spans="1:2" x14ac:dyDescent="0.25">
      <c r="A18734" s="2">
        <v>18729</v>
      </c>
      <c r="B18734" s="11" t="str">
        <f>"00829028"</f>
        <v>00829028</v>
      </c>
    </row>
    <row r="18735" spans="1:2" x14ac:dyDescent="0.25">
      <c r="A18735" s="2">
        <v>18730</v>
      </c>
      <c r="B18735" s="11" t="str">
        <f>"00829064"</f>
        <v>00829064</v>
      </c>
    </row>
    <row r="18736" spans="1:2" x14ac:dyDescent="0.25">
      <c r="A18736" s="2">
        <v>18731</v>
      </c>
      <c r="B18736" s="11" t="str">
        <f>"00829079"</f>
        <v>00829079</v>
      </c>
    </row>
    <row r="18737" spans="1:2" x14ac:dyDescent="0.25">
      <c r="A18737" s="2">
        <v>18732</v>
      </c>
      <c r="B18737" s="11" t="str">
        <f>"00829086"</f>
        <v>00829086</v>
      </c>
    </row>
    <row r="18738" spans="1:2" x14ac:dyDescent="0.25">
      <c r="A18738" s="2">
        <v>18733</v>
      </c>
      <c r="B18738" s="11" t="str">
        <f>"00829090"</f>
        <v>00829090</v>
      </c>
    </row>
    <row r="18739" spans="1:2" x14ac:dyDescent="0.25">
      <c r="A18739" s="2">
        <v>18734</v>
      </c>
      <c r="B18739" s="11" t="str">
        <f>"00829158"</f>
        <v>00829158</v>
      </c>
    </row>
    <row r="18740" spans="1:2" x14ac:dyDescent="0.25">
      <c r="A18740" s="2">
        <v>18735</v>
      </c>
      <c r="B18740" s="11" t="str">
        <f>"00829170"</f>
        <v>00829170</v>
      </c>
    </row>
    <row r="18741" spans="1:2" x14ac:dyDescent="0.25">
      <c r="A18741" s="2">
        <v>18736</v>
      </c>
      <c r="B18741" s="11" t="str">
        <f>"00829173"</f>
        <v>00829173</v>
      </c>
    </row>
    <row r="18742" spans="1:2" x14ac:dyDescent="0.25">
      <c r="A18742" s="2">
        <v>18737</v>
      </c>
      <c r="B18742" s="11" t="str">
        <f>"00829182"</f>
        <v>00829182</v>
      </c>
    </row>
    <row r="18743" spans="1:2" x14ac:dyDescent="0.25">
      <c r="A18743" s="2">
        <v>18738</v>
      </c>
      <c r="B18743" s="11" t="str">
        <f>"00829223"</f>
        <v>00829223</v>
      </c>
    </row>
    <row r="18744" spans="1:2" x14ac:dyDescent="0.25">
      <c r="A18744" s="2">
        <v>18739</v>
      </c>
      <c r="B18744" s="11" t="str">
        <f>"00829229"</f>
        <v>00829229</v>
      </c>
    </row>
    <row r="18745" spans="1:2" x14ac:dyDescent="0.25">
      <c r="A18745" s="2">
        <v>18740</v>
      </c>
      <c r="B18745" s="11" t="str">
        <f>"00829266"</f>
        <v>00829266</v>
      </c>
    </row>
    <row r="18746" spans="1:2" x14ac:dyDescent="0.25">
      <c r="A18746" s="2">
        <v>18741</v>
      </c>
      <c r="B18746" s="11" t="str">
        <f>"00829347"</f>
        <v>00829347</v>
      </c>
    </row>
    <row r="18747" spans="1:2" x14ac:dyDescent="0.25">
      <c r="A18747" s="2">
        <v>18742</v>
      </c>
      <c r="B18747" s="11" t="str">
        <f>"00829353"</f>
        <v>00829353</v>
      </c>
    </row>
    <row r="18748" spans="1:2" x14ac:dyDescent="0.25">
      <c r="A18748" s="2">
        <v>18743</v>
      </c>
      <c r="B18748" s="11" t="str">
        <f>"00829364"</f>
        <v>00829364</v>
      </c>
    </row>
    <row r="18749" spans="1:2" x14ac:dyDescent="0.25">
      <c r="A18749" s="2">
        <v>18744</v>
      </c>
      <c r="B18749" s="11" t="str">
        <f>"00829383"</f>
        <v>00829383</v>
      </c>
    </row>
    <row r="18750" spans="1:2" x14ac:dyDescent="0.25">
      <c r="A18750" s="2">
        <v>18745</v>
      </c>
      <c r="B18750" s="11" t="str">
        <f>"00829431"</f>
        <v>00829431</v>
      </c>
    </row>
    <row r="18751" spans="1:2" x14ac:dyDescent="0.25">
      <c r="A18751" s="2">
        <v>18746</v>
      </c>
      <c r="B18751" s="11" t="str">
        <f>"00829507"</f>
        <v>00829507</v>
      </c>
    </row>
    <row r="18752" spans="1:2" x14ac:dyDescent="0.25">
      <c r="A18752" s="2">
        <v>18747</v>
      </c>
      <c r="B18752" s="11" t="str">
        <f>"00829540"</f>
        <v>00829540</v>
      </c>
    </row>
    <row r="18753" spans="1:2" x14ac:dyDescent="0.25">
      <c r="A18753" s="2">
        <v>18748</v>
      </c>
      <c r="B18753" s="11" t="str">
        <f>"00829555"</f>
        <v>00829555</v>
      </c>
    </row>
    <row r="18754" spans="1:2" x14ac:dyDescent="0.25">
      <c r="A18754" s="2">
        <v>18749</v>
      </c>
      <c r="B18754" s="11" t="str">
        <f>"00829695"</f>
        <v>00829695</v>
      </c>
    </row>
    <row r="18755" spans="1:2" x14ac:dyDescent="0.25">
      <c r="A18755" s="2">
        <v>18750</v>
      </c>
      <c r="B18755" s="11" t="str">
        <f>"00829816"</f>
        <v>00829816</v>
      </c>
    </row>
    <row r="18756" spans="1:2" x14ac:dyDescent="0.25">
      <c r="A18756" s="2">
        <v>18751</v>
      </c>
      <c r="B18756" s="11" t="str">
        <f>"00829923"</f>
        <v>00829923</v>
      </c>
    </row>
    <row r="18757" spans="1:2" x14ac:dyDescent="0.25">
      <c r="A18757" s="2">
        <v>18752</v>
      </c>
      <c r="B18757" s="11" t="str">
        <f>"00829971"</f>
        <v>00829971</v>
      </c>
    </row>
    <row r="18758" spans="1:2" x14ac:dyDescent="0.25">
      <c r="A18758" s="2">
        <v>18753</v>
      </c>
      <c r="B18758" s="11" t="str">
        <f>"00830030"</f>
        <v>00830030</v>
      </c>
    </row>
    <row r="18759" spans="1:2" x14ac:dyDescent="0.25">
      <c r="A18759" s="2">
        <v>18754</v>
      </c>
      <c r="B18759" s="11" t="str">
        <f>"00830045"</f>
        <v>00830045</v>
      </c>
    </row>
    <row r="18760" spans="1:2" x14ac:dyDescent="0.25">
      <c r="A18760" s="2">
        <v>18755</v>
      </c>
      <c r="B18760" s="11" t="str">
        <f>"00830052"</f>
        <v>00830052</v>
      </c>
    </row>
    <row r="18761" spans="1:2" x14ac:dyDescent="0.25">
      <c r="A18761" s="2">
        <v>18756</v>
      </c>
      <c r="B18761" s="11" t="str">
        <f>"00830073"</f>
        <v>00830073</v>
      </c>
    </row>
    <row r="18762" spans="1:2" x14ac:dyDescent="0.25">
      <c r="A18762" s="2">
        <v>18757</v>
      </c>
      <c r="B18762" s="11" t="str">
        <f>"00830076"</f>
        <v>00830076</v>
      </c>
    </row>
    <row r="18763" spans="1:2" x14ac:dyDescent="0.25">
      <c r="A18763" s="2">
        <v>18758</v>
      </c>
      <c r="B18763" s="11" t="str">
        <f>"00830084"</f>
        <v>00830084</v>
      </c>
    </row>
    <row r="18764" spans="1:2" x14ac:dyDescent="0.25">
      <c r="A18764" s="2">
        <v>18759</v>
      </c>
      <c r="B18764" s="11" t="str">
        <f>"00830087"</f>
        <v>00830087</v>
      </c>
    </row>
    <row r="18765" spans="1:2" x14ac:dyDescent="0.25">
      <c r="A18765" s="2">
        <v>18760</v>
      </c>
      <c r="B18765" s="11" t="str">
        <f>"00830138"</f>
        <v>00830138</v>
      </c>
    </row>
    <row r="18766" spans="1:2" x14ac:dyDescent="0.25">
      <c r="A18766" s="2">
        <v>18761</v>
      </c>
      <c r="B18766" s="11" t="str">
        <f>"00830144"</f>
        <v>00830144</v>
      </c>
    </row>
    <row r="18767" spans="1:2" x14ac:dyDescent="0.25">
      <c r="A18767" s="2">
        <v>18762</v>
      </c>
      <c r="B18767" s="11" t="str">
        <f>"00830153"</f>
        <v>00830153</v>
      </c>
    </row>
    <row r="18768" spans="1:2" x14ac:dyDescent="0.25">
      <c r="A18768" s="2">
        <v>18763</v>
      </c>
      <c r="B18768" s="11" t="str">
        <f>"00830154"</f>
        <v>00830154</v>
      </c>
    </row>
    <row r="18769" spans="1:2" x14ac:dyDescent="0.25">
      <c r="A18769" s="2">
        <v>18764</v>
      </c>
      <c r="B18769" s="11" t="str">
        <f>"00830165"</f>
        <v>00830165</v>
      </c>
    </row>
    <row r="18770" spans="1:2" x14ac:dyDescent="0.25">
      <c r="A18770" s="2">
        <v>18765</v>
      </c>
      <c r="B18770" s="11" t="str">
        <f>"00830171"</f>
        <v>00830171</v>
      </c>
    </row>
    <row r="18771" spans="1:2" x14ac:dyDescent="0.25">
      <c r="A18771" s="2">
        <v>18766</v>
      </c>
      <c r="B18771" s="11" t="str">
        <f>"00830175"</f>
        <v>00830175</v>
      </c>
    </row>
    <row r="18772" spans="1:2" x14ac:dyDescent="0.25">
      <c r="A18772" s="2">
        <v>18767</v>
      </c>
      <c r="B18772" s="11" t="str">
        <f>"00830177"</f>
        <v>00830177</v>
      </c>
    </row>
    <row r="18773" spans="1:2" x14ac:dyDescent="0.25">
      <c r="A18773" s="2">
        <v>18768</v>
      </c>
      <c r="B18773" s="11" t="str">
        <f>"00830188"</f>
        <v>00830188</v>
      </c>
    </row>
    <row r="18774" spans="1:2" x14ac:dyDescent="0.25">
      <c r="A18774" s="2">
        <v>18769</v>
      </c>
      <c r="B18774" s="11" t="str">
        <f>"00830197"</f>
        <v>00830197</v>
      </c>
    </row>
    <row r="18775" spans="1:2" x14ac:dyDescent="0.25">
      <c r="A18775" s="2">
        <v>18770</v>
      </c>
      <c r="B18775" s="11" t="str">
        <f>"00830224"</f>
        <v>00830224</v>
      </c>
    </row>
    <row r="18776" spans="1:2" x14ac:dyDescent="0.25">
      <c r="A18776" s="2">
        <v>18771</v>
      </c>
      <c r="B18776" s="11" t="str">
        <f>"00830245"</f>
        <v>00830245</v>
      </c>
    </row>
    <row r="18777" spans="1:2" x14ac:dyDescent="0.25">
      <c r="A18777" s="2">
        <v>18772</v>
      </c>
      <c r="B18777" s="11" t="str">
        <f>"00830272"</f>
        <v>00830272</v>
      </c>
    </row>
    <row r="18778" spans="1:2" x14ac:dyDescent="0.25">
      <c r="A18778" s="2">
        <v>18773</v>
      </c>
      <c r="B18778" s="11" t="str">
        <f>"00830284"</f>
        <v>00830284</v>
      </c>
    </row>
    <row r="18779" spans="1:2" x14ac:dyDescent="0.25">
      <c r="A18779" s="2">
        <v>18774</v>
      </c>
      <c r="B18779" s="11" t="str">
        <f>"00830290"</f>
        <v>00830290</v>
      </c>
    </row>
    <row r="18780" spans="1:2" x14ac:dyDescent="0.25">
      <c r="A18780" s="2">
        <v>18775</v>
      </c>
      <c r="B18780" s="11" t="str">
        <f>"00830300"</f>
        <v>00830300</v>
      </c>
    </row>
    <row r="18781" spans="1:2" x14ac:dyDescent="0.25">
      <c r="A18781" s="2">
        <v>18776</v>
      </c>
      <c r="B18781" s="11" t="str">
        <f>"00830316"</f>
        <v>00830316</v>
      </c>
    </row>
    <row r="18782" spans="1:2" x14ac:dyDescent="0.25">
      <c r="A18782" s="2">
        <v>18777</v>
      </c>
      <c r="B18782" s="11" t="str">
        <f>"00830334"</f>
        <v>00830334</v>
      </c>
    </row>
    <row r="18783" spans="1:2" x14ac:dyDescent="0.25">
      <c r="A18783" s="2">
        <v>18778</v>
      </c>
      <c r="B18783" s="11" t="str">
        <f>"00830356"</f>
        <v>00830356</v>
      </c>
    </row>
    <row r="18784" spans="1:2" x14ac:dyDescent="0.25">
      <c r="A18784" s="2">
        <v>18779</v>
      </c>
      <c r="B18784" s="11" t="str">
        <f>"00830389"</f>
        <v>00830389</v>
      </c>
    </row>
    <row r="18785" spans="1:2" x14ac:dyDescent="0.25">
      <c r="A18785" s="2">
        <v>18780</v>
      </c>
      <c r="B18785" s="11" t="str">
        <f>"00830397"</f>
        <v>00830397</v>
      </c>
    </row>
    <row r="18786" spans="1:2" x14ac:dyDescent="0.25">
      <c r="A18786" s="2">
        <v>18781</v>
      </c>
      <c r="B18786" s="11" t="str">
        <f>"00830435"</f>
        <v>00830435</v>
      </c>
    </row>
    <row r="18787" spans="1:2" x14ac:dyDescent="0.25">
      <c r="A18787" s="2">
        <v>18782</v>
      </c>
      <c r="B18787" s="11" t="str">
        <f>"00830440"</f>
        <v>00830440</v>
      </c>
    </row>
    <row r="18788" spans="1:2" x14ac:dyDescent="0.25">
      <c r="A18788" s="2">
        <v>18783</v>
      </c>
      <c r="B18788" s="11" t="str">
        <f>"00830474"</f>
        <v>00830474</v>
      </c>
    </row>
    <row r="18789" spans="1:2" x14ac:dyDescent="0.25">
      <c r="A18789" s="2">
        <v>18784</v>
      </c>
      <c r="B18789" s="11" t="str">
        <f>"00830485"</f>
        <v>00830485</v>
      </c>
    </row>
    <row r="18790" spans="1:2" x14ac:dyDescent="0.25">
      <c r="A18790" s="2">
        <v>18785</v>
      </c>
      <c r="B18790" s="11" t="str">
        <f>"00830550"</f>
        <v>00830550</v>
      </c>
    </row>
    <row r="18791" spans="1:2" x14ac:dyDescent="0.25">
      <c r="A18791" s="2">
        <v>18786</v>
      </c>
      <c r="B18791" s="11" t="str">
        <f>"00830559"</f>
        <v>00830559</v>
      </c>
    </row>
    <row r="18792" spans="1:2" x14ac:dyDescent="0.25">
      <c r="A18792" s="2">
        <v>18787</v>
      </c>
      <c r="B18792" s="11" t="str">
        <f>"00830603"</f>
        <v>00830603</v>
      </c>
    </row>
    <row r="18793" spans="1:2" x14ac:dyDescent="0.25">
      <c r="A18793" s="2">
        <v>18788</v>
      </c>
      <c r="B18793" s="11" t="str">
        <f>"00830609"</f>
        <v>00830609</v>
      </c>
    </row>
    <row r="18794" spans="1:2" x14ac:dyDescent="0.25">
      <c r="A18794" s="2">
        <v>18789</v>
      </c>
      <c r="B18794" s="11" t="str">
        <f>"00830630"</f>
        <v>00830630</v>
      </c>
    </row>
    <row r="18795" spans="1:2" x14ac:dyDescent="0.25">
      <c r="A18795" s="2">
        <v>18790</v>
      </c>
      <c r="B18795" s="11" t="str">
        <f>"00830636"</f>
        <v>00830636</v>
      </c>
    </row>
    <row r="18796" spans="1:2" x14ac:dyDescent="0.25">
      <c r="A18796" s="2">
        <v>18791</v>
      </c>
      <c r="B18796" s="11" t="str">
        <f>"00830642"</f>
        <v>00830642</v>
      </c>
    </row>
    <row r="18797" spans="1:2" x14ac:dyDescent="0.25">
      <c r="A18797" s="2">
        <v>18792</v>
      </c>
      <c r="B18797" s="11" t="str">
        <f>"00830644"</f>
        <v>00830644</v>
      </c>
    </row>
    <row r="18798" spans="1:2" x14ac:dyDescent="0.25">
      <c r="A18798" s="2">
        <v>18793</v>
      </c>
      <c r="B18798" s="11" t="str">
        <f>"00830647"</f>
        <v>00830647</v>
      </c>
    </row>
    <row r="18799" spans="1:2" x14ac:dyDescent="0.25">
      <c r="A18799" s="2">
        <v>18794</v>
      </c>
      <c r="B18799" s="11" t="str">
        <f>"00830657"</f>
        <v>00830657</v>
      </c>
    </row>
    <row r="18800" spans="1:2" x14ac:dyDescent="0.25">
      <c r="A18800" s="2">
        <v>18795</v>
      </c>
      <c r="B18800" s="11" t="str">
        <f>"00830718"</f>
        <v>00830718</v>
      </c>
    </row>
    <row r="18801" spans="1:2" x14ac:dyDescent="0.25">
      <c r="A18801" s="2">
        <v>18796</v>
      </c>
      <c r="B18801" s="11" t="str">
        <f>"00830728"</f>
        <v>00830728</v>
      </c>
    </row>
    <row r="18802" spans="1:2" x14ac:dyDescent="0.25">
      <c r="A18802" s="2">
        <v>18797</v>
      </c>
      <c r="B18802" s="11" t="str">
        <f>"00830744"</f>
        <v>00830744</v>
      </c>
    </row>
    <row r="18803" spans="1:2" x14ac:dyDescent="0.25">
      <c r="A18803" s="2">
        <v>18798</v>
      </c>
      <c r="B18803" s="11" t="str">
        <f>"00830788"</f>
        <v>00830788</v>
      </c>
    </row>
    <row r="18804" spans="1:2" x14ac:dyDescent="0.25">
      <c r="A18804" s="2">
        <v>18799</v>
      </c>
      <c r="B18804" s="11" t="str">
        <f>"00830818"</f>
        <v>00830818</v>
      </c>
    </row>
    <row r="18805" spans="1:2" x14ac:dyDescent="0.25">
      <c r="A18805" s="2">
        <v>18800</v>
      </c>
      <c r="B18805" s="11" t="str">
        <f>"00830820"</f>
        <v>00830820</v>
      </c>
    </row>
    <row r="18806" spans="1:2" x14ac:dyDescent="0.25">
      <c r="A18806" s="2">
        <v>18801</v>
      </c>
      <c r="B18806" s="11" t="str">
        <f>"00830825"</f>
        <v>00830825</v>
      </c>
    </row>
    <row r="18807" spans="1:2" x14ac:dyDescent="0.25">
      <c r="A18807" s="2">
        <v>18802</v>
      </c>
      <c r="B18807" s="11" t="str">
        <f>"00830838"</f>
        <v>00830838</v>
      </c>
    </row>
    <row r="18808" spans="1:2" x14ac:dyDescent="0.25">
      <c r="A18808" s="2">
        <v>18803</v>
      </c>
      <c r="B18808" s="11" t="str">
        <f>"00830924"</f>
        <v>00830924</v>
      </c>
    </row>
    <row r="18809" spans="1:2" x14ac:dyDescent="0.25">
      <c r="A18809" s="2">
        <v>18804</v>
      </c>
      <c r="B18809" s="11" t="str">
        <f>"00830947"</f>
        <v>00830947</v>
      </c>
    </row>
    <row r="18810" spans="1:2" x14ac:dyDescent="0.25">
      <c r="A18810" s="2">
        <v>18805</v>
      </c>
      <c r="B18810" s="11" t="str">
        <f>"00830988"</f>
        <v>00830988</v>
      </c>
    </row>
    <row r="18811" spans="1:2" x14ac:dyDescent="0.25">
      <c r="A18811" s="2">
        <v>18806</v>
      </c>
      <c r="B18811" s="11" t="str">
        <f>"00831014"</f>
        <v>00831014</v>
      </c>
    </row>
    <row r="18812" spans="1:2" x14ac:dyDescent="0.25">
      <c r="A18812" s="2">
        <v>18807</v>
      </c>
      <c r="B18812" s="11" t="str">
        <f>"00831045"</f>
        <v>00831045</v>
      </c>
    </row>
    <row r="18813" spans="1:2" x14ac:dyDescent="0.25">
      <c r="A18813" s="2">
        <v>18808</v>
      </c>
      <c r="B18813" s="11" t="str">
        <f>"00831097"</f>
        <v>00831097</v>
      </c>
    </row>
    <row r="18814" spans="1:2" x14ac:dyDescent="0.25">
      <c r="A18814" s="2">
        <v>18809</v>
      </c>
      <c r="B18814" s="11" t="str">
        <f>"00831125"</f>
        <v>00831125</v>
      </c>
    </row>
    <row r="18815" spans="1:2" x14ac:dyDescent="0.25">
      <c r="A18815" s="2">
        <v>18810</v>
      </c>
      <c r="B18815" s="11" t="str">
        <f>"00831139"</f>
        <v>00831139</v>
      </c>
    </row>
    <row r="18816" spans="1:2" x14ac:dyDescent="0.25">
      <c r="A18816" s="2">
        <v>18811</v>
      </c>
      <c r="B18816" s="11" t="str">
        <f>"00831149"</f>
        <v>00831149</v>
      </c>
    </row>
    <row r="18817" spans="1:2" x14ac:dyDescent="0.25">
      <c r="A18817" s="2">
        <v>18812</v>
      </c>
      <c r="B18817" s="11" t="str">
        <f>"00831176"</f>
        <v>00831176</v>
      </c>
    </row>
    <row r="18818" spans="1:2" x14ac:dyDescent="0.25">
      <c r="A18818" s="2">
        <v>18813</v>
      </c>
      <c r="B18818" s="11" t="str">
        <f>"00831178"</f>
        <v>00831178</v>
      </c>
    </row>
    <row r="18819" spans="1:2" x14ac:dyDescent="0.25">
      <c r="A18819" s="2">
        <v>18814</v>
      </c>
      <c r="B18819" s="11" t="str">
        <f>"00831202"</f>
        <v>00831202</v>
      </c>
    </row>
    <row r="18820" spans="1:2" x14ac:dyDescent="0.25">
      <c r="A18820" s="2">
        <v>18815</v>
      </c>
      <c r="B18820" s="11" t="str">
        <f>"00831206"</f>
        <v>00831206</v>
      </c>
    </row>
    <row r="18821" spans="1:2" x14ac:dyDescent="0.25">
      <c r="A18821" s="2">
        <v>18816</v>
      </c>
      <c r="B18821" s="11" t="str">
        <f>"00831215"</f>
        <v>00831215</v>
      </c>
    </row>
    <row r="18822" spans="1:2" x14ac:dyDescent="0.25">
      <c r="A18822" s="2">
        <v>18817</v>
      </c>
      <c r="B18822" s="11" t="str">
        <f>"00831289"</f>
        <v>00831289</v>
      </c>
    </row>
    <row r="18823" spans="1:2" x14ac:dyDescent="0.25">
      <c r="A18823" s="2">
        <v>18818</v>
      </c>
      <c r="B18823" s="11" t="str">
        <f>"00831292"</f>
        <v>00831292</v>
      </c>
    </row>
    <row r="18824" spans="1:2" x14ac:dyDescent="0.25">
      <c r="A18824" s="2">
        <v>18819</v>
      </c>
      <c r="B18824" s="11" t="str">
        <f>"00831299"</f>
        <v>00831299</v>
      </c>
    </row>
    <row r="18825" spans="1:2" x14ac:dyDescent="0.25">
      <c r="A18825" s="2">
        <v>18820</v>
      </c>
      <c r="B18825" s="11" t="str">
        <f>"00831303"</f>
        <v>00831303</v>
      </c>
    </row>
    <row r="18826" spans="1:2" x14ac:dyDescent="0.25">
      <c r="A18826" s="2">
        <v>18821</v>
      </c>
      <c r="B18826" s="11" t="str">
        <f>"00831362"</f>
        <v>00831362</v>
      </c>
    </row>
    <row r="18827" spans="1:2" x14ac:dyDescent="0.25">
      <c r="A18827" s="2">
        <v>18822</v>
      </c>
      <c r="B18827" s="11" t="str">
        <f>"00831433"</f>
        <v>00831433</v>
      </c>
    </row>
    <row r="18828" spans="1:2" x14ac:dyDescent="0.25">
      <c r="A18828" s="2">
        <v>18823</v>
      </c>
      <c r="B18828" s="11" t="str">
        <f>"00831439"</f>
        <v>00831439</v>
      </c>
    </row>
    <row r="18829" spans="1:2" x14ac:dyDescent="0.25">
      <c r="A18829" s="2">
        <v>18824</v>
      </c>
      <c r="B18829" s="11" t="str">
        <f>"00831445"</f>
        <v>00831445</v>
      </c>
    </row>
    <row r="18830" spans="1:2" x14ac:dyDescent="0.25">
      <c r="A18830" s="2">
        <v>18825</v>
      </c>
      <c r="B18830" s="11" t="str">
        <f>"00831454"</f>
        <v>00831454</v>
      </c>
    </row>
    <row r="18831" spans="1:2" x14ac:dyDescent="0.25">
      <c r="A18831" s="2">
        <v>18826</v>
      </c>
      <c r="B18831" s="11" t="str">
        <f>"00831501"</f>
        <v>00831501</v>
      </c>
    </row>
    <row r="18832" spans="1:2" x14ac:dyDescent="0.25">
      <c r="A18832" s="2">
        <v>18827</v>
      </c>
      <c r="B18832" s="11" t="str">
        <f>"00831538"</f>
        <v>00831538</v>
      </c>
    </row>
    <row r="18833" spans="1:2" x14ac:dyDescent="0.25">
      <c r="A18833" s="2">
        <v>18828</v>
      </c>
      <c r="B18833" s="11" t="str">
        <f>"00831554"</f>
        <v>00831554</v>
      </c>
    </row>
    <row r="18834" spans="1:2" x14ac:dyDescent="0.25">
      <c r="A18834" s="2">
        <v>18829</v>
      </c>
      <c r="B18834" s="11" t="str">
        <f>"00831557"</f>
        <v>00831557</v>
      </c>
    </row>
    <row r="18835" spans="1:2" x14ac:dyDescent="0.25">
      <c r="A18835" s="2">
        <v>18830</v>
      </c>
      <c r="B18835" s="11" t="str">
        <f>"00831602"</f>
        <v>00831602</v>
      </c>
    </row>
    <row r="18836" spans="1:2" x14ac:dyDescent="0.25">
      <c r="A18836" s="2">
        <v>18831</v>
      </c>
      <c r="B18836" s="11" t="str">
        <f>"00831614"</f>
        <v>00831614</v>
      </c>
    </row>
    <row r="18837" spans="1:2" x14ac:dyDescent="0.25">
      <c r="A18837" s="2">
        <v>18832</v>
      </c>
      <c r="B18837" s="11" t="str">
        <f>"00831646"</f>
        <v>00831646</v>
      </c>
    </row>
    <row r="18838" spans="1:2" x14ac:dyDescent="0.25">
      <c r="A18838" s="2">
        <v>18833</v>
      </c>
      <c r="B18838" s="11" t="str">
        <f>"00831668"</f>
        <v>00831668</v>
      </c>
    </row>
    <row r="18839" spans="1:2" x14ac:dyDescent="0.25">
      <c r="A18839" s="2">
        <v>18834</v>
      </c>
      <c r="B18839" s="11" t="str">
        <f>"00831707"</f>
        <v>00831707</v>
      </c>
    </row>
    <row r="18840" spans="1:2" x14ac:dyDescent="0.25">
      <c r="A18840" s="2">
        <v>18835</v>
      </c>
      <c r="B18840" s="11" t="str">
        <f>"00831732"</f>
        <v>00831732</v>
      </c>
    </row>
    <row r="18841" spans="1:2" x14ac:dyDescent="0.25">
      <c r="A18841" s="2">
        <v>18836</v>
      </c>
      <c r="B18841" s="11" t="str">
        <f>"00831748"</f>
        <v>00831748</v>
      </c>
    </row>
    <row r="18842" spans="1:2" x14ac:dyDescent="0.25">
      <c r="A18842" s="2">
        <v>18837</v>
      </c>
      <c r="B18842" s="11" t="str">
        <f>"00831768"</f>
        <v>00831768</v>
      </c>
    </row>
    <row r="18843" spans="1:2" x14ac:dyDescent="0.25">
      <c r="A18843" s="2">
        <v>18838</v>
      </c>
      <c r="B18843" s="11" t="str">
        <f>"00831802"</f>
        <v>00831802</v>
      </c>
    </row>
    <row r="18844" spans="1:2" x14ac:dyDescent="0.25">
      <c r="A18844" s="2">
        <v>18839</v>
      </c>
      <c r="B18844" s="11" t="str">
        <f>"00831833"</f>
        <v>00831833</v>
      </c>
    </row>
    <row r="18845" spans="1:2" x14ac:dyDescent="0.25">
      <c r="A18845" s="2">
        <v>18840</v>
      </c>
      <c r="B18845" s="11" t="str">
        <f>"00831857"</f>
        <v>00831857</v>
      </c>
    </row>
    <row r="18846" spans="1:2" x14ac:dyDescent="0.25">
      <c r="A18846" s="2">
        <v>18841</v>
      </c>
      <c r="B18846" s="11" t="str">
        <f>"00832168"</f>
        <v>00832168</v>
      </c>
    </row>
    <row r="18847" spans="1:2" x14ac:dyDescent="0.25">
      <c r="A18847" s="2">
        <v>18842</v>
      </c>
      <c r="B18847" s="11" t="str">
        <f>"00832322"</f>
        <v>00832322</v>
      </c>
    </row>
    <row r="18848" spans="1:2" x14ac:dyDescent="0.25">
      <c r="A18848" s="2">
        <v>18843</v>
      </c>
      <c r="B18848" s="11" t="str">
        <f>"00832335"</f>
        <v>00832335</v>
      </c>
    </row>
    <row r="18849" spans="1:2" x14ac:dyDescent="0.25">
      <c r="A18849" s="2">
        <v>18844</v>
      </c>
      <c r="B18849" s="11" t="str">
        <f>"00832417"</f>
        <v>00832417</v>
      </c>
    </row>
    <row r="18850" spans="1:2" x14ac:dyDescent="0.25">
      <c r="A18850" s="2">
        <v>18845</v>
      </c>
      <c r="B18850" s="11" t="str">
        <f>"00832451"</f>
        <v>00832451</v>
      </c>
    </row>
    <row r="18851" spans="1:2" x14ac:dyDescent="0.25">
      <c r="A18851" s="2">
        <v>18846</v>
      </c>
      <c r="B18851" s="11" t="str">
        <f>"00832493"</f>
        <v>00832493</v>
      </c>
    </row>
    <row r="18852" spans="1:2" x14ac:dyDescent="0.25">
      <c r="A18852" s="2">
        <v>18847</v>
      </c>
      <c r="B18852" s="11" t="str">
        <f>"00832527"</f>
        <v>00832527</v>
      </c>
    </row>
    <row r="18853" spans="1:2" x14ac:dyDescent="0.25">
      <c r="A18853" s="2">
        <v>18848</v>
      </c>
      <c r="B18853" s="11" t="str">
        <f>"00832570"</f>
        <v>00832570</v>
      </c>
    </row>
    <row r="18854" spans="1:2" x14ac:dyDescent="0.25">
      <c r="A18854" s="2">
        <v>18849</v>
      </c>
      <c r="B18854" s="11" t="str">
        <f>"00832609"</f>
        <v>00832609</v>
      </c>
    </row>
    <row r="18855" spans="1:2" x14ac:dyDescent="0.25">
      <c r="A18855" s="2">
        <v>18850</v>
      </c>
      <c r="B18855" s="11" t="str">
        <f>"00832631"</f>
        <v>00832631</v>
      </c>
    </row>
    <row r="18856" spans="1:2" x14ac:dyDescent="0.25">
      <c r="A18856" s="2">
        <v>18851</v>
      </c>
      <c r="B18856" s="11" t="str">
        <f>"00832735"</f>
        <v>00832735</v>
      </c>
    </row>
    <row r="18857" spans="1:2" x14ac:dyDescent="0.25">
      <c r="A18857" s="2">
        <v>18852</v>
      </c>
      <c r="B18857" s="11" t="str">
        <f>"00832781"</f>
        <v>00832781</v>
      </c>
    </row>
    <row r="18858" spans="1:2" x14ac:dyDescent="0.25">
      <c r="A18858" s="2">
        <v>18853</v>
      </c>
      <c r="B18858" s="11" t="str">
        <f>"00832813"</f>
        <v>00832813</v>
      </c>
    </row>
    <row r="18859" spans="1:2" x14ac:dyDescent="0.25">
      <c r="A18859" s="2">
        <v>18854</v>
      </c>
      <c r="B18859" s="11" t="str">
        <f>"00832837"</f>
        <v>00832837</v>
      </c>
    </row>
    <row r="18860" spans="1:2" x14ac:dyDescent="0.25">
      <c r="A18860" s="2">
        <v>18855</v>
      </c>
      <c r="B18860" s="11" t="str">
        <f>"00832880"</f>
        <v>00832880</v>
      </c>
    </row>
    <row r="18861" spans="1:2" x14ac:dyDescent="0.25">
      <c r="A18861" s="2">
        <v>18856</v>
      </c>
      <c r="B18861" s="11" t="str">
        <f>"00832933"</f>
        <v>00832933</v>
      </c>
    </row>
    <row r="18862" spans="1:2" x14ac:dyDescent="0.25">
      <c r="A18862" s="2">
        <v>18857</v>
      </c>
      <c r="B18862" s="11" t="str">
        <f>"00832938"</f>
        <v>00832938</v>
      </c>
    </row>
    <row r="18863" spans="1:2" x14ac:dyDescent="0.25">
      <c r="A18863" s="2">
        <v>18858</v>
      </c>
      <c r="B18863" s="11" t="str">
        <f>"00832951"</f>
        <v>00832951</v>
      </c>
    </row>
    <row r="18864" spans="1:2" x14ac:dyDescent="0.25">
      <c r="A18864" s="2">
        <v>18859</v>
      </c>
      <c r="B18864" s="11" t="str">
        <f>"00832997"</f>
        <v>00832997</v>
      </c>
    </row>
    <row r="18865" spans="1:2" x14ac:dyDescent="0.25">
      <c r="A18865" s="2">
        <v>18860</v>
      </c>
      <c r="B18865" s="11" t="str">
        <f>"00833017"</f>
        <v>00833017</v>
      </c>
    </row>
    <row r="18866" spans="1:2" x14ac:dyDescent="0.25">
      <c r="A18866" s="2">
        <v>18861</v>
      </c>
      <c r="B18866" s="11" t="str">
        <f>"00833043"</f>
        <v>00833043</v>
      </c>
    </row>
    <row r="18867" spans="1:2" x14ac:dyDescent="0.25">
      <c r="A18867" s="2">
        <v>18862</v>
      </c>
      <c r="B18867" s="11" t="str">
        <f>"00833047"</f>
        <v>00833047</v>
      </c>
    </row>
    <row r="18868" spans="1:2" x14ac:dyDescent="0.25">
      <c r="A18868" s="2">
        <v>18863</v>
      </c>
      <c r="B18868" s="11" t="str">
        <f>"00833068"</f>
        <v>00833068</v>
      </c>
    </row>
    <row r="18869" spans="1:2" x14ac:dyDescent="0.25">
      <c r="A18869" s="2">
        <v>18864</v>
      </c>
      <c r="B18869" s="11" t="str">
        <f>"00833109"</f>
        <v>00833109</v>
      </c>
    </row>
    <row r="18870" spans="1:2" x14ac:dyDescent="0.25">
      <c r="A18870" s="2">
        <v>18865</v>
      </c>
      <c r="B18870" s="11" t="str">
        <f>"00833147"</f>
        <v>00833147</v>
      </c>
    </row>
    <row r="18871" spans="1:2" x14ac:dyDescent="0.25">
      <c r="A18871" s="2">
        <v>18866</v>
      </c>
      <c r="B18871" s="11" t="str">
        <f>"00833160"</f>
        <v>00833160</v>
      </c>
    </row>
    <row r="18872" spans="1:2" x14ac:dyDescent="0.25">
      <c r="A18872" s="2">
        <v>18867</v>
      </c>
      <c r="B18872" s="11" t="str">
        <f>"00833167"</f>
        <v>00833167</v>
      </c>
    </row>
    <row r="18873" spans="1:2" x14ac:dyDescent="0.25">
      <c r="A18873" s="2">
        <v>18868</v>
      </c>
      <c r="B18873" s="11" t="str">
        <f>"00833213"</f>
        <v>00833213</v>
      </c>
    </row>
    <row r="18874" spans="1:2" x14ac:dyDescent="0.25">
      <c r="A18874" s="2">
        <v>18869</v>
      </c>
      <c r="B18874" s="11" t="str">
        <f>"00833217"</f>
        <v>00833217</v>
      </c>
    </row>
    <row r="18875" spans="1:2" x14ac:dyDescent="0.25">
      <c r="A18875" s="2">
        <v>18870</v>
      </c>
      <c r="B18875" s="11" t="str">
        <f>"00833244"</f>
        <v>00833244</v>
      </c>
    </row>
    <row r="18876" spans="1:2" x14ac:dyDescent="0.25">
      <c r="A18876" s="2">
        <v>18871</v>
      </c>
      <c r="B18876" s="11" t="str">
        <f>"00833258"</f>
        <v>00833258</v>
      </c>
    </row>
    <row r="18877" spans="1:2" x14ac:dyDescent="0.25">
      <c r="A18877" s="2">
        <v>18872</v>
      </c>
      <c r="B18877" s="11" t="str">
        <f>"00833272"</f>
        <v>00833272</v>
      </c>
    </row>
    <row r="18878" spans="1:2" x14ac:dyDescent="0.25">
      <c r="A18878" s="2">
        <v>18873</v>
      </c>
      <c r="B18878" s="11" t="str">
        <f>"00833304"</f>
        <v>00833304</v>
      </c>
    </row>
    <row r="18879" spans="1:2" x14ac:dyDescent="0.25">
      <c r="A18879" s="2">
        <v>18874</v>
      </c>
      <c r="B18879" s="11" t="str">
        <f>"00833341"</f>
        <v>00833341</v>
      </c>
    </row>
    <row r="18880" spans="1:2" x14ac:dyDescent="0.25">
      <c r="A18880" s="2">
        <v>18875</v>
      </c>
      <c r="B18880" s="11" t="str">
        <f>"00833354"</f>
        <v>00833354</v>
      </c>
    </row>
    <row r="18881" spans="1:2" x14ac:dyDescent="0.25">
      <c r="A18881" s="2">
        <v>18876</v>
      </c>
      <c r="B18881" s="11" t="str">
        <f>"00833436"</f>
        <v>00833436</v>
      </c>
    </row>
    <row r="18882" spans="1:2" x14ac:dyDescent="0.25">
      <c r="A18882" s="2">
        <v>18877</v>
      </c>
      <c r="B18882" s="11" t="str">
        <f>"00833444"</f>
        <v>00833444</v>
      </c>
    </row>
    <row r="18883" spans="1:2" x14ac:dyDescent="0.25">
      <c r="A18883" s="2">
        <v>18878</v>
      </c>
      <c r="B18883" s="11" t="str">
        <f>"00833486"</f>
        <v>00833486</v>
      </c>
    </row>
    <row r="18884" spans="1:2" x14ac:dyDescent="0.25">
      <c r="A18884" s="2">
        <v>18879</v>
      </c>
      <c r="B18884" s="11" t="str">
        <f>"00833494"</f>
        <v>00833494</v>
      </c>
    </row>
    <row r="18885" spans="1:2" x14ac:dyDescent="0.25">
      <c r="A18885" s="2">
        <v>18880</v>
      </c>
      <c r="B18885" s="11" t="str">
        <f>"00833581"</f>
        <v>00833581</v>
      </c>
    </row>
    <row r="18886" spans="1:2" x14ac:dyDescent="0.25">
      <c r="A18886" s="2">
        <v>18881</v>
      </c>
      <c r="B18886" s="11" t="str">
        <f>"00833622"</f>
        <v>00833622</v>
      </c>
    </row>
    <row r="18887" spans="1:2" x14ac:dyDescent="0.25">
      <c r="A18887" s="2">
        <v>18882</v>
      </c>
      <c r="B18887" s="11" t="str">
        <f>"00833630"</f>
        <v>00833630</v>
      </c>
    </row>
    <row r="18888" spans="1:2" x14ac:dyDescent="0.25">
      <c r="A18888" s="2">
        <v>18883</v>
      </c>
      <c r="B18888" s="11" t="str">
        <f>"00833647"</f>
        <v>00833647</v>
      </c>
    </row>
    <row r="18889" spans="1:2" x14ac:dyDescent="0.25">
      <c r="A18889" s="2">
        <v>18884</v>
      </c>
      <c r="B18889" s="11" t="str">
        <f>"00833658"</f>
        <v>00833658</v>
      </c>
    </row>
    <row r="18890" spans="1:2" x14ac:dyDescent="0.25">
      <c r="A18890" s="2">
        <v>18885</v>
      </c>
      <c r="B18890" s="11" t="str">
        <f>"00833699"</f>
        <v>00833699</v>
      </c>
    </row>
    <row r="18891" spans="1:2" x14ac:dyDescent="0.25">
      <c r="A18891" s="2">
        <v>18886</v>
      </c>
      <c r="B18891" s="11" t="str">
        <f>"00833788"</f>
        <v>00833788</v>
      </c>
    </row>
    <row r="18892" spans="1:2" x14ac:dyDescent="0.25">
      <c r="A18892" s="2">
        <v>18887</v>
      </c>
      <c r="B18892" s="11" t="str">
        <f>"00833842"</f>
        <v>00833842</v>
      </c>
    </row>
    <row r="18893" spans="1:2" x14ac:dyDescent="0.25">
      <c r="A18893" s="2">
        <v>18888</v>
      </c>
      <c r="B18893" s="11" t="str">
        <f>"00833881"</f>
        <v>00833881</v>
      </c>
    </row>
    <row r="18894" spans="1:2" x14ac:dyDescent="0.25">
      <c r="A18894" s="2">
        <v>18889</v>
      </c>
      <c r="B18894" s="11" t="str">
        <f>"00833882"</f>
        <v>00833882</v>
      </c>
    </row>
    <row r="18895" spans="1:2" x14ac:dyDescent="0.25">
      <c r="A18895" s="2">
        <v>18890</v>
      </c>
      <c r="B18895" s="11" t="str">
        <f>"00833985"</f>
        <v>00833985</v>
      </c>
    </row>
    <row r="18896" spans="1:2" x14ac:dyDescent="0.25">
      <c r="A18896" s="2">
        <v>18891</v>
      </c>
      <c r="B18896" s="11" t="str">
        <f>"00833992"</f>
        <v>00833992</v>
      </c>
    </row>
    <row r="18897" spans="1:2" x14ac:dyDescent="0.25">
      <c r="A18897" s="2">
        <v>18892</v>
      </c>
      <c r="B18897" s="11" t="str">
        <f>"00833995"</f>
        <v>00833995</v>
      </c>
    </row>
    <row r="18898" spans="1:2" x14ac:dyDescent="0.25">
      <c r="A18898" s="2">
        <v>18893</v>
      </c>
      <c r="B18898" s="11" t="str">
        <f>"00834044"</f>
        <v>00834044</v>
      </c>
    </row>
    <row r="18899" spans="1:2" x14ac:dyDescent="0.25">
      <c r="A18899" s="2">
        <v>18894</v>
      </c>
      <c r="B18899" s="11" t="str">
        <f>"00834082"</f>
        <v>00834082</v>
      </c>
    </row>
    <row r="18900" spans="1:2" x14ac:dyDescent="0.25">
      <c r="A18900" s="2">
        <v>18895</v>
      </c>
      <c r="B18900" s="11" t="str">
        <f>"00834155"</f>
        <v>00834155</v>
      </c>
    </row>
    <row r="18901" spans="1:2" x14ac:dyDescent="0.25">
      <c r="A18901" s="2">
        <v>18896</v>
      </c>
      <c r="B18901" s="11" t="str">
        <f>"00834171"</f>
        <v>00834171</v>
      </c>
    </row>
    <row r="18902" spans="1:2" x14ac:dyDescent="0.25">
      <c r="A18902" s="2">
        <v>18897</v>
      </c>
      <c r="B18902" s="11" t="str">
        <f>"00834315"</f>
        <v>00834315</v>
      </c>
    </row>
    <row r="18903" spans="1:2" x14ac:dyDescent="0.25">
      <c r="A18903" s="2">
        <v>18898</v>
      </c>
      <c r="B18903" s="11" t="str">
        <f>"00834323"</f>
        <v>00834323</v>
      </c>
    </row>
    <row r="18904" spans="1:2" x14ac:dyDescent="0.25">
      <c r="A18904" s="2">
        <v>18899</v>
      </c>
      <c r="B18904" s="11" t="str">
        <f>"00834342"</f>
        <v>00834342</v>
      </c>
    </row>
    <row r="18905" spans="1:2" x14ac:dyDescent="0.25">
      <c r="A18905" s="2">
        <v>18900</v>
      </c>
      <c r="B18905" s="11" t="str">
        <f>"00834372"</f>
        <v>00834372</v>
      </c>
    </row>
    <row r="18906" spans="1:2" x14ac:dyDescent="0.25">
      <c r="A18906" s="2">
        <v>18901</v>
      </c>
      <c r="B18906" s="11" t="str">
        <f>"00834382"</f>
        <v>00834382</v>
      </c>
    </row>
    <row r="18907" spans="1:2" x14ac:dyDescent="0.25">
      <c r="A18907" s="2">
        <v>18902</v>
      </c>
      <c r="B18907" s="11" t="str">
        <f>"00834437"</f>
        <v>00834437</v>
      </c>
    </row>
    <row r="18908" spans="1:2" x14ac:dyDescent="0.25">
      <c r="A18908" s="2">
        <v>18903</v>
      </c>
      <c r="B18908" s="11" t="str">
        <f>"00834469"</f>
        <v>00834469</v>
      </c>
    </row>
    <row r="18909" spans="1:2" x14ac:dyDescent="0.25">
      <c r="A18909" s="2">
        <v>18904</v>
      </c>
      <c r="B18909" s="11" t="str">
        <f>"00834481"</f>
        <v>00834481</v>
      </c>
    </row>
    <row r="18910" spans="1:2" x14ac:dyDescent="0.25">
      <c r="A18910" s="2">
        <v>18905</v>
      </c>
      <c r="B18910" s="11" t="str">
        <f>"00834485"</f>
        <v>00834485</v>
      </c>
    </row>
    <row r="18911" spans="1:2" x14ac:dyDescent="0.25">
      <c r="A18911" s="2">
        <v>18906</v>
      </c>
      <c r="B18911" s="11" t="str">
        <f>"00834618"</f>
        <v>00834618</v>
      </c>
    </row>
    <row r="18912" spans="1:2" x14ac:dyDescent="0.25">
      <c r="A18912" s="2">
        <v>18907</v>
      </c>
      <c r="B18912" s="11" t="str">
        <f>"00834620"</f>
        <v>00834620</v>
      </c>
    </row>
    <row r="18913" spans="1:2" x14ac:dyDescent="0.25">
      <c r="A18913" s="2">
        <v>18908</v>
      </c>
      <c r="B18913" s="11" t="str">
        <f>"00834624"</f>
        <v>00834624</v>
      </c>
    </row>
    <row r="18914" spans="1:2" x14ac:dyDescent="0.25">
      <c r="A18914" s="2">
        <v>18909</v>
      </c>
      <c r="B18914" s="11" t="str">
        <f>"00834708"</f>
        <v>00834708</v>
      </c>
    </row>
    <row r="18915" spans="1:2" x14ac:dyDescent="0.25">
      <c r="A18915" s="2">
        <v>18910</v>
      </c>
      <c r="B18915" s="11" t="str">
        <f>"00834713"</f>
        <v>00834713</v>
      </c>
    </row>
    <row r="18916" spans="1:2" x14ac:dyDescent="0.25">
      <c r="A18916" s="2">
        <v>18911</v>
      </c>
      <c r="B18916" s="11" t="str">
        <f>"00834749"</f>
        <v>00834749</v>
      </c>
    </row>
    <row r="18917" spans="1:2" x14ac:dyDescent="0.25">
      <c r="A18917" s="2">
        <v>18912</v>
      </c>
      <c r="B18917" s="11" t="str">
        <f>"00834752"</f>
        <v>00834752</v>
      </c>
    </row>
    <row r="18918" spans="1:2" x14ac:dyDescent="0.25">
      <c r="A18918" s="2">
        <v>18913</v>
      </c>
      <c r="B18918" s="11" t="str">
        <f>"00834768"</f>
        <v>00834768</v>
      </c>
    </row>
    <row r="18919" spans="1:2" x14ac:dyDescent="0.25">
      <c r="A18919" s="2">
        <v>18914</v>
      </c>
      <c r="B18919" s="11" t="str">
        <f>"00834773"</f>
        <v>00834773</v>
      </c>
    </row>
    <row r="18920" spans="1:2" x14ac:dyDescent="0.25">
      <c r="A18920" s="2">
        <v>18915</v>
      </c>
      <c r="B18920" s="11" t="str">
        <f>"00834787"</f>
        <v>00834787</v>
      </c>
    </row>
    <row r="18921" spans="1:2" x14ac:dyDescent="0.25">
      <c r="A18921" s="2">
        <v>18916</v>
      </c>
      <c r="B18921" s="11" t="str">
        <f>"00834790"</f>
        <v>00834790</v>
      </c>
    </row>
    <row r="18922" spans="1:2" x14ac:dyDescent="0.25">
      <c r="A18922" s="2">
        <v>18917</v>
      </c>
      <c r="B18922" s="11" t="str">
        <f>"00834799"</f>
        <v>00834799</v>
      </c>
    </row>
    <row r="18923" spans="1:2" x14ac:dyDescent="0.25">
      <c r="A18923" s="2">
        <v>18918</v>
      </c>
      <c r="B18923" s="11" t="str">
        <f>"00834802"</f>
        <v>00834802</v>
      </c>
    </row>
    <row r="18924" spans="1:2" x14ac:dyDescent="0.25">
      <c r="A18924" s="2">
        <v>18919</v>
      </c>
      <c r="B18924" s="11" t="str">
        <f>"00834854"</f>
        <v>00834854</v>
      </c>
    </row>
    <row r="18925" spans="1:2" x14ac:dyDescent="0.25">
      <c r="A18925" s="2">
        <v>18920</v>
      </c>
      <c r="B18925" s="11" t="str">
        <f>"00834872"</f>
        <v>00834872</v>
      </c>
    </row>
    <row r="18926" spans="1:2" x14ac:dyDescent="0.25">
      <c r="A18926" s="2">
        <v>18921</v>
      </c>
      <c r="B18926" s="11" t="str">
        <f>"00834922"</f>
        <v>00834922</v>
      </c>
    </row>
    <row r="18927" spans="1:2" x14ac:dyDescent="0.25">
      <c r="A18927" s="2">
        <v>18922</v>
      </c>
      <c r="B18927" s="11" t="str">
        <f>"00834934"</f>
        <v>00834934</v>
      </c>
    </row>
    <row r="18928" spans="1:2" x14ac:dyDescent="0.25">
      <c r="A18928" s="2">
        <v>18923</v>
      </c>
      <c r="B18928" s="11" t="str">
        <f>"00834954"</f>
        <v>00834954</v>
      </c>
    </row>
    <row r="18929" spans="1:2" x14ac:dyDescent="0.25">
      <c r="A18929" s="2">
        <v>18924</v>
      </c>
      <c r="B18929" s="11" t="str">
        <f>"00834970"</f>
        <v>00834970</v>
      </c>
    </row>
    <row r="18930" spans="1:2" x14ac:dyDescent="0.25">
      <c r="A18930" s="2">
        <v>18925</v>
      </c>
      <c r="B18930" s="11" t="str">
        <f>"00834971"</f>
        <v>00834971</v>
      </c>
    </row>
    <row r="18931" spans="1:2" x14ac:dyDescent="0.25">
      <c r="A18931" s="2">
        <v>18926</v>
      </c>
      <c r="B18931" s="11" t="str">
        <f>"00834975"</f>
        <v>00834975</v>
      </c>
    </row>
    <row r="18932" spans="1:2" x14ac:dyDescent="0.25">
      <c r="A18932" s="2">
        <v>18927</v>
      </c>
      <c r="B18932" s="11" t="str">
        <f>"00835002"</f>
        <v>00835002</v>
      </c>
    </row>
    <row r="18933" spans="1:2" x14ac:dyDescent="0.25">
      <c r="A18933" s="2">
        <v>18928</v>
      </c>
      <c r="B18933" s="11" t="str">
        <f>"00835020"</f>
        <v>00835020</v>
      </c>
    </row>
    <row r="18934" spans="1:2" x14ac:dyDescent="0.25">
      <c r="A18934" s="2">
        <v>18929</v>
      </c>
      <c r="B18934" s="11" t="str">
        <f>"00835035"</f>
        <v>00835035</v>
      </c>
    </row>
    <row r="18935" spans="1:2" x14ac:dyDescent="0.25">
      <c r="A18935" s="2">
        <v>18930</v>
      </c>
      <c r="B18935" s="11" t="str">
        <f>"00835059"</f>
        <v>00835059</v>
      </c>
    </row>
    <row r="18936" spans="1:2" x14ac:dyDescent="0.25">
      <c r="A18936" s="2">
        <v>18931</v>
      </c>
      <c r="B18936" s="11" t="str">
        <f>"00835084"</f>
        <v>00835084</v>
      </c>
    </row>
    <row r="18937" spans="1:2" x14ac:dyDescent="0.25">
      <c r="A18937" s="2">
        <v>18932</v>
      </c>
      <c r="B18937" s="11" t="str">
        <f>"00835088"</f>
        <v>00835088</v>
      </c>
    </row>
    <row r="18938" spans="1:2" x14ac:dyDescent="0.25">
      <c r="A18938" s="2">
        <v>18933</v>
      </c>
      <c r="B18938" s="11" t="str">
        <f>"00835122"</f>
        <v>00835122</v>
      </c>
    </row>
    <row r="18939" spans="1:2" x14ac:dyDescent="0.25">
      <c r="A18939" s="2">
        <v>18934</v>
      </c>
      <c r="B18939" s="11" t="str">
        <f>"00835156"</f>
        <v>00835156</v>
      </c>
    </row>
    <row r="18940" spans="1:2" x14ac:dyDescent="0.25">
      <c r="A18940" s="2">
        <v>18935</v>
      </c>
      <c r="B18940" s="11" t="str">
        <f>"00835191"</f>
        <v>00835191</v>
      </c>
    </row>
    <row r="18941" spans="1:2" x14ac:dyDescent="0.25">
      <c r="A18941" s="2">
        <v>18936</v>
      </c>
      <c r="B18941" s="11" t="str">
        <f>"00835232"</f>
        <v>00835232</v>
      </c>
    </row>
    <row r="18942" spans="1:2" x14ac:dyDescent="0.25">
      <c r="A18942" s="2">
        <v>18937</v>
      </c>
      <c r="B18942" s="11" t="str">
        <f>"00835237"</f>
        <v>00835237</v>
      </c>
    </row>
    <row r="18943" spans="1:2" x14ac:dyDescent="0.25">
      <c r="A18943" s="2">
        <v>18938</v>
      </c>
      <c r="B18943" s="11" t="str">
        <f>"00835289"</f>
        <v>00835289</v>
      </c>
    </row>
    <row r="18944" spans="1:2" x14ac:dyDescent="0.25">
      <c r="A18944" s="2">
        <v>18939</v>
      </c>
      <c r="B18944" s="11" t="str">
        <f>"00835299"</f>
        <v>00835299</v>
      </c>
    </row>
    <row r="18945" spans="1:2" x14ac:dyDescent="0.25">
      <c r="A18945" s="2">
        <v>18940</v>
      </c>
      <c r="B18945" s="11" t="str">
        <f>"00835317"</f>
        <v>00835317</v>
      </c>
    </row>
    <row r="18946" spans="1:2" x14ac:dyDescent="0.25">
      <c r="A18946" s="2">
        <v>18941</v>
      </c>
      <c r="B18946" s="11" t="str">
        <f>"00835323"</f>
        <v>00835323</v>
      </c>
    </row>
    <row r="18947" spans="1:2" x14ac:dyDescent="0.25">
      <c r="A18947" s="2">
        <v>18942</v>
      </c>
      <c r="B18947" s="11" t="str">
        <f>"00835342"</f>
        <v>00835342</v>
      </c>
    </row>
    <row r="18948" spans="1:2" x14ac:dyDescent="0.25">
      <c r="A18948" s="2">
        <v>18943</v>
      </c>
      <c r="B18948" s="11" t="str">
        <f>"00835346"</f>
        <v>00835346</v>
      </c>
    </row>
    <row r="18949" spans="1:2" x14ac:dyDescent="0.25">
      <c r="A18949" s="2">
        <v>18944</v>
      </c>
      <c r="B18949" s="11" t="str">
        <f>"00835376"</f>
        <v>00835376</v>
      </c>
    </row>
    <row r="18950" spans="1:2" x14ac:dyDescent="0.25">
      <c r="A18950" s="2">
        <v>18945</v>
      </c>
      <c r="B18950" s="11" t="str">
        <f>"00835396"</f>
        <v>00835396</v>
      </c>
    </row>
    <row r="18951" spans="1:2" x14ac:dyDescent="0.25">
      <c r="A18951" s="2">
        <v>18946</v>
      </c>
      <c r="B18951" s="11" t="str">
        <f>"00835397"</f>
        <v>00835397</v>
      </c>
    </row>
    <row r="18952" spans="1:2" x14ac:dyDescent="0.25">
      <c r="A18952" s="2">
        <v>18947</v>
      </c>
      <c r="B18952" s="11" t="str">
        <f>"00835402"</f>
        <v>00835402</v>
      </c>
    </row>
    <row r="18953" spans="1:2" x14ac:dyDescent="0.25">
      <c r="A18953" s="2">
        <v>18948</v>
      </c>
      <c r="B18953" s="11" t="str">
        <f>"00835405"</f>
        <v>00835405</v>
      </c>
    </row>
    <row r="18954" spans="1:2" x14ac:dyDescent="0.25">
      <c r="A18954" s="2">
        <v>18949</v>
      </c>
      <c r="B18954" s="11" t="str">
        <f>"00835427"</f>
        <v>00835427</v>
      </c>
    </row>
    <row r="18955" spans="1:2" x14ac:dyDescent="0.25">
      <c r="A18955" s="2">
        <v>18950</v>
      </c>
      <c r="B18955" s="11" t="str">
        <f>"00835437"</f>
        <v>00835437</v>
      </c>
    </row>
    <row r="18956" spans="1:2" x14ac:dyDescent="0.25">
      <c r="A18956" s="2">
        <v>18951</v>
      </c>
      <c r="B18956" s="11" t="str">
        <f>"00835477"</f>
        <v>00835477</v>
      </c>
    </row>
    <row r="18957" spans="1:2" x14ac:dyDescent="0.25">
      <c r="A18957" s="2">
        <v>18952</v>
      </c>
      <c r="B18957" s="11" t="str">
        <f>"00835506"</f>
        <v>00835506</v>
      </c>
    </row>
    <row r="18958" spans="1:2" x14ac:dyDescent="0.25">
      <c r="A18958" s="2">
        <v>18953</v>
      </c>
      <c r="B18958" s="11" t="str">
        <f>"00835511"</f>
        <v>00835511</v>
      </c>
    </row>
    <row r="18959" spans="1:2" x14ac:dyDescent="0.25">
      <c r="A18959" s="2">
        <v>18954</v>
      </c>
      <c r="B18959" s="11" t="str">
        <f>"00835552"</f>
        <v>00835552</v>
      </c>
    </row>
    <row r="18960" spans="1:2" x14ac:dyDescent="0.25">
      <c r="A18960" s="2">
        <v>18955</v>
      </c>
      <c r="B18960" s="11" t="str">
        <f>"00835557"</f>
        <v>00835557</v>
      </c>
    </row>
    <row r="18961" spans="1:2" x14ac:dyDescent="0.25">
      <c r="A18961" s="2">
        <v>18956</v>
      </c>
      <c r="B18961" s="11" t="str">
        <f>"00835575"</f>
        <v>00835575</v>
      </c>
    </row>
    <row r="18962" spans="1:2" x14ac:dyDescent="0.25">
      <c r="A18962" s="2">
        <v>18957</v>
      </c>
      <c r="B18962" s="11" t="str">
        <f>"00835607"</f>
        <v>00835607</v>
      </c>
    </row>
    <row r="18963" spans="1:2" x14ac:dyDescent="0.25">
      <c r="A18963" s="2">
        <v>18958</v>
      </c>
      <c r="B18963" s="11" t="str">
        <f>"00835646"</f>
        <v>00835646</v>
      </c>
    </row>
    <row r="18964" spans="1:2" x14ac:dyDescent="0.25">
      <c r="A18964" s="2">
        <v>18959</v>
      </c>
      <c r="B18964" s="11" t="str">
        <f>"00835691"</f>
        <v>00835691</v>
      </c>
    </row>
    <row r="18965" spans="1:2" x14ac:dyDescent="0.25">
      <c r="A18965" s="2">
        <v>18960</v>
      </c>
      <c r="B18965" s="11" t="str">
        <f>"00835705"</f>
        <v>00835705</v>
      </c>
    </row>
    <row r="18966" spans="1:2" x14ac:dyDescent="0.25">
      <c r="A18966" s="2">
        <v>18961</v>
      </c>
      <c r="B18966" s="11" t="str">
        <f>"00835713"</f>
        <v>00835713</v>
      </c>
    </row>
    <row r="18967" spans="1:2" x14ac:dyDescent="0.25">
      <c r="A18967" s="2">
        <v>18962</v>
      </c>
      <c r="B18967" s="11" t="str">
        <f>"00835716"</f>
        <v>00835716</v>
      </c>
    </row>
    <row r="18968" spans="1:2" x14ac:dyDescent="0.25">
      <c r="A18968" s="2">
        <v>18963</v>
      </c>
      <c r="B18968" s="11" t="str">
        <f>"00835757"</f>
        <v>00835757</v>
      </c>
    </row>
    <row r="18969" spans="1:2" x14ac:dyDescent="0.25">
      <c r="A18969" s="2">
        <v>18964</v>
      </c>
      <c r="B18969" s="11" t="str">
        <f>"00835791"</f>
        <v>00835791</v>
      </c>
    </row>
    <row r="18970" spans="1:2" x14ac:dyDescent="0.25">
      <c r="A18970" s="2">
        <v>18965</v>
      </c>
      <c r="B18970" s="11" t="str">
        <f>"00835821"</f>
        <v>00835821</v>
      </c>
    </row>
    <row r="18971" spans="1:2" x14ac:dyDescent="0.25">
      <c r="A18971" s="2">
        <v>18966</v>
      </c>
      <c r="B18971" s="11" t="str">
        <f>"00835831"</f>
        <v>00835831</v>
      </c>
    </row>
    <row r="18972" spans="1:2" x14ac:dyDescent="0.25">
      <c r="A18972" s="2">
        <v>18967</v>
      </c>
      <c r="B18972" s="11" t="str">
        <f>"00835846"</f>
        <v>00835846</v>
      </c>
    </row>
    <row r="18973" spans="1:2" x14ac:dyDescent="0.25">
      <c r="A18973" s="2">
        <v>18968</v>
      </c>
      <c r="B18973" s="11" t="str">
        <f>"00835888"</f>
        <v>00835888</v>
      </c>
    </row>
    <row r="18974" spans="1:2" x14ac:dyDescent="0.25">
      <c r="A18974" s="2">
        <v>18969</v>
      </c>
      <c r="B18974" s="11" t="str">
        <f>"00835901"</f>
        <v>00835901</v>
      </c>
    </row>
    <row r="18975" spans="1:2" x14ac:dyDescent="0.25">
      <c r="A18975" s="2">
        <v>18970</v>
      </c>
      <c r="B18975" s="11" t="str">
        <f>"00835914"</f>
        <v>00835914</v>
      </c>
    </row>
    <row r="18976" spans="1:2" x14ac:dyDescent="0.25">
      <c r="A18976" s="2">
        <v>18971</v>
      </c>
      <c r="B18976" s="11" t="str">
        <f>"00835976"</f>
        <v>00835976</v>
      </c>
    </row>
    <row r="18977" spans="1:2" x14ac:dyDescent="0.25">
      <c r="A18977" s="2">
        <v>18972</v>
      </c>
      <c r="B18977" s="11" t="str">
        <f>"00835995"</f>
        <v>00835995</v>
      </c>
    </row>
    <row r="18978" spans="1:2" x14ac:dyDescent="0.25">
      <c r="A18978" s="2">
        <v>18973</v>
      </c>
      <c r="B18978" s="11" t="str">
        <f>"00836089"</f>
        <v>00836089</v>
      </c>
    </row>
    <row r="18979" spans="1:2" x14ac:dyDescent="0.25">
      <c r="A18979" s="2">
        <v>18974</v>
      </c>
      <c r="B18979" s="11" t="str">
        <f>"00836115"</f>
        <v>00836115</v>
      </c>
    </row>
    <row r="18980" spans="1:2" x14ac:dyDescent="0.25">
      <c r="A18980" s="2">
        <v>18975</v>
      </c>
      <c r="B18980" s="11" t="str">
        <f>"00836163"</f>
        <v>00836163</v>
      </c>
    </row>
    <row r="18981" spans="1:2" x14ac:dyDescent="0.25">
      <c r="A18981" s="2">
        <v>18976</v>
      </c>
      <c r="B18981" s="11" t="str">
        <f>"00836251"</f>
        <v>00836251</v>
      </c>
    </row>
    <row r="18982" spans="1:2" x14ac:dyDescent="0.25">
      <c r="A18982" s="2">
        <v>18977</v>
      </c>
      <c r="B18982" s="11" t="str">
        <f>"00836252"</f>
        <v>00836252</v>
      </c>
    </row>
    <row r="18983" spans="1:2" x14ac:dyDescent="0.25">
      <c r="A18983" s="2">
        <v>18978</v>
      </c>
      <c r="B18983" s="11" t="str">
        <f>"00836263"</f>
        <v>00836263</v>
      </c>
    </row>
    <row r="18984" spans="1:2" x14ac:dyDescent="0.25">
      <c r="A18984" s="2">
        <v>18979</v>
      </c>
      <c r="B18984" s="11" t="str">
        <f>"00836333"</f>
        <v>00836333</v>
      </c>
    </row>
    <row r="18985" spans="1:2" x14ac:dyDescent="0.25">
      <c r="A18985" s="2">
        <v>18980</v>
      </c>
      <c r="B18985" s="11" t="str">
        <f>"00836336"</f>
        <v>00836336</v>
      </c>
    </row>
    <row r="18986" spans="1:2" x14ac:dyDescent="0.25">
      <c r="A18986" s="2">
        <v>18981</v>
      </c>
      <c r="B18986" s="11" t="str">
        <f>"00836357"</f>
        <v>00836357</v>
      </c>
    </row>
    <row r="18987" spans="1:2" x14ac:dyDescent="0.25">
      <c r="A18987" s="2">
        <v>18982</v>
      </c>
      <c r="B18987" s="11" t="str">
        <f>"00836394"</f>
        <v>00836394</v>
      </c>
    </row>
    <row r="18988" spans="1:2" x14ac:dyDescent="0.25">
      <c r="A18988" s="2">
        <v>18983</v>
      </c>
      <c r="B18988" s="11" t="str">
        <f>"00836419"</f>
        <v>00836419</v>
      </c>
    </row>
    <row r="18989" spans="1:2" x14ac:dyDescent="0.25">
      <c r="A18989" s="2">
        <v>18984</v>
      </c>
      <c r="B18989" s="11" t="str">
        <f>"00836432"</f>
        <v>00836432</v>
      </c>
    </row>
    <row r="18990" spans="1:2" x14ac:dyDescent="0.25">
      <c r="A18990" s="2">
        <v>18985</v>
      </c>
      <c r="B18990" s="11" t="str">
        <f>"00836452"</f>
        <v>00836452</v>
      </c>
    </row>
    <row r="18991" spans="1:2" x14ac:dyDescent="0.25">
      <c r="A18991" s="2">
        <v>18986</v>
      </c>
      <c r="B18991" s="11" t="str">
        <f>"00836474"</f>
        <v>00836474</v>
      </c>
    </row>
    <row r="18992" spans="1:2" x14ac:dyDescent="0.25">
      <c r="A18992" s="2">
        <v>18987</v>
      </c>
      <c r="B18992" s="11" t="str">
        <f>"00836521"</f>
        <v>00836521</v>
      </c>
    </row>
    <row r="18993" spans="1:2" x14ac:dyDescent="0.25">
      <c r="A18993" s="2">
        <v>18988</v>
      </c>
      <c r="B18993" s="11" t="str">
        <f>"00836546"</f>
        <v>00836546</v>
      </c>
    </row>
    <row r="18994" spans="1:2" x14ac:dyDescent="0.25">
      <c r="A18994" s="2">
        <v>18989</v>
      </c>
      <c r="B18994" s="11" t="str">
        <f>"00836568"</f>
        <v>00836568</v>
      </c>
    </row>
    <row r="18995" spans="1:2" x14ac:dyDescent="0.25">
      <c r="A18995" s="2">
        <v>18990</v>
      </c>
      <c r="B18995" s="11" t="str">
        <f>"00836580"</f>
        <v>00836580</v>
      </c>
    </row>
    <row r="18996" spans="1:2" x14ac:dyDescent="0.25">
      <c r="A18996" s="2">
        <v>18991</v>
      </c>
      <c r="B18996" s="11" t="str">
        <f>"00836614"</f>
        <v>00836614</v>
      </c>
    </row>
    <row r="18997" spans="1:2" x14ac:dyDescent="0.25">
      <c r="A18997" s="2">
        <v>18992</v>
      </c>
      <c r="B18997" s="11" t="str">
        <f>"00836675"</f>
        <v>00836675</v>
      </c>
    </row>
    <row r="18998" spans="1:2" x14ac:dyDescent="0.25">
      <c r="A18998" s="2">
        <v>18993</v>
      </c>
      <c r="B18998" s="11" t="str">
        <f>"00836693"</f>
        <v>00836693</v>
      </c>
    </row>
    <row r="18999" spans="1:2" x14ac:dyDescent="0.25">
      <c r="A18999" s="2">
        <v>18994</v>
      </c>
      <c r="B18999" s="11" t="str">
        <f>"00836719"</f>
        <v>00836719</v>
      </c>
    </row>
    <row r="19000" spans="1:2" x14ac:dyDescent="0.25">
      <c r="A19000" s="2">
        <v>18995</v>
      </c>
      <c r="B19000" s="11" t="str">
        <f>"00836748"</f>
        <v>00836748</v>
      </c>
    </row>
    <row r="19001" spans="1:2" x14ac:dyDescent="0.25">
      <c r="A19001" s="2">
        <v>18996</v>
      </c>
      <c r="B19001" s="11" t="str">
        <f>"00836766"</f>
        <v>00836766</v>
      </c>
    </row>
    <row r="19002" spans="1:2" x14ac:dyDescent="0.25">
      <c r="A19002" s="2">
        <v>18997</v>
      </c>
      <c r="B19002" s="11" t="str">
        <f>"00836790"</f>
        <v>00836790</v>
      </c>
    </row>
    <row r="19003" spans="1:2" x14ac:dyDescent="0.25">
      <c r="A19003" s="2">
        <v>18998</v>
      </c>
      <c r="B19003" s="11" t="str">
        <f>"00836831"</f>
        <v>00836831</v>
      </c>
    </row>
    <row r="19004" spans="1:2" x14ac:dyDescent="0.25">
      <c r="A19004" s="2">
        <v>18999</v>
      </c>
      <c r="B19004" s="11" t="str">
        <f>"00836866"</f>
        <v>00836866</v>
      </c>
    </row>
    <row r="19005" spans="1:2" x14ac:dyDescent="0.25">
      <c r="A19005" s="2">
        <v>19000</v>
      </c>
      <c r="B19005" s="11" t="str">
        <f>"00836877"</f>
        <v>00836877</v>
      </c>
    </row>
    <row r="19006" spans="1:2" x14ac:dyDescent="0.25">
      <c r="A19006" s="2">
        <v>19001</v>
      </c>
      <c r="B19006" s="11" t="str">
        <f>"00836889"</f>
        <v>00836889</v>
      </c>
    </row>
    <row r="19007" spans="1:2" x14ac:dyDescent="0.25">
      <c r="A19007" s="2">
        <v>19002</v>
      </c>
      <c r="B19007" s="11" t="str">
        <f>"00836934"</f>
        <v>00836934</v>
      </c>
    </row>
    <row r="19008" spans="1:2" x14ac:dyDescent="0.25">
      <c r="A19008" s="2">
        <v>19003</v>
      </c>
      <c r="B19008" s="11" t="str">
        <f>"00836973"</f>
        <v>00836973</v>
      </c>
    </row>
    <row r="19009" spans="1:2" x14ac:dyDescent="0.25">
      <c r="A19009" s="2">
        <v>19004</v>
      </c>
      <c r="B19009" s="11" t="str">
        <f>"00837137"</f>
        <v>00837137</v>
      </c>
    </row>
    <row r="19010" spans="1:2" x14ac:dyDescent="0.25">
      <c r="A19010" s="2">
        <v>19005</v>
      </c>
      <c r="B19010" s="11" t="str">
        <f>"00837147"</f>
        <v>00837147</v>
      </c>
    </row>
    <row r="19011" spans="1:2" x14ac:dyDescent="0.25">
      <c r="A19011" s="2">
        <v>19006</v>
      </c>
      <c r="B19011" s="11" t="str">
        <f>"00837177"</f>
        <v>00837177</v>
      </c>
    </row>
    <row r="19012" spans="1:2" x14ac:dyDescent="0.25">
      <c r="A19012" s="2">
        <v>19007</v>
      </c>
      <c r="B19012" s="11" t="str">
        <f>"00837212"</f>
        <v>00837212</v>
      </c>
    </row>
    <row r="19013" spans="1:2" x14ac:dyDescent="0.25">
      <c r="A19013" s="2">
        <v>19008</v>
      </c>
      <c r="B19013" s="11" t="str">
        <f>"00837241"</f>
        <v>00837241</v>
      </c>
    </row>
    <row r="19014" spans="1:2" x14ac:dyDescent="0.25">
      <c r="A19014" s="2">
        <v>19009</v>
      </c>
      <c r="B19014" s="11" t="str">
        <f>"00837256"</f>
        <v>00837256</v>
      </c>
    </row>
    <row r="19015" spans="1:2" x14ac:dyDescent="0.25">
      <c r="A19015" s="2">
        <v>19010</v>
      </c>
      <c r="B19015" s="11" t="str">
        <f>"00837267"</f>
        <v>00837267</v>
      </c>
    </row>
    <row r="19016" spans="1:2" x14ac:dyDescent="0.25">
      <c r="A19016" s="2">
        <v>19011</v>
      </c>
      <c r="B19016" s="11" t="str">
        <f>"00837303"</f>
        <v>00837303</v>
      </c>
    </row>
    <row r="19017" spans="1:2" x14ac:dyDescent="0.25">
      <c r="A19017" s="2">
        <v>19012</v>
      </c>
      <c r="B19017" s="11" t="str">
        <f>"00837304"</f>
        <v>00837304</v>
      </c>
    </row>
    <row r="19018" spans="1:2" x14ac:dyDescent="0.25">
      <c r="A19018" s="2">
        <v>19013</v>
      </c>
      <c r="B19018" s="11" t="str">
        <f>"00837309"</f>
        <v>00837309</v>
      </c>
    </row>
    <row r="19019" spans="1:2" x14ac:dyDescent="0.25">
      <c r="A19019" s="2">
        <v>19014</v>
      </c>
      <c r="B19019" s="11" t="str">
        <f>"00837314"</f>
        <v>00837314</v>
      </c>
    </row>
    <row r="19020" spans="1:2" x14ac:dyDescent="0.25">
      <c r="A19020" s="2">
        <v>19015</v>
      </c>
      <c r="B19020" s="11" t="str">
        <f>"00837354"</f>
        <v>00837354</v>
      </c>
    </row>
    <row r="19021" spans="1:2" x14ac:dyDescent="0.25">
      <c r="A19021" s="2">
        <v>19016</v>
      </c>
      <c r="B19021" s="11" t="str">
        <f>"00837363"</f>
        <v>00837363</v>
      </c>
    </row>
    <row r="19022" spans="1:2" x14ac:dyDescent="0.25">
      <c r="A19022" s="2">
        <v>19017</v>
      </c>
      <c r="B19022" s="11" t="str">
        <f>"00837463"</f>
        <v>00837463</v>
      </c>
    </row>
    <row r="19023" spans="1:2" x14ac:dyDescent="0.25">
      <c r="A19023" s="2">
        <v>19018</v>
      </c>
      <c r="B19023" s="11" t="str">
        <f>"00837486"</f>
        <v>00837486</v>
      </c>
    </row>
    <row r="19024" spans="1:2" x14ac:dyDescent="0.25">
      <c r="A19024" s="2">
        <v>19019</v>
      </c>
      <c r="B19024" s="11" t="str">
        <f>"00837536"</f>
        <v>00837536</v>
      </c>
    </row>
    <row r="19025" spans="1:2" x14ac:dyDescent="0.25">
      <c r="A19025" s="2">
        <v>19020</v>
      </c>
      <c r="B19025" s="11" t="str">
        <f>"00837560"</f>
        <v>00837560</v>
      </c>
    </row>
    <row r="19026" spans="1:2" x14ac:dyDescent="0.25">
      <c r="A19026" s="2">
        <v>19021</v>
      </c>
      <c r="B19026" s="11" t="str">
        <f>"00837566"</f>
        <v>00837566</v>
      </c>
    </row>
    <row r="19027" spans="1:2" x14ac:dyDescent="0.25">
      <c r="A19027" s="2">
        <v>19022</v>
      </c>
      <c r="B19027" s="11" t="str">
        <f>"00837569"</f>
        <v>00837569</v>
      </c>
    </row>
    <row r="19028" spans="1:2" x14ac:dyDescent="0.25">
      <c r="A19028" s="2">
        <v>19023</v>
      </c>
      <c r="B19028" s="11" t="str">
        <f>"00837610"</f>
        <v>00837610</v>
      </c>
    </row>
    <row r="19029" spans="1:2" x14ac:dyDescent="0.25">
      <c r="A19029" s="2">
        <v>19024</v>
      </c>
      <c r="B19029" s="11" t="str">
        <f>"00837626"</f>
        <v>00837626</v>
      </c>
    </row>
    <row r="19030" spans="1:2" x14ac:dyDescent="0.25">
      <c r="A19030" s="2">
        <v>19025</v>
      </c>
      <c r="B19030" s="11" t="str">
        <f>"00837672"</f>
        <v>00837672</v>
      </c>
    </row>
    <row r="19031" spans="1:2" x14ac:dyDescent="0.25">
      <c r="A19031" s="2">
        <v>19026</v>
      </c>
      <c r="B19031" s="11" t="str">
        <f>"00837675"</f>
        <v>00837675</v>
      </c>
    </row>
    <row r="19032" spans="1:2" x14ac:dyDescent="0.25">
      <c r="A19032" s="2">
        <v>19027</v>
      </c>
      <c r="B19032" s="11" t="str">
        <f>"00837684"</f>
        <v>00837684</v>
      </c>
    </row>
    <row r="19033" spans="1:2" x14ac:dyDescent="0.25">
      <c r="A19033" s="2">
        <v>19028</v>
      </c>
      <c r="B19033" s="11" t="str">
        <f>"00837690"</f>
        <v>00837690</v>
      </c>
    </row>
    <row r="19034" spans="1:2" x14ac:dyDescent="0.25">
      <c r="A19034" s="2">
        <v>19029</v>
      </c>
      <c r="B19034" s="11" t="str">
        <f>"00837745"</f>
        <v>00837745</v>
      </c>
    </row>
    <row r="19035" spans="1:2" x14ac:dyDescent="0.25">
      <c r="A19035" s="2">
        <v>19030</v>
      </c>
      <c r="B19035" s="11" t="str">
        <f>"00837784"</f>
        <v>00837784</v>
      </c>
    </row>
    <row r="19036" spans="1:2" x14ac:dyDescent="0.25">
      <c r="A19036" s="2">
        <v>19031</v>
      </c>
      <c r="B19036" s="11" t="str">
        <f>"00837802"</f>
        <v>00837802</v>
      </c>
    </row>
    <row r="19037" spans="1:2" x14ac:dyDescent="0.25">
      <c r="A19037" s="2">
        <v>19032</v>
      </c>
      <c r="B19037" s="11" t="str">
        <f>"00837926"</f>
        <v>00837926</v>
      </c>
    </row>
    <row r="19038" spans="1:2" x14ac:dyDescent="0.25">
      <c r="A19038" s="2">
        <v>19033</v>
      </c>
      <c r="B19038" s="11" t="str">
        <f>"00837960"</f>
        <v>00837960</v>
      </c>
    </row>
    <row r="19039" spans="1:2" x14ac:dyDescent="0.25">
      <c r="A19039" s="2">
        <v>19034</v>
      </c>
      <c r="B19039" s="11" t="str">
        <f>"00837981"</f>
        <v>00837981</v>
      </c>
    </row>
    <row r="19040" spans="1:2" x14ac:dyDescent="0.25">
      <c r="A19040" s="2">
        <v>19035</v>
      </c>
      <c r="B19040" s="11" t="str">
        <f>"00838062"</f>
        <v>00838062</v>
      </c>
    </row>
    <row r="19041" spans="1:2" x14ac:dyDescent="0.25">
      <c r="A19041" s="2">
        <v>19036</v>
      </c>
      <c r="B19041" s="11" t="str">
        <f>"00838131"</f>
        <v>00838131</v>
      </c>
    </row>
    <row r="19042" spans="1:2" x14ac:dyDescent="0.25">
      <c r="A19042" s="2">
        <v>19037</v>
      </c>
      <c r="B19042" s="11" t="str">
        <f>"00838141"</f>
        <v>00838141</v>
      </c>
    </row>
    <row r="19043" spans="1:2" x14ac:dyDescent="0.25">
      <c r="A19043" s="2">
        <v>19038</v>
      </c>
      <c r="B19043" s="11" t="str">
        <f>"00838276"</f>
        <v>00838276</v>
      </c>
    </row>
    <row r="19044" spans="1:2" x14ac:dyDescent="0.25">
      <c r="A19044" s="2">
        <v>19039</v>
      </c>
      <c r="B19044" s="11" t="str">
        <f>"00838297"</f>
        <v>00838297</v>
      </c>
    </row>
    <row r="19045" spans="1:2" x14ac:dyDescent="0.25">
      <c r="A19045" s="2">
        <v>19040</v>
      </c>
      <c r="B19045" s="11" t="str">
        <f>"00838309"</f>
        <v>00838309</v>
      </c>
    </row>
    <row r="19046" spans="1:2" x14ac:dyDescent="0.25">
      <c r="A19046" s="2">
        <v>19041</v>
      </c>
      <c r="B19046" s="11" t="str">
        <f>"00838315"</f>
        <v>00838315</v>
      </c>
    </row>
    <row r="19047" spans="1:2" x14ac:dyDescent="0.25">
      <c r="A19047" s="2">
        <v>19042</v>
      </c>
      <c r="B19047" s="11" t="str">
        <f>"00838328"</f>
        <v>00838328</v>
      </c>
    </row>
    <row r="19048" spans="1:2" x14ac:dyDescent="0.25">
      <c r="A19048" s="2">
        <v>19043</v>
      </c>
      <c r="B19048" s="11" t="str">
        <f>"00838371"</f>
        <v>00838371</v>
      </c>
    </row>
    <row r="19049" spans="1:2" x14ac:dyDescent="0.25">
      <c r="A19049" s="2">
        <v>19044</v>
      </c>
      <c r="B19049" s="11" t="str">
        <f>"00838389"</f>
        <v>00838389</v>
      </c>
    </row>
    <row r="19050" spans="1:2" x14ac:dyDescent="0.25">
      <c r="A19050" s="2">
        <v>19045</v>
      </c>
      <c r="B19050" s="11" t="str">
        <f>"00838448"</f>
        <v>00838448</v>
      </c>
    </row>
    <row r="19051" spans="1:2" x14ac:dyDescent="0.25">
      <c r="A19051" s="2">
        <v>19046</v>
      </c>
      <c r="B19051" s="11" t="str">
        <f>"00838470"</f>
        <v>00838470</v>
      </c>
    </row>
    <row r="19052" spans="1:2" x14ac:dyDescent="0.25">
      <c r="A19052" s="2">
        <v>19047</v>
      </c>
      <c r="B19052" s="11" t="str">
        <f>"00838479"</f>
        <v>00838479</v>
      </c>
    </row>
    <row r="19053" spans="1:2" x14ac:dyDescent="0.25">
      <c r="A19053" s="2">
        <v>19048</v>
      </c>
      <c r="B19053" s="11" t="str">
        <f>"00838544"</f>
        <v>00838544</v>
      </c>
    </row>
    <row r="19054" spans="1:2" x14ac:dyDescent="0.25">
      <c r="A19054" s="2">
        <v>19049</v>
      </c>
      <c r="B19054" s="11" t="str">
        <f>"00838590"</f>
        <v>00838590</v>
      </c>
    </row>
    <row r="19055" spans="1:2" x14ac:dyDescent="0.25">
      <c r="A19055" s="2">
        <v>19050</v>
      </c>
      <c r="B19055" s="11" t="str">
        <f>"00838612"</f>
        <v>00838612</v>
      </c>
    </row>
    <row r="19056" spans="1:2" x14ac:dyDescent="0.25">
      <c r="A19056" s="2">
        <v>19051</v>
      </c>
      <c r="B19056" s="11" t="str">
        <f>"00838619"</f>
        <v>00838619</v>
      </c>
    </row>
    <row r="19057" spans="1:2" x14ac:dyDescent="0.25">
      <c r="A19057" s="2">
        <v>19052</v>
      </c>
      <c r="B19057" s="11" t="str">
        <f>"00838666"</f>
        <v>00838666</v>
      </c>
    </row>
    <row r="19058" spans="1:2" x14ac:dyDescent="0.25">
      <c r="A19058" s="2">
        <v>19053</v>
      </c>
      <c r="B19058" s="11" t="str">
        <f>"00838673"</f>
        <v>00838673</v>
      </c>
    </row>
    <row r="19059" spans="1:2" x14ac:dyDescent="0.25">
      <c r="A19059" s="2">
        <v>19054</v>
      </c>
      <c r="B19059" s="11" t="str">
        <f>"00838696"</f>
        <v>00838696</v>
      </c>
    </row>
    <row r="19060" spans="1:2" x14ac:dyDescent="0.25">
      <c r="A19060" s="2">
        <v>19055</v>
      </c>
      <c r="B19060" s="11" t="str">
        <f>"00838740"</f>
        <v>00838740</v>
      </c>
    </row>
    <row r="19061" spans="1:2" x14ac:dyDescent="0.25">
      <c r="A19061" s="2">
        <v>19056</v>
      </c>
      <c r="B19061" s="11" t="str">
        <f>"00838753"</f>
        <v>00838753</v>
      </c>
    </row>
    <row r="19062" spans="1:2" x14ac:dyDescent="0.25">
      <c r="A19062" s="2">
        <v>19057</v>
      </c>
      <c r="B19062" s="11" t="str">
        <f>"00838822"</f>
        <v>00838822</v>
      </c>
    </row>
    <row r="19063" spans="1:2" x14ac:dyDescent="0.25">
      <c r="A19063" s="2">
        <v>19058</v>
      </c>
      <c r="B19063" s="11" t="str">
        <f>"00838852"</f>
        <v>00838852</v>
      </c>
    </row>
    <row r="19064" spans="1:2" x14ac:dyDescent="0.25">
      <c r="A19064" s="2">
        <v>19059</v>
      </c>
      <c r="B19064" s="11" t="str">
        <f>"00838896"</f>
        <v>00838896</v>
      </c>
    </row>
    <row r="19065" spans="1:2" x14ac:dyDescent="0.25">
      <c r="A19065" s="2">
        <v>19060</v>
      </c>
      <c r="B19065" s="11" t="str">
        <f>"00838916"</f>
        <v>00838916</v>
      </c>
    </row>
    <row r="19066" spans="1:2" x14ac:dyDescent="0.25">
      <c r="A19066" s="2">
        <v>19061</v>
      </c>
      <c r="B19066" s="11" t="str">
        <f>"00838924"</f>
        <v>00838924</v>
      </c>
    </row>
    <row r="19067" spans="1:2" x14ac:dyDescent="0.25">
      <c r="A19067" s="2">
        <v>19062</v>
      </c>
      <c r="B19067" s="11" t="str">
        <f>"00839027"</f>
        <v>00839027</v>
      </c>
    </row>
    <row r="19068" spans="1:2" x14ac:dyDescent="0.25">
      <c r="A19068" s="2">
        <v>19063</v>
      </c>
      <c r="B19068" s="11" t="str">
        <f>"00839038"</f>
        <v>00839038</v>
      </c>
    </row>
    <row r="19069" spans="1:2" x14ac:dyDescent="0.25">
      <c r="A19069" s="2">
        <v>19064</v>
      </c>
      <c r="B19069" s="11" t="str">
        <f>"00839095"</f>
        <v>00839095</v>
      </c>
    </row>
    <row r="19070" spans="1:2" x14ac:dyDescent="0.25">
      <c r="A19070" s="2">
        <v>19065</v>
      </c>
      <c r="B19070" s="11" t="str">
        <f>"00839145"</f>
        <v>00839145</v>
      </c>
    </row>
    <row r="19071" spans="1:2" x14ac:dyDescent="0.25">
      <c r="A19071" s="2">
        <v>19066</v>
      </c>
      <c r="B19071" s="11" t="str">
        <f>"00839155"</f>
        <v>00839155</v>
      </c>
    </row>
    <row r="19072" spans="1:2" x14ac:dyDescent="0.25">
      <c r="A19072" s="2">
        <v>19067</v>
      </c>
      <c r="B19072" s="11" t="str">
        <f>"00839237"</f>
        <v>00839237</v>
      </c>
    </row>
    <row r="19073" spans="1:2" x14ac:dyDescent="0.25">
      <c r="A19073" s="2">
        <v>19068</v>
      </c>
      <c r="B19073" s="11" t="str">
        <f>"00839240"</f>
        <v>00839240</v>
      </c>
    </row>
    <row r="19074" spans="1:2" x14ac:dyDescent="0.25">
      <c r="A19074" s="2">
        <v>19069</v>
      </c>
      <c r="B19074" s="11" t="str">
        <f>"00839251"</f>
        <v>00839251</v>
      </c>
    </row>
    <row r="19075" spans="1:2" x14ac:dyDescent="0.25">
      <c r="A19075" s="2">
        <v>19070</v>
      </c>
      <c r="B19075" s="11" t="str">
        <f>"00839262"</f>
        <v>00839262</v>
      </c>
    </row>
    <row r="19076" spans="1:2" x14ac:dyDescent="0.25">
      <c r="A19076" s="2">
        <v>19071</v>
      </c>
      <c r="B19076" s="11" t="str">
        <f>"00839351"</f>
        <v>00839351</v>
      </c>
    </row>
    <row r="19077" spans="1:2" x14ac:dyDescent="0.25">
      <c r="A19077" s="2">
        <v>19072</v>
      </c>
      <c r="B19077" s="11" t="str">
        <f>"00839359"</f>
        <v>00839359</v>
      </c>
    </row>
    <row r="19078" spans="1:2" x14ac:dyDescent="0.25">
      <c r="A19078" s="2">
        <v>19073</v>
      </c>
      <c r="B19078" s="11" t="str">
        <f>"00839385"</f>
        <v>00839385</v>
      </c>
    </row>
    <row r="19079" spans="1:2" x14ac:dyDescent="0.25">
      <c r="A19079" s="2">
        <v>19074</v>
      </c>
      <c r="B19079" s="11" t="str">
        <f>"00839466"</f>
        <v>00839466</v>
      </c>
    </row>
    <row r="19080" spans="1:2" x14ac:dyDescent="0.25">
      <c r="A19080" s="2">
        <v>19075</v>
      </c>
      <c r="B19080" s="11" t="str">
        <f>"00839477"</f>
        <v>00839477</v>
      </c>
    </row>
    <row r="19081" spans="1:2" x14ac:dyDescent="0.25">
      <c r="A19081" s="2">
        <v>19076</v>
      </c>
      <c r="B19081" s="11" t="str">
        <f>"00839480"</f>
        <v>00839480</v>
      </c>
    </row>
    <row r="19082" spans="1:2" x14ac:dyDescent="0.25">
      <c r="A19082" s="2">
        <v>19077</v>
      </c>
      <c r="B19082" s="11" t="str">
        <f>"00839485"</f>
        <v>00839485</v>
      </c>
    </row>
    <row r="19083" spans="1:2" x14ac:dyDescent="0.25">
      <c r="A19083" s="2">
        <v>19078</v>
      </c>
      <c r="B19083" s="11" t="str">
        <f>"00839537"</f>
        <v>00839537</v>
      </c>
    </row>
    <row r="19084" spans="1:2" x14ac:dyDescent="0.25">
      <c r="A19084" s="2">
        <v>19079</v>
      </c>
      <c r="B19084" s="11" t="str">
        <f>"00839552"</f>
        <v>00839552</v>
      </c>
    </row>
    <row r="19085" spans="1:2" x14ac:dyDescent="0.25">
      <c r="A19085" s="2">
        <v>19080</v>
      </c>
      <c r="B19085" s="11" t="str">
        <f>"00839568"</f>
        <v>00839568</v>
      </c>
    </row>
    <row r="19086" spans="1:2" x14ac:dyDescent="0.25">
      <c r="A19086" s="2">
        <v>19081</v>
      </c>
      <c r="B19086" s="11" t="str">
        <f>"00839670"</f>
        <v>00839670</v>
      </c>
    </row>
    <row r="19087" spans="1:2" x14ac:dyDescent="0.25">
      <c r="A19087" s="2">
        <v>19082</v>
      </c>
      <c r="B19087" s="11" t="str">
        <f>"00839678"</f>
        <v>00839678</v>
      </c>
    </row>
    <row r="19088" spans="1:2" x14ac:dyDescent="0.25">
      <c r="A19088" s="2">
        <v>19083</v>
      </c>
      <c r="B19088" s="11" t="str">
        <f>"00839705"</f>
        <v>00839705</v>
      </c>
    </row>
    <row r="19089" spans="1:2" x14ac:dyDescent="0.25">
      <c r="A19089" s="2">
        <v>19084</v>
      </c>
      <c r="B19089" s="11" t="str">
        <f>"00839723"</f>
        <v>00839723</v>
      </c>
    </row>
    <row r="19090" spans="1:2" x14ac:dyDescent="0.25">
      <c r="A19090" s="2">
        <v>19085</v>
      </c>
      <c r="B19090" s="11" t="str">
        <f>"00839724"</f>
        <v>00839724</v>
      </c>
    </row>
    <row r="19091" spans="1:2" x14ac:dyDescent="0.25">
      <c r="A19091" s="2">
        <v>19086</v>
      </c>
      <c r="B19091" s="11" t="str">
        <f>"00839779"</f>
        <v>00839779</v>
      </c>
    </row>
    <row r="19092" spans="1:2" x14ac:dyDescent="0.25">
      <c r="A19092" s="2">
        <v>19087</v>
      </c>
      <c r="B19092" s="11" t="str">
        <f>"00839813"</f>
        <v>00839813</v>
      </c>
    </row>
    <row r="19093" spans="1:2" x14ac:dyDescent="0.25">
      <c r="A19093" s="2">
        <v>19088</v>
      </c>
      <c r="B19093" s="11" t="str">
        <f>"00839815"</f>
        <v>00839815</v>
      </c>
    </row>
    <row r="19094" spans="1:2" x14ac:dyDescent="0.25">
      <c r="A19094" s="2">
        <v>19089</v>
      </c>
      <c r="B19094" s="11" t="str">
        <f>"00839896"</f>
        <v>00839896</v>
      </c>
    </row>
    <row r="19095" spans="1:2" x14ac:dyDescent="0.25">
      <c r="A19095" s="2">
        <v>19090</v>
      </c>
      <c r="B19095" s="11" t="str">
        <f>"00839911"</f>
        <v>00839911</v>
      </c>
    </row>
    <row r="19096" spans="1:2" x14ac:dyDescent="0.25">
      <c r="A19096" s="2">
        <v>19091</v>
      </c>
      <c r="B19096" s="11" t="str">
        <f>"00840014"</f>
        <v>00840014</v>
      </c>
    </row>
    <row r="19097" spans="1:2" x14ac:dyDescent="0.25">
      <c r="A19097" s="2">
        <v>19092</v>
      </c>
      <c r="B19097" s="11" t="str">
        <f>"00840021"</f>
        <v>00840021</v>
      </c>
    </row>
    <row r="19098" spans="1:2" x14ac:dyDescent="0.25">
      <c r="A19098" s="2">
        <v>19093</v>
      </c>
      <c r="B19098" s="11" t="str">
        <f>"00840033"</f>
        <v>00840033</v>
      </c>
    </row>
    <row r="19099" spans="1:2" x14ac:dyDescent="0.25">
      <c r="A19099" s="2">
        <v>19094</v>
      </c>
      <c r="B19099" s="11" t="str">
        <f>"00840122"</f>
        <v>00840122</v>
      </c>
    </row>
    <row r="19100" spans="1:2" x14ac:dyDescent="0.25">
      <c r="A19100" s="2">
        <v>19095</v>
      </c>
      <c r="B19100" s="11" t="str">
        <f>"00840124"</f>
        <v>00840124</v>
      </c>
    </row>
    <row r="19101" spans="1:2" x14ac:dyDescent="0.25">
      <c r="A19101" s="2">
        <v>19096</v>
      </c>
      <c r="B19101" s="11" t="str">
        <f>"00840188"</f>
        <v>00840188</v>
      </c>
    </row>
    <row r="19102" spans="1:2" x14ac:dyDescent="0.25">
      <c r="A19102" s="2">
        <v>19097</v>
      </c>
      <c r="B19102" s="11" t="str">
        <f>"00840273"</f>
        <v>00840273</v>
      </c>
    </row>
    <row r="19103" spans="1:2" x14ac:dyDescent="0.25">
      <c r="A19103" s="2">
        <v>19098</v>
      </c>
      <c r="B19103" s="11" t="str">
        <f>"00840287"</f>
        <v>00840287</v>
      </c>
    </row>
    <row r="19104" spans="1:2" x14ac:dyDescent="0.25">
      <c r="A19104" s="2">
        <v>19099</v>
      </c>
      <c r="B19104" s="11" t="str">
        <f>"00840309"</f>
        <v>00840309</v>
      </c>
    </row>
    <row r="19105" spans="1:2" x14ac:dyDescent="0.25">
      <c r="A19105" s="2">
        <v>19100</v>
      </c>
      <c r="B19105" s="11" t="str">
        <f>"00840316"</f>
        <v>00840316</v>
      </c>
    </row>
    <row r="19106" spans="1:2" x14ac:dyDescent="0.25">
      <c r="A19106" s="2">
        <v>19101</v>
      </c>
      <c r="B19106" s="11" t="str">
        <f>"00840403"</f>
        <v>00840403</v>
      </c>
    </row>
    <row r="19107" spans="1:2" x14ac:dyDescent="0.25">
      <c r="A19107" s="2">
        <v>19102</v>
      </c>
      <c r="B19107" s="11" t="str">
        <f>"00840456"</f>
        <v>00840456</v>
      </c>
    </row>
    <row r="19108" spans="1:2" x14ac:dyDescent="0.25">
      <c r="A19108" s="2">
        <v>19103</v>
      </c>
      <c r="B19108" s="11" t="str">
        <f>"00840486"</f>
        <v>00840486</v>
      </c>
    </row>
    <row r="19109" spans="1:2" x14ac:dyDescent="0.25">
      <c r="A19109" s="2">
        <v>19104</v>
      </c>
      <c r="B19109" s="11" t="str">
        <f>"00840495"</f>
        <v>00840495</v>
      </c>
    </row>
    <row r="19110" spans="1:2" x14ac:dyDescent="0.25">
      <c r="A19110" s="2">
        <v>19105</v>
      </c>
      <c r="B19110" s="11" t="str">
        <f>"00840521"</f>
        <v>00840521</v>
      </c>
    </row>
    <row r="19111" spans="1:2" x14ac:dyDescent="0.25">
      <c r="A19111" s="2">
        <v>19106</v>
      </c>
      <c r="B19111" s="11" t="str">
        <f>"00840534"</f>
        <v>00840534</v>
      </c>
    </row>
    <row r="19112" spans="1:2" x14ac:dyDescent="0.25">
      <c r="A19112" s="2">
        <v>19107</v>
      </c>
      <c r="B19112" s="11" t="str">
        <f>"00840549"</f>
        <v>00840549</v>
      </c>
    </row>
    <row r="19113" spans="1:2" x14ac:dyDescent="0.25">
      <c r="A19113" s="2">
        <v>19108</v>
      </c>
      <c r="B19113" s="11" t="str">
        <f>"00840586"</f>
        <v>00840586</v>
      </c>
    </row>
    <row r="19114" spans="1:2" x14ac:dyDescent="0.25">
      <c r="A19114" s="2">
        <v>19109</v>
      </c>
      <c r="B19114" s="11" t="str">
        <f>"00840592"</f>
        <v>00840592</v>
      </c>
    </row>
    <row r="19115" spans="1:2" x14ac:dyDescent="0.25">
      <c r="A19115" s="2">
        <v>19110</v>
      </c>
      <c r="B19115" s="11" t="str">
        <f>"00840625"</f>
        <v>00840625</v>
      </c>
    </row>
    <row r="19116" spans="1:2" x14ac:dyDescent="0.25">
      <c r="A19116" s="2">
        <v>19111</v>
      </c>
      <c r="B19116" s="11" t="str">
        <f>"00840650"</f>
        <v>00840650</v>
      </c>
    </row>
    <row r="19117" spans="1:2" x14ac:dyDescent="0.25">
      <c r="A19117" s="2">
        <v>19112</v>
      </c>
      <c r="B19117" s="11" t="str">
        <f>"00840654"</f>
        <v>00840654</v>
      </c>
    </row>
    <row r="19118" spans="1:2" x14ac:dyDescent="0.25">
      <c r="A19118" s="2">
        <v>19113</v>
      </c>
      <c r="B19118" s="11" t="str">
        <f>"00840675"</f>
        <v>00840675</v>
      </c>
    </row>
    <row r="19119" spans="1:2" x14ac:dyDescent="0.25">
      <c r="A19119" s="2">
        <v>19114</v>
      </c>
      <c r="B19119" s="11" t="str">
        <f>"00840685"</f>
        <v>00840685</v>
      </c>
    </row>
    <row r="19120" spans="1:2" x14ac:dyDescent="0.25">
      <c r="A19120" s="2">
        <v>19115</v>
      </c>
      <c r="B19120" s="11" t="str">
        <f>"00840696"</f>
        <v>00840696</v>
      </c>
    </row>
    <row r="19121" spans="1:2" x14ac:dyDescent="0.25">
      <c r="A19121" s="2">
        <v>19116</v>
      </c>
      <c r="B19121" s="11" t="str">
        <f>"00840736"</f>
        <v>00840736</v>
      </c>
    </row>
    <row r="19122" spans="1:2" x14ac:dyDescent="0.25">
      <c r="A19122" s="2">
        <v>19117</v>
      </c>
      <c r="B19122" s="11" t="str">
        <f>"00840749"</f>
        <v>00840749</v>
      </c>
    </row>
    <row r="19123" spans="1:2" x14ac:dyDescent="0.25">
      <c r="A19123" s="2">
        <v>19118</v>
      </c>
      <c r="B19123" s="11" t="str">
        <f>"00840752"</f>
        <v>00840752</v>
      </c>
    </row>
    <row r="19124" spans="1:2" x14ac:dyDescent="0.25">
      <c r="A19124" s="2">
        <v>19119</v>
      </c>
      <c r="B19124" s="11" t="str">
        <f>"00840768"</f>
        <v>00840768</v>
      </c>
    </row>
    <row r="19125" spans="1:2" x14ac:dyDescent="0.25">
      <c r="A19125" s="2">
        <v>19120</v>
      </c>
      <c r="B19125" s="11" t="str">
        <f>"00840781"</f>
        <v>00840781</v>
      </c>
    </row>
    <row r="19126" spans="1:2" x14ac:dyDescent="0.25">
      <c r="A19126" s="2">
        <v>19121</v>
      </c>
      <c r="B19126" s="11" t="str">
        <f>"00840841"</f>
        <v>00840841</v>
      </c>
    </row>
    <row r="19127" spans="1:2" x14ac:dyDescent="0.25">
      <c r="A19127" s="2">
        <v>19122</v>
      </c>
      <c r="B19127" s="11" t="str">
        <f>"00840934"</f>
        <v>00840934</v>
      </c>
    </row>
    <row r="19128" spans="1:2" x14ac:dyDescent="0.25">
      <c r="A19128" s="2">
        <v>19123</v>
      </c>
      <c r="B19128" s="11" t="str">
        <f>"00840937"</f>
        <v>00840937</v>
      </c>
    </row>
    <row r="19129" spans="1:2" x14ac:dyDescent="0.25">
      <c r="A19129" s="2">
        <v>19124</v>
      </c>
      <c r="B19129" s="11" t="str">
        <f>"00840946"</f>
        <v>00840946</v>
      </c>
    </row>
    <row r="19130" spans="1:2" x14ac:dyDescent="0.25">
      <c r="A19130" s="2">
        <v>19125</v>
      </c>
      <c r="B19130" s="11" t="str">
        <f>"00840999"</f>
        <v>00840999</v>
      </c>
    </row>
    <row r="19131" spans="1:2" x14ac:dyDescent="0.25">
      <c r="A19131" s="2">
        <v>19126</v>
      </c>
      <c r="B19131" s="11" t="str">
        <f>"00841029"</f>
        <v>00841029</v>
      </c>
    </row>
    <row r="19132" spans="1:2" x14ac:dyDescent="0.25">
      <c r="A19132" s="2">
        <v>19127</v>
      </c>
      <c r="B19132" s="11" t="str">
        <f>"00841073"</f>
        <v>00841073</v>
      </c>
    </row>
    <row r="19133" spans="1:2" x14ac:dyDescent="0.25">
      <c r="A19133" s="2">
        <v>19128</v>
      </c>
      <c r="B19133" s="11" t="str">
        <f>"00841076"</f>
        <v>00841076</v>
      </c>
    </row>
    <row r="19134" spans="1:2" x14ac:dyDescent="0.25">
      <c r="A19134" s="2">
        <v>19129</v>
      </c>
      <c r="B19134" s="11" t="str">
        <f>"00841084"</f>
        <v>00841084</v>
      </c>
    </row>
    <row r="19135" spans="1:2" x14ac:dyDescent="0.25">
      <c r="A19135" s="2">
        <v>19130</v>
      </c>
      <c r="B19135" s="11" t="str">
        <f>"00841093"</f>
        <v>00841093</v>
      </c>
    </row>
    <row r="19136" spans="1:2" x14ac:dyDescent="0.25">
      <c r="A19136" s="2">
        <v>19131</v>
      </c>
      <c r="B19136" s="11" t="str">
        <f>"00841097"</f>
        <v>00841097</v>
      </c>
    </row>
    <row r="19137" spans="1:2" x14ac:dyDescent="0.25">
      <c r="A19137" s="2">
        <v>19132</v>
      </c>
      <c r="B19137" s="11" t="str">
        <f>"00841143"</f>
        <v>00841143</v>
      </c>
    </row>
    <row r="19138" spans="1:2" x14ac:dyDescent="0.25">
      <c r="A19138" s="2">
        <v>19133</v>
      </c>
      <c r="B19138" s="11" t="str">
        <f>"00841167"</f>
        <v>00841167</v>
      </c>
    </row>
    <row r="19139" spans="1:2" x14ac:dyDescent="0.25">
      <c r="A19139" s="2">
        <v>19134</v>
      </c>
      <c r="B19139" s="11" t="str">
        <f>"00841209"</f>
        <v>00841209</v>
      </c>
    </row>
    <row r="19140" spans="1:2" x14ac:dyDescent="0.25">
      <c r="A19140" s="2">
        <v>19135</v>
      </c>
      <c r="B19140" s="11" t="str">
        <f>"00841281"</f>
        <v>00841281</v>
      </c>
    </row>
    <row r="19141" spans="1:2" x14ac:dyDescent="0.25">
      <c r="A19141" s="2">
        <v>19136</v>
      </c>
      <c r="B19141" s="11" t="str">
        <f>"00841317"</f>
        <v>00841317</v>
      </c>
    </row>
    <row r="19142" spans="1:2" x14ac:dyDescent="0.25">
      <c r="A19142" s="2">
        <v>19137</v>
      </c>
      <c r="B19142" s="11" t="str">
        <f>"00841425"</f>
        <v>00841425</v>
      </c>
    </row>
    <row r="19143" spans="1:2" x14ac:dyDescent="0.25">
      <c r="A19143" s="2">
        <v>19138</v>
      </c>
      <c r="B19143" s="11" t="str">
        <f>"00841426"</f>
        <v>00841426</v>
      </c>
    </row>
    <row r="19144" spans="1:2" x14ac:dyDescent="0.25">
      <c r="A19144" s="2">
        <v>19139</v>
      </c>
      <c r="B19144" s="11" t="str">
        <f>"00841466"</f>
        <v>00841466</v>
      </c>
    </row>
    <row r="19145" spans="1:2" x14ac:dyDescent="0.25">
      <c r="A19145" s="2">
        <v>19140</v>
      </c>
      <c r="B19145" s="11" t="str">
        <f>"00841468"</f>
        <v>00841468</v>
      </c>
    </row>
    <row r="19146" spans="1:2" x14ac:dyDescent="0.25">
      <c r="A19146" s="2">
        <v>19141</v>
      </c>
      <c r="B19146" s="11" t="str">
        <f>"00841490"</f>
        <v>00841490</v>
      </c>
    </row>
    <row r="19147" spans="1:2" x14ac:dyDescent="0.25">
      <c r="A19147" s="2">
        <v>19142</v>
      </c>
      <c r="B19147" s="11" t="str">
        <f>"00841596"</f>
        <v>00841596</v>
      </c>
    </row>
    <row r="19148" spans="1:2" x14ac:dyDescent="0.25">
      <c r="A19148" s="2">
        <v>19143</v>
      </c>
      <c r="B19148" s="11" t="str">
        <f>"00841628"</f>
        <v>00841628</v>
      </c>
    </row>
    <row r="19149" spans="1:2" x14ac:dyDescent="0.25">
      <c r="A19149" s="2">
        <v>19144</v>
      </c>
      <c r="B19149" s="11" t="str">
        <f>"00841667"</f>
        <v>00841667</v>
      </c>
    </row>
    <row r="19150" spans="1:2" x14ac:dyDescent="0.25">
      <c r="A19150" s="2">
        <v>19145</v>
      </c>
      <c r="B19150" s="11" t="str">
        <f>"00841685"</f>
        <v>00841685</v>
      </c>
    </row>
    <row r="19151" spans="1:2" x14ac:dyDescent="0.25">
      <c r="A19151" s="2">
        <v>19146</v>
      </c>
      <c r="B19151" s="11" t="str">
        <f>"00841698"</f>
        <v>00841698</v>
      </c>
    </row>
    <row r="19152" spans="1:2" x14ac:dyDescent="0.25">
      <c r="A19152" s="2">
        <v>19147</v>
      </c>
      <c r="B19152" s="11" t="str">
        <f>"00841755"</f>
        <v>00841755</v>
      </c>
    </row>
    <row r="19153" spans="1:2" x14ac:dyDescent="0.25">
      <c r="A19153" s="2">
        <v>19148</v>
      </c>
      <c r="B19153" s="11" t="str">
        <f>"00841761"</f>
        <v>00841761</v>
      </c>
    </row>
    <row r="19154" spans="1:2" x14ac:dyDescent="0.25">
      <c r="A19154" s="2">
        <v>19149</v>
      </c>
      <c r="B19154" s="11" t="str">
        <f>"00841780"</f>
        <v>00841780</v>
      </c>
    </row>
    <row r="19155" spans="1:2" x14ac:dyDescent="0.25">
      <c r="A19155" s="2">
        <v>19150</v>
      </c>
      <c r="B19155" s="11" t="str">
        <f>"00841781"</f>
        <v>00841781</v>
      </c>
    </row>
    <row r="19156" spans="1:2" x14ac:dyDescent="0.25">
      <c r="A19156" s="2">
        <v>19151</v>
      </c>
      <c r="B19156" s="11" t="str">
        <f>"00841783"</f>
        <v>00841783</v>
      </c>
    </row>
    <row r="19157" spans="1:2" x14ac:dyDescent="0.25">
      <c r="A19157" s="2">
        <v>19152</v>
      </c>
      <c r="B19157" s="11" t="str">
        <f>"00841796"</f>
        <v>00841796</v>
      </c>
    </row>
    <row r="19158" spans="1:2" x14ac:dyDescent="0.25">
      <c r="A19158" s="2">
        <v>19153</v>
      </c>
      <c r="B19158" s="11" t="str">
        <f>"00841824"</f>
        <v>00841824</v>
      </c>
    </row>
    <row r="19159" spans="1:2" x14ac:dyDescent="0.25">
      <c r="A19159" s="2">
        <v>19154</v>
      </c>
      <c r="B19159" s="11" t="str">
        <f>"00841847"</f>
        <v>00841847</v>
      </c>
    </row>
    <row r="19160" spans="1:2" x14ac:dyDescent="0.25">
      <c r="A19160" s="2">
        <v>19155</v>
      </c>
      <c r="B19160" s="11" t="str">
        <f>"00841852"</f>
        <v>00841852</v>
      </c>
    </row>
    <row r="19161" spans="1:2" x14ac:dyDescent="0.25">
      <c r="A19161" s="2">
        <v>19156</v>
      </c>
      <c r="B19161" s="11" t="str">
        <f>"00841867"</f>
        <v>00841867</v>
      </c>
    </row>
    <row r="19162" spans="1:2" x14ac:dyDescent="0.25">
      <c r="A19162" s="2">
        <v>19157</v>
      </c>
      <c r="B19162" s="11" t="str">
        <f>"00841885"</f>
        <v>00841885</v>
      </c>
    </row>
    <row r="19163" spans="1:2" x14ac:dyDescent="0.25">
      <c r="A19163" s="2">
        <v>19158</v>
      </c>
      <c r="B19163" s="11" t="str">
        <f>"00841915"</f>
        <v>00841915</v>
      </c>
    </row>
    <row r="19164" spans="1:2" x14ac:dyDescent="0.25">
      <c r="A19164" s="2">
        <v>19159</v>
      </c>
      <c r="B19164" s="11" t="str">
        <f>"00841933"</f>
        <v>00841933</v>
      </c>
    </row>
    <row r="19165" spans="1:2" x14ac:dyDescent="0.25">
      <c r="A19165" s="2">
        <v>19160</v>
      </c>
      <c r="B19165" s="11" t="str">
        <f>"00841996"</f>
        <v>00841996</v>
      </c>
    </row>
    <row r="19166" spans="1:2" x14ac:dyDescent="0.25">
      <c r="A19166" s="2">
        <v>19161</v>
      </c>
      <c r="B19166" s="11" t="str">
        <f>"00842034"</f>
        <v>00842034</v>
      </c>
    </row>
    <row r="19167" spans="1:2" x14ac:dyDescent="0.25">
      <c r="A19167" s="2">
        <v>19162</v>
      </c>
      <c r="B19167" s="11" t="str">
        <f>"00842060"</f>
        <v>00842060</v>
      </c>
    </row>
    <row r="19168" spans="1:2" x14ac:dyDescent="0.25">
      <c r="A19168" s="2">
        <v>19163</v>
      </c>
      <c r="B19168" s="11" t="str">
        <f>"00842065"</f>
        <v>00842065</v>
      </c>
    </row>
    <row r="19169" spans="1:2" x14ac:dyDescent="0.25">
      <c r="A19169" s="2">
        <v>19164</v>
      </c>
      <c r="B19169" s="11" t="str">
        <f>"00842081"</f>
        <v>00842081</v>
      </c>
    </row>
    <row r="19170" spans="1:2" x14ac:dyDescent="0.25">
      <c r="A19170" s="2">
        <v>19165</v>
      </c>
      <c r="B19170" s="11" t="str">
        <f>"00842109"</f>
        <v>00842109</v>
      </c>
    </row>
    <row r="19171" spans="1:2" x14ac:dyDescent="0.25">
      <c r="A19171" s="2">
        <v>19166</v>
      </c>
      <c r="B19171" s="11" t="str">
        <f>"00842114"</f>
        <v>00842114</v>
      </c>
    </row>
    <row r="19172" spans="1:2" x14ac:dyDescent="0.25">
      <c r="A19172" s="2">
        <v>19167</v>
      </c>
      <c r="B19172" s="11" t="str">
        <f>"00842133"</f>
        <v>00842133</v>
      </c>
    </row>
    <row r="19173" spans="1:2" x14ac:dyDescent="0.25">
      <c r="A19173" s="2">
        <v>19168</v>
      </c>
      <c r="B19173" s="11" t="str">
        <f>"00842173"</f>
        <v>00842173</v>
      </c>
    </row>
    <row r="19174" spans="1:2" x14ac:dyDescent="0.25">
      <c r="A19174" s="2">
        <v>19169</v>
      </c>
      <c r="B19174" s="11" t="str">
        <f>"00842175"</f>
        <v>00842175</v>
      </c>
    </row>
    <row r="19175" spans="1:2" x14ac:dyDescent="0.25">
      <c r="A19175" s="2">
        <v>19170</v>
      </c>
      <c r="B19175" s="11" t="str">
        <f>"00842194"</f>
        <v>00842194</v>
      </c>
    </row>
    <row r="19176" spans="1:2" x14ac:dyDescent="0.25">
      <c r="A19176" s="2">
        <v>19171</v>
      </c>
      <c r="B19176" s="11" t="str">
        <f>"00842211"</f>
        <v>00842211</v>
      </c>
    </row>
    <row r="19177" spans="1:2" x14ac:dyDescent="0.25">
      <c r="A19177" s="2">
        <v>19172</v>
      </c>
      <c r="B19177" s="11" t="str">
        <f>"00842233"</f>
        <v>00842233</v>
      </c>
    </row>
    <row r="19178" spans="1:2" x14ac:dyDescent="0.25">
      <c r="A19178" s="2">
        <v>19173</v>
      </c>
      <c r="B19178" s="11" t="str">
        <f>"00842260"</f>
        <v>00842260</v>
      </c>
    </row>
    <row r="19179" spans="1:2" x14ac:dyDescent="0.25">
      <c r="A19179" s="2">
        <v>19174</v>
      </c>
      <c r="B19179" s="11" t="str">
        <f>"00842279"</f>
        <v>00842279</v>
      </c>
    </row>
    <row r="19180" spans="1:2" x14ac:dyDescent="0.25">
      <c r="A19180" s="2">
        <v>19175</v>
      </c>
      <c r="B19180" s="11" t="str">
        <f>"00842370"</f>
        <v>00842370</v>
      </c>
    </row>
    <row r="19181" spans="1:2" x14ac:dyDescent="0.25">
      <c r="A19181" s="2">
        <v>19176</v>
      </c>
      <c r="B19181" s="11" t="str">
        <f>"00842409"</f>
        <v>00842409</v>
      </c>
    </row>
    <row r="19182" spans="1:2" x14ac:dyDescent="0.25">
      <c r="A19182" s="2">
        <v>19177</v>
      </c>
      <c r="B19182" s="11" t="str">
        <f>"00842421"</f>
        <v>00842421</v>
      </c>
    </row>
    <row r="19183" spans="1:2" x14ac:dyDescent="0.25">
      <c r="A19183" s="2">
        <v>19178</v>
      </c>
      <c r="B19183" s="11" t="str">
        <f>"00842433"</f>
        <v>00842433</v>
      </c>
    </row>
    <row r="19184" spans="1:2" x14ac:dyDescent="0.25">
      <c r="A19184" s="2">
        <v>19179</v>
      </c>
      <c r="B19184" s="11" t="str">
        <f>"00842480"</f>
        <v>00842480</v>
      </c>
    </row>
    <row r="19185" spans="1:2" x14ac:dyDescent="0.25">
      <c r="A19185" s="2">
        <v>19180</v>
      </c>
      <c r="B19185" s="11" t="str">
        <f>"00842481"</f>
        <v>00842481</v>
      </c>
    </row>
    <row r="19186" spans="1:2" x14ac:dyDescent="0.25">
      <c r="A19186" s="2">
        <v>19181</v>
      </c>
      <c r="B19186" s="11" t="str">
        <f>"00842514"</f>
        <v>00842514</v>
      </c>
    </row>
    <row r="19187" spans="1:2" x14ac:dyDescent="0.25">
      <c r="A19187" s="2">
        <v>19182</v>
      </c>
      <c r="B19187" s="11" t="str">
        <f>"00842562"</f>
        <v>00842562</v>
      </c>
    </row>
    <row r="19188" spans="1:2" x14ac:dyDescent="0.25">
      <c r="A19188" s="2">
        <v>19183</v>
      </c>
      <c r="B19188" s="11" t="str">
        <f>"00842577"</f>
        <v>00842577</v>
      </c>
    </row>
    <row r="19189" spans="1:2" x14ac:dyDescent="0.25">
      <c r="A19189" s="2">
        <v>19184</v>
      </c>
      <c r="B19189" s="11" t="str">
        <f>"00842581"</f>
        <v>00842581</v>
      </c>
    </row>
    <row r="19190" spans="1:2" x14ac:dyDescent="0.25">
      <c r="A19190" s="2">
        <v>19185</v>
      </c>
      <c r="B19190" s="11" t="str">
        <f>"00842610"</f>
        <v>00842610</v>
      </c>
    </row>
    <row r="19191" spans="1:2" x14ac:dyDescent="0.25">
      <c r="A19191" s="2">
        <v>19186</v>
      </c>
      <c r="B19191" s="11" t="str">
        <f>"00842638"</f>
        <v>00842638</v>
      </c>
    </row>
    <row r="19192" spans="1:2" x14ac:dyDescent="0.25">
      <c r="A19192" s="2">
        <v>19187</v>
      </c>
      <c r="B19192" s="11" t="str">
        <f>"00842645"</f>
        <v>00842645</v>
      </c>
    </row>
    <row r="19193" spans="1:2" x14ac:dyDescent="0.25">
      <c r="A19193" s="2">
        <v>19188</v>
      </c>
      <c r="B19193" s="11" t="str">
        <f>"00842651"</f>
        <v>00842651</v>
      </c>
    </row>
    <row r="19194" spans="1:2" x14ac:dyDescent="0.25">
      <c r="A19194" s="2">
        <v>19189</v>
      </c>
      <c r="B19194" s="11" t="str">
        <f>"00842652"</f>
        <v>00842652</v>
      </c>
    </row>
    <row r="19195" spans="1:2" x14ac:dyDescent="0.25">
      <c r="A19195" s="2">
        <v>19190</v>
      </c>
      <c r="B19195" s="11" t="str">
        <f>"00842654"</f>
        <v>00842654</v>
      </c>
    </row>
    <row r="19196" spans="1:2" x14ac:dyDescent="0.25">
      <c r="A19196" s="2">
        <v>19191</v>
      </c>
      <c r="B19196" s="11" t="str">
        <f>"00842662"</f>
        <v>00842662</v>
      </c>
    </row>
    <row r="19197" spans="1:2" x14ac:dyDescent="0.25">
      <c r="A19197" s="2">
        <v>19192</v>
      </c>
      <c r="B19197" s="11" t="str">
        <f>"00842664"</f>
        <v>00842664</v>
      </c>
    </row>
    <row r="19198" spans="1:2" x14ac:dyDescent="0.25">
      <c r="A19198" s="2">
        <v>19193</v>
      </c>
      <c r="B19198" s="11" t="str">
        <f>"00842671"</f>
        <v>00842671</v>
      </c>
    </row>
    <row r="19199" spans="1:2" x14ac:dyDescent="0.25">
      <c r="A19199" s="2">
        <v>19194</v>
      </c>
      <c r="B19199" s="11" t="str">
        <f>"00842703"</f>
        <v>00842703</v>
      </c>
    </row>
    <row r="19200" spans="1:2" x14ac:dyDescent="0.25">
      <c r="A19200" s="2">
        <v>19195</v>
      </c>
      <c r="B19200" s="11" t="str">
        <f>"00842722"</f>
        <v>00842722</v>
      </c>
    </row>
    <row r="19201" spans="1:2" x14ac:dyDescent="0.25">
      <c r="A19201" s="2">
        <v>19196</v>
      </c>
      <c r="B19201" s="11" t="str">
        <f>"00842727"</f>
        <v>00842727</v>
      </c>
    </row>
    <row r="19202" spans="1:2" x14ac:dyDescent="0.25">
      <c r="A19202" s="2">
        <v>19197</v>
      </c>
      <c r="B19202" s="11" t="str">
        <f>"00842734"</f>
        <v>00842734</v>
      </c>
    </row>
    <row r="19203" spans="1:2" x14ac:dyDescent="0.25">
      <c r="A19203" s="2">
        <v>19198</v>
      </c>
      <c r="B19203" s="11" t="str">
        <f>"00842750"</f>
        <v>00842750</v>
      </c>
    </row>
    <row r="19204" spans="1:2" x14ac:dyDescent="0.25">
      <c r="A19204" s="2">
        <v>19199</v>
      </c>
      <c r="B19204" s="11" t="str">
        <f>"00842840"</f>
        <v>00842840</v>
      </c>
    </row>
    <row r="19205" spans="1:2" x14ac:dyDescent="0.25">
      <c r="A19205" s="2">
        <v>19200</v>
      </c>
      <c r="B19205" s="11" t="str">
        <f>"00842865"</f>
        <v>00842865</v>
      </c>
    </row>
    <row r="19206" spans="1:2" x14ac:dyDescent="0.25">
      <c r="A19206" s="2">
        <v>19201</v>
      </c>
      <c r="B19206" s="11" t="str">
        <f>"00842897"</f>
        <v>00842897</v>
      </c>
    </row>
    <row r="19207" spans="1:2" x14ac:dyDescent="0.25">
      <c r="A19207" s="2">
        <v>19202</v>
      </c>
      <c r="B19207" s="11" t="str">
        <f>"00842992"</f>
        <v>00842992</v>
      </c>
    </row>
    <row r="19208" spans="1:2" x14ac:dyDescent="0.25">
      <c r="A19208" s="2">
        <v>19203</v>
      </c>
      <c r="B19208" s="11" t="str">
        <f>"00842993"</f>
        <v>00842993</v>
      </c>
    </row>
    <row r="19209" spans="1:2" x14ac:dyDescent="0.25">
      <c r="A19209" s="2">
        <v>19204</v>
      </c>
      <c r="B19209" s="11" t="str">
        <f>"00843024"</f>
        <v>00843024</v>
      </c>
    </row>
    <row r="19210" spans="1:2" x14ac:dyDescent="0.25">
      <c r="A19210" s="2">
        <v>19205</v>
      </c>
      <c r="B19210" s="11" t="str">
        <f>"00843075"</f>
        <v>00843075</v>
      </c>
    </row>
    <row r="19211" spans="1:2" x14ac:dyDescent="0.25">
      <c r="A19211" s="2">
        <v>19206</v>
      </c>
      <c r="B19211" s="11" t="str">
        <f>"00843091"</f>
        <v>00843091</v>
      </c>
    </row>
    <row r="19212" spans="1:2" x14ac:dyDescent="0.25">
      <c r="A19212" s="2">
        <v>19207</v>
      </c>
      <c r="B19212" s="11" t="str">
        <f>"00843113"</f>
        <v>00843113</v>
      </c>
    </row>
    <row r="19213" spans="1:2" x14ac:dyDescent="0.25">
      <c r="A19213" s="2">
        <v>19208</v>
      </c>
      <c r="B19213" s="11" t="str">
        <f>"00843119"</f>
        <v>00843119</v>
      </c>
    </row>
    <row r="19214" spans="1:2" x14ac:dyDescent="0.25">
      <c r="A19214" s="2">
        <v>19209</v>
      </c>
      <c r="B19214" s="11" t="str">
        <f>"00843137"</f>
        <v>00843137</v>
      </c>
    </row>
    <row r="19215" spans="1:2" x14ac:dyDescent="0.25">
      <c r="A19215" s="2">
        <v>19210</v>
      </c>
      <c r="B19215" s="11" t="str">
        <f>"00843167"</f>
        <v>00843167</v>
      </c>
    </row>
    <row r="19216" spans="1:2" x14ac:dyDescent="0.25">
      <c r="A19216" s="2">
        <v>19211</v>
      </c>
      <c r="B19216" s="11" t="str">
        <f>"00843168"</f>
        <v>00843168</v>
      </c>
    </row>
    <row r="19217" spans="1:2" x14ac:dyDescent="0.25">
      <c r="A19217" s="2">
        <v>19212</v>
      </c>
      <c r="B19217" s="11" t="str">
        <f>"00843192"</f>
        <v>00843192</v>
      </c>
    </row>
    <row r="19218" spans="1:2" x14ac:dyDescent="0.25">
      <c r="A19218" s="2">
        <v>19213</v>
      </c>
      <c r="B19218" s="11" t="str">
        <f>"00843201"</f>
        <v>00843201</v>
      </c>
    </row>
    <row r="19219" spans="1:2" x14ac:dyDescent="0.25">
      <c r="A19219" s="2">
        <v>19214</v>
      </c>
      <c r="B19219" s="11" t="str">
        <f>"00843241"</f>
        <v>00843241</v>
      </c>
    </row>
    <row r="19220" spans="1:2" x14ac:dyDescent="0.25">
      <c r="A19220" s="2">
        <v>19215</v>
      </c>
      <c r="B19220" s="11" t="str">
        <f>"00843253"</f>
        <v>00843253</v>
      </c>
    </row>
    <row r="19221" spans="1:2" x14ac:dyDescent="0.25">
      <c r="A19221" s="2">
        <v>19216</v>
      </c>
      <c r="B19221" s="11" t="str">
        <f>"00843308"</f>
        <v>00843308</v>
      </c>
    </row>
    <row r="19222" spans="1:2" x14ac:dyDescent="0.25">
      <c r="A19222" s="2">
        <v>19217</v>
      </c>
      <c r="B19222" s="11" t="str">
        <f>"00843422"</f>
        <v>00843422</v>
      </c>
    </row>
    <row r="19223" spans="1:2" x14ac:dyDescent="0.25">
      <c r="A19223" s="2">
        <v>19218</v>
      </c>
      <c r="B19223" s="11" t="str">
        <f>"00843438"</f>
        <v>00843438</v>
      </c>
    </row>
    <row r="19224" spans="1:2" x14ac:dyDescent="0.25">
      <c r="A19224" s="2">
        <v>19219</v>
      </c>
      <c r="B19224" s="11" t="str">
        <f>"00843478"</f>
        <v>00843478</v>
      </c>
    </row>
    <row r="19225" spans="1:2" x14ac:dyDescent="0.25">
      <c r="A19225" s="2">
        <v>19220</v>
      </c>
      <c r="B19225" s="11" t="str">
        <f>"00843535"</f>
        <v>00843535</v>
      </c>
    </row>
    <row r="19226" spans="1:2" x14ac:dyDescent="0.25">
      <c r="A19226" s="2">
        <v>19221</v>
      </c>
      <c r="B19226" s="11" t="str">
        <f>"00843549"</f>
        <v>00843549</v>
      </c>
    </row>
    <row r="19227" spans="1:2" x14ac:dyDescent="0.25">
      <c r="A19227" s="2">
        <v>19222</v>
      </c>
      <c r="B19227" s="11" t="str">
        <f>"00843564"</f>
        <v>00843564</v>
      </c>
    </row>
    <row r="19228" spans="1:2" x14ac:dyDescent="0.25">
      <c r="A19228" s="2">
        <v>19223</v>
      </c>
      <c r="B19228" s="11" t="str">
        <f>"00843568"</f>
        <v>00843568</v>
      </c>
    </row>
    <row r="19229" spans="1:2" x14ac:dyDescent="0.25">
      <c r="A19229" s="2">
        <v>19224</v>
      </c>
      <c r="B19229" s="11" t="str">
        <f>"00843574"</f>
        <v>00843574</v>
      </c>
    </row>
    <row r="19230" spans="1:2" x14ac:dyDescent="0.25">
      <c r="A19230" s="2">
        <v>19225</v>
      </c>
      <c r="B19230" s="11" t="str">
        <f>"00843579"</f>
        <v>00843579</v>
      </c>
    </row>
    <row r="19231" spans="1:2" x14ac:dyDescent="0.25">
      <c r="A19231" s="2">
        <v>19226</v>
      </c>
      <c r="B19231" s="11" t="str">
        <f>"00843667"</f>
        <v>00843667</v>
      </c>
    </row>
    <row r="19232" spans="1:2" x14ac:dyDescent="0.25">
      <c r="A19232" s="2">
        <v>19227</v>
      </c>
      <c r="B19232" s="11" t="str">
        <f>"00843687"</f>
        <v>00843687</v>
      </c>
    </row>
    <row r="19233" spans="1:2" x14ac:dyDescent="0.25">
      <c r="A19233" s="2">
        <v>19228</v>
      </c>
      <c r="B19233" s="11" t="str">
        <f>"00843716"</f>
        <v>00843716</v>
      </c>
    </row>
    <row r="19234" spans="1:2" x14ac:dyDescent="0.25">
      <c r="A19234" s="2">
        <v>19229</v>
      </c>
      <c r="B19234" s="11" t="str">
        <f>"00843754"</f>
        <v>00843754</v>
      </c>
    </row>
    <row r="19235" spans="1:2" x14ac:dyDescent="0.25">
      <c r="A19235" s="2">
        <v>19230</v>
      </c>
      <c r="B19235" s="11" t="str">
        <f>"00843760"</f>
        <v>00843760</v>
      </c>
    </row>
    <row r="19236" spans="1:2" x14ac:dyDescent="0.25">
      <c r="A19236" s="2">
        <v>19231</v>
      </c>
      <c r="B19236" s="11" t="str">
        <f>"00843781"</f>
        <v>00843781</v>
      </c>
    </row>
    <row r="19237" spans="1:2" x14ac:dyDescent="0.25">
      <c r="A19237" s="2">
        <v>19232</v>
      </c>
      <c r="B19237" s="11" t="str">
        <f>"00843797"</f>
        <v>00843797</v>
      </c>
    </row>
    <row r="19238" spans="1:2" x14ac:dyDescent="0.25">
      <c r="A19238" s="2">
        <v>19233</v>
      </c>
      <c r="B19238" s="11" t="str">
        <f>"00843850"</f>
        <v>00843850</v>
      </c>
    </row>
    <row r="19239" spans="1:2" x14ac:dyDescent="0.25">
      <c r="A19239" s="2">
        <v>19234</v>
      </c>
      <c r="B19239" s="11" t="str">
        <f>"00843864"</f>
        <v>00843864</v>
      </c>
    </row>
    <row r="19240" spans="1:2" x14ac:dyDescent="0.25">
      <c r="A19240" s="2">
        <v>19235</v>
      </c>
      <c r="B19240" s="11" t="str">
        <f>"00843871"</f>
        <v>00843871</v>
      </c>
    </row>
    <row r="19241" spans="1:2" x14ac:dyDescent="0.25">
      <c r="A19241" s="2">
        <v>19236</v>
      </c>
      <c r="B19241" s="11" t="str">
        <f>"00843881"</f>
        <v>00843881</v>
      </c>
    </row>
    <row r="19242" spans="1:2" x14ac:dyDescent="0.25">
      <c r="A19242" s="2">
        <v>19237</v>
      </c>
      <c r="B19242" s="11" t="str">
        <f>"00843885"</f>
        <v>00843885</v>
      </c>
    </row>
    <row r="19243" spans="1:2" x14ac:dyDescent="0.25">
      <c r="A19243" s="2">
        <v>19238</v>
      </c>
      <c r="B19243" s="11" t="str">
        <f>"00843914"</f>
        <v>00843914</v>
      </c>
    </row>
    <row r="19244" spans="1:2" x14ac:dyDescent="0.25">
      <c r="A19244" s="2">
        <v>19239</v>
      </c>
      <c r="B19244" s="11" t="str">
        <f>"00843937"</f>
        <v>00843937</v>
      </c>
    </row>
    <row r="19245" spans="1:2" x14ac:dyDescent="0.25">
      <c r="A19245" s="2">
        <v>19240</v>
      </c>
      <c r="B19245" s="11" t="str">
        <f>"00843958"</f>
        <v>00843958</v>
      </c>
    </row>
    <row r="19246" spans="1:2" x14ac:dyDescent="0.25">
      <c r="A19246" s="2">
        <v>19241</v>
      </c>
      <c r="B19246" s="11" t="str">
        <f>"00844104"</f>
        <v>00844104</v>
      </c>
    </row>
    <row r="19247" spans="1:2" x14ac:dyDescent="0.25">
      <c r="A19247" s="2">
        <v>19242</v>
      </c>
      <c r="B19247" s="11" t="str">
        <f>"00844106"</f>
        <v>00844106</v>
      </c>
    </row>
    <row r="19248" spans="1:2" x14ac:dyDescent="0.25">
      <c r="A19248" s="2">
        <v>19243</v>
      </c>
      <c r="B19248" s="11" t="str">
        <f>"00844111"</f>
        <v>00844111</v>
      </c>
    </row>
    <row r="19249" spans="1:2" x14ac:dyDescent="0.25">
      <c r="A19249" s="2">
        <v>19244</v>
      </c>
      <c r="B19249" s="11" t="str">
        <f>"00844124"</f>
        <v>00844124</v>
      </c>
    </row>
    <row r="19250" spans="1:2" x14ac:dyDescent="0.25">
      <c r="A19250" s="2">
        <v>19245</v>
      </c>
      <c r="B19250" s="11" t="str">
        <f>"00844126"</f>
        <v>00844126</v>
      </c>
    </row>
    <row r="19251" spans="1:2" x14ac:dyDescent="0.25">
      <c r="A19251" s="2">
        <v>19246</v>
      </c>
      <c r="B19251" s="11" t="str">
        <f>"00844131"</f>
        <v>00844131</v>
      </c>
    </row>
    <row r="19252" spans="1:2" x14ac:dyDescent="0.25">
      <c r="A19252" s="2">
        <v>19247</v>
      </c>
      <c r="B19252" s="11" t="str">
        <f>"00844149"</f>
        <v>00844149</v>
      </c>
    </row>
    <row r="19253" spans="1:2" x14ac:dyDescent="0.25">
      <c r="A19253" s="2">
        <v>19248</v>
      </c>
      <c r="B19253" s="11" t="str">
        <f>"00844199"</f>
        <v>00844199</v>
      </c>
    </row>
    <row r="19254" spans="1:2" x14ac:dyDescent="0.25">
      <c r="A19254" s="2">
        <v>19249</v>
      </c>
      <c r="B19254" s="11" t="str">
        <f>"00844219"</f>
        <v>00844219</v>
      </c>
    </row>
    <row r="19255" spans="1:2" x14ac:dyDescent="0.25">
      <c r="A19255" s="2">
        <v>19250</v>
      </c>
      <c r="B19255" s="11" t="str">
        <f>"00844221"</f>
        <v>00844221</v>
      </c>
    </row>
    <row r="19256" spans="1:2" x14ac:dyDescent="0.25">
      <c r="A19256" s="2">
        <v>19251</v>
      </c>
      <c r="B19256" s="11" t="str">
        <f>"00844228"</f>
        <v>00844228</v>
      </c>
    </row>
    <row r="19257" spans="1:2" x14ac:dyDescent="0.25">
      <c r="A19257" s="2">
        <v>19252</v>
      </c>
      <c r="B19257" s="11" t="str">
        <f>"00844262"</f>
        <v>00844262</v>
      </c>
    </row>
    <row r="19258" spans="1:2" x14ac:dyDescent="0.25">
      <c r="A19258" s="2">
        <v>19253</v>
      </c>
      <c r="B19258" s="11" t="str">
        <f>"00844308"</f>
        <v>00844308</v>
      </c>
    </row>
    <row r="19259" spans="1:2" x14ac:dyDescent="0.25">
      <c r="A19259" s="2">
        <v>19254</v>
      </c>
      <c r="B19259" s="11" t="str">
        <f>"00844332"</f>
        <v>00844332</v>
      </c>
    </row>
    <row r="19260" spans="1:2" x14ac:dyDescent="0.25">
      <c r="A19260" s="2">
        <v>19255</v>
      </c>
      <c r="B19260" s="11" t="str">
        <f>"00844344"</f>
        <v>00844344</v>
      </c>
    </row>
    <row r="19261" spans="1:2" x14ac:dyDescent="0.25">
      <c r="A19261" s="2">
        <v>19256</v>
      </c>
      <c r="B19261" s="11" t="str">
        <f>"00844356"</f>
        <v>00844356</v>
      </c>
    </row>
    <row r="19262" spans="1:2" x14ac:dyDescent="0.25">
      <c r="A19262" s="2">
        <v>19257</v>
      </c>
      <c r="B19262" s="11" t="str">
        <f>"00844377"</f>
        <v>00844377</v>
      </c>
    </row>
    <row r="19263" spans="1:2" x14ac:dyDescent="0.25">
      <c r="A19263" s="2">
        <v>19258</v>
      </c>
      <c r="B19263" s="11" t="str">
        <f>"00844387"</f>
        <v>00844387</v>
      </c>
    </row>
    <row r="19264" spans="1:2" x14ac:dyDescent="0.25">
      <c r="A19264" s="2">
        <v>19259</v>
      </c>
      <c r="B19264" s="11" t="str">
        <f>"00844392"</f>
        <v>00844392</v>
      </c>
    </row>
    <row r="19265" spans="1:2" x14ac:dyDescent="0.25">
      <c r="A19265" s="2">
        <v>19260</v>
      </c>
      <c r="B19265" s="11" t="str">
        <f>"00844406"</f>
        <v>00844406</v>
      </c>
    </row>
    <row r="19266" spans="1:2" x14ac:dyDescent="0.25">
      <c r="A19266" s="2">
        <v>19261</v>
      </c>
      <c r="B19266" s="11" t="str">
        <f>"00844438"</f>
        <v>00844438</v>
      </c>
    </row>
    <row r="19267" spans="1:2" x14ac:dyDescent="0.25">
      <c r="A19267" s="2">
        <v>19262</v>
      </c>
      <c r="B19267" s="11" t="str">
        <f>"00844466"</f>
        <v>00844466</v>
      </c>
    </row>
    <row r="19268" spans="1:2" x14ac:dyDescent="0.25">
      <c r="A19268" s="2">
        <v>19263</v>
      </c>
      <c r="B19268" s="11" t="str">
        <f>"00844524"</f>
        <v>00844524</v>
      </c>
    </row>
    <row r="19269" spans="1:2" x14ac:dyDescent="0.25">
      <c r="A19269" s="2">
        <v>19264</v>
      </c>
      <c r="B19269" s="11" t="str">
        <f>"00844543"</f>
        <v>00844543</v>
      </c>
    </row>
    <row r="19270" spans="1:2" x14ac:dyDescent="0.25">
      <c r="A19270" s="2">
        <v>19265</v>
      </c>
      <c r="B19270" s="11" t="str">
        <f>"00844588"</f>
        <v>00844588</v>
      </c>
    </row>
    <row r="19271" spans="1:2" x14ac:dyDescent="0.25">
      <c r="A19271" s="2">
        <v>19266</v>
      </c>
      <c r="B19271" s="11" t="str">
        <f>"00844614"</f>
        <v>00844614</v>
      </c>
    </row>
    <row r="19272" spans="1:2" x14ac:dyDescent="0.25">
      <c r="A19272" s="2">
        <v>19267</v>
      </c>
      <c r="B19272" s="11" t="str">
        <f>"00844630"</f>
        <v>00844630</v>
      </c>
    </row>
    <row r="19273" spans="1:2" x14ac:dyDescent="0.25">
      <c r="A19273" s="2">
        <v>19268</v>
      </c>
      <c r="B19273" s="11" t="str">
        <f>"00844663"</f>
        <v>00844663</v>
      </c>
    </row>
    <row r="19274" spans="1:2" x14ac:dyDescent="0.25">
      <c r="A19274" s="2">
        <v>19269</v>
      </c>
      <c r="B19274" s="11" t="str">
        <f>"00844678"</f>
        <v>00844678</v>
      </c>
    </row>
    <row r="19275" spans="1:2" x14ac:dyDescent="0.25">
      <c r="A19275" s="2">
        <v>19270</v>
      </c>
      <c r="B19275" s="11" t="str">
        <f>"00844694"</f>
        <v>00844694</v>
      </c>
    </row>
    <row r="19276" spans="1:2" x14ac:dyDescent="0.25">
      <c r="A19276" s="2">
        <v>19271</v>
      </c>
      <c r="B19276" s="11" t="str">
        <f>"00844698"</f>
        <v>00844698</v>
      </c>
    </row>
    <row r="19277" spans="1:2" x14ac:dyDescent="0.25">
      <c r="A19277" s="2">
        <v>19272</v>
      </c>
      <c r="B19277" s="11" t="str">
        <f>"00844780"</f>
        <v>00844780</v>
      </c>
    </row>
    <row r="19278" spans="1:2" x14ac:dyDescent="0.25">
      <c r="A19278" s="2">
        <v>19273</v>
      </c>
      <c r="B19278" s="11" t="str">
        <f>"00844787"</f>
        <v>00844787</v>
      </c>
    </row>
    <row r="19279" spans="1:2" x14ac:dyDescent="0.25">
      <c r="A19279" s="2">
        <v>19274</v>
      </c>
      <c r="B19279" s="11" t="str">
        <f>"00844811"</f>
        <v>00844811</v>
      </c>
    </row>
    <row r="19280" spans="1:2" x14ac:dyDescent="0.25">
      <c r="A19280" s="2">
        <v>19275</v>
      </c>
      <c r="B19280" s="11" t="str">
        <f>"00844822"</f>
        <v>00844822</v>
      </c>
    </row>
    <row r="19281" spans="1:2" x14ac:dyDescent="0.25">
      <c r="A19281" s="2">
        <v>19276</v>
      </c>
      <c r="B19281" s="11" t="str">
        <f>"00844830"</f>
        <v>00844830</v>
      </c>
    </row>
    <row r="19282" spans="1:2" x14ac:dyDescent="0.25">
      <c r="A19282" s="2">
        <v>19277</v>
      </c>
      <c r="B19282" s="11" t="str">
        <f>"00844922"</f>
        <v>00844922</v>
      </c>
    </row>
    <row r="19283" spans="1:2" x14ac:dyDescent="0.25">
      <c r="A19283" s="2">
        <v>19278</v>
      </c>
      <c r="B19283" s="11" t="str">
        <f>"00844930"</f>
        <v>00844930</v>
      </c>
    </row>
    <row r="19284" spans="1:2" x14ac:dyDescent="0.25">
      <c r="A19284" s="2">
        <v>19279</v>
      </c>
      <c r="B19284" s="11" t="str">
        <f>"00844957"</f>
        <v>00844957</v>
      </c>
    </row>
    <row r="19285" spans="1:2" x14ac:dyDescent="0.25">
      <c r="A19285" s="2">
        <v>19280</v>
      </c>
      <c r="B19285" s="11" t="str">
        <f>"00844987"</f>
        <v>00844987</v>
      </c>
    </row>
    <row r="19286" spans="1:2" x14ac:dyDescent="0.25">
      <c r="A19286" s="2">
        <v>19281</v>
      </c>
      <c r="B19286" s="11" t="str">
        <f>"00845037"</f>
        <v>00845037</v>
      </c>
    </row>
    <row r="19287" spans="1:2" x14ac:dyDescent="0.25">
      <c r="A19287" s="2">
        <v>19282</v>
      </c>
      <c r="B19287" s="11" t="str">
        <f>"00845078"</f>
        <v>00845078</v>
      </c>
    </row>
    <row r="19288" spans="1:2" x14ac:dyDescent="0.25">
      <c r="A19288" s="2">
        <v>19283</v>
      </c>
      <c r="B19288" s="11" t="str">
        <f>"00845091"</f>
        <v>00845091</v>
      </c>
    </row>
    <row r="19289" spans="1:2" x14ac:dyDescent="0.25">
      <c r="A19289" s="2">
        <v>19284</v>
      </c>
      <c r="B19289" s="11" t="str">
        <f>"00845103"</f>
        <v>00845103</v>
      </c>
    </row>
    <row r="19290" spans="1:2" x14ac:dyDescent="0.25">
      <c r="A19290" s="2">
        <v>19285</v>
      </c>
      <c r="B19290" s="11" t="str">
        <f>"00845161"</f>
        <v>00845161</v>
      </c>
    </row>
    <row r="19291" spans="1:2" x14ac:dyDescent="0.25">
      <c r="A19291" s="2">
        <v>19286</v>
      </c>
      <c r="B19291" s="11" t="str">
        <f>"00845184"</f>
        <v>00845184</v>
      </c>
    </row>
    <row r="19292" spans="1:2" x14ac:dyDescent="0.25">
      <c r="A19292" s="2">
        <v>19287</v>
      </c>
      <c r="B19292" s="11" t="str">
        <f>"00845193"</f>
        <v>00845193</v>
      </c>
    </row>
    <row r="19293" spans="1:2" x14ac:dyDescent="0.25">
      <c r="A19293" s="2">
        <v>19288</v>
      </c>
      <c r="B19293" s="11" t="str">
        <f>"00845204"</f>
        <v>00845204</v>
      </c>
    </row>
    <row r="19294" spans="1:2" x14ac:dyDescent="0.25">
      <c r="A19294" s="2">
        <v>19289</v>
      </c>
      <c r="B19294" s="11" t="str">
        <f>"00845227"</f>
        <v>00845227</v>
      </c>
    </row>
    <row r="19295" spans="1:2" x14ac:dyDescent="0.25">
      <c r="A19295" s="2">
        <v>19290</v>
      </c>
      <c r="B19295" s="11" t="str">
        <f>"00845235"</f>
        <v>00845235</v>
      </c>
    </row>
    <row r="19296" spans="1:2" x14ac:dyDescent="0.25">
      <c r="A19296" s="2">
        <v>19291</v>
      </c>
      <c r="B19296" s="11" t="str">
        <f>"00845251"</f>
        <v>00845251</v>
      </c>
    </row>
    <row r="19297" spans="1:2" x14ac:dyDescent="0.25">
      <c r="A19297" s="2">
        <v>19292</v>
      </c>
      <c r="B19297" s="11" t="str">
        <f>"00845272"</f>
        <v>00845272</v>
      </c>
    </row>
    <row r="19298" spans="1:2" x14ac:dyDescent="0.25">
      <c r="A19298" s="2">
        <v>19293</v>
      </c>
      <c r="B19298" s="11" t="str">
        <f>"00845296"</f>
        <v>00845296</v>
      </c>
    </row>
    <row r="19299" spans="1:2" x14ac:dyDescent="0.25">
      <c r="A19299" s="2">
        <v>19294</v>
      </c>
      <c r="B19299" s="11" t="str">
        <f>"00845330"</f>
        <v>00845330</v>
      </c>
    </row>
    <row r="19300" spans="1:2" x14ac:dyDescent="0.25">
      <c r="A19300" s="2">
        <v>19295</v>
      </c>
      <c r="B19300" s="11" t="str">
        <f>"00845368"</f>
        <v>00845368</v>
      </c>
    </row>
    <row r="19301" spans="1:2" x14ac:dyDescent="0.25">
      <c r="A19301" s="2">
        <v>19296</v>
      </c>
      <c r="B19301" s="11" t="str">
        <f>"00845403"</f>
        <v>00845403</v>
      </c>
    </row>
    <row r="19302" spans="1:2" x14ac:dyDescent="0.25">
      <c r="A19302" s="2">
        <v>19297</v>
      </c>
      <c r="B19302" s="11" t="str">
        <f>"00845454"</f>
        <v>00845454</v>
      </c>
    </row>
    <row r="19303" spans="1:2" x14ac:dyDescent="0.25">
      <c r="A19303" s="2">
        <v>19298</v>
      </c>
      <c r="B19303" s="11" t="str">
        <f>"00845458"</f>
        <v>00845458</v>
      </c>
    </row>
    <row r="19304" spans="1:2" x14ac:dyDescent="0.25">
      <c r="A19304" s="2">
        <v>19299</v>
      </c>
      <c r="B19304" s="11" t="str">
        <f>"00845485"</f>
        <v>00845485</v>
      </c>
    </row>
    <row r="19305" spans="1:2" x14ac:dyDescent="0.25">
      <c r="A19305" s="2">
        <v>19300</v>
      </c>
      <c r="B19305" s="11" t="str">
        <f>"00845639"</f>
        <v>00845639</v>
      </c>
    </row>
    <row r="19306" spans="1:2" x14ac:dyDescent="0.25">
      <c r="A19306" s="2">
        <v>19301</v>
      </c>
      <c r="B19306" s="11" t="str">
        <f>"00845675"</f>
        <v>00845675</v>
      </c>
    </row>
    <row r="19307" spans="1:2" x14ac:dyDescent="0.25">
      <c r="A19307" s="2">
        <v>19302</v>
      </c>
      <c r="B19307" s="11" t="str">
        <f>"00845683"</f>
        <v>00845683</v>
      </c>
    </row>
    <row r="19308" spans="1:2" x14ac:dyDescent="0.25">
      <c r="A19308" s="2">
        <v>19303</v>
      </c>
      <c r="B19308" s="11" t="str">
        <f>"00845689"</f>
        <v>00845689</v>
      </c>
    </row>
    <row r="19309" spans="1:2" x14ac:dyDescent="0.25">
      <c r="A19309" s="2">
        <v>19304</v>
      </c>
      <c r="B19309" s="11" t="str">
        <f>"00845720"</f>
        <v>00845720</v>
      </c>
    </row>
    <row r="19310" spans="1:2" x14ac:dyDescent="0.25">
      <c r="A19310" s="2">
        <v>19305</v>
      </c>
      <c r="B19310" s="11" t="str">
        <f>"00845722"</f>
        <v>00845722</v>
      </c>
    </row>
    <row r="19311" spans="1:2" x14ac:dyDescent="0.25">
      <c r="A19311" s="2">
        <v>19306</v>
      </c>
      <c r="B19311" s="11" t="str">
        <f>"00845743"</f>
        <v>00845743</v>
      </c>
    </row>
    <row r="19312" spans="1:2" x14ac:dyDescent="0.25">
      <c r="A19312" s="2">
        <v>19307</v>
      </c>
      <c r="B19312" s="11" t="str">
        <f>"00845774"</f>
        <v>00845774</v>
      </c>
    </row>
    <row r="19313" spans="1:2" x14ac:dyDescent="0.25">
      <c r="A19313" s="2">
        <v>19308</v>
      </c>
      <c r="B19313" s="11" t="str">
        <f>"00845833"</f>
        <v>00845833</v>
      </c>
    </row>
    <row r="19314" spans="1:2" x14ac:dyDescent="0.25">
      <c r="A19314" s="2">
        <v>19309</v>
      </c>
      <c r="B19314" s="11" t="str">
        <f>"00845852"</f>
        <v>00845852</v>
      </c>
    </row>
    <row r="19315" spans="1:2" x14ac:dyDescent="0.25">
      <c r="A19315" s="2">
        <v>19310</v>
      </c>
      <c r="B19315" s="11" t="str">
        <f>"00845858"</f>
        <v>00845858</v>
      </c>
    </row>
    <row r="19316" spans="1:2" x14ac:dyDescent="0.25">
      <c r="A19316" s="2">
        <v>19311</v>
      </c>
      <c r="B19316" s="11" t="str">
        <f>"00845870"</f>
        <v>00845870</v>
      </c>
    </row>
    <row r="19317" spans="1:2" x14ac:dyDescent="0.25">
      <c r="A19317" s="2">
        <v>19312</v>
      </c>
      <c r="B19317" s="11" t="str">
        <f>"00845910"</f>
        <v>00845910</v>
      </c>
    </row>
    <row r="19318" spans="1:2" x14ac:dyDescent="0.25">
      <c r="A19318" s="2">
        <v>19313</v>
      </c>
      <c r="B19318" s="11" t="str">
        <f>"00845914"</f>
        <v>00845914</v>
      </c>
    </row>
    <row r="19319" spans="1:2" x14ac:dyDescent="0.25">
      <c r="A19319" s="2">
        <v>19314</v>
      </c>
      <c r="B19319" s="11" t="str">
        <f>"00845929"</f>
        <v>00845929</v>
      </c>
    </row>
    <row r="19320" spans="1:2" x14ac:dyDescent="0.25">
      <c r="A19320" s="2">
        <v>19315</v>
      </c>
      <c r="B19320" s="11" t="str">
        <f>"00845934"</f>
        <v>00845934</v>
      </c>
    </row>
    <row r="19321" spans="1:2" x14ac:dyDescent="0.25">
      <c r="A19321" s="2">
        <v>19316</v>
      </c>
      <c r="B19321" s="11" t="str">
        <f>"00845943"</f>
        <v>00845943</v>
      </c>
    </row>
    <row r="19322" spans="1:2" x14ac:dyDescent="0.25">
      <c r="A19322" s="2">
        <v>19317</v>
      </c>
      <c r="B19322" s="11" t="str">
        <f>"00845959"</f>
        <v>00845959</v>
      </c>
    </row>
    <row r="19323" spans="1:2" x14ac:dyDescent="0.25">
      <c r="A19323" s="2">
        <v>19318</v>
      </c>
      <c r="B19323" s="11" t="str">
        <f>"00845963"</f>
        <v>00845963</v>
      </c>
    </row>
    <row r="19324" spans="1:2" x14ac:dyDescent="0.25">
      <c r="A19324" s="2">
        <v>19319</v>
      </c>
      <c r="B19324" s="11" t="str">
        <f>"00845987"</f>
        <v>00845987</v>
      </c>
    </row>
    <row r="19325" spans="1:2" x14ac:dyDescent="0.25">
      <c r="A19325" s="2">
        <v>19320</v>
      </c>
      <c r="B19325" s="11" t="str">
        <f>"00846011"</f>
        <v>00846011</v>
      </c>
    </row>
    <row r="19326" spans="1:2" x14ac:dyDescent="0.25">
      <c r="A19326" s="2">
        <v>19321</v>
      </c>
      <c r="B19326" s="11" t="str">
        <f>"00846012"</f>
        <v>00846012</v>
      </c>
    </row>
    <row r="19327" spans="1:2" x14ac:dyDescent="0.25">
      <c r="A19327" s="2">
        <v>19322</v>
      </c>
      <c r="B19327" s="11" t="str">
        <f>"00846014"</f>
        <v>00846014</v>
      </c>
    </row>
    <row r="19328" spans="1:2" x14ac:dyDescent="0.25">
      <c r="A19328" s="2">
        <v>19323</v>
      </c>
      <c r="B19328" s="11" t="str">
        <f>"00846036"</f>
        <v>00846036</v>
      </c>
    </row>
    <row r="19329" spans="1:2" x14ac:dyDescent="0.25">
      <c r="A19329" s="2">
        <v>19324</v>
      </c>
      <c r="B19329" s="11" t="str">
        <f>"00846068"</f>
        <v>00846068</v>
      </c>
    </row>
    <row r="19330" spans="1:2" x14ac:dyDescent="0.25">
      <c r="A19330" s="2">
        <v>19325</v>
      </c>
      <c r="B19330" s="11" t="str">
        <f>"00846087"</f>
        <v>00846087</v>
      </c>
    </row>
    <row r="19331" spans="1:2" x14ac:dyDescent="0.25">
      <c r="A19331" s="2">
        <v>19326</v>
      </c>
      <c r="B19331" s="11" t="str">
        <f>"00846090"</f>
        <v>00846090</v>
      </c>
    </row>
    <row r="19332" spans="1:2" x14ac:dyDescent="0.25">
      <c r="A19332" s="2">
        <v>19327</v>
      </c>
      <c r="B19332" s="11" t="str">
        <f>"00846118"</f>
        <v>00846118</v>
      </c>
    </row>
    <row r="19333" spans="1:2" x14ac:dyDescent="0.25">
      <c r="A19333" s="2">
        <v>19328</v>
      </c>
      <c r="B19333" s="11" t="str">
        <f>"00846127"</f>
        <v>00846127</v>
      </c>
    </row>
    <row r="19334" spans="1:2" x14ac:dyDescent="0.25">
      <c r="A19334" s="2">
        <v>19329</v>
      </c>
      <c r="B19334" s="11" t="str">
        <f>"00846164"</f>
        <v>00846164</v>
      </c>
    </row>
    <row r="19335" spans="1:2" x14ac:dyDescent="0.25">
      <c r="A19335" s="2">
        <v>19330</v>
      </c>
      <c r="B19335" s="11" t="str">
        <f>"00846186"</f>
        <v>00846186</v>
      </c>
    </row>
    <row r="19336" spans="1:2" x14ac:dyDescent="0.25">
      <c r="A19336" s="2">
        <v>19331</v>
      </c>
      <c r="B19336" s="11" t="str">
        <f>"00846201"</f>
        <v>00846201</v>
      </c>
    </row>
    <row r="19337" spans="1:2" x14ac:dyDescent="0.25">
      <c r="A19337" s="2">
        <v>19332</v>
      </c>
      <c r="B19337" s="11" t="str">
        <f>"00846208"</f>
        <v>00846208</v>
      </c>
    </row>
    <row r="19338" spans="1:2" x14ac:dyDescent="0.25">
      <c r="A19338" s="2">
        <v>19333</v>
      </c>
      <c r="B19338" s="11" t="str">
        <f>"00846214"</f>
        <v>00846214</v>
      </c>
    </row>
    <row r="19339" spans="1:2" x14ac:dyDescent="0.25">
      <c r="A19339" s="2">
        <v>19334</v>
      </c>
      <c r="B19339" s="11" t="str">
        <f>"00846223"</f>
        <v>00846223</v>
      </c>
    </row>
    <row r="19340" spans="1:2" x14ac:dyDescent="0.25">
      <c r="A19340" s="2">
        <v>19335</v>
      </c>
      <c r="B19340" s="11" t="str">
        <f>"00846246"</f>
        <v>00846246</v>
      </c>
    </row>
    <row r="19341" spans="1:2" x14ac:dyDescent="0.25">
      <c r="A19341" s="2">
        <v>19336</v>
      </c>
      <c r="B19341" s="11" t="str">
        <f>"00846262"</f>
        <v>00846262</v>
      </c>
    </row>
    <row r="19342" spans="1:2" x14ac:dyDescent="0.25">
      <c r="A19342" s="2">
        <v>19337</v>
      </c>
      <c r="B19342" s="11" t="str">
        <f>"00846272"</f>
        <v>00846272</v>
      </c>
    </row>
    <row r="19343" spans="1:2" x14ac:dyDescent="0.25">
      <c r="A19343" s="2">
        <v>19338</v>
      </c>
      <c r="B19343" s="11" t="str">
        <f>"00846280"</f>
        <v>00846280</v>
      </c>
    </row>
    <row r="19344" spans="1:2" x14ac:dyDescent="0.25">
      <c r="A19344" s="2">
        <v>19339</v>
      </c>
      <c r="B19344" s="11" t="str">
        <f>"00846289"</f>
        <v>00846289</v>
      </c>
    </row>
    <row r="19345" spans="1:2" x14ac:dyDescent="0.25">
      <c r="A19345" s="2">
        <v>19340</v>
      </c>
      <c r="B19345" s="11" t="str">
        <f>"00846293"</f>
        <v>00846293</v>
      </c>
    </row>
    <row r="19346" spans="1:2" x14ac:dyDescent="0.25">
      <c r="A19346" s="2">
        <v>19341</v>
      </c>
      <c r="B19346" s="11" t="str">
        <f>"00846355"</f>
        <v>00846355</v>
      </c>
    </row>
    <row r="19347" spans="1:2" x14ac:dyDescent="0.25">
      <c r="A19347" s="2">
        <v>19342</v>
      </c>
      <c r="B19347" s="11" t="str">
        <f>"00846359"</f>
        <v>00846359</v>
      </c>
    </row>
    <row r="19348" spans="1:2" x14ac:dyDescent="0.25">
      <c r="A19348" s="2">
        <v>19343</v>
      </c>
      <c r="B19348" s="11" t="str">
        <f>"00846387"</f>
        <v>00846387</v>
      </c>
    </row>
    <row r="19349" spans="1:2" x14ac:dyDescent="0.25">
      <c r="A19349" s="2">
        <v>19344</v>
      </c>
      <c r="B19349" s="11" t="str">
        <f>"00846408"</f>
        <v>00846408</v>
      </c>
    </row>
    <row r="19350" spans="1:2" x14ac:dyDescent="0.25">
      <c r="A19350" s="2">
        <v>19345</v>
      </c>
      <c r="B19350" s="11" t="str">
        <f>"00846414"</f>
        <v>00846414</v>
      </c>
    </row>
    <row r="19351" spans="1:2" x14ac:dyDescent="0.25">
      <c r="A19351" s="2">
        <v>19346</v>
      </c>
      <c r="B19351" s="11" t="str">
        <f>"00846437"</f>
        <v>00846437</v>
      </c>
    </row>
    <row r="19352" spans="1:2" x14ac:dyDescent="0.25">
      <c r="A19352" s="2">
        <v>19347</v>
      </c>
      <c r="B19352" s="11" t="str">
        <f>"00846532"</f>
        <v>00846532</v>
      </c>
    </row>
    <row r="19353" spans="1:2" x14ac:dyDescent="0.25">
      <c r="A19353" s="2">
        <v>19348</v>
      </c>
      <c r="B19353" s="11" t="str">
        <f>"00846537"</f>
        <v>00846537</v>
      </c>
    </row>
    <row r="19354" spans="1:2" x14ac:dyDescent="0.25">
      <c r="A19354" s="2">
        <v>19349</v>
      </c>
      <c r="B19354" s="11" t="str">
        <f>"00846547"</f>
        <v>00846547</v>
      </c>
    </row>
    <row r="19355" spans="1:2" x14ac:dyDescent="0.25">
      <c r="A19355" s="2">
        <v>19350</v>
      </c>
      <c r="B19355" s="11" t="str">
        <f>"00846550"</f>
        <v>00846550</v>
      </c>
    </row>
    <row r="19356" spans="1:2" x14ac:dyDescent="0.25">
      <c r="A19356" s="2">
        <v>19351</v>
      </c>
      <c r="B19356" s="11" t="str">
        <f>"00846591"</f>
        <v>00846591</v>
      </c>
    </row>
    <row r="19357" spans="1:2" x14ac:dyDescent="0.25">
      <c r="A19357" s="2">
        <v>19352</v>
      </c>
      <c r="B19357" s="11" t="str">
        <f>"00846610"</f>
        <v>00846610</v>
      </c>
    </row>
    <row r="19358" spans="1:2" x14ac:dyDescent="0.25">
      <c r="A19358" s="2">
        <v>19353</v>
      </c>
      <c r="B19358" s="11" t="str">
        <f>"00846623"</f>
        <v>00846623</v>
      </c>
    </row>
    <row r="19359" spans="1:2" x14ac:dyDescent="0.25">
      <c r="A19359" s="2">
        <v>19354</v>
      </c>
      <c r="B19359" s="11" t="str">
        <f>"00846629"</f>
        <v>00846629</v>
      </c>
    </row>
    <row r="19360" spans="1:2" x14ac:dyDescent="0.25">
      <c r="A19360" s="2">
        <v>19355</v>
      </c>
      <c r="B19360" s="11" t="str">
        <f>"00846631"</f>
        <v>00846631</v>
      </c>
    </row>
    <row r="19361" spans="1:2" x14ac:dyDescent="0.25">
      <c r="A19361" s="2">
        <v>19356</v>
      </c>
      <c r="B19361" s="11" t="str">
        <f>"00846661"</f>
        <v>00846661</v>
      </c>
    </row>
    <row r="19362" spans="1:2" x14ac:dyDescent="0.25">
      <c r="A19362" s="2">
        <v>19357</v>
      </c>
      <c r="B19362" s="11" t="str">
        <f>"00846676"</f>
        <v>00846676</v>
      </c>
    </row>
    <row r="19363" spans="1:2" x14ac:dyDescent="0.25">
      <c r="A19363" s="2">
        <v>19358</v>
      </c>
      <c r="B19363" s="11" t="str">
        <f>"00846696"</f>
        <v>00846696</v>
      </c>
    </row>
    <row r="19364" spans="1:2" x14ac:dyDescent="0.25">
      <c r="A19364" s="2">
        <v>19359</v>
      </c>
      <c r="B19364" s="11" t="str">
        <f>"00846723"</f>
        <v>00846723</v>
      </c>
    </row>
    <row r="19365" spans="1:2" x14ac:dyDescent="0.25">
      <c r="A19365" s="2">
        <v>19360</v>
      </c>
      <c r="B19365" s="11" t="str">
        <f>"00846755"</f>
        <v>00846755</v>
      </c>
    </row>
    <row r="19366" spans="1:2" x14ac:dyDescent="0.25">
      <c r="A19366" s="2">
        <v>19361</v>
      </c>
      <c r="B19366" s="11" t="str">
        <f>"00846777"</f>
        <v>00846777</v>
      </c>
    </row>
    <row r="19367" spans="1:2" x14ac:dyDescent="0.25">
      <c r="A19367" s="2">
        <v>19362</v>
      </c>
      <c r="B19367" s="11" t="str">
        <f>"00846820"</f>
        <v>00846820</v>
      </c>
    </row>
    <row r="19368" spans="1:2" x14ac:dyDescent="0.25">
      <c r="A19368" s="2">
        <v>19363</v>
      </c>
      <c r="B19368" s="11" t="str">
        <f>"00846848"</f>
        <v>00846848</v>
      </c>
    </row>
    <row r="19369" spans="1:2" x14ac:dyDescent="0.25">
      <c r="A19369" s="2">
        <v>19364</v>
      </c>
      <c r="B19369" s="11" t="str">
        <f>"00846850"</f>
        <v>00846850</v>
      </c>
    </row>
    <row r="19370" spans="1:2" x14ac:dyDescent="0.25">
      <c r="A19370" s="2">
        <v>19365</v>
      </c>
      <c r="B19370" s="11" t="str">
        <f>"00846900"</f>
        <v>00846900</v>
      </c>
    </row>
    <row r="19371" spans="1:2" x14ac:dyDescent="0.25">
      <c r="A19371" s="2">
        <v>19366</v>
      </c>
      <c r="B19371" s="11" t="str">
        <f>"00846905"</f>
        <v>00846905</v>
      </c>
    </row>
    <row r="19372" spans="1:2" x14ac:dyDescent="0.25">
      <c r="A19372" s="2">
        <v>19367</v>
      </c>
      <c r="B19372" s="11" t="str">
        <f>"00846917"</f>
        <v>00846917</v>
      </c>
    </row>
    <row r="19373" spans="1:2" x14ac:dyDescent="0.25">
      <c r="A19373" s="2">
        <v>19368</v>
      </c>
      <c r="B19373" s="11" t="str">
        <f>"00846919"</f>
        <v>00846919</v>
      </c>
    </row>
    <row r="19374" spans="1:2" x14ac:dyDescent="0.25">
      <c r="A19374" s="2">
        <v>19369</v>
      </c>
      <c r="B19374" s="11" t="str">
        <f>"00846932"</f>
        <v>00846932</v>
      </c>
    </row>
    <row r="19375" spans="1:2" x14ac:dyDescent="0.25">
      <c r="A19375" s="2">
        <v>19370</v>
      </c>
      <c r="B19375" s="11" t="str">
        <f>"00846938"</f>
        <v>00846938</v>
      </c>
    </row>
    <row r="19376" spans="1:2" x14ac:dyDescent="0.25">
      <c r="A19376" s="2">
        <v>19371</v>
      </c>
      <c r="B19376" s="11" t="str">
        <f>"00846939"</f>
        <v>00846939</v>
      </c>
    </row>
    <row r="19377" spans="1:2" x14ac:dyDescent="0.25">
      <c r="A19377" s="2">
        <v>19372</v>
      </c>
      <c r="B19377" s="11" t="str">
        <f>"00846979"</f>
        <v>00846979</v>
      </c>
    </row>
    <row r="19378" spans="1:2" x14ac:dyDescent="0.25">
      <c r="A19378" s="2">
        <v>19373</v>
      </c>
      <c r="B19378" s="11" t="str">
        <f>"00846981"</f>
        <v>00846981</v>
      </c>
    </row>
    <row r="19379" spans="1:2" x14ac:dyDescent="0.25">
      <c r="A19379" s="2">
        <v>19374</v>
      </c>
      <c r="B19379" s="11" t="str">
        <f>"00846995"</f>
        <v>00846995</v>
      </c>
    </row>
    <row r="19380" spans="1:2" x14ac:dyDescent="0.25">
      <c r="A19380" s="2">
        <v>19375</v>
      </c>
      <c r="B19380" s="11" t="str">
        <f>"00847001"</f>
        <v>00847001</v>
      </c>
    </row>
    <row r="19381" spans="1:2" x14ac:dyDescent="0.25">
      <c r="A19381" s="2">
        <v>19376</v>
      </c>
      <c r="B19381" s="11" t="str">
        <f>"00847005"</f>
        <v>00847005</v>
      </c>
    </row>
    <row r="19382" spans="1:2" x14ac:dyDescent="0.25">
      <c r="A19382" s="2">
        <v>19377</v>
      </c>
      <c r="B19382" s="11" t="str">
        <f>"00847017"</f>
        <v>00847017</v>
      </c>
    </row>
    <row r="19383" spans="1:2" x14ac:dyDescent="0.25">
      <c r="A19383" s="2">
        <v>19378</v>
      </c>
      <c r="B19383" s="11" t="str">
        <f>"00847030"</f>
        <v>00847030</v>
      </c>
    </row>
    <row r="19384" spans="1:2" x14ac:dyDescent="0.25">
      <c r="A19384" s="2">
        <v>19379</v>
      </c>
      <c r="B19384" s="11" t="str">
        <f>"00847053"</f>
        <v>00847053</v>
      </c>
    </row>
    <row r="19385" spans="1:2" x14ac:dyDescent="0.25">
      <c r="A19385" s="2">
        <v>19380</v>
      </c>
      <c r="B19385" s="11" t="str">
        <f>"00847064"</f>
        <v>00847064</v>
      </c>
    </row>
    <row r="19386" spans="1:2" x14ac:dyDescent="0.25">
      <c r="A19386" s="2">
        <v>19381</v>
      </c>
      <c r="B19386" s="11" t="str">
        <f>"00847070"</f>
        <v>00847070</v>
      </c>
    </row>
    <row r="19387" spans="1:2" x14ac:dyDescent="0.25">
      <c r="A19387" s="2">
        <v>19382</v>
      </c>
      <c r="B19387" s="11" t="str">
        <f>"00847078"</f>
        <v>00847078</v>
      </c>
    </row>
    <row r="19388" spans="1:2" x14ac:dyDescent="0.25">
      <c r="A19388" s="2">
        <v>19383</v>
      </c>
      <c r="B19388" s="11" t="str">
        <f>"00847116"</f>
        <v>00847116</v>
      </c>
    </row>
    <row r="19389" spans="1:2" x14ac:dyDescent="0.25">
      <c r="A19389" s="2">
        <v>19384</v>
      </c>
      <c r="B19389" s="11" t="str">
        <f>"00847152"</f>
        <v>00847152</v>
      </c>
    </row>
    <row r="19390" spans="1:2" x14ac:dyDescent="0.25">
      <c r="A19390" s="2">
        <v>19385</v>
      </c>
      <c r="B19390" s="11" t="str">
        <f>"00847153"</f>
        <v>00847153</v>
      </c>
    </row>
    <row r="19391" spans="1:2" x14ac:dyDescent="0.25">
      <c r="A19391" s="2">
        <v>19386</v>
      </c>
      <c r="B19391" s="11" t="str">
        <f>"00847177"</f>
        <v>00847177</v>
      </c>
    </row>
    <row r="19392" spans="1:2" x14ac:dyDescent="0.25">
      <c r="A19392" s="2">
        <v>19387</v>
      </c>
      <c r="B19392" s="11" t="str">
        <f>"00847189"</f>
        <v>00847189</v>
      </c>
    </row>
    <row r="19393" spans="1:2" x14ac:dyDescent="0.25">
      <c r="A19393" s="2">
        <v>19388</v>
      </c>
      <c r="B19393" s="11" t="str">
        <f>"00847202"</f>
        <v>00847202</v>
      </c>
    </row>
    <row r="19394" spans="1:2" x14ac:dyDescent="0.25">
      <c r="A19394" s="2">
        <v>19389</v>
      </c>
      <c r="B19394" s="11" t="str">
        <f>"00847241"</f>
        <v>00847241</v>
      </c>
    </row>
    <row r="19395" spans="1:2" x14ac:dyDescent="0.25">
      <c r="A19395" s="2">
        <v>19390</v>
      </c>
      <c r="B19395" s="11" t="str">
        <f>"00847244"</f>
        <v>00847244</v>
      </c>
    </row>
    <row r="19396" spans="1:2" x14ac:dyDescent="0.25">
      <c r="A19396" s="2">
        <v>19391</v>
      </c>
      <c r="B19396" s="11" t="str">
        <f>"00847267"</f>
        <v>00847267</v>
      </c>
    </row>
    <row r="19397" spans="1:2" x14ac:dyDescent="0.25">
      <c r="A19397" s="2">
        <v>19392</v>
      </c>
      <c r="B19397" s="11" t="str">
        <f>"00847276"</f>
        <v>00847276</v>
      </c>
    </row>
    <row r="19398" spans="1:2" x14ac:dyDescent="0.25">
      <c r="A19398" s="2">
        <v>19393</v>
      </c>
      <c r="B19398" s="11" t="str">
        <f>"00847280"</f>
        <v>00847280</v>
      </c>
    </row>
    <row r="19399" spans="1:2" x14ac:dyDescent="0.25">
      <c r="A19399" s="2">
        <v>19394</v>
      </c>
      <c r="B19399" s="11" t="str">
        <f>"00847314"</f>
        <v>00847314</v>
      </c>
    </row>
    <row r="19400" spans="1:2" x14ac:dyDescent="0.25">
      <c r="A19400" s="2">
        <v>19395</v>
      </c>
      <c r="B19400" s="11" t="str">
        <f>"00847370"</f>
        <v>00847370</v>
      </c>
    </row>
    <row r="19401" spans="1:2" x14ac:dyDescent="0.25">
      <c r="A19401" s="2">
        <v>19396</v>
      </c>
      <c r="B19401" s="11" t="str">
        <f>"00847411"</f>
        <v>00847411</v>
      </c>
    </row>
    <row r="19402" spans="1:2" x14ac:dyDescent="0.25">
      <c r="A19402" s="2">
        <v>19397</v>
      </c>
      <c r="B19402" s="11" t="str">
        <f>"00847417"</f>
        <v>00847417</v>
      </c>
    </row>
    <row r="19403" spans="1:2" x14ac:dyDescent="0.25">
      <c r="A19403" s="2">
        <v>19398</v>
      </c>
      <c r="B19403" s="11" t="str">
        <f>"00847437"</f>
        <v>00847437</v>
      </c>
    </row>
    <row r="19404" spans="1:2" x14ac:dyDescent="0.25">
      <c r="A19404" s="2">
        <v>19399</v>
      </c>
      <c r="B19404" s="11" t="str">
        <f>"00847446"</f>
        <v>00847446</v>
      </c>
    </row>
    <row r="19405" spans="1:2" x14ac:dyDescent="0.25">
      <c r="A19405" s="2">
        <v>19400</v>
      </c>
      <c r="B19405" s="11" t="str">
        <f>"00847482"</f>
        <v>00847482</v>
      </c>
    </row>
    <row r="19406" spans="1:2" x14ac:dyDescent="0.25">
      <c r="A19406" s="2">
        <v>19401</v>
      </c>
      <c r="B19406" s="11" t="str">
        <f>"00847515"</f>
        <v>00847515</v>
      </c>
    </row>
    <row r="19407" spans="1:2" x14ac:dyDescent="0.25">
      <c r="A19407" s="2">
        <v>19402</v>
      </c>
      <c r="B19407" s="11" t="str">
        <f>"00847573"</f>
        <v>00847573</v>
      </c>
    </row>
    <row r="19408" spans="1:2" x14ac:dyDescent="0.25">
      <c r="A19408" s="2">
        <v>19403</v>
      </c>
      <c r="B19408" s="11" t="str">
        <f>"00847625"</f>
        <v>00847625</v>
      </c>
    </row>
    <row r="19409" spans="1:2" x14ac:dyDescent="0.25">
      <c r="A19409" s="2">
        <v>19404</v>
      </c>
      <c r="B19409" s="11" t="str">
        <f>"00847685"</f>
        <v>00847685</v>
      </c>
    </row>
    <row r="19410" spans="1:2" x14ac:dyDescent="0.25">
      <c r="A19410" s="2">
        <v>19405</v>
      </c>
      <c r="B19410" s="11" t="str">
        <f>"00847686"</f>
        <v>00847686</v>
      </c>
    </row>
    <row r="19411" spans="1:2" x14ac:dyDescent="0.25">
      <c r="A19411" s="2">
        <v>19406</v>
      </c>
      <c r="B19411" s="11" t="str">
        <f>"00847695"</f>
        <v>00847695</v>
      </c>
    </row>
    <row r="19412" spans="1:2" x14ac:dyDescent="0.25">
      <c r="A19412" s="2">
        <v>19407</v>
      </c>
      <c r="B19412" s="11" t="str">
        <f>"00847699"</f>
        <v>00847699</v>
      </c>
    </row>
    <row r="19413" spans="1:2" x14ac:dyDescent="0.25">
      <c r="A19413" s="2">
        <v>19408</v>
      </c>
      <c r="B19413" s="11" t="str">
        <f>"00847704"</f>
        <v>00847704</v>
      </c>
    </row>
    <row r="19414" spans="1:2" x14ac:dyDescent="0.25">
      <c r="A19414" s="2">
        <v>19409</v>
      </c>
      <c r="B19414" s="11" t="str">
        <f>"00847770"</f>
        <v>00847770</v>
      </c>
    </row>
    <row r="19415" spans="1:2" x14ac:dyDescent="0.25">
      <c r="A19415" s="2">
        <v>19410</v>
      </c>
      <c r="B19415" s="11" t="str">
        <f>"00847772"</f>
        <v>00847772</v>
      </c>
    </row>
    <row r="19416" spans="1:2" x14ac:dyDescent="0.25">
      <c r="A19416" s="2">
        <v>19411</v>
      </c>
      <c r="B19416" s="11" t="str">
        <f>"00847792"</f>
        <v>00847792</v>
      </c>
    </row>
    <row r="19417" spans="1:2" x14ac:dyDescent="0.25">
      <c r="A19417" s="2">
        <v>19412</v>
      </c>
      <c r="B19417" s="11" t="str">
        <f>"00847805"</f>
        <v>00847805</v>
      </c>
    </row>
    <row r="19418" spans="1:2" x14ac:dyDescent="0.25">
      <c r="A19418" s="2">
        <v>19413</v>
      </c>
      <c r="B19418" s="11" t="str">
        <f>"00847815"</f>
        <v>00847815</v>
      </c>
    </row>
    <row r="19419" spans="1:2" x14ac:dyDescent="0.25">
      <c r="A19419" s="2">
        <v>19414</v>
      </c>
      <c r="B19419" s="11" t="str">
        <f>"00847825"</f>
        <v>00847825</v>
      </c>
    </row>
    <row r="19420" spans="1:2" x14ac:dyDescent="0.25">
      <c r="A19420" s="2">
        <v>19415</v>
      </c>
      <c r="B19420" s="11" t="str">
        <f>"00847831"</f>
        <v>00847831</v>
      </c>
    </row>
    <row r="19421" spans="1:2" x14ac:dyDescent="0.25">
      <c r="A19421" s="2">
        <v>19416</v>
      </c>
      <c r="B19421" s="11" t="str">
        <f>"00847841"</f>
        <v>00847841</v>
      </c>
    </row>
    <row r="19422" spans="1:2" x14ac:dyDescent="0.25">
      <c r="A19422" s="2">
        <v>19417</v>
      </c>
      <c r="B19422" s="11" t="str">
        <f>"00847862"</f>
        <v>00847862</v>
      </c>
    </row>
    <row r="19423" spans="1:2" x14ac:dyDescent="0.25">
      <c r="A19423" s="2">
        <v>19418</v>
      </c>
      <c r="B19423" s="11" t="str">
        <f>"00847881"</f>
        <v>00847881</v>
      </c>
    </row>
    <row r="19424" spans="1:2" x14ac:dyDescent="0.25">
      <c r="A19424" s="2">
        <v>19419</v>
      </c>
      <c r="B19424" s="11" t="str">
        <f>"00847938"</f>
        <v>00847938</v>
      </c>
    </row>
    <row r="19425" spans="1:2" x14ac:dyDescent="0.25">
      <c r="A19425" s="2">
        <v>19420</v>
      </c>
      <c r="B19425" s="11" t="str">
        <f>"00847971"</f>
        <v>00847971</v>
      </c>
    </row>
    <row r="19426" spans="1:2" x14ac:dyDescent="0.25">
      <c r="A19426" s="2">
        <v>19421</v>
      </c>
      <c r="B19426" s="11" t="str">
        <f>"00847973"</f>
        <v>00847973</v>
      </c>
    </row>
    <row r="19427" spans="1:2" x14ac:dyDescent="0.25">
      <c r="A19427" s="2">
        <v>19422</v>
      </c>
      <c r="B19427" s="11" t="str">
        <f>"00847988"</f>
        <v>00847988</v>
      </c>
    </row>
    <row r="19428" spans="1:2" x14ac:dyDescent="0.25">
      <c r="A19428" s="2">
        <v>19423</v>
      </c>
      <c r="B19428" s="11" t="str">
        <f>"00848011"</f>
        <v>00848011</v>
      </c>
    </row>
    <row r="19429" spans="1:2" x14ac:dyDescent="0.25">
      <c r="A19429" s="2">
        <v>19424</v>
      </c>
      <c r="B19429" s="11" t="str">
        <f>"00848018"</f>
        <v>00848018</v>
      </c>
    </row>
    <row r="19430" spans="1:2" x14ac:dyDescent="0.25">
      <c r="A19430" s="2">
        <v>19425</v>
      </c>
      <c r="B19430" s="11" t="str">
        <f>"00848031"</f>
        <v>00848031</v>
      </c>
    </row>
    <row r="19431" spans="1:2" x14ac:dyDescent="0.25">
      <c r="A19431" s="2">
        <v>19426</v>
      </c>
      <c r="B19431" s="11" t="str">
        <f>"00848122"</f>
        <v>00848122</v>
      </c>
    </row>
    <row r="19432" spans="1:2" x14ac:dyDescent="0.25">
      <c r="A19432" s="2">
        <v>19427</v>
      </c>
      <c r="B19432" s="11" t="str">
        <f>"00848178"</f>
        <v>00848178</v>
      </c>
    </row>
    <row r="19433" spans="1:2" x14ac:dyDescent="0.25">
      <c r="A19433" s="2">
        <v>19428</v>
      </c>
      <c r="B19433" s="11" t="str">
        <f>"00848224"</f>
        <v>00848224</v>
      </c>
    </row>
    <row r="19434" spans="1:2" x14ac:dyDescent="0.25">
      <c r="A19434" s="2">
        <v>19429</v>
      </c>
      <c r="B19434" s="11" t="str">
        <f>"00848236"</f>
        <v>00848236</v>
      </c>
    </row>
    <row r="19435" spans="1:2" x14ac:dyDescent="0.25">
      <c r="A19435" s="2">
        <v>19430</v>
      </c>
      <c r="B19435" s="11" t="str">
        <f>"00848256"</f>
        <v>00848256</v>
      </c>
    </row>
    <row r="19436" spans="1:2" x14ac:dyDescent="0.25">
      <c r="A19436" s="2">
        <v>19431</v>
      </c>
      <c r="B19436" s="11" t="str">
        <f>"00848282"</f>
        <v>00848282</v>
      </c>
    </row>
    <row r="19437" spans="1:2" x14ac:dyDescent="0.25">
      <c r="A19437" s="2">
        <v>19432</v>
      </c>
      <c r="B19437" s="11" t="str">
        <f>"00848286"</f>
        <v>00848286</v>
      </c>
    </row>
    <row r="19438" spans="1:2" x14ac:dyDescent="0.25">
      <c r="A19438" s="2">
        <v>19433</v>
      </c>
      <c r="B19438" s="11" t="str">
        <f>"00848299"</f>
        <v>00848299</v>
      </c>
    </row>
    <row r="19439" spans="1:2" x14ac:dyDescent="0.25">
      <c r="A19439" s="2">
        <v>19434</v>
      </c>
      <c r="B19439" s="11" t="str">
        <f>"00848307"</f>
        <v>00848307</v>
      </c>
    </row>
    <row r="19440" spans="1:2" x14ac:dyDescent="0.25">
      <c r="A19440" s="2">
        <v>19435</v>
      </c>
      <c r="B19440" s="11" t="str">
        <f>"00848331"</f>
        <v>00848331</v>
      </c>
    </row>
    <row r="19441" spans="1:2" x14ac:dyDescent="0.25">
      <c r="A19441" s="2">
        <v>19436</v>
      </c>
      <c r="B19441" s="11" t="str">
        <f>"00848382"</f>
        <v>00848382</v>
      </c>
    </row>
    <row r="19442" spans="1:2" x14ac:dyDescent="0.25">
      <c r="A19442" s="2">
        <v>19437</v>
      </c>
      <c r="B19442" s="11" t="str">
        <f>"00848423"</f>
        <v>00848423</v>
      </c>
    </row>
    <row r="19443" spans="1:2" x14ac:dyDescent="0.25">
      <c r="A19443" s="2">
        <v>19438</v>
      </c>
      <c r="B19443" s="11" t="str">
        <f>"00848426"</f>
        <v>00848426</v>
      </c>
    </row>
    <row r="19444" spans="1:2" x14ac:dyDescent="0.25">
      <c r="A19444" s="2">
        <v>19439</v>
      </c>
      <c r="B19444" s="11" t="str">
        <f>"00848446"</f>
        <v>00848446</v>
      </c>
    </row>
    <row r="19445" spans="1:2" x14ac:dyDescent="0.25">
      <c r="A19445" s="2">
        <v>19440</v>
      </c>
      <c r="B19445" s="11" t="str">
        <f>"00848452"</f>
        <v>00848452</v>
      </c>
    </row>
    <row r="19446" spans="1:2" x14ac:dyDescent="0.25">
      <c r="A19446" s="2">
        <v>19441</v>
      </c>
      <c r="B19446" s="11" t="str">
        <f>"00848499"</f>
        <v>00848499</v>
      </c>
    </row>
    <row r="19447" spans="1:2" x14ac:dyDescent="0.25">
      <c r="A19447" s="2">
        <v>19442</v>
      </c>
      <c r="B19447" s="11" t="str">
        <f>"00848532"</f>
        <v>00848532</v>
      </c>
    </row>
    <row r="19448" spans="1:2" x14ac:dyDescent="0.25">
      <c r="A19448" s="2">
        <v>19443</v>
      </c>
      <c r="B19448" s="11" t="str">
        <f>"00848686"</f>
        <v>00848686</v>
      </c>
    </row>
    <row r="19449" spans="1:2" x14ac:dyDescent="0.25">
      <c r="A19449" s="2">
        <v>19444</v>
      </c>
      <c r="B19449" s="11" t="str">
        <f>"00848697"</f>
        <v>00848697</v>
      </c>
    </row>
    <row r="19450" spans="1:2" x14ac:dyDescent="0.25">
      <c r="A19450" s="2">
        <v>19445</v>
      </c>
      <c r="B19450" s="11" t="str">
        <f>"00848717"</f>
        <v>00848717</v>
      </c>
    </row>
    <row r="19451" spans="1:2" x14ac:dyDescent="0.25">
      <c r="A19451" s="2">
        <v>19446</v>
      </c>
      <c r="B19451" s="11" t="str">
        <f>"00848735"</f>
        <v>00848735</v>
      </c>
    </row>
    <row r="19452" spans="1:2" x14ac:dyDescent="0.25">
      <c r="A19452" s="2">
        <v>19447</v>
      </c>
      <c r="B19452" s="11" t="str">
        <f>"00848751"</f>
        <v>00848751</v>
      </c>
    </row>
    <row r="19453" spans="1:2" x14ac:dyDescent="0.25">
      <c r="A19453" s="2">
        <v>19448</v>
      </c>
      <c r="B19453" s="11" t="str">
        <f>"00848758"</f>
        <v>00848758</v>
      </c>
    </row>
    <row r="19454" spans="1:2" x14ac:dyDescent="0.25">
      <c r="A19454" s="2">
        <v>19449</v>
      </c>
      <c r="B19454" s="11" t="str">
        <f>"00848764"</f>
        <v>00848764</v>
      </c>
    </row>
    <row r="19455" spans="1:2" x14ac:dyDescent="0.25">
      <c r="A19455" s="2">
        <v>19450</v>
      </c>
      <c r="B19455" s="11" t="str">
        <f>"00848779"</f>
        <v>00848779</v>
      </c>
    </row>
    <row r="19456" spans="1:2" x14ac:dyDescent="0.25">
      <c r="A19456" s="2">
        <v>19451</v>
      </c>
      <c r="B19456" s="11" t="str">
        <f>"00848783"</f>
        <v>00848783</v>
      </c>
    </row>
    <row r="19457" spans="1:2" x14ac:dyDescent="0.25">
      <c r="A19457" s="2">
        <v>19452</v>
      </c>
      <c r="B19457" s="11" t="str">
        <f>"00848790"</f>
        <v>00848790</v>
      </c>
    </row>
    <row r="19458" spans="1:2" x14ac:dyDescent="0.25">
      <c r="A19458" s="2">
        <v>19453</v>
      </c>
      <c r="B19458" s="11" t="str">
        <f>"00848809"</f>
        <v>00848809</v>
      </c>
    </row>
    <row r="19459" spans="1:2" x14ac:dyDescent="0.25">
      <c r="A19459" s="2">
        <v>19454</v>
      </c>
      <c r="B19459" s="11" t="str">
        <f>"00848858"</f>
        <v>00848858</v>
      </c>
    </row>
    <row r="19460" spans="1:2" x14ac:dyDescent="0.25">
      <c r="A19460" s="2">
        <v>19455</v>
      </c>
      <c r="B19460" s="11" t="str">
        <f>"00848865"</f>
        <v>00848865</v>
      </c>
    </row>
    <row r="19461" spans="1:2" x14ac:dyDescent="0.25">
      <c r="A19461" s="2">
        <v>19456</v>
      </c>
      <c r="B19461" s="11" t="str">
        <f>"00848875"</f>
        <v>00848875</v>
      </c>
    </row>
    <row r="19462" spans="1:2" x14ac:dyDescent="0.25">
      <c r="A19462" s="2">
        <v>19457</v>
      </c>
      <c r="B19462" s="11" t="str">
        <f>"00848876"</f>
        <v>00848876</v>
      </c>
    </row>
    <row r="19463" spans="1:2" x14ac:dyDescent="0.25">
      <c r="A19463" s="2">
        <v>19458</v>
      </c>
      <c r="B19463" s="11" t="str">
        <f>"00848897"</f>
        <v>00848897</v>
      </c>
    </row>
    <row r="19464" spans="1:2" x14ac:dyDescent="0.25">
      <c r="A19464" s="2">
        <v>19459</v>
      </c>
      <c r="B19464" s="11" t="str">
        <f>"00848903"</f>
        <v>00848903</v>
      </c>
    </row>
    <row r="19465" spans="1:2" x14ac:dyDescent="0.25">
      <c r="A19465" s="2">
        <v>19460</v>
      </c>
      <c r="B19465" s="11" t="str">
        <f>"00848918"</f>
        <v>00848918</v>
      </c>
    </row>
    <row r="19466" spans="1:2" x14ac:dyDescent="0.25">
      <c r="A19466" s="2">
        <v>19461</v>
      </c>
      <c r="B19466" s="11" t="str">
        <f>"00848926"</f>
        <v>00848926</v>
      </c>
    </row>
    <row r="19467" spans="1:2" x14ac:dyDescent="0.25">
      <c r="A19467" s="2">
        <v>19462</v>
      </c>
      <c r="B19467" s="11" t="str">
        <f>"00848940"</f>
        <v>00848940</v>
      </c>
    </row>
    <row r="19468" spans="1:2" x14ac:dyDescent="0.25">
      <c r="A19468" s="2">
        <v>19463</v>
      </c>
      <c r="B19468" s="11" t="str">
        <f>"00848961"</f>
        <v>00848961</v>
      </c>
    </row>
    <row r="19469" spans="1:2" x14ac:dyDescent="0.25">
      <c r="A19469" s="2">
        <v>19464</v>
      </c>
      <c r="B19469" s="11" t="str">
        <f>"00848968"</f>
        <v>00848968</v>
      </c>
    </row>
    <row r="19470" spans="1:2" x14ac:dyDescent="0.25">
      <c r="A19470" s="2">
        <v>19465</v>
      </c>
      <c r="B19470" s="11" t="str">
        <f>"00849027"</f>
        <v>00849027</v>
      </c>
    </row>
    <row r="19471" spans="1:2" x14ac:dyDescent="0.25">
      <c r="A19471" s="2">
        <v>19466</v>
      </c>
      <c r="B19471" s="11" t="str">
        <f>"00849041"</f>
        <v>00849041</v>
      </c>
    </row>
    <row r="19472" spans="1:2" x14ac:dyDescent="0.25">
      <c r="A19472" s="2">
        <v>19467</v>
      </c>
      <c r="B19472" s="11" t="str">
        <f>"00849045"</f>
        <v>00849045</v>
      </c>
    </row>
    <row r="19473" spans="1:2" x14ac:dyDescent="0.25">
      <c r="A19473" s="2">
        <v>19468</v>
      </c>
      <c r="B19473" s="11" t="str">
        <f>"00849081"</f>
        <v>00849081</v>
      </c>
    </row>
    <row r="19474" spans="1:2" x14ac:dyDescent="0.25">
      <c r="A19474" s="2">
        <v>19469</v>
      </c>
      <c r="B19474" s="11" t="str">
        <f>"00849085"</f>
        <v>00849085</v>
      </c>
    </row>
    <row r="19475" spans="1:2" x14ac:dyDescent="0.25">
      <c r="A19475" s="2">
        <v>19470</v>
      </c>
      <c r="B19475" s="11" t="str">
        <f>"00849102"</f>
        <v>00849102</v>
      </c>
    </row>
    <row r="19476" spans="1:2" x14ac:dyDescent="0.25">
      <c r="A19476" s="2">
        <v>19471</v>
      </c>
      <c r="B19476" s="11" t="str">
        <f>"00849140"</f>
        <v>00849140</v>
      </c>
    </row>
    <row r="19477" spans="1:2" x14ac:dyDescent="0.25">
      <c r="A19477" s="2">
        <v>19472</v>
      </c>
      <c r="B19477" s="11" t="str">
        <f>"00849142"</f>
        <v>00849142</v>
      </c>
    </row>
    <row r="19478" spans="1:2" x14ac:dyDescent="0.25">
      <c r="A19478" s="2">
        <v>19473</v>
      </c>
      <c r="B19478" s="11" t="str">
        <f>"00849175"</f>
        <v>00849175</v>
      </c>
    </row>
    <row r="19479" spans="1:2" x14ac:dyDescent="0.25">
      <c r="A19479" s="2">
        <v>19474</v>
      </c>
      <c r="B19479" s="11" t="str">
        <f>"00849188"</f>
        <v>00849188</v>
      </c>
    </row>
    <row r="19480" spans="1:2" x14ac:dyDescent="0.25">
      <c r="A19480" s="2">
        <v>19475</v>
      </c>
      <c r="B19480" s="11" t="str">
        <f>"00849190"</f>
        <v>00849190</v>
      </c>
    </row>
    <row r="19481" spans="1:2" x14ac:dyDescent="0.25">
      <c r="A19481" s="2">
        <v>19476</v>
      </c>
      <c r="B19481" s="11" t="str">
        <f>"00849201"</f>
        <v>00849201</v>
      </c>
    </row>
    <row r="19482" spans="1:2" x14ac:dyDescent="0.25">
      <c r="A19482" s="2">
        <v>19477</v>
      </c>
      <c r="B19482" s="11" t="str">
        <f>"00849217"</f>
        <v>00849217</v>
      </c>
    </row>
    <row r="19483" spans="1:2" x14ac:dyDescent="0.25">
      <c r="A19483" s="2">
        <v>19478</v>
      </c>
      <c r="B19483" s="11" t="str">
        <f>"00849240"</f>
        <v>00849240</v>
      </c>
    </row>
    <row r="19484" spans="1:2" x14ac:dyDescent="0.25">
      <c r="A19484" s="2">
        <v>19479</v>
      </c>
      <c r="B19484" s="11" t="str">
        <f>"00849274"</f>
        <v>00849274</v>
      </c>
    </row>
    <row r="19485" spans="1:2" x14ac:dyDescent="0.25">
      <c r="A19485" s="2">
        <v>19480</v>
      </c>
      <c r="B19485" s="11" t="str">
        <f>"00849284"</f>
        <v>00849284</v>
      </c>
    </row>
    <row r="19486" spans="1:2" x14ac:dyDescent="0.25">
      <c r="A19486" s="2">
        <v>19481</v>
      </c>
      <c r="B19486" s="11" t="str">
        <f>"00849294"</f>
        <v>00849294</v>
      </c>
    </row>
    <row r="19487" spans="1:2" x14ac:dyDescent="0.25">
      <c r="A19487" s="2">
        <v>19482</v>
      </c>
      <c r="B19487" s="11" t="str">
        <f>"00849308"</f>
        <v>00849308</v>
      </c>
    </row>
    <row r="19488" spans="1:2" x14ac:dyDescent="0.25">
      <c r="A19488" s="2">
        <v>19483</v>
      </c>
      <c r="B19488" s="11" t="str">
        <f>"00849316"</f>
        <v>00849316</v>
      </c>
    </row>
    <row r="19489" spans="1:2" x14ac:dyDescent="0.25">
      <c r="A19489" s="2">
        <v>19484</v>
      </c>
      <c r="B19489" s="11" t="str">
        <f>"00849363"</f>
        <v>00849363</v>
      </c>
    </row>
    <row r="19490" spans="1:2" x14ac:dyDescent="0.25">
      <c r="A19490" s="2">
        <v>19485</v>
      </c>
      <c r="B19490" s="11" t="str">
        <f>"00849405"</f>
        <v>00849405</v>
      </c>
    </row>
    <row r="19491" spans="1:2" x14ac:dyDescent="0.25">
      <c r="A19491" s="2">
        <v>19486</v>
      </c>
      <c r="B19491" s="11" t="str">
        <f>"00849481"</f>
        <v>00849481</v>
      </c>
    </row>
    <row r="19492" spans="1:2" x14ac:dyDescent="0.25">
      <c r="A19492" s="2">
        <v>19487</v>
      </c>
      <c r="B19492" s="11" t="str">
        <f>"00849545"</f>
        <v>00849545</v>
      </c>
    </row>
    <row r="19493" spans="1:2" x14ac:dyDescent="0.25">
      <c r="A19493" s="2">
        <v>19488</v>
      </c>
      <c r="B19493" s="11" t="str">
        <f>"00849557"</f>
        <v>00849557</v>
      </c>
    </row>
    <row r="19494" spans="1:2" x14ac:dyDescent="0.25">
      <c r="A19494" s="2">
        <v>19489</v>
      </c>
      <c r="B19494" s="11" t="str">
        <f>"00849558"</f>
        <v>00849558</v>
      </c>
    </row>
    <row r="19495" spans="1:2" x14ac:dyDescent="0.25">
      <c r="A19495" s="2">
        <v>19490</v>
      </c>
      <c r="B19495" s="11" t="str">
        <f>"00849586"</f>
        <v>00849586</v>
      </c>
    </row>
    <row r="19496" spans="1:2" x14ac:dyDescent="0.25">
      <c r="A19496" s="2">
        <v>19491</v>
      </c>
      <c r="B19496" s="11" t="str">
        <f>"00849591"</f>
        <v>00849591</v>
      </c>
    </row>
    <row r="19497" spans="1:2" x14ac:dyDescent="0.25">
      <c r="A19497" s="2">
        <v>19492</v>
      </c>
      <c r="B19497" s="11" t="str">
        <f>"00849602"</f>
        <v>00849602</v>
      </c>
    </row>
    <row r="19498" spans="1:2" x14ac:dyDescent="0.25">
      <c r="A19498" s="2">
        <v>19493</v>
      </c>
      <c r="B19498" s="11" t="str">
        <f>"00849618"</f>
        <v>00849618</v>
      </c>
    </row>
    <row r="19499" spans="1:2" x14ac:dyDescent="0.25">
      <c r="A19499" s="2">
        <v>19494</v>
      </c>
      <c r="B19499" s="11" t="str">
        <f>"00849626"</f>
        <v>00849626</v>
      </c>
    </row>
    <row r="19500" spans="1:2" x14ac:dyDescent="0.25">
      <c r="A19500" s="2">
        <v>19495</v>
      </c>
      <c r="B19500" s="11" t="str">
        <f>"00849632"</f>
        <v>00849632</v>
      </c>
    </row>
    <row r="19501" spans="1:2" x14ac:dyDescent="0.25">
      <c r="A19501" s="2">
        <v>19496</v>
      </c>
      <c r="B19501" s="11" t="str">
        <f>"00849642"</f>
        <v>00849642</v>
      </c>
    </row>
    <row r="19502" spans="1:2" x14ac:dyDescent="0.25">
      <c r="A19502" s="2">
        <v>19497</v>
      </c>
      <c r="B19502" s="11" t="str">
        <f>"00849661"</f>
        <v>00849661</v>
      </c>
    </row>
    <row r="19503" spans="1:2" x14ac:dyDescent="0.25">
      <c r="A19503" s="2">
        <v>19498</v>
      </c>
      <c r="B19503" s="11" t="str">
        <f>"00849667"</f>
        <v>00849667</v>
      </c>
    </row>
    <row r="19504" spans="1:2" x14ac:dyDescent="0.25">
      <c r="A19504" s="2">
        <v>19499</v>
      </c>
      <c r="B19504" s="11" t="str">
        <f>"00849737"</f>
        <v>00849737</v>
      </c>
    </row>
    <row r="19505" spans="1:2" x14ac:dyDescent="0.25">
      <c r="A19505" s="2">
        <v>19500</v>
      </c>
      <c r="B19505" s="11" t="str">
        <f>"00849757"</f>
        <v>00849757</v>
      </c>
    </row>
    <row r="19506" spans="1:2" x14ac:dyDescent="0.25">
      <c r="A19506" s="2">
        <v>19501</v>
      </c>
      <c r="B19506" s="11" t="str">
        <f>"00849767"</f>
        <v>00849767</v>
      </c>
    </row>
    <row r="19507" spans="1:2" x14ac:dyDescent="0.25">
      <c r="A19507" s="2">
        <v>19502</v>
      </c>
      <c r="B19507" s="11" t="str">
        <f>"00849769"</f>
        <v>00849769</v>
      </c>
    </row>
    <row r="19508" spans="1:2" x14ac:dyDescent="0.25">
      <c r="A19508" s="2">
        <v>19503</v>
      </c>
      <c r="B19508" s="11" t="str">
        <f>"00849778"</f>
        <v>00849778</v>
      </c>
    </row>
    <row r="19509" spans="1:2" x14ac:dyDescent="0.25">
      <c r="A19509" s="2">
        <v>19504</v>
      </c>
      <c r="B19509" s="11" t="str">
        <f>"00849780"</f>
        <v>00849780</v>
      </c>
    </row>
    <row r="19510" spans="1:2" x14ac:dyDescent="0.25">
      <c r="A19510" s="2">
        <v>19505</v>
      </c>
      <c r="B19510" s="11" t="str">
        <f>"00849791"</f>
        <v>00849791</v>
      </c>
    </row>
    <row r="19511" spans="1:2" x14ac:dyDescent="0.25">
      <c r="A19511" s="2">
        <v>19506</v>
      </c>
      <c r="B19511" s="11" t="str">
        <f>"00849801"</f>
        <v>00849801</v>
      </c>
    </row>
    <row r="19512" spans="1:2" x14ac:dyDescent="0.25">
      <c r="A19512" s="2">
        <v>19507</v>
      </c>
      <c r="B19512" s="11" t="str">
        <f>"00849882"</f>
        <v>00849882</v>
      </c>
    </row>
    <row r="19513" spans="1:2" x14ac:dyDescent="0.25">
      <c r="A19513" s="2">
        <v>19508</v>
      </c>
      <c r="B19513" s="11" t="str">
        <f>"00849893"</f>
        <v>00849893</v>
      </c>
    </row>
    <row r="19514" spans="1:2" x14ac:dyDescent="0.25">
      <c r="A19514" s="2">
        <v>19509</v>
      </c>
      <c r="B19514" s="11" t="str">
        <f>"00849979"</f>
        <v>00849979</v>
      </c>
    </row>
    <row r="19515" spans="1:2" x14ac:dyDescent="0.25">
      <c r="A19515" s="2">
        <v>19510</v>
      </c>
      <c r="B19515" s="11" t="str">
        <f>"00850002"</f>
        <v>00850002</v>
      </c>
    </row>
    <row r="19516" spans="1:2" x14ac:dyDescent="0.25">
      <c r="A19516" s="2">
        <v>19511</v>
      </c>
      <c r="B19516" s="11" t="str">
        <f>"00850005"</f>
        <v>00850005</v>
      </c>
    </row>
    <row r="19517" spans="1:2" x14ac:dyDescent="0.25">
      <c r="A19517" s="2">
        <v>19512</v>
      </c>
      <c r="B19517" s="11" t="str">
        <f>"00850027"</f>
        <v>00850027</v>
      </c>
    </row>
    <row r="19518" spans="1:2" x14ac:dyDescent="0.25">
      <c r="A19518" s="2">
        <v>19513</v>
      </c>
      <c r="B19518" s="11" t="str">
        <f>"00850057"</f>
        <v>00850057</v>
      </c>
    </row>
    <row r="19519" spans="1:2" x14ac:dyDescent="0.25">
      <c r="A19519" s="2">
        <v>19514</v>
      </c>
      <c r="B19519" s="11" t="str">
        <f>"00850064"</f>
        <v>00850064</v>
      </c>
    </row>
    <row r="19520" spans="1:2" x14ac:dyDescent="0.25">
      <c r="A19520" s="2">
        <v>19515</v>
      </c>
      <c r="B19520" s="11" t="str">
        <f>"00850065"</f>
        <v>00850065</v>
      </c>
    </row>
    <row r="19521" spans="1:2" x14ac:dyDescent="0.25">
      <c r="A19521" s="2">
        <v>19516</v>
      </c>
      <c r="B19521" s="11" t="str">
        <f>"00850082"</f>
        <v>00850082</v>
      </c>
    </row>
    <row r="19522" spans="1:2" x14ac:dyDescent="0.25">
      <c r="A19522" s="2">
        <v>19517</v>
      </c>
      <c r="B19522" s="11" t="str">
        <f>"00850116"</f>
        <v>00850116</v>
      </c>
    </row>
    <row r="19523" spans="1:2" x14ac:dyDescent="0.25">
      <c r="A19523" s="2">
        <v>19518</v>
      </c>
      <c r="B19523" s="11" t="str">
        <f>"00850125"</f>
        <v>00850125</v>
      </c>
    </row>
    <row r="19524" spans="1:2" x14ac:dyDescent="0.25">
      <c r="A19524" s="2">
        <v>19519</v>
      </c>
      <c r="B19524" s="11" t="str">
        <f>"00850126"</f>
        <v>00850126</v>
      </c>
    </row>
    <row r="19525" spans="1:2" x14ac:dyDescent="0.25">
      <c r="A19525" s="2">
        <v>19520</v>
      </c>
      <c r="B19525" s="11" t="str">
        <f>"00850147"</f>
        <v>00850147</v>
      </c>
    </row>
    <row r="19526" spans="1:2" x14ac:dyDescent="0.25">
      <c r="A19526" s="2">
        <v>19521</v>
      </c>
      <c r="B19526" s="11" t="str">
        <f>"00850148"</f>
        <v>00850148</v>
      </c>
    </row>
    <row r="19527" spans="1:2" x14ac:dyDescent="0.25">
      <c r="A19527" s="2">
        <v>19522</v>
      </c>
      <c r="B19527" s="11" t="str">
        <f>"00850161"</f>
        <v>00850161</v>
      </c>
    </row>
    <row r="19528" spans="1:2" x14ac:dyDescent="0.25">
      <c r="A19528" s="2">
        <v>19523</v>
      </c>
      <c r="B19528" s="11" t="str">
        <f>"00850178"</f>
        <v>00850178</v>
      </c>
    </row>
    <row r="19529" spans="1:2" x14ac:dyDescent="0.25">
      <c r="A19529" s="2">
        <v>19524</v>
      </c>
      <c r="B19529" s="11" t="str">
        <f>"00850199"</f>
        <v>00850199</v>
      </c>
    </row>
    <row r="19530" spans="1:2" x14ac:dyDescent="0.25">
      <c r="A19530" s="2">
        <v>19525</v>
      </c>
      <c r="B19530" s="11" t="str">
        <f>"00850205"</f>
        <v>00850205</v>
      </c>
    </row>
    <row r="19531" spans="1:2" x14ac:dyDescent="0.25">
      <c r="A19531" s="2">
        <v>19526</v>
      </c>
      <c r="B19531" s="11" t="str">
        <f>"00850208"</f>
        <v>00850208</v>
      </c>
    </row>
    <row r="19532" spans="1:2" x14ac:dyDescent="0.25">
      <c r="A19532" s="2">
        <v>19527</v>
      </c>
      <c r="B19532" s="11" t="str">
        <f>"00850242"</f>
        <v>00850242</v>
      </c>
    </row>
    <row r="19533" spans="1:2" x14ac:dyDescent="0.25">
      <c r="A19533" s="2">
        <v>19528</v>
      </c>
      <c r="B19533" s="11" t="str">
        <f>"00850260"</f>
        <v>00850260</v>
      </c>
    </row>
    <row r="19534" spans="1:2" x14ac:dyDescent="0.25">
      <c r="A19534" s="2">
        <v>19529</v>
      </c>
      <c r="B19534" s="11" t="str">
        <f>"00850264"</f>
        <v>00850264</v>
      </c>
    </row>
    <row r="19535" spans="1:2" x14ac:dyDescent="0.25">
      <c r="A19535" s="2">
        <v>19530</v>
      </c>
      <c r="B19535" s="11" t="str">
        <f>"00850283"</f>
        <v>00850283</v>
      </c>
    </row>
    <row r="19536" spans="1:2" x14ac:dyDescent="0.25">
      <c r="A19536" s="2">
        <v>19531</v>
      </c>
      <c r="B19536" s="11" t="str">
        <f>"00850287"</f>
        <v>00850287</v>
      </c>
    </row>
    <row r="19537" spans="1:2" x14ac:dyDescent="0.25">
      <c r="A19537" s="2">
        <v>19532</v>
      </c>
      <c r="B19537" s="11" t="str">
        <f>"00850302"</f>
        <v>00850302</v>
      </c>
    </row>
    <row r="19538" spans="1:2" x14ac:dyDescent="0.25">
      <c r="A19538" s="2">
        <v>19533</v>
      </c>
      <c r="B19538" s="11" t="str">
        <f>"00850328"</f>
        <v>00850328</v>
      </c>
    </row>
    <row r="19539" spans="1:2" x14ac:dyDescent="0.25">
      <c r="A19539" s="2">
        <v>19534</v>
      </c>
      <c r="B19539" s="11" t="str">
        <f>"00850346"</f>
        <v>00850346</v>
      </c>
    </row>
    <row r="19540" spans="1:2" x14ac:dyDescent="0.25">
      <c r="A19540" s="2">
        <v>19535</v>
      </c>
      <c r="B19540" s="11" t="str">
        <f>"00850354"</f>
        <v>00850354</v>
      </c>
    </row>
    <row r="19541" spans="1:2" x14ac:dyDescent="0.25">
      <c r="A19541" s="2">
        <v>19536</v>
      </c>
      <c r="B19541" s="11" t="str">
        <f>"00850415"</f>
        <v>00850415</v>
      </c>
    </row>
    <row r="19542" spans="1:2" x14ac:dyDescent="0.25">
      <c r="A19542" s="2">
        <v>19537</v>
      </c>
      <c r="B19542" s="11" t="str">
        <f>"00850417"</f>
        <v>00850417</v>
      </c>
    </row>
    <row r="19543" spans="1:2" x14ac:dyDescent="0.25">
      <c r="A19543" s="2">
        <v>19538</v>
      </c>
      <c r="B19543" s="11" t="str">
        <f>"00850441"</f>
        <v>00850441</v>
      </c>
    </row>
    <row r="19544" spans="1:2" x14ac:dyDescent="0.25">
      <c r="A19544" s="2">
        <v>19539</v>
      </c>
      <c r="B19544" s="11" t="str">
        <f>"00850457"</f>
        <v>00850457</v>
      </c>
    </row>
    <row r="19545" spans="1:2" x14ac:dyDescent="0.25">
      <c r="A19545" s="2">
        <v>19540</v>
      </c>
      <c r="B19545" s="11" t="str">
        <f>"00850464"</f>
        <v>00850464</v>
      </c>
    </row>
    <row r="19546" spans="1:2" x14ac:dyDescent="0.25">
      <c r="A19546" s="2">
        <v>19541</v>
      </c>
      <c r="B19546" s="11" t="str">
        <f>"00850503"</f>
        <v>00850503</v>
      </c>
    </row>
    <row r="19547" spans="1:2" x14ac:dyDescent="0.25">
      <c r="A19547" s="2">
        <v>19542</v>
      </c>
      <c r="B19547" s="11" t="str">
        <f>"00850508"</f>
        <v>00850508</v>
      </c>
    </row>
    <row r="19548" spans="1:2" x14ac:dyDescent="0.25">
      <c r="A19548" s="2">
        <v>19543</v>
      </c>
      <c r="B19548" s="11" t="str">
        <f>"00850524"</f>
        <v>00850524</v>
      </c>
    </row>
    <row r="19549" spans="1:2" x14ac:dyDescent="0.25">
      <c r="A19549" s="2">
        <v>19544</v>
      </c>
      <c r="B19549" s="11" t="str">
        <f>"00850531"</f>
        <v>00850531</v>
      </c>
    </row>
    <row r="19550" spans="1:2" x14ac:dyDescent="0.25">
      <c r="A19550" s="2">
        <v>19545</v>
      </c>
      <c r="B19550" s="11" t="str">
        <f>"00850573"</f>
        <v>00850573</v>
      </c>
    </row>
    <row r="19551" spans="1:2" x14ac:dyDescent="0.25">
      <c r="A19551" s="2">
        <v>19546</v>
      </c>
      <c r="B19551" s="11" t="str">
        <f>"00850584"</f>
        <v>00850584</v>
      </c>
    </row>
    <row r="19552" spans="1:2" x14ac:dyDescent="0.25">
      <c r="A19552" s="2">
        <v>19547</v>
      </c>
      <c r="B19552" s="11" t="str">
        <f>"00850594"</f>
        <v>00850594</v>
      </c>
    </row>
    <row r="19553" spans="1:2" x14ac:dyDescent="0.25">
      <c r="A19553" s="2">
        <v>19548</v>
      </c>
      <c r="B19553" s="11" t="str">
        <f>"00850631"</f>
        <v>00850631</v>
      </c>
    </row>
    <row r="19554" spans="1:2" x14ac:dyDescent="0.25">
      <c r="A19554" s="2">
        <v>19549</v>
      </c>
      <c r="B19554" s="11" t="str">
        <f>"00850643"</f>
        <v>00850643</v>
      </c>
    </row>
    <row r="19555" spans="1:2" x14ac:dyDescent="0.25">
      <c r="A19555" s="2">
        <v>19550</v>
      </c>
      <c r="B19555" s="11" t="str">
        <f>"00850671"</f>
        <v>00850671</v>
      </c>
    </row>
    <row r="19556" spans="1:2" x14ac:dyDescent="0.25">
      <c r="A19556" s="2">
        <v>19551</v>
      </c>
      <c r="B19556" s="11" t="str">
        <f>"00850674"</f>
        <v>00850674</v>
      </c>
    </row>
    <row r="19557" spans="1:2" x14ac:dyDescent="0.25">
      <c r="A19557" s="2">
        <v>19552</v>
      </c>
      <c r="B19557" s="11" t="str">
        <f>"00850681"</f>
        <v>00850681</v>
      </c>
    </row>
    <row r="19558" spans="1:2" x14ac:dyDescent="0.25">
      <c r="A19558" s="2">
        <v>19553</v>
      </c>
      <c r="B19558" s="11" t="str">
        <f>"00850753"</f>
        <v>00850753</v>
      </c>
    </row>
    <row r="19559" spans="1:2" x14ac:dyDescent="0.25">
      <c r="A19559" s="2">
        <v>19554</v>
      </c>
      <c r="B19559" s="11" t="str">
        <f>"00850767"</f>
        <v>00850767</v>
      </c>
    </row>
    <row r="19560" spans="1:2" x14ac:dyDescent="0.25">
      <c r="A19560" s="2">
        <v>19555</v>
      </c>
      <c r="B19560" s="11" t="str">
        <f>"00850828"</f>
        <v>00850828</v>
      </c>
    </row>
    <row r="19561" spans="1:2" x14ac:dyDescent="0.25">
      <c r="A19561" s="2">
        <v>19556</v>
      </c>
      <c r="B19561" s="11" t="str">
        <f>"00850838"</f>
        <v>00850838</v>
      </c>
    </row>
    <row r="19562" spans="1:2" x14ac:dyDescent="0.25">
      <c r="A19562" s="2">
        <v>19557</v>
      </c>
      <c r="B19562" s="11" t="str">
        <f>"00850872"</f>
        <v>00850872</v>
      </c>
    </row>
    <row r="19563" spans="1:2" x14ac:dyDescent="0.25">
      <c r="A19563" s="2">
        <v>19558</v>
      </c>
      <c r="B19563" s="11" t="str">
        <f>"00850891"</f>
        <v>00850891</v>
      </c>
    </row>
    <row r="19564" spans="1:2" x14ac:dyDescent="0.25">
      <c r="A19564" s="2">
        <v>19559</v>
      </c>
      <c r="B19564" s="11" t="str">
        <f>"00850892"</f>
        <v>00850892</v>
      </c>
    </row>
    <row r="19565" spans="1:2" x14ac:dyDescent="0.25">
      <c r="A19565" s="2">
        <v>19560</v>
      </c>
      <c r="B19565" s="11" t="str">
        <f>"00850921"</f>
        <v>00850921</v>
      </c>
    </row>
    <row r="19566" spans="1:2" x14ac:dyDescent="0.25">
      <c r="A19566" s="2">
        <v>19561</v>
      </c>
      <c r="B19566" s="11" t="str">
        <f>"00850933"</f>
        <v>00850933</v>
      </c>
    </row>
    <row r="19567" spans="1:2" x14ac:dyDescent="0.25">
      <c r="A19567" s="2">
        <v>19562</v>
      </c>
      <c r="B19567" s="11" t="str">
        <f>"00850947"</f>
        <v>00850947</v>
      </c>
    </row>
    <row r="19568" spans="1:2" x14ac:dyDescent="0.25">
      <c r="A19568" s="2">
        <v>19563</v>
      </c>
      <c r="B19568" s="11" t="str">
        <f>"00851012"</f>
        <v>00851012</v>
      </c>
    </row>
    <row r="19569" spans="1:2" x14ac:dyDescent="0.25">
      <c r="A19569" s="2">
        <v>19564</v>
      </c>
      <c r="B19569" s="11" t="str">
        <f>"00851025"</f>
        <v>00851025</v>
      </c>
    </row>
    <row r="19570" spans="1:2" x14ac:dyDescent="0.25">
      <c r="A19570" s="2">
        <v>19565</v>
      </c>
      <c r="B19570" s="11" t="str">
        <f>"00851075"</f>
        <v>00851075</v>
      </c>
    </row>
    <row r="19571" spans="1:2" x14ac:dyDescent="0.25">
      <c r="A19571" s="2">
        <v>19566</v>
      </c>
      <c r="B19571" s="11" t="str">
        <f>"00851081"</f>
        <v>00851081</v>
      </c>
    </row>
    <row r="19572" spans="1:2" x14ac:dyDescent="0.25">
      <c r="A19572" s="2">
        <v>19567</v>
      </c>
      <c r="B19572" s="11" t="str">
        <f>"00851094"</f>
        <v>00851094</v>
      </c>
    </row>
    <row r="19573" spans="1:2" x14ac:dyDescent="0.25">
      <c r="A19573" s="2">
        <v>19568</v>
      </c>
      <c r="B19573" s="11" t="str">
        <f>"00851099"</f>
        <v>00851099</v>
      </c>
    </row>
    <row r="19574" spans="1:2" x14ac:dyDescent="0.25">
      <c r="A19574" s="2">
        <v>19569</v>
      </c>
      <c r="B19574" s="11" t="str">
        <f>"00851168"</f>
        <v>00851168</v>
      </c>
    </row>
    <row r="19575" spans="1:2" x14ac:dyDescent="0.25">
      <c r="A19575" s="2">
        <v>19570</v>
      </c>
      <c r="B19575" s="11" t="str">
        <f>"00851170"</f>
        <v>00851170</v>
      </c>
    </row>
    <row r="19576" spans="1:2" x14ac:dyDescent="0.25">
      <c r="A19576" s="2">
        <v>19571</v>
      </c>
      <c r="B19576" s="11" t="str">
        <f>"00851173"</f>
        <v>00851173</v>
      </c>
    </row>
    <row r="19577" spans="1:2" x14ac:dyDescent="0.25">
      <c r="A19577" s="2">
        <v>19572</v>
      </c>
      <c r="B19577" s="11" t="str">
        <f>"00851181"</f>
        <v>00851181</v>
      </c>
    </row>
    <row r="19578" spans="1:2" x14ac:dyDescent="0.25">
      <c r="A19578" s="2">
        <v>19573</v>
      </c>
      <c r="B19578" s="11" t="str">
        <f>"00851196"</f>
        <v>00851196</v>
      </c>
    </row>
    <row r="19579" spans="1:2" x14ac:dyDescent="0.25">
      <c r="A19579" s="2">
        <v>19574</v>
      </c>
      <c r="B19579" s="11" t="str">
        <f>"00851226"</f>
        <v>00851226</v>
      </c>
    </row>
    <row r="19580" spans="1:2" x14ac:dyDescent="0.25">
      <c r="A19580" s="2">
        <v>19575</v>
      </c>
      <c r="B19580" s="11" t="str">
        <f>"00851240"</f>
        <v>00851240</v>
      </c>
    </row>
    <row r="19581" spans="1:2" x14ac:dyDescent="0.25">
      <c r="A19581" s="2">
        <v>19576</v>
      </c>
      <c r="B19581" s="11" t="str">
        <f>"00851244"</f>
        <v>00851244</v>
      </c>
    </row>
    <row r="19582" spans="1:2" x14ac:dyDescent="0.25">
      <c r="A19582" s="2">
        <v>19577</v>
      </c>
      <c r="B19582" s="11" t="str">
        <f>"00851319"</f>
        <v>00851319</v>
      </c>
    </row>
    <row r="19583" spans="1:2" x14ac:dyDescent="0.25">
      <c r="A19583" s="2">
        <v>19578</v>
      </c>
      <c r="B19583" s="11" t="str">
        <f>"00851330"</f>
        <v>00851330</v>
      </c>
    </row>
    <row r="19584" spans="1:2" x14ac:dyDescent="0.25">
      <c r="A19584" s="2">
        <v>19579</v>
      </c>
      <c r="B19584" s="11" t="str">
        <f>"00851342"</f>
        <v>00851342</v>
      </c>
    </row>
    <row r="19585" spans="1:2" x14ac:dyDescent="0.25">
      <c r="A19585" s="2">
        <v>19580</v>
      </c>
      <c r="B19585" s="11" t="str">
        <f>"00851365"</f>
        <v>00851365</v>
      </c>
    </row>
    <row r="19586" spans="1:2" x14ac:dyDescent="0.25">
      <c r="A19586" s="2">
        <v>19581</v>
      </c>
      <c r="B19586" s="11" t="str">
        <f>"00851367"</f>
        <v>00851367</v>
      </c>
    </row>
    <row r="19587" spans="1:2" x14ac:dyDescent="0.25">
      <c r="A19587" s="2">
        <v>19582</v>
      </c>
      <c r="B19587" s="11" t="str">
        <f>"00851374"</f>
        <v>00851374</v>
      </c>
    </row>
    <row r="19588" spans="1:2" x14ac:dyDescent="0.25">
      <c r="A19588" s="2">
        <v>19583</v>
      </c>
      <c r="B19588" s="11" t="str">
        <f>"00851391"</f>
        <v>00851391</v>
      </c>
    </row>
    <row r="19589" spans="1:2" x14ac:dyDescent="0.25">
      <c r="A19589" s="2">
        <v>19584</v>
      </c>
      <c r="B19589" s="11" t="str">
        <f>"00851392"</f>
        <v>00851392</v>
      </c>
    </row>
    <row r="19590" spans="1:2" x14ac:dyDescent="0.25">
      <c r="A19590" s="2">
        <v>19585</v>
      </c>
      <c r="B19590" s="11" t="str">
        <f>"00851407"</f>
        <v>00851407</v>
      </c>
    </row>
    <row r="19591" spans="1:2" x14ac:dyDescent="0.25">
      <c r="A19591" s="2">
        <v>19586</v>
      </c>
      <c r="B19591" s="11" t="str">
        <f>"00851444"</f>
        <v>00851444</v>
      </c>
    </row>
    <row r="19592" spans="1:2" x14ac:dyDescent="0.25">
      <c r="A19592" s="2">
        <v>19587</v>
      </c>
      <c r="B19592" s="11" t="str">
        <f>"00851484"</f>
        <v>00851484</v>
      </c>
    </row>
    <row r="19593" spans="1:2" x14ac:dyDescent="0.25">
      <c r="A19593" s="2">
        <v>19588</v>
      </c>
      <c r="B19593" s="11" t="str">
        <f>"00851491"</f>
        <v>00851491</v>
      </c>
    </row>
    <row r="19594" spans="1:2" x14ac:dyDescent="0.25">
      <c r="A19594" s="2">
        <v>19589</v>
      </c>
      <c r="B19594" s="11" t="str">
        <f>"00851515"</f>
        <v>00851515</v>
      </c>
    </row>
    <row r="19595" spans="1:2" x14ac:dyDescent="0.25">
      <c r="A19595" s="2">
        <v>19590</v>
      </c>
      <c r="B19595" s="11" t="str">
        <f>"00851546"</f>
        <v>00851546</v>
      </c>
    </row>
    <row r="19596" spans="1:2" x14ac:dyDescent="0.25">
      <c r="A19596" s="2">
        <v>19591</v>
      </c>
      <c r="B19596" s="11" t="str">
        <f>"00851567"</f>
        <v>00851567</v>
      </c>
    </row>
    <row r="19597" spans="1:2" x14ac:dyDescent="0.25">
      <c r="A19597" s="2">
        <v>19592</v>
      </c>
      <c r="B19597" s="11" t="str">
        <f>"00851572"</f>
        <v>00851572</v>
      </c>
    </row>
    <row r="19598" spans="1:2" x14ac:dyDescent="0.25">
      <c r="A19598" s="2">
        <v>19593</v>
      </c>
      <c r="B19598" s="11" t="str">
        <f>"00851590"</f>
        <v>00851590</v>
      </c>
    </row>
    <row r="19599" spans="1:2" x14ac:dyDescent="0.25">
      <c r="A19599" s="2">
        <v>19594</v>
      </c>
      <c r="B19599" s="11" t="str">
        <f>"00851595"</f>
        <v>00851595</v>
      </c>
    </row>
    <row r="19600" spans="1:2" x14ac:dyDescent="0.25">
      <c r="A19600" s="2">
        <v>19595</v>
      </c>
      <c r="B19600" s="11" t="str">
        <f>"00851600"</f>
        <v>00851600</v>
      </c>
    </row>
    <row r="19601" spans="1:2" x14ac:dyDescent="0.25">
      <c r="A19601" s="2">
        <v>19596</v>
      </c>
      <c r="B19601" s="11" t="str">
        <f>"00851607"</f>
        <v>00851607</v>
      </c>
    </row>
    <row r="19602" spans="1:2" x14ac:dyDescent="0.25">
      <c r="A19602" s="2">
        <v>19597</v>
      </c>
      <c r="B19602" s="11" t="str">
        <f>"00851608"</f>
        <v>00851608</v>
      </c>
    </row>
    <row r="19603" spans="1:2" x14ac:dyDescent="0.25">
      <c r="A19603" s="2">
        <v>19598</v>
      </c>
      <c r="B19603" s="11" t="str">
        <f>"00851642"</f>
        <v>00851642</v>
      </c>
    </row>
    <row r="19604" spans="1:2" x14ac:dyDescent="0.25">
      <c r="A19604" s="2">
        <v>19599</v>
      </c>
      <c r="B19604" s="11" t="str">
        <f>"00851646"</f>
        <v>00851646</v>
      </c>
    </row>
    <row r="19605" spans="1:2" x14ac:dyDescent="0.25">
      <c r="A19605" s="2">
        <v>19600</v>
      </c>
      <c r="B19605" s="11" t="str">
        <f>"00851667"</f>
        <v>00851667</v>
      </c>
    </row>
    <row r="19606" spans="1:2" x14ac:dyDescent="0.25">
      <c r="A19606" s="2">
        <v>19601</v>
      </c>
      <c r="B19606" s="11" t="str">
        <f>"00851671"</f>
        <v>00851671</v>
      </c>
    </row>
    <row r="19607" spans="1:2" x14ac:dyDescent="0.25">
      <c r="A19607" s="2">
        <v>19602</v>
      </c>
      <c r="B19607" s="11" t="str">
        <f>"00851672"</f>
        <v>00851672</v>
      </c>
    </row>
    <row r="19608" spans="1:2" x14ac:dyDescent="0.25">
      <c r="A19608" s="2">
        <v>19603</v>
      </c>
      <c r="B19608" s="11" t="str">
        <f>"00851687"</f>
        <v>00851687</v>
      </c>
    </row>
    <row r="19609" spans="1:2" x14ac:dyDescent="0.25">
      <c r="A19609" s="2">
        <v>19604</v>
      </c>
      <c r="B19609" s="11" t="str">
        <f>"00851712"</f>
        <v>00851712</v>
      </c>
    </row>
    <row r="19610" spans="1:2" x14ac:dyDescent="0.25">
      <c r="A19610" s="2">
        <v>19605</v>
      </c>
      <c r="B19610" s="11" t="str">
        <f>"00851754"</f>
        <v>00851754</v>
      </c>
    </row>
    <row r="19611" spans="1:2" x14ac:dyDescent="0.25">
      <c r="A19611" s="2">
        <v>19606</v>
      </c>
      <c r="B19611" s="11" t="str">
        <f>"00851781"</f>
        <v>00851781</v>
      </c>
    </row>
    <row r="19612" spans="1:2" x14ac:dyDescent="0.25">
      <c r="A19612" s="2">
        <v>19607</v>
      </c>
      <c r="B19612" s="11" t="str">
        <f>"00851822"</f>
        <v>00851822</v>
      </c>
    </row>
    <row r="19613" spans="1:2" x14ac:dyDescent="0.25">
      <c r="A19613" s="2">
        <v>19608</v>
      </c>
      <c r="B19613" s="11" t="str">
        <f>"00851864"</f>
        <v>00851864</v>
      </c>
    </row>
    <row r="19614" spans="1:2" x14ac:dyDescent="0.25">
      <c r="A19614" s="2">
        <v>19609</v>
      </c>
      <c r="B19614" s="11" t="str">
        <f>"00851868"</f>
        <v>00851868</v>
      </c>
    </row>
    <row r="19615" spans="1:2" x14ac:dyDescent="0.25">
      <c r="A19615" s="2">
        <v>19610</v>
      </c>
      <c r="B19615" s="11" t="str">
        <f>"00851875"</f>
        <v>00851875</v>
      </c>
    </row>
    <row r="19616" spans="1:2" x14ac:dyDescent="0.25">
      <c r="A19616" s="2">
        <v>19611</v>
      </c>
      <c r="B19616" s="11" t="str">
        <f>"00851886"</f>
        <v>00851886</v>
      </c>
    </row>
    <row r="19617" spans="1:2" x14ac:dyDescent="0.25">
      <c r="A19617" s="2">
        <v>19612</v>
      </c>
      <c r="B19617" s="11" t="str">
        <f>"00851944"</f>
        <v>00851944</v>
      </c>
    </row>
    <row r="19618" spans="1:2" x14ac:dyDescent="0.25">
      <c r="A19618" s="2">
        <v>19613</v>
      </c>
      <c r="B19618" s="11" t="str">
        <f>"00851963"</f>
        <v>00851963</v>
      </c>
    </row>
    <row r="19619" spans="1:2" x14ac:dyDescent="0.25">
      <c r="A19619" s="2">
        <v>19614</v>
      </c>
      <c r="B19619" s="11" t="str">
        <f>"00851965"</f>
        <v>00851965</v>
      </c>
    </row>
    <row r="19620" spans="1:2" x14ac:dyDescent="0.25">
      <c r="A19620" s="2">
        <v>19615</v>
      </c>
      <c r="B19620" s="11" t="str">
        <f>"00852008"</f>
        <v>00852008</v>
      </c>
    </row>
    <row r="19621" spans="1:2" x14ac:dyDescent="0.25">
      <c r="A19621" s="2">
        <v>19616</v>
      </c>
      <c r="B19621" s="11" t="str">
        <f>"00852103"</f>
        <v>00852103</v>
      </c>
    </row>
    <row r="19622" spans="1:2" x14ac:dyDescent="0.25">
      <c r="A19622" s="2">
        <v>19617</v>
      </c>
      <c r="B19622" s="11" t="str">
        <f>"00852196"</f>
        <v>00852196</v>
      </c>
    </row>
    <row r="19623" spans="1:2" x14ac:dyDescent="0.25">
      <c r="A19623" s="2">
        <v>19618</v>
      </c>
      <c r="B19623" s="11" t="str">
        <f>"00852201"</f>
        <v>00852201</v>
      </c>
    </row>
    <row r="19624" spans="1:2" x14ac:dyDescent="0.25">
      <c r="A19624" s="2">
        <v>19619</v>
      </c>
      <c r="B19624" s="11" t="str">
        <f>"00852218"</f>
        <v>00852218</v>
      </c>
    </row>
    <row r="19625" spans="1:2" x14ac:dyDescent="0.25">
      <c r="A19625" s="2">
        <v>19620</v>
      </c>
      <c r="B19625" s="11" t="str">
        <f>"00852240"</f>
        <v>00852240</v>
      </c>
    </row>
    <row r="19626" spans="1:2" x14ac:dyDescent="0.25">
      <c r="A19626" s="2">
        <v>19621</v>
      </c>
      <c r="B19626" s="11" t="str">
        <f>"00852252"</f>
        <v>00852252</v>
      </c>
    </row>
    <row r="19627" spans="1:2" x14ac:dyDescent="0.25">
      <c r="A19627" s="2">
        <v>19622</v>
      </c>
      <c r="B19627" s="11" t="str">
        <f>"00852279"</f>
        <v>00852279</v>
      </c>
    </row>
    <row r="19628" spans="1:2" x14ac:dyDescent="0.25">
      <c r="A19628" s="2">
        <v>19623</v>
      </c>
      <c r="B19628" s="11" t="str">
        <f>"00852285"</f>
        <v>00852285</v>
      </c>
    </row>
    <row r="19629" spans="1:2" x14ac:dyDescent="0.25">
      <c r="A19629" s="2">
        <v>19624</v>
      </c>
      <c r="B19629" s="11" t="str">
        <f>"00852298"</f>
        <v>00852298</v>
      </c>
    </row>
    <row r="19630" spans="1:2" x14ac:dyDescent="0.25">
      <c r="A19630" s="2">
        <v>19625</v>
      </c>
      <c r="B19630" s="11" t="str">
        <f>"00852321"</f>
        <v>00852321</v>
      </c>
    </row>
    <row r="19631" spans="1:2" x14ac:dyDescent="0.25">
      <c r="A19631" s="2">
        <v>19626</v>
      </c>
      <c r="B19631" s="11" t="str">
        <f>"00852350"</f>
        <v>00852350</v>
      </c>
    </row>
    <row r="19632" spans="1:2" x14ac:dyDescent="0.25">
      <c r="A19632" s="2">
        <v>19627</v>
      </c>
      <c r="B19632" s="11" t="str">
        <f>"00852361"</f>
        <v>00852361</v>
      </c>
    </row>
    <row r="19633" spans="1:2" x14ac:dyDescent="0.25">
      <c r="A19633" s="2">
        <v>19628</v>
      </c>
      <c r="B19633" s="11" t="str">
        <f>"00852441"</f>
        <v>00852441</v>
      </c>
    </row>
    <row r="19634" spans="1:2" x14ac:dyDescent="0.25">
      <c r="A19634" s="2">
        <v>19629</v>
      </c>
      <c r="B19634" s="11" t="str">
        <f>"00852456"</f>
        <v>00852456</v>
      </c>
    </row>
    <row r="19635" spans="1:2" x14ac:dyDescent="0.25">
      <c r="A19635" s="2">
        <v>19630</v>
      </c>
      <c r="B19635" s="11" t="str">
        <f>"00852500"</f>
        <v>00852500</v>
      </c>
    </row>
    <row r="19636" spans="1:2" x14ac:dyDescent="0.25">
      <c r="A19636" s="2">
        <v>19631</v>
      </c>
      <c r="B19636" s="11" t="str">
        <f>"00852543"</f>
        <v>00852543</v>
      </c>
    </row>
    <row r="19637" spans="1:2" x14ac:dyDescent="0.25">
      <c r="A19637" s="2">
        <v>19632</v>
      </c>
      <c r="B19637" s="11" t="str">
        <f>"00852568"</f>
        <v>00852568</v>
      </c>
    </row>
    <row r="19638" spans="1:2" x14ac:dyDescent="0.25">
      <c r="A19638" s="2">
        <v>19633</v>
      </c>
      <c r="B19638" s="11" t="str">
        <f>"00852580"</f>
        <v>00852580</v>
      </c>
    </row>
    <row r="19639" spans="1:2" x14ac:dyDescent="0.25">
      <c r="A19639" s="2">
        <v>19634</v>
      </c>
      <c r="B19639" s="11" t="str">
        <f>"00852618"</f>
        <v>00852618</v>
      </c>
    </row>
    <row r="19640" spans="1:2" x14ac:dyDescent="0.25">
      <c r="A19640" s="2">
        <v>19635</v>
      </c>
      <c r="B19640" s="11" t="str">
        <f>"00852628"</f>
        <v>00852628</v>
      </c>
    </row>
    <row r="19641" spans="1:2" x14ac:dyDescent="0.25">
      <c r="A19641" s="2">
        <v>19636</v>
      </c>
      <c r="B19641" s="11" t="str">
        <f>"00852637"</f>
        <v>00852637</v>
      </c>
    </row>
    <row r="19642" spans="1:2" x14ac:dyDescent="0.25">
      <c r="A19642" s="2">
        <v>19637</v>
      </c>
      <c r="B19642" s="11" t="str">
        <f>"00852638"</f>
        <v>00852638</v>
      </c>
    </row>
    <row r="19643" spans="1:2" x14ac:dyDescent="0.25">
      <c r="A19643" s="2">
        <v>19638</v>
      </c>
      <c r="B19643" s="11" t="str">
        <f>"00852640"</f>
        <v>00852640</v>
      </c>
    </row>
    <row r="19644" spans="1:2" x14ac:dyDescent="0.25">
      <c r="A19644" s="2">
        <v>19639</v>
      </c>
      <c r="B19644" s="11" t="str">
        <f>"00852651"</f>
        <v>00852651</v>
      </c>
    </row>
    <row r="19645" spans="1:2" x14ac:dyDescent="0.25">
      <c r="A19645" s="2">
        <v>19640</v>
      </c>
      <c r="B19645" s="11" t="str">
        <f>"00852653"</f>
        <v>00852653</v>
      </c>
    </row>
    <row r="19646" spans="1:2" x14ac:dyDescent="0.25">
      <c r="A19646" s="2">
        <v>19641</v>
      </c>
      <c r="B19646" s="11" t="str">
        <f>"00852755"</f>
        <v>00852755</v>
      </c>
    </row>
    <row r="19647" spans="1:2" x14ac:dyDescent="0.25">
      <c r="A19647" s="2">
        <v>19642</v>
      </c>
      <c r="B19647" s="11" t="str">
        <f>"00852756"</f>
        <v>00852756</v>
      </c>
    </row>
    <row r="19648" spans="1:2" x14ac:dyDescent="0.25">
      <c r="A19648" s="2">
        <v>19643</v>
      </c>
      <c r="B19648" s="11" t="str">
        <f>"00852758"</f>
        <v>00852758</v>
      </c>
    </row>
    <row r="19649" spans="1:2" x14ac:dyDescent="0.25">
      <c r="A19649" s="2">
        <v>19644</v>
      </c>
      <c r="B19649" s="11" t="str">
        <f>"00852776"</f>
        <v>00852776</v>
      </c>
    </row>
    <row r="19650" spans="1:2" x14ac:dyDescent="0.25">
      <c r="A19650" s="2">
        <v>19645</v>
      </c>
      <c r="B19650" s="11" t="str">
        <f>"00852793"</f>
        <v>00852793</v>
      </c>
    </row>
    <row r="19651" spans="1:2" x14ac:dyDescent="0.25">
      <c r="A19651" s="2">
        <v>19646</v>
      </c>
      <c r="B19651" s="11" t="str">
        <f>"00852815"</f>
        <v>00852815</v>
      </c>
    </row>
    <row r="19652" spans="1:2" x14ac:dyDescent="0.25">
      <c r="A19652" s="2">
        <v>19647</v>
      </c>
      <c r="B19652" s="11" t="str">
        <f>"00852821"</f>
        <v>00852821</v>
      </c>
    </row>
    <row r="19653" spans="1:2" x14ac:dyDescent="0.25">
      <c r="A19653" s="2">
        <v>19648</v>
      </c>
      <c r="B19653" s="11" t="str">
        <f>"00852835"</f>
        <v>00852835</v>
      </c>
    </row>
    <row r="19654" spans="1:2" x14ac:dyDescent="0.25">
      <c r="A19654" s="2">
        <v>19649</v>
      </c>
      <c r="B19654" s="11" t="str">
        <f>"00852847"</f>
        <v>00852847</v>
      </c>
    </row>
    <row r="19655" spans="1:2" x14ac:dyDescent="0.25">
      <c r="A19655" s="2">
        <v>19650</v>
      </c>
      <c r="B19655" s="11" t="str">
        <f>"00852869"</f>
        <v>00852869</v>
      </c>
    </row>
    <row r="19656" spans="1:2" x14ac:dyDescent="0.25">
      <c r="A19656" s="2">
        <v>19651</v>
      </c>
      <c r="B19656" s="11" t="str">
        <f>"00852930"</f>
        <v>00852930</v>
      </c>
    </row>
    <row r="19657" spans="1:2" x14ac:dyDescent="0.25">
      <c r="A19657" s="2">
        <v>19652</v>
      </c>
      <c r="B19657" s="11" t="str">
        <f>"00852977"</f>
        <v>00852977</v>
      </c>
    </row>
    <row r="19658" spans="1:2" x14ac:dyDescent="0.25">
      <c r="A19658" s="2">
        <v>19653</v>
      </c>
      <c r="B19658" s="11" t="str">
        <f>"00853020"</f>
        <v>00853020</v>
      </c>
    </row>
    <row r="19659" spans="1:2" x14ac:dyDescent="0.25">
      <c r="A19659" s="2">
        <v>19654</v>
      </c>
      <c r="B19659" s="11" t="str">
        <f>"00853050"</f>
        <v>00853050</v>
      </c>
    </row>
    <row r="19660" spans="1:2" x14ac:dyDescent="0.25">
      <c r="A19660" s="2">
        <v>19655</v>
      </c>
      <c r="B19660" s="11" t="str">
        <f>"00853055"</f>
        <v>00853055</v>
      </c>
    </row>
    <row r="19661" spans="1:2" x14ac:dyDescent="0.25">
      <c r="A19661" s="2">
        <v>19656</v>
      </c>
      <c r="B19661" s="11" t="str">
        <f>"00853070"</f>
        <v>00853070</v>
      </c>
    </row>
    <row r="19662" spans="1:2" x14ac:dyDescent="0.25">
      <c r="A19662" s="2">
        <v>19657</v>
      </c>
      <c r="B19662" s="11" t="str">
        <f>"00853077"</f>
        <v>00853077</v>
      </c>
    </row>
    <row r="19663" spans="1:2" x14ac:dyDescent="0.25">
      <c r="A19663" s="2">
        <v>19658</v>
      </c>
      <c r="B19663" s="11" t="str">
        <f>"00853083"</f>
        <v>00853083</v>
      </c>
    </row>
    <row r="19664" spans="1:2" x14ac:dyDescent="0.25">
      <c r="A19664" s="2">
        <v>19659</v>
      </c>
      <c r="B19664" s="11" t="str">
        <f>"00853114"</f>
        <v>00853114</v>
      </c>
    </row>
    <row r="19665" spans="1:2" x14ac:dyDescent="0.25">
      <c r="A19665" s="2">
        <v>19660</v>
      </c>
      <c r="B19665" s="11" t="str">
        <f>"00853161"</f>
        <v>00853161</v>
      </c>
    </row>
    <row r="19666" spans="1:2" x14ac:dyDescent="0.25">
      <c r="A19666" s="2">
        <v>19661</v>
      </c>
      <c r="B19666" s="11" t="str">
        <f>"00853202"</f>
        <v>00853202</v>
      </c>
    </row>
    <row r="19667" spans="1:2" x14ac:dyDescent="0.25">
      <c r="A19667" s="2">
        <v>19662</v>
      </c>
      <c r="B19667" s="11" t="str">
        <f>"00853208"</f>
        <v>00853208</v>
      </c>
    </row>
    <row r="19668" spans="1:2" x14ac:dyDescent="0.25">
      <c r="A19668" s="2">
        <v>19663</v>
      </c>
      <c r="B19668" s="11" t="str">
        <f>"00853210"</f>
        <v>00853210</v>
      </c>
    </row>
    <row r="19669" spans="1:2" x14ac:dyDescent="0.25">
      <c r="A19669" s="2">
        <v>19664</v>
      </c>
      <c r="B19669" s="11" t="str">
        <f>"00853229"</f>
        <v>00853229</v>
      </c>
    </row>
    <row r="19670" spans="1:2" x14ac:dyDescent="0.25">
      <c r="A19670" s="2">
        <v>19665</v>
      </c>
      <c r="B19670" s="11" t="str">
        <f>"00853279"</f>
        <v>00853279</v>
      </c>
    </row>
    <row r="19671" spans="1:2" x14ac:dyDescent="0.25">
      <c r="A19671" s="2">
        <v>19666</v>
      </c>
      <c r="B19671" s="11" t="str">
        <f>"00853285"</f>
        <v>00853285</v>
      </c>
    </row>
    <row r="19672" spans="1:2" x14ac:dyDescent="0.25">
      <c r="A19672" s="2">
        <v>19667</v>
      </c>
      <c r="B19672" s="11" t="str">
        <f>"00853315"</f>
        <v>00853315</v>
      </c>
    </row>
    <row r="19673" spans="1:2" x14ac:dyDescent="0.25">
      <c r="A19673" s="2">
        <v>19668</v>
      </c>
      <c r="B19673" s="11" t="str">
        <f>"00853320"</f>
        <v>00853320</v>
      </c>
    </row>
    <row r="19674" spans="1:2" x14ac:dyDescent="0.25">
      <c r="A19674" s="2">
        <v>19669</v>
      </c>
      <c r="B19674" s="11" t="str">
        <f>"00853329"</f>
        <v>00853329</v>
      </c>
    </row>
    <row r="19675" spans="1:2" x14ac:dyDescent="0.25">
      <c r="A19675" s="2">
        <v>19670</v>
      </c>
      <c r="B19675" s="11" t="str">
        <f>"00853377"</f>
        <v>00853377</v>
      </c>
    </row>
    <row r="19676" spans="1:2" x14ac:dyDescent="0.25">
      <c r="A19676" s="2">
        <v>19671</v>
      </c>
      <c r="B19676" s="11" t="str">
        <f>"00853454"</f>
        <v>00853454</v>
      </c>
    </row>
    <row r="19677" spans="1:2" x14ac:dyDescent="0.25">
      <c r="A19677" s="2">
        <v>19672</v>
      </c>
      <c r="B19677" s="11" t="str">
        <f>"00853540"</f>
        <v>00853540</v>
      </c>
    </row>
    <row r="19678" spans="1:2" x14ac:dyDescent="0.25">
      <c r="A19678" s="2">
        <v>19673</v>
      </c>
      <c r="B19678" s="11" t="str">
        <f>"00853645"</f>
        <v>00853645</v>
      </c>
    </row>
    <row r="19679" spans="1:2" x14ac:dyDescent="0.25">
      <c r="A19679" s="2">
        <v>19674</v>
      </c>
      <c r="B19679" s="11" t="str">
        <f>"00853770"</f>
        <v>00853770</v>
      </c>
    </row>
    <row r="19680" spans="1:2" x14ac:dyDescent="0.25">
      <c r="A19680" s="2">
        <v>19675</v>
      </c>
      <c r="B19680" s="11" t="str">
        <f>"00853928"</f>
        <v>00853928</v>
      </c>
    </row>
    <row r="19681" spans="1:2" x14ac:dyDescent="0.25">
      <c r="A19681" s="2">
        <v>19676</v>
      </c>
      <c r="B19681" s="11" t="str">
        <f>"00854023"</f>
        <v>00854023</v>
      </c>
    </row>
    <row r="19682" spans="1:2" x14ac:dyDescent="0.25">
      <c r="A19682" s="2">
        <v>19677</v>
      </c>
      <c r="B19682" s="11" t="str">
        <f>"00854057"</f>
        <v>00854057</v>
      </c>
    </row>
    <row r="19683" spans="1:2" x14ac:dyDescent="0.25">
      <c r="A19683" s="2">
        <v>19678</v>
      </c>
      <c r="B19683" s="11" t="str">
        <f>"00854061"</f>
        <v>00854061</v>
      </c>
    </row>
    <row r="19684" spans="1:2" x14ac:dyDescent="0.25">
      <c r="A19684" s="2">
        <v>19679</v>
      </c>
      <c r="B19684" s="11" t="str">
        <f>"00854082"</f>
        <v>00854082</v>
      </c>
    </row>
    <row r="19685" spans="1:2" x14ac:dyDescent="0.25">
      <c r="A19685" s="2">
        <v>19680</v>
      </c>
      <c r="B19685" s="11" t="str">
        <f>"00854100"</f>
        <v>00854100</v>
      </c>
    </row>
    <row r="19686" spans="1:2" x14ac:dyDescent="0.25">
      <c r="A19686" s="2">
        <v>19681</v>
      </c>
      <c r="B19686" s="11" t="str">
        <f>"00854272"</f>
        <v>00854272</v>
      </c>
    </row>
    <row r="19687" spans="1:2" x14ac:dyDescent="0.25">
      <c r="A19687" s="2">
        <v>19682</v>
      </c>
      <c r="B19687" s="11" t="str">
        <f>"00854287"</f>
        <v>00854287</v>
      </c>
    </row>
    <row r="19688" spans="1:2" x14ac:dyDescent="0.25">
      <c r="A19688" s="2">
        <v>19683</v>
      </c>
      <c r="B19688" s="11" t="str">
        <f>"00854390"</f>
        <v>00854390</v>
      </c>
    </row>
    <row r="19689" spans="1:2" x14ac:dyDescent="0.25">
      <c r="A19689" s="2">
        <v>19684</v>
      </c>
      <c r="B19689" s="11" t="str">
        <f>"00854419"</f>
        <v>00854419</v>
      </c>
    </row>
    <row r="19690" spans="1:2" x14ac:dyDescent="0.25">
      <c r="A19690" s="2">
        <v>19685</v>
      </c>
      <c r="B19690" s="11" t="str">
        <f>"00854566"</f>
        <v>00854566</v>
      </c>
    </row>
    <row r="19691" spans="1:2" x14ac:dyDescent="0.25">
      <c r="A19691" s="2">
        <v>19686</v>
      </c>
      <c r="B19691" s="11" t="str">
        <f>"00854659"</f>
        <v>00854659</v>
      </c>
    </row>
    <row r="19692" spans="1:2" x14ac:dyDescent="0.25">
      <c r="A19692" s="2">
        <v>19687</v>
      </c>
      <c r="B19692" s="11" t="str">
        <f>"00854668"</f>
        <v>00854668</v>
      </c>
    </row>
    <row r="19693" spans="1:2" x14ac:dyDescent="0.25">
      <c r="A19693" s="2">
        <v>19688</v>
      </c>
      <c r="B19693" s="11" t="str">
        <f>"00854706"</f>
        <v>00854706</v>
      </c>
    </row>
    <row r="19694" spans="1:2" x14ac:dyDescent="0.25">
      <c r="A19694" s="2">
        <v>19689</v>
      </c>
      <c r="B19694" s="11" t="str">
        <f>"00854778"</f>
        <v>00854778</v>
      </c>
    </row>
    <row r="19695" spans="1:2" x14ac:dyDescent="0.25">
      <c r="A19695" s="2">
        <v>19690</v>
      </c>
      <c r="B19695" s="11" t="str">
        <f>"00854840"</f>
        <v>00854840</v>
      </c>
    </row>
    <row r="19696" spans="1:2" x14ac:dyDescent="0.25">
      <c r="A19696" s="2">
        <v>19691</v>
      </c>
      <c r="B19696" s="11" t="str">
        <f>"00854874"</f>
        <v>00854874</v>
      </c>
    </row>
    <row r="19697" spans="1:2" x14ac:dyDescent="0.25">
      <c r="A19697" s="2">
        <v>19692</v>
      </c>
      <c r="B19697" s="11" t="str">
        <f>"00854954"</f>
        <v>00854954</v>
      </c>
    </row>
    <row r="19698" spans="1:2" x14ac:dyDescent="0.25">
      <c r="A19698" s="2">
        <v>19693</v>
      </c>
      <c r="B19698" s="11" t="str">
        <f>"00854963"</f>
        <v>00854963</v>
      </c>
    </row>
    <row r="19699" spans="1:2" x14ac:dyDescent="0.25">
      <c r="A19699" s="2">
        <v>19694</v>
      </c>
      <c r="B19699" s="11" t="str">
        <f>"00854985"</f>
        <v>00854985</v>
      </c>
    </row>
    <row r="19700" spans="1:2" x14ac:dyDescent="0.25">
      <c r="A19700" s="2">
        <v>19695</v>
      </c>
      <c r="B19700" s="11" t="str">
        <f>"00855005"</f>
        <v>00855005</v>
      </c>
    </row>
    <row r="19701" spans="1:2" x14ac:dyDescent="0.25">
      <c r="A19701" s="2">
        <v>19696</v>
      </c>
      <c r="B19701" s="11" t="str">
        <f>"00855035"</f>
        <v>00855035</v>
      </c>
    </row>
    <row r="19702" spans="1:2" x14ac:dyDescent="0.25">
      <c r="A19702" s="2">
        <v>19697</v>
      </c>
      <c r="B19702" s="11" t="str">
        <f>"00855055"</f>
        <v>00855055</v>
      </c>
    </row>
    <row r="19703" spans="1:2" x14ac:dyDescent="0.25">
      <c r="A19703" s="2">
        <v>19698</v>
      </c>
      <c r="B19703" s="11" t="str">
        <f>"00855205"</f>
        <v>00855205</v>
      </c>
    </row>
    <row r="19704" spans="1:2" x14ac:dyDescent="0.25">
      <c r="A19704" s="2">
        <v>19699</v>
      </c>
      <c r="B19704" s="11" t="str">
        <f>"00855421"</f>
        <v>00855421</v>
      </c>
    </row>
    <row r="19705" spans="1:2" x14ac:dyDescent="0.25">
      <c r="A19705" s="2">
        <v>19700</v>
      </c>
      <c r="B19705" s="11" t="str">
        <f>"00855437"</f>
        <v>00855437</v>
      </c>
    </row>
    <row r="19706" spans="1:2" x14ac:dyDescent="0.25">
      <c r="A19706" s="2">
        <v>19701</v>
      </c>
      <c r="B19706" s="11" t="str">
        <f>"00855653"</f>
        <v>00855653</v>
      </c>
    </row>
    <row r="19707" spans="1:2" x14ac:dyDescent="0.25">
      <c r="A19707" s="2">
        <v>19702</v>
      </c>
      <c r="B19707" s="11" t="str">
        <f>"00855664"</f>
        <v>00855664</v>
      </c>
    </row>
    <row r="19708" spans="1:2" x14ac:dyDescent="0.25">
      <c r="A19708" s="2">
        <v>19703</v>
      </c>
      <c r="B19708" s="11" t="str">
        <f>"00855718"</f>
        <v>00855718</v>
      </c>
    </row>
    <row r="19709" spans="1:2" x14ac:dyDescent="0.25">
      <c r="A19709" s="2">
        <v>19704</v>
      </c>
      <c r="B19709" s="11" t="str">
        <f>"00855923"</f>
        <v>00855923</v>
      </c>
    </row>
    <row r="19710" spans="1:2" x14ac:dyDescent="0.25">
      <c r="A19710" s="2">
        <v>19705</v>
      </c>
      <c r="B19710" s="11" t="str">
        <f>"00856054"</f>
        <v>00856054</v>
      </c>
    </row>
    <row r="19711" spans="1:2" x14ac:dyDescent="0.25">
      <c r="A19711" s="2">
        <v>19706</v>
      </c>
      <c r="B19711" s="11" t="str">
        <f>"00856063"</f>
        <v>00856063</v>
      </c>
    </row>
    <row r="19712" spans="1:2" x14ac:dyDescent="0.25">
      <c r="A19712" s="2">
        <v>19707</v>
      </c>
      <c r="B19712" s="11" t="str">
        <f>"00856161"</f>
        <v>00856161</v>
      </c>
    </row>
    <row r="19713" spans="1:2" x14ac:dyDescent="0.25">
      <c r="A19713" s="2">
        <v>19708</v>
      </c>
      <c r="B19713" s="11" t="str">
        <f>"00856366"</f>
        <v>00856366</v>
      </c>
    </row>
    <row r="19714" spans="1:2" x14ac:dyDescent="0.25">
      <c r="A19714" s="2">
        <v>19709</v>
      </c>
      <c r="B19714" s="11" t="str">
        <f>"00856420"</f>
        <v>00856420</v>
      </c>
    </row>
    <row r="19715" spans="1:2" x14ac:dyDescent="0.25">
      <c r="A19715" s="2">
        <v>19710</v>
      </c>
      <c r="B19715" s="11" t="str">
        <f>"00856432"</f>
        <v>00856432</v>
      </c>
    </row>
    <row r="19716" spans="1:2" x14ac:dyDescent="0.25">
      <c r="A19716" s="2">
        <v>19711</v>
      </c>
      <c r="B19716" s="11" t="str">
        <f>"00856454"</f>
        <v>00856454</v>
      </c>
    </row>
    <row r="19717" spans="1:2" x14ac:dyDescent="0.25">
      <c r="A19717" s="2">
        <v>19712</v>
      </c>
      <c r="B19717" s="11" t="str">
        <f>"00856458"</f>
        <v>00856458</v>
      </c>
    </row>
    <row r="19718" spans="1:2" x14ac:dyDescent="0.25">
      <c r="A19718" s="2">
        <v>19713</v>
      </c>
      <c r="B19718" s="11" t="str">
        <f>"00856674"</f>
        <v>00856674</v>
      </c>
    </row>
    <row r="19719" spans="1:2" x14ac:dyDescent="0.25">
      <c r="A19719" s="2">
        <v>19714</v>
      </c>
      <c r="B19719" s="11" t="str">
        <f>"00856753"</f>
        <v>00856753</v>
      </c>
    </row>
    <row r="19720" spans="1:2" x14ac:dyDescent="0.25">
      <c r="A19720" s="2">
        <v>19715</v>
      </c>
      <c r="B19720" s="11" t="str">
        <f>"00856778"</f>
        <v>00856778</v>
      </c>
    </row>
    <row r="19721" spans="1:2" x14ac:dyDescent="0.25">
      <c r="A19721" s="2">
        <v>19716</v>
      </c>
      <c r="B19721" s="11" t="str">
        <f>"00856974"</f>
        <v>00856974</v>
      </c>
    </row>
    <row r="19722" spans="1:2" x14ac:dyDescent="0.25">
      <c r="A19722" s="2">
        <v>19717</v>
      </c>
      <c r="B19722" s="11" t="str">
        <f>"00856988"</f>
        <v>00856988</v>
      </c>
    </row>
    <row r="19723" spans="1:2" x14ac:dyDescent="0.25">
      <c r="A19723" s="2">
        <v>19718</v>
      </c>
      <c r="B19723" s="11" t="str">
        <f>"00857011"</f>
        <v>00857011</v>
      </c>
    </row>
    <row r="19724" spans="1:2" x14ac:dyDescent="0.25">
      <c r="A19724" s="2">
        <v>19719</v>
      </c>
      <c r="B19724" s="11" t="str">
        <f>"00857041"</f>
        <v>00857041</v>
      </c>
    </row>
    <row r="19725" spans="1:2" x14ac:dyDescent="0.25">
      <c r="A19725" s="2">
        <v>19720</v>
      </c>
      <c r="B19725" s="11" t="str">
        <f>"00857050"</f>
        <v>00857050</v>
      </c>
    </row>
    <row r="19726" spans="1:2" x14ac:dyDescent="0.25">
      <c r="A19726" s="2">
        <v>19721</v>
      </c>
      <c r="B19726" s="11" t="str">
        <f>"00857104"</f>
        <v>00857104</v>
      </c>
    </row>
    <row r="19727" spans="1:2" x14ac:dyDescent="0.25">
      <c r="A19727" s="2">
        <v>19722</v>
      </c>
      <c r="B19727" s="11" t="str">
        <f>"00857113"</f>
        <v>00857113</v>
      </c>
    </row>
    <row r="19728" spans="1:2" x14ac:dyDescent="0.25">
      <c r="A19728" s="2">
        <v>19723</v>
      </c>
      <c r="B19728" s="11" t="str">
        <f>"00857121"</f>
        <v>00857121</v>
      </c>
    </row>
    <row r="19729" spans="1:2" x14ac:dyDescent="0.25">
      <c r="A19729" s="2">
        <v>19724</v>
      </c>
      <c r="B19729" s="11" t="str">
        <f>"00857346"</f>
        <v>00857346</v>
      </c>
    </row>
    <row r="19730" spans="1:2" x14ac:dyDescent="0.25">
      <c r="A19730" s="2">
        <v>19725</v>
      </c>
      <c r="B19730" s="11" t="str">
        <f>"00857530"</f>
        <v>00857530</v>
      </c>
    </row>
    <row r="19731" spans="1:2" x14ac:dyDescent="0.25">
      <c r="A19731" s="2">
        <v>19726</v>
      </c>
      <c r="B19731" s="11" t="str">
        <f>"00857611"</f>
        <v>00857611</v>
      </c>
    </row>
    <row r="19732" spans="1:2" x14ac:dyDescent="0.25">
      <c r="A19732" s="2">
        <v>19727</v>
      </c>
      <c r="B19732" s="11" t="str">
        <f>"00857636"</f>
        <v>00857636</v>
      </c>
    </row>
    <row r="19733" spans="1:2" x14ac:dyDescent="0.25">
      <c r="A19733" s="2">
        <v>19728</v>
      </c>
      <c r="B19733" s="11" t="str">
        <f>"00857655"</f>
        <v>00857655</v>
      </c>
    </row>
    <row r="19734" spans="1:2" x14ac:dyDescent="0.25">
      <c r="A19734" s="2">
        <v>19729</v>
      </c>
      <c r="B19734" s="11" t="str">
        <f>"00857669"</f>
        <v>00857669</v>
      </c>
    </row>
    <row r="19735" spans="1:2" x14ac:dyDescent="0.25">
      <c r="A19735" s="2">
        <v>19730</v>
      </c>
      <c r="B19735" s="11" t="str">
        <f>"00857746"</f>
        <v>00857746</v>
      </c>
    </row>
    <row r="19736" spans="1:2" x14ac:dyDescent="0.25">
      <c r="A19736" s="2">
        <v>19731</v>
      </c>
      <c r="B19736" s="11" t="str">
        <f>"00857804"</f>
        <v>00857804</v>
      </c>
    </row>
    <row r="19737" spans="1:2" x14ac:dyDescent="0.25">
      <c r="A19737" s="2">
        <v>19732</v>
      </c>
      <c r="B19737" s="11" t="str">
        <f>"00857805"</f>
        <v>00857805</v>
      </c>
    </row>
    <row r="19738" spans="1:2" x14ac:dyDescent="0.25">
      <c r="A19738" s="2">
        <v>19733</v>
      </c>
      <c r="B19738" s="11" t="str">
        <f>"00857841"</f>
        <v>00857841</v>
      </c>
    </row>
    <row r="19739" spans="1:2" x14ac:dyDescent="0.25">
      <c r="A19739" s="2">
        <v>19734</v>
      </c>
      <c r="B19739" s="11" t="str">
        <f>"00857860"</f>
        <v>00857860</v>
      </c>
    </row>
    <row r="19740" spans="1:2" x14ac:dyDescent="0.25">
      <c r="A19740" s="2">
        <v>19735</v>
      </c>
      <c r="B19740" s="11" t="str">
        <f>"00858096"</f>
        <v>00858096</v>
      </c>
    </row>
    <row r="19741" spans="1:2" x14ac:dyDescent="0.25">
      <c r="A19741" s="2">
        <v>19736</v>
      </c>
      <c r="B19741" s="11" t="str">
        <f>"00858113"</f>
        <v>00858113</v>
      </c>
    </row>
    <row r="19742" spans="1:2" x14ac:dyDescent="0.25">
      <c r="A19742" s="2">
        <v>19737</v>
      </c>
      <c r="B19742" s="11" t="str">
        <f>"00858137"</f>
        <v>00858137</v>
      </c>
    </row>
    <row r="19743" spans="1:2" x14ac:dyDescent="0.25">
      <c r="A19743" s="2">
        <v>19738</v>
      </c>
      <c r="B19743" s="11" t="str">
        <f>"00858153"</f>
        <v>00858153</v>
      </c>
    </row>
    <row r="19744" spans="1:2" x14ac:dyDescent="0.25">
      <c r="A19744" s="2">
        <v>19739</v>
      </c>
      <c r="B19744" s="11" t="str">
        <f>"00858599"</f>
        <v>00858599</v>
      </c>
    </row>
    <row r="19745" spans="1:2" x14ac:dyDescent="0.25">
      <c r="A19745" s="2">
        <v>19740</v>
      </c>
      <c r="B19745" s="11" t="str">
        <f>"00858756"</f>
        <v>00858756</v>
      </c>
    </row>
    <row r="19746" spans="1:2" x14ac:dyDescent="0.25">
      <c r="A19746" s="2">
        <v>19741</v>
      </c>
      <c r="B19746" s="11" t="str">
        <f>"00858824"</f>
        <v>00858824</v>
      </c>
    </row>
    <row r="19747" spans="1:2" x14ac:dyDescent="0.25">
      <c r="A19747" s="2">
        <v>19742</v>
      </c>
      <c r="B19747" s="11" t="str">
        <f>"00858911"</f>
        <v>00858911</v>
      </c>
    </row>
    <row r="19748" spans="1:2" x14ac:dyDescent="0.25">
      <c r="A19748" s="2">
        <v>19743</v>
      </c>
      <c r="B19748" s="11" t="str">
        <f>"00858919"</f>
        <v>00858919</v>
      </c>
    </row>
    <row r="19749" spans="1:2" x14ac:dyDescent="0.25">
      <c r="A19749" s="2">
        <v>19744</v>
      </c>
      <c r="B19749" s="11" t="str">
        <f>"00858925"</f>
        <v>00858925</v>
      </c>
    </row>
    <row r="19750" spans="1:2" x14ac:dyDescent="0.25">
      <c r="A19750" s="2">
        <v>19745</v>
      </c>
      <c r="B19750" s="11" t="str">
        <f>"00858987"</f>
        <v>00858987</v>
      </c>
    </row>
    <row r="19751" spans="1:2" x14ac:dyDescent="0.25">
      <c r="A19751" s="2">
        <v>19746</v>
      </c>
      <c r="B19751" s="11" t="str">
        <f>"00859032"</f>
        <v>00859032</v>
      </c>
    </row>
    <row r="19752" spans="1:2" x14ac:dyDescent="0.25">
      <c r="A19752" s="2">
        <v>19747</v>
      </c>
      <c r="B19752" s="11" t="str">
        <f>"00859157"</f>
        <v>00859157</v>
      </c>
    </row>
    <row r="19753" spans="1:2" x14ac:dyDescent="0.25">
      <c r="A19753" s="2">
        <v>19748</v>
      </c>
      <c r="B19753" s="11" t="str">
        <f>"00859298"</f>
        <v>00859298</v>
      </c>
    </row>
    <row r="19754" spans="1:2" x14ac:dyDescent="0.25">
      <c r="A19754" s="2">
        <v>19749</v>
      </c>
      <c r="B19754" s="11" t="str">
        <f>"00859350"</f>
        <v>00859350</v>
      </c>
    </row>
    <row r="19755" spans="1:2" x14ac:dyDescent="0.25">
      <c r="A19755" s="2">
        <v>19750</v>
      </c>
      <c r="B19755" s="11" t="str">
        <f>"00859363"</f>
        <v>00859363</v>
      </c>
    </row>
    <row r="19756" spans="1:2" x14ac:dyDescent="0.25">
      <c r="A19756" s="2">
        <v>19751</v>
      </c>
      <c r="B19756" s="11" t="str">
        <f>"00859383"</f>
        <v>00859383</v>
      </c>
    </row>
    <row r="19757" spans="1:2" x14ac:dyDescent="0.25">
      <c r="A19757" s="2">
        <v>19752</v>
      </c>
      <c r="B19757" s="11" t="str">
        <f>"00859396"</f>
        <v>00859396</v>
      </c>
    </row>
    <row r="19758" spans="1:2" x14ac:dyDescent="0.25">
      <c r="A19758" s="2">
        <v>19753</v>
      </c>
      <c r="B19758" s="11" t="str">
        <f>"00859410"</f>
        <v>00859410</v>
      </c>
    </row>
    <row r="19759" spans="1:2" x14ac:dyDescent="0.25">
      <c r="A19759" s="2">
        <v>19754</v>
      </c>
      <c r="B19759" s="11" t="str">
        <f>"00859528"</f>
        <v>00859528</v>
      </c>
    </row>
    <row r="19760" spans="1:2" x14ac:dyDescent="0.25">
      <c r="A19760" s="2">
        <v>19755</v>
      </c>
      <c r="B19760" s="11" t="str">
        <f>"00859557"</f>
        <v>00859557</v>
      </c>
    </row>
    <row r="19761" spans="1:2" x14ac:dyDescent="0.25">
      <c r="A19761" s="2">
        <v>19756</v>
      </c>
      <c r="B19761" s="11" t="str">
        <f>"00859570"</f>
        <v>00859570</v>
      </c>
    </row>
    <row r="19762" spans="1:2" x14ac:dyDescent="0.25">
      <c r="A19762" s="2">
        <v>19757</v>
      </c>
      <c r="B19762" s="11" t="str">
        <f>"00859693"</f>
        <v>00859693</v>
      </c>
    </row>
    <row r="19763" spans="1:2" x14ac:dyDescent="0.25">
      <c r="A19763" s="2">
        <v>19758</v>
      </c>
      <c r="B19763" s="11" t="str">
        <f>"00859745"</f>
        <v>00859745</v>
      </c>
    </row>
    <row r="19764" spans="1:2" x14ac:dyDescent="0.25">
      <c r="A19764" s="2">
        <v>19759</v>
      </c>
      <c r="B19764" s="11" t="str">
        <f>"00859769"</f>
        <v>00859769</v>
      </c>
    </row>
    <row r="19765" spans="1:2" x14ac:dyDescent="0.25">
      <c r="A19765" s="2">
        <v>19760</v>
      </c>
      <c r="B19765" s="11" t="str">
        <f>"00859776"</f>
        <v>00859776</v>
      </c>
    </row>
    <row r="19766" spans="1:2" x14ac:dyDescent="0.25">
      <c r="A19766" s="2">
        <v>19761</v>
      </c>
      <c r="B19766" s="11" t="str">
        <f>"00859796"</f>
        <v>00859796</v>
      </c>
    </row>
    <row r="19767" spans="1:2" x14ac:dyDescent="0.25">
      <c r="A19767" s="2">
        <v>19762</v>
      </c>
      <c r="B19767" s="11" t="str">
        <f>"00859836"</f>
        <v>00859836</v>
      </c>
    </row>
    <row r="19768" spans="1:2" x14ac:dyDescent="0.25">
      <c r="A19768" s="2">
        <v>19763</v>
      </c>
      <c r="B19768" s="11" t="str">
        <f>"00859856"</f>
        <v>00859856</v>
      </c>
    </row>
    <row r="19769" spans="1:2" x14ac:dyDescent="0.25">
      <c r="A19769" s="2">
        <v>19764</v>
      </c>
      <c r="B19769" s="11" t="str">
        <f>"00859884"</f>
        <v>00859884</v>
      </c>
    </row>
    <row r="19770" spans="1:2" x14ac:dyDescent="0.25">
      <c r="A19770" s="2">
        <v>19765</v>
      </c>
      <c r="B19770" s="11" t="str">
        <f>"00860046"</f>
        <v>00860046</v>
      </c>
    </row>
    <row r="19771" spans="1:2" x14ac:dyDescent="0.25">
      <c r="A19771" s="2">
        <v>19766</v>
      </c>
      <c r="B19771" s="11" t="str">
        <f>"00860078"</f>
        <v>00860078</v>
      </c>
    </row>
    <row r="19772" spans="1:2" x14ac:dyDescent="0.25">
      <c r="A19772" s="2">
        <v>19767</v>
      </c>
      <c r="B19772" s="11" t="str">
        <f>"00860091"</f>
        <v>00860091</v>
      </c>
    </row>
    <row r="19773" spans="1:2" x14ac:dyDescent="0.25">
      <c r="A19773" s="2">
        <v>19768</v>
      </c>
      <c r="B19773" s="11" t="str">
        <f>"00860154"</f>
        <v>00860154</v>
      </c>
    </row>
    <row r="19774" spans="1:2" x14ac:dyDescent="0.25">
      <c r="A19774" s="2">
        <v>19769</v>
      </c>
      <c r="B19774" s="11" t="str">
        <f>"00860330"</f>
        <v>00860330</v>
      </c>
    </row>
    <row r="19775" spans="1:2" x14ac:dyDescent="0.25">
      <c r="A19775" s="2">
        <v>19770</v>
      </c>
      <c r="B19775" s="11" t="str">
        <f>"00860337"</f>
        <v>00860337</v>
      </c>
    </row>
    <row r="19776" spans="1:2" x14ac:dyDescent="0.25">
      <c r="A19776" s="2">
        <v>19771</v>
      </c>
      <c r="B19776" s="11" t="str">
        <f>"00860349"</f>
        <v>00860349</v>
      </c>
    </row>
    <row r="19777" spans="1:2" x14ac:dyDescent="0.25">
      <c r="A19777" s="2">
        <v>19772</v>
      </c>
      <c r="B19777" s="11" t="str">
        <f>"00860369"</f>
        <v>00860369</v>
      </c>
    </row>
    <row r="19778" spans="1:2" x14ac:dyDescent="0.25">
      <c r="A19778" s="2">
        <v>19773</v>
      </c>
      <c r="B19778" s="11" t="str">
        <f>"00860559"</f>
        <v>00860559</v>
      </c>
    </row>
    <row r="19779" spans="1:2" x14ac:dyDescent="0.25">
      <c r="A19779" s="2">
        <v>19774</v>
      </c>
      <c r="B19779" s="11" t="str">
        <f>"00860568"</f>
        <v>00860568</v>
      </c>
    </row>
    <row r="19780" spans="1:2" x14ac:dyDescent="0.25">
      <c r="A19780" s="2">
        <v>19775</v>
      </c>
      <c r="B19780" s="11" t="str">
        <f>"00860604"</f>
        <v>00860604</v>
      </c>
    </row>
    <row r="19781" spans="1:2" x14ac:dyDescent="0.25">
      <c r="A19781" s="2">
        <v>19776</v>
      </c>
      <c r="B19781" s="11" t="str">
        <f>"00860812"</f>
        <v>00860812</v>
      </c>
    </row>
    <row r="19782" spans="1:2" x14ac:dyDescent="0.25">
      <c r="A19782" s="2">
        <v>19777</v>
      </c>
      <c r="B19782" s="11" t="str">
        <f>"00860819"</f>
        <v>00860819</v>
      </c>
    </row>
    <row r="19783" spans="1:2" x14ac:dyDescent="0.25">
      <c r="A19783" s="2">
        <v>19778</v>
      </c>
      <c r="B19783" s="11" t="str">
        <f>"00860913"</f>
        <v>00860913</v>
      </c>
    </row>
    <row r="19784" spans="1:2" x14ac:dyDescent="0.25">
      <c r="A19784" s="2">
        <v>19779</v>
      </c>
      <c r="B19784" s="11" t="str">
        <f>"00860917"</f>
        <v>00860917</v>
      </c>
    </row>
    <row r="19785" spans="1:2" x14ac:dyDescent="0.25">
      <c r="A19785" s="2">
        <v>19780</v>
      </c>
      <c r="B19785" s="11" t="str">
        <f>"00860946"</f>
        <v>00860946</v>
      </c>
    </row>
    <row r="19786" spans="1:2" x14ac:dyDescent="0.25">
      <c r="A19786" s="2">
        <v>19781</v>
      </c>
      <c r="B19786" s="11" t="str">
        <f>"00860973"</f>
        <v>00860973</v>
      </c>
    </row>
    <row r="19787" spans="1:2" x14ac:dyDescent="0.25">
      <c r="A19787" s="2">
        <v>19782</v>
      </c>
      <c r="B19787" s="11" t="str">
        <f>"00861059"</f>
        <v>00861059</v>
      </c>
    </row>
    <row r="19788" spans="1:2" x14ac:dyDescent="0.25">
      <c r="A19788" s="2">
        <v>19783</v>
      </c>
      <c r="B19788" s="11" t="str">
        <f>"00861081"</f>
        <v>00861081</v>
      </c>
    </row>
    <row r="19789" spans="1:2" x14ac:dyDescent="0.25">
      <c r="A19789" s="2">
        <v>19784</v>
      </c>
      <c r="B19789" s="11" t="str">
        <f>"00861104"</f>
        <v>00861104</v>
      </c>
    </row>
    <row r="19790" spans="1:2" x14ac:dyDescent="0.25">
      <c r="A19790" s="2">
        <v>19785</v>
      </c>
      <c r="B19790" s="11" t="str">
        <f>"00861160"</f>
        <v>00861160</v>
      </c>
    </row>
    <row r="19791" spans="1:2" x14ac:dyDescent="0.25">
      <c r="A19791" s="2">
        <v>19786</v>
      </c>
      <c r="B19791" s="11" t="str">
        <f>"00861272"</f>
        <v>00861272</v>
      </c>
    </row>
    <row r="19792" spans="1:2" x14ac:dyDescent="0.25">
      <c r="A19792" s="2">
        <v>19787</v>
      </c>
      <c r="B19792" s="11" t="str">
        <f>"00861298"</f>
        <v>00861298</v>
      </c>
    </row>
    <row r="19793" spans="1:2" x14ac:dyDescent="0.25">
      <c r="A19793" s="2">
        <v>19788</v>
      </c>
      <c r="B19793" s="11" t="str">
        <f>"00861299"</f>
        <v>00861299</v>
      </c>
    </row>
    <row r="19794" spans="1:2" x14ac:dyDescent="0.25">
      <c r="A19794" s="2">
        <v>19789</v>
      </c>
      <c r="B19794" s="11" t="str">
        <f>"00861347"</f>
        <v>00861347</v>
      </c>
    </row>
    <row r="19795" spans="1:2" x14ac:dyDescent="0.25">
      <c r="A19795" s="2">
        <v>19790</v>
      </c>
      <c r="B19795" s="11" t="str">
        <f>"00861388"</f>
        <v>00861388</v>
      </c>
    </row>
    <row r="19796" spans="1:2" x14ac:dyDescent="0.25">
      <c r="A19796" s="2">
        <v>19791</v>
      </c>
      <c r="B19796" s="11" t="str">
        <f>"00861499"</f>
        <v>00861499</v>
      </c>
    </row>
    <row r="19797" spans="1:2" x14ac:dyDescent="0.25">
      <c r="A19797" s="2">
        <v>19792</v>
      </c>
      <c r="B19797" s="11" t="str">
        <f>"00861546"</f>
        <v>00861546</v>
      </c>
    </row>
    <row r="19798" spans="1:2" x14ac:dyDescent="0.25">
      <c r="A19798" s="2">
        <v>19793</v>
      </c>
      <c r="B19798" s="11" t="str">
        <f>"00861597"</f>
        <v>00861597</v>
      </c>
    </row>
    <row r="19799" spans="1:2" x14ac:dyDescent="0.25">
      <c r="A19799" s="2">
        <v>19794</v>
      </c>
      <c r="B19799" s="11" t="str">
        <f>"00861677"</f>
        <v>00861677</v>
      </c>
    </row>
    <row r="19800" spans="1:2" x14ac:dyDescent="0.25">
      <c r="A19800" s="2">
        <v>19795</v>
      </c>
      <c r="B19800" s="11" t="str">
        <f>"00861995"</f>
        <v>00861995</v>
      </c>
    </row>
    <row r="19801" spans="1:2" x14ac:dyDescent="0.25">
      <c r="A19801" s="2">
        <v>19796</v>
      </c>
      <c r="B19801" s="11" t="str">
        <f>"00862047"</f>
        <v>00862047</v>
      </c>
    </row>
    <row r="19802" spans="1:2" x14ac:dyDescent="0.25">
      <c r="A19802" s="2">
        <v>19797</v>
      </c>
      <c r="B19802" s="11" t="str">
        <f>"00862060"</f>
        <v>00862060</v>
      </c>
    </row>
    <row r="19803" spans="1:2" x14ac:dyDescent="0.25">
      <c r="A19803" s="2">
        <v>19798</v>
      </c>
      <c r="B19803" s="11" t="str">
        <f>"00862102"</f>
        <v>00862102</v>
      </c>
    </row>
    <row r="19804" spans="1:2" x14ac:dyDescent="0.25">
      <c r="A19804" s="2">
        <v>19799</v>
      </c>
      <c r="B19804" s="11" t="str">
        <f>"00862118"</f>
        <v>00862118</v>
      </c>
    </row>
    <row r="19805" spans="1:2" x14ac:dyDescent="0.25">
      <c r="A19805" s="2">
        <v>19800</v>
      </c>
      <c r="B19805" s="11" t="str">
        <f>"00862141"</f>
        <v>00862141</v>
      </c>
    </row>
    <row r="19806" spans="1:2" x14ac:dyDescent="0.25">
      <c r="A19806" s="2">
        <v>19801</v>
      </c>
      <c r="B19806" s="11" t="str">
        <f>"00862232"</f>
        <v>00862232</v>
      </c>
    </row>
    <row r="19807" spans="1:2" x14ac:dyDescent="0.25">
      <c r="A19807" s="2">
        <v>19802</v>
      </c>
      <c r="B19807" s="11" t="str">
        <f>"00862247"</f>
        <v>00862247</v>
      </c>
    </row>
    <row r="19808" spans="1:2" x14ac:dyDescent="0.25">
      <c r="A19808" s="2">
        <v>19803</v>
      </c>
      <c r="B19808" s="11" t="str">
        <f>"00862313"</f>
        <v>00862313</v>
      </c>
    </row>
    <row r="19809" spans="1:2" x14ac:dyDescent="0.25">
      <c r="A19809" s="2">
        <v>19804</v>
      </c>
      <c r="B19809" s="11" t="str">
        <f>"00862352"</f>
        <v>00862352</v>
      </c>
    </row>
    <row r="19810" spans="1:2" x14ac:dyDescent="0.25">
      <c r="A19810" s="2">
        <v>19805</v>
      </c>
      <c r="B19810" s="11" t="str">
        <f>"00862423"</f>
        <v>00862423</v>
      </c>
    </row>
    <row r="19811" spans="1:2" x14ac:dyDescent="0.25">
      <c r="A19811" s="2">
        <v>19806</v>
      </c>
      <c r="B19811" s="11" t="str">
        <f>"00862713"</f>
        <v>00862713</v>
      </c>
    </row>
    <row r="19812" spans="1:2" x14ac:dyDescent="0.25">
      <c r="A19812" s="2">
        <v>19807</v>
      </c>
      <c r="B19812" s="11" t="str">
        <f>"00862822"</f>
        <v>00862822</v>
      </c>
    </row>
    <row r="19813" spans="1:2" x14ac:dyDescent="0.25">
      <c r="A19813" s="2">
        <v>19808</v>
      </c>
      <c r="B19813" s="11" t="str">
        <f>"00862838"</f>
        <v>00862838</v>
      </c>
    </row>
    <row r="19814" spans="1:2" x14ac:dyDescent="0.25">
      <c r="A19814" s="2">
        <v>19809</v>
      </c>
      <c r="B19814" s="11" t="str">
        <f>"00862854"</f>
        <v>00862854</v>
      </c>
    </row>
    <row r="19815" spans="1:2" x14ac:dyDescent="0.25">
      <c r="A19815" s="2">
        <v>19810</v>
      </c>
      <c r="B19815" s="11" t="str">
        <f>"00863015"</f>
        <v>00863015</v>
      </c>
    </row>
    <row r="19816" spans="1:2" x14ac:dyDescent="0.25">
      <c r="A19816" s="2">
        <v>19811</v>
      </c>
      <c r="B19816" s="11" t="str">
        <f>"00863059"</f>
        <v>00863059</v>
      </c>
    </row>
    <row r="19817" spans="1:2" x14ac:dyDescent="0.25">
      <c r="A19817" s="2">
        <v>19812</v>
      </c>
      <c r="B19817" s="11" t="str">
        <f>"00863116"</f>
        <v>00863116</v>
      </c>
    </row>
    <row r="19818" spans="1:2" x14ac:dyDescent="0.25">
      <c r="A19818" s="2">
        <v>19813</v>
      </c>
      <c r="B19818" s="11" t="str">
        <f>"00863140"</f>
        <v>00863140</v>
      </c>
    </row>
    <row r="19819" spans="1:2" x14ac:dyDescent="0.25">
      <c r="A19819" s="2">
        <v>19814</v>
      </c>
      <c r="B19819" s="11" t="str">
        <f>"00863151"</f>
        <v>00863151</v>
      </c>
    </row>
    <row r="19820" spans="1:2" x14ac:dyDescent="0.25">
      <c r="A19820" s="2">
        <v>19815</v>
      </c>
      <c r="B19820" s="11" t="str">
        <f>"00863169"</f>
        <v>00863169</v>
      </c>
    </row>
    <row r="19821" spans="1:2" x14ac:dyDescent="0.25">
      <c r="A19821" s="2">
        <v>19816</v>
      </c>
      <c r="B19821" s="11" t="str">
        <f>"00863272"</f>
        <v>00863272</v>
      </c>
    </row>
    <row r="19822" spans="1:2" x14ac:dyDescent="0.25">
      <c r="A19822" s="2">
        <v>19817</v>
      </c>
      <c r="B19822" s="11" t="str">
        <f>"00863291"</f>
        <v>00863291</v>
      </c>
    </row>
    <row r="19823" spans="1:2" x14ac:dyDescent="0.25">
      <c r="A19823" s="2">
        <v>19818</v>
      </c>
      <c r="B19823" s="11" t="str">
        <f>"00863366"</f>
        <v>00863366</v>
      </c>
    </row>
    <row r="19824" spans="1:2" x14ac:dyDescent="0.25">
      <c r="A19824" s="2">
        <v>19819</v>
      </c>
      <c r="B19824" s="11" t="str">
        <f>"00863491"</f>
        <v>00863491</v>
      </c>
    </row>
    <row r="19825" spans="1:2" x14ac:dyDescent="0.25">
      <c r="A19825" s="2">
        <v>19820</v>
      </c>
      <c r="B19825" s="11" t="str">
        <f>"00863495"</f>
        <v>00863495</v>
      </c>
    </row>
    <row r="19826" spans="1:2" x14ac:dyDescent="0.25">
      <c r="A19826" s="2">
        <v>19821</v>
      </c>
      <c r="B19826" s="11" t="str">
        <f>"00863604"</f>
        <v>00863604</v>
      </c>
    </row>
    <row r="19827" spans="1:2" x14ac:dyDescent="0.25">
      <c r="A19827" s="2">
        <v>19822</v>
      </c>
      <c r="B19827" s="11" t="str">
        <f>"00863650"</f>
        <v>00863650</v>
      </c>
    </row>
    <row r="19828" spans="1:2" x14ac:dyDescent="0.25">
      <c r="A19828" s="2">
        <v>19823</v>
      </c>
      <c r="B19828" s="11" t="str">
        <f>"00863750"</f>
        <v>00863750</v>
      </c>
    </row>
    <row r="19829" spans="1:2" x14ac:dyDescent="0.25">
      <c r="A19829" s="2">
        <v>19824</v>
      </c>
      <c r="B19829" s="11" t="str">
        <f>"00863839"</f>
        <v>00863839</v>
      </c>
    </row>
    <row r="19830" spans="1:2" x14ac:dyDescent="0.25">
      <c r="A19830" s="2">
        <v>19825</v>
      </c>
      <c r="B19830" s="11" t="str">
        <f>"00863879"</f>
        <v>00863879</v>
      </c>
    </row>
    <row r="19831" spans="1:2" x14ac:dyDescent="0.25">
      <c r="A19831" s="2">
        <v>19826</v>
      </c>
      <c r="B19831" s="11" t="str">
        <f>"00863913"</f>
        <v>00863913</v>
      </c>
    </row>
    <row r="19832" spans="1:2" x14ac:dyDescent="0.25">
      <c r="A19832" s="2">
        <v>19827</v>
      </c>
      <c r="B19832" s="11" t="str">
        <f>"00863960"</f>
        <v>00863960</v>
      </c>
    </row>
    <row r="19833" spans="1:2" x14ac:dyDescent="0.25">
      <c r="A19833" s="2">
        <v>19828</v>
      </c>
      <c r="B19833" s="11" t="str">
        <f>"00864066"</f>
        <v>00864066</v>
      </c>
    </row>
    <row r="19834" spans="1:2" x14ac:dyDescent="0.25">
      <c r="A19834" s="2">
        <v>19829</v>
      </c>
      <c r="B19834" s="11" t="str">
        <f>"00864093"</f>
        <v>00864093</v>
      </c>
    </row>
    <row r="19835" spans="1:2" x14ac:dyDescent="0.25">
      <c r="A19835" s="2">
        <v>19830</v>
      </c>
      <c r="B19835" s="11" t="str">
        <f>"00864094"</f>
        <v>00864094</v>
      </c>
    </row>
    <row r="19836" spans="1:2" x14ac:dyDescent="0.25">
      <c r="A19836" s="2">
        <v>19831</v>
      </c>
      <c r="B19836" s="11" t="str">
        <f>"00864138"</f>
        <v>00864138</v>
      </c>
    </row>
    <row r="19837" spans="1:2" x14ac:dyDescent="0.25">
      <c r="A19837" s="2">
        <v>19832</v>
      </c>
      <c r="B19837" s="11" t="str">
        <f>"00864162"</f>
        <v>00864162</v>
      </c>
    </row>
    <row r="19838" spans="1:2" x14ac:dyDescent="0.25">
      <c r="A19838" s="2">
        <v>19833</v>
      </c>
      <c r="B19838" s="11" t="str">
        <f>"00864365"</f>
        <v>00864365</v>
      </c>
    </row>
    <row r="19839" spans="1:2" x14ac:dyDescent="0.25">
      <c r="A19839" s="2">
        <v>19834</v>
      </c>
      <c r="B19839" s="11" t="str">
        <f>"00864421"</f>
        <v>00864421</v>
      </c>
    </row>
    <row r="19840" spans="1:2" x14ac:dyDescent="0.25">
      <c r="A19840" s="2">
        <v>19835</v>
      </c>
      <c r="B19840" s="11" t="str">
        <f>"00864446"</f>
        <v>00864446</v>
      </c>
    </row>
    <row r="19841" spans="1:2" x14ac:dyDescent="0.25">
      <c r="A19841" s="2">
        <v>19836</v>
      </c>
      <c r="B19841" s="11" t="str">
        <f>"00864462"</f>
        <v>00864462</v>
      </c>
    </row>
    <row r="19842" spans="1:2" x14ac:dyDescent="0.25">
      <c r="A19842" s="2">
        <v>19837</v>
      </c>
      <c r="B19842" s="11" t="str">
        <f>"00864516"</f>
        <v>00864516</v>
      </c>
    </row>
    <row r="19843" spans="1:2" x14ac:dyDescent="0.25">
      <c r="A19843" s="2">
        <v>19838</v>
      </c>
      <c r="B19843" s="11" t="str">
        <f>"00864641"</f>
        <v>00864641</v>
      </c>
    </row>
    <row r="19844" spans="1:2" x14ac:dyDescent="0.25">
      <c r="A19844" s="2">
        <v>19839</v>
      </c>
      <c r="B19844" s="11" t="str">
        <f>"00864742"</f>
        <v>00864742</v>
      </c>
    </row>
    <row r="19845" spans="1:2" x14ac:dyDescent="0.25">
      <c r="A19845" s="2">
        <v>19840</v>
      </c>
      <c r="B19845" s="11" t="str">
        <f>"00864759"</f>
        <v>00864759</v>
      </c>
    </row>
    <row r="19846" spans="1:2" x14ac:dyDescent="0.25">
      <c r="A19846" s="2">
        <v>19841</v>
      </c>
      <c r="B19846" s="11" t="str">
        <f>"00864877"</f>
        <v>00864877</v>
      </c>
    </row>
    <row r="19847" spans="1:2" x14ac:dyDescent="0.25">
      <c r="A19847" s="2">
        <v>19842</v>
      </c>
      <c r="B19847" s="11" t="str">
        <f>"00865058"</f>
        <v>00865058</v>
      </c>
    </row>
    <row r="19848" spans="1:2" x14ac:dyDescent="0.25">
      <c r="A19848" s="2">
        <v>19843</v>
      </c>
      <c r="B19848" s="11" t="str">
        <f>"00865169"</f>
        <v>00865169</v>
      </c>
    </row>
    <row r="19849" spans="1:2" x14ac:dyDescent="0.25">
      <c r="A19849" s="2">
        <v>19844</v>
      </c>
      <c r="B19849" s="11" t="str">
        <f>"00865172"</f>
        <v>00865172</v>
      </c>
    </row>
    <row r="19850" spans="1:2" x14ac:dyDescent="0.25">
      <c r="A19850" s="2">
        <v>19845</v>
      </c>
      <c r="B19850" s="11" t="str">
        <f>"00865223"</f>
        <v>00865223</v>
      </c>
    </row>
    <row r="19851" spans="1:2" x14ac:dyDescent="0.25">
      <c r="A19851" s="2">
        <v>19846</v>
      </c>
      <c r="B19851" s="11" t="str">
        <f>"00865296"</f>
        <v>00865296</v>
      </c>
    </row>
    <row r="19852" spans="1:2" x14ac:dyDescent="0.25">
      <c r="A19852" s="2">
        <v>19847</v>
      </c>
      <c r="B19852" s="11" t="str">
        <f>"00865441"</f>
        <v>00865441</v>
      </c>
    </row>
    <row r="19853" spans="1:2" x14ac:dyDescent="0.25">
      <c r="A19853" s="2">
        <v>19848</v>
      </c>
      <c r="B19853" s="11" t="str">
        <f>"00865447"</f>
        <v>00865447</v>
      </c>
    </row>
    <row r="19854" spans="1:2" x14ac:dyDescent="0.25">
      <c r="A19854" s="2">
        <v>19849</v>
      </c>
      <c r="B19854" s="11" t="str">
        <f>"00865461"</f>
        <v>00865461</v>
      </c>
    </row>
    <row r="19855" spans="1:2" x14ac:dyDescent="0.25">
      <c r="A19855" s="2">
        <v>19850</v>
      </c>
      <c r="B19855" s="11" t="str">
        <f>"00865547"</f>
        <v>00865547</v>
      </c>
    </row>
    <row r="19856" spans="1:2" x14ac:dyDescent="0.25">
      <c r="A19856" s="2">
        <v>19851</v>
      </c>
      <c r="B19856" s="11" t="str">
        <f>"00865590"</f>
        <v>00865590</v>
      </c>
    </row>
    <row r="19857" spans="1:2" x14ac:dyDescent="0.25">
      <c r="A19857" s="2">
        <v>19852</v>
      </c>
      <c r="B19857" s="11" t="str">
        <f>"00865709"</f>
        <v>00865709</v>
      </c>
    </row>
    <row r="19858" spans="1:2" x14ac:dyDescent="0.25">
      <c r="A19858" s="2">
        <v>19853</v>
      </c>
      <c r="B19858" s="11" t="str">
        <f>"00865737"</f>
        <v>00865737</v>
      </c>
    </row>
    <row r="19859" spans="1:2" x14ac:dyDescent="0.25">
      <c r="A19859" s="2">
        <v>19854</v>
      </c>
      <c r="B19859" s="11" t="str">
        <f>"00865761"</f>
        <v>00865761</v>
      </c>
    </row>
    <row r="19860" spans="1:2" x14ac:dyDescent="0.25">
      <c r="A19860" s="2">
        <v>19855</v>
      </c>
      <c r="B19860" s="11" t="str">
        <f>"00865856"</f>
        <v>00865856</v>
      </c>
    </row>
    <row r="19861" spans="1:2" x14ac:dyDescent="0.25">
      <c r="A19861" s="2">
        <v>19856</v>
      </c>
      <c r="B19861" s="11" t="str">
        <f>"00865903"</f>
        <v>00865903</v>
      </c>
    </row>
    <row r="19862" spans="1:2" x14ac:dyDescent="0.25">
      <c r="A19862" s="2">
        <v>19857</v>
      </c>
      <c r="B19862" s="11" t="str">
        <f>"00865985"</f>
        <v>00865985</v>
      </c>
    </row>
    <row r="19863" spans="1:2" x14ac:dyDescent="0.25">
      <c r="A19863" s="2">
        <v>19858</v>
      </c>
      <c r="B19863" s="11" t="str">
        <f>"00866020"</f>
        <v>00866020</v>
      </c>
    </row>
    <row r="19864" spans="1:2" x14ac:dyDescent="0.25">
      <c r="A19864" s="2">
        <v>19859</v>
      </c>
      <c r="B19864" s="11" t="str">
        <f>"00866046"</f>
        <v>00866046</v>
      </c>
    </row>
    <row r="19865" spans="1:2" x14ac:dyDescent="0.25">
      <c r="A19865" s="2">
        <v>19860</v>
      </c>
      <c r="B19865" s="11" t="str">
        <f>"00866223"</f>
        <v>00866223</v>
      </c>
    </row>
    <row r="19866" spans="1:2" x14ac:dyDescent="0.25">
      <c r="A19866" s="2">
        <v>19861</v>
      </c>
      <c r="B19866" s="11" t="str">
        <f>"00866280"</f>
        <v>00866280</v>
      </c>
    </row>
    <row r="19867" spans="1:2" x14ac:dyDescent="0.25">
      <c r="A19867" s="2">
        <v>19862</v>
      </c>
      <c r="B19867" s="11" t="str">
        <f>"00866296"</f>
        <v>00866296</v>
      </c>
    </row>
    <row r="19868" spans="1:2" x14ac:dyDescent="0.25">
      <c r="A19868" s="2">
        <v>19863</v>
      </c>
      <c r="B19868" s="11" t="str">
        <f>"00866548"</f>
        <v>00866548</v>
      </c>
    </row>
    <row r="19869" spans="1:2" x14ac:dyDescent="0.25">
      <c r="A19869" s="2">
        <v>19864</v>
      </c>
      <c r="B19869" s="11" t="str">
        <f>"00866610"</f>
        <v>00866610</v>
      </c>
    </row>
    <row r="19870" spans="1:2" x14ac:dyDescent="0.25">
      <c r="A19870" s="2">
        <v>19865</v>
      </c>
      <c r="B19870" s="11" t="str">
        <f>"00866651"</f>
        <v>00866651</v>
      </c>
    </row>
    <row r="19871" spans="1:2" x14ac:dyDescent="0.25">
      <c r="A19871" s="2">
        <v>19866</v>
      </c>
      <c r="B19871" s="11" t="str">
        <f>"00866706"</f>
        <v>00866706</v>
      </c>
    </row>
    <row r="19872" spans="1:2" x14ac:dyDescent="0.25">
      <c r="A19872" s="2">
        <v>19867</v>
      </c>
      <c r="B19872" s="11" t="str">
        <f>"00866858"</f>
        <v>00866858</v>
      </c>
    </row>
    <row r="19873" spans="1:2" x14ac:dyDescent="0.25">
      <c r="A19873" s="2">
        <v>19868</v>
      </c>
      <c r="B19873" s="11" t="str">
        <f>"00866862"</f>
        <v>00866862</v>
      </c>
    </row>
    <row r="19874" spans="1:2" x14ac:dyDescent="0.25">
      <c r="A19874" s="2">
        <v>19869</v>
      </c>
      <c r="B19874" s="11" t="str">
        <f>"00867030"</f>
        <v>00867030</v>
      </c>
    </row>
    <row r="19875" spans="1:2" x14ac:dyDescent="0.25">
      <c r="A19875" s="2">
        <v>19870</v>
      </c>
      <c r="B19875" s="11" t="str">
        <f>"00867035"</f>
        <v>00867035</v>
      </c>
    </row>
    <row r="19876" spans="1:2" x14ac:dyDescent="0.25">
      <c r="A19876" s="2">
        <v>19871</v>
      </c>
      <c r="B19876" s="11" t="str">
        <f>"00867125"</f>
        <v>00867125</v>
      </c>
    </row>
    <row r="19877" spans="1:2" x14ac:dyDescent="0.25">
      <c r="A19877" s="2">
        <v>19872</v>
      </c>
      <c r="B19877" s="11" t="str">
        <f>"00867160"</f>
        <v>00867160</v>
      </c>
    </row>
    <row r="19878" spans="1:2" x14ac:dyDescent="0.25">
      <c r="A19878" s="2">
        <v>19873</v>
      </c>
      <c r="B19878" s="11" t="str">
        <f>"00867203"</f>
        <v>00867203</v>
      </c>
    </row>
    <row r="19879" spans="1:2" x14ac:dyDescent="0.25">
      <c r="A19879" s="2">
        <v>19874</v>
      </c>
      <c r="B19879" s="11" t="str">
        <f>"00867287"</f>
        <v>00867287</v>
      </c>
    </row>
    <row r="19880" spans="1:2" x14ac:dyDescent="0.25">
      <c r="A19880" s="2">
        <v>19875</v>
      </c>
      <c r="B19880" s="11" t="str">
        <f>"00867296"</f>
        <v>00867296</v>
      </c>
    </row>
    <row r="19881" spans="1:2" x14ac:dyDescent="0.25">
      <c r="A19881" s="2">
        <v>19876</v>
      </c>
      <c r="B19881" s="11" t="str">
        <f>"00867324"</f>
        <v>00867324</v>
      </c>
    </row>
    <row r="19882" spans="1:2" x14ac:dyDescent="0.25">
      <c r="A19882" s="2">
        <v>19877</v>
      </c>
      <c r="B19882" s="11" t="str">
        <f>"00867436"</f>
        <v>00867436</v>
      </c>
    </row>
    <row r="19883" spans="1:2" x14ac:dyDescent="0.25">
      <c r="A19883" s="2">
        <v>19878</v>
      </c>
      <c r="B19883" s="11" t="str">
        <f>"00867454"</f>
        <v>00867454</v>
      </c>
    </row>
    <row r="19884" spans="1:2" x14ac:dyDescent="0.25">
      <c r="A19884" s="2">
        <v>19879</v>
      </c>
      <c r="B19884" s="11" t="str">
        <f>"00867468"</f>
        <v>00867468</v>
      </c>
    </row>
    <row r="19885" spans="1:2" x14ac:dyDescent="0.25">
      <c r="A19885" s="2">
        <v>19880</v>
      </c>
      <c r="B19885" s="11" t="str">
        <f>"00867469"</f>
        <v>00867469</v>
      </c>
    </row>
    <row r="19886" spans="1:2" x14ac:dyDescent="0.25">
      <c r="A19886" s="2">
        <v>19881</v>
      </c>
      <c r="B19886" s="11" t="str">
        <f>"00867479"</f>
        <v>00867479</v>
      </c>
    </row>
    <row r="19887" spans="1:2" x14ac:dyDescent="0.25">
      <c r="A19887" s="2">
        <v>19882</v>
      </c>
      <c r="B19887" s="11" t="str">
        <f>"00867503"</f>
        <v>00867503</v>
      </c>
    </row>
    <row r="19888" spans="1:2" x14ac:dyDescent="0.25">
      <c r="A19888" s="2">
        <v>19883</v>
      </c>
      <c r="B19888" s="11" t="str">
        <f>"00867507"</f>
        <v>00867507</v>
      </c>
    </row>
    <row r="19889" spans="1:2" x14ac:dyDescent="0.25">
      <c r="A19889" s="2">
        <v>19884</v>
      </c>
      <c r="B19889" s="11" t="str">
        <f>"00867525"</f>
        <v>00867525</v>
      </c>
    </row>
    <row r="19890" spans="1:2" x14ac:dyDescent="0.25">
      <c r="A19890" s="2">
        <v>19885</v>
      </c>
      <c r="B19890" s="11" t="str">
        <f>"00867575"</f>
        <v>00867575</v>
      </c>
    </row>
    <row r="19891" spans="1:2" x14ac:dyDescent="0.25">
      <c r="A19891" s="2">
        <v>19886</v>
      </c>
      <c r="B19891" s="11" t="str">
        <f>"00867594"</f>
        <v>00867594</v>
      </c>
    </row>
    <row r="19892" spans="1:2" x14ac:dyDescent="0.25">
      <c r="A19892" s="2">
        <v>19887</v>
      </c>
      <c r="B19892" s="11" t="str">
        <f>"00867600"</f>
        <v>00867600</v>
      </c>
    </row>
    <row r="19893" spans="1:2" x14ac:dyDescent="0.25">
      <c r="A19893" s="2">
        <v>19888</v>
      </c>
      <c r="B19893" s="11" t="str">
        <f>"00867659"</f>
        <v>00867659</v>
      </c>
    </row>
    <row r="19894" spans="1:2" x14ac:dyDescent="0.25">
      <c r="A19894" s="2">
        <v>19889</v>
      </c>
      <c r="B19894" s="11" t="str">
        <f>"00867705"</f>
        <v>00867705</v>
      </c>
    </row>
    <row r="19895" spans="1:2" x14ac:dyDescent="0.25">
      <c r="A19895" s="2">
        <v>19890</v>
      </c>
      <c r="B19895" s="11" t="str">
        <f>"00867738"</f>
        <v>00867738</v>
      </c>
    </row>
    <row r="19896" spans="1:2" x14ac:dyDescent="0.25">
      <c r="A19896" s="2">
        <v>19891</v>
      </c>
      <c r="B19896" s="11" t="str">
        <f>"00867931"</f>
        <v>00867931</v>
      </c>
    </row>
    <row r="19897" spans="1:2" x14ac:dyDescent="0.25">
      <c r="A19897" s="2">
        <v>19892</v>
      </c>
      <c r="B19897" s="11" t="str">
        <f>"00868009"</f>
        <v>00868009</v>
      </c>
    </row>
    <row r="19898" spans="1:2" x14ac:dyDescent="0.25">
      <c r="A19898" s="2">
        <v>19893</v>
      </c>
      <c r="B19898" s="11" t="str">
        <f>"00868090"</f>
        <v>00868090</v>
      </c>
    </row>
    <row r="19899" spans="1:2" x14ac:dyDescent="0.25">
      <c r="A19899" s="2">
        <v>19894</v>
      </c>
      <c r="B19899" s="11" t="str">
        <f>"00868101"</f>
        <v>00868101</v>
      </c>
    </row>
    <row r="19900" spans="1:2" x14ac:dyDescent="0.25">
      <c r="A19900" s="2">
        <v>19895</v>
      </c>
      <c r="B19900" s="11" t="str">
        <f>"00868118"</f>
        <v>00868118</v>
      </c>
    </row>
    <row r="19901" spans="1:2" x14ac:dyDescent="0.25">
      <c r="A19901" s="2">
        <v>19896</v>
      </c>
      <c r="B19901" s="11" t="str">
        <f>"00868131"</f>
        <v>00868131</v>
      </c>
    </row>
    <row r="19902" spans="1:2" x14ac:dyDescent="0.25">
      <c r="A19902" s="2">
        <v>19897</v>
      </c>
      <c r="B19902" s="11" t="str">
        <f>"00868184"</f>
        <v>00868184</v>
      </c>
    </row>
    <row r="19903" spans="1:2" x14ac:dyDescent="0.25">
      <c r="A19903" s="2">
        <v>19898</v>
      </c>
      <c r="B19903" s="11" t="str">
        <f>"00868187"</f>
        <v>00868187</v>
      </c>
    </row>
    <row r="19904" spans="1:2" x14ac:dyDescent="0.25">
      <c r="A19904" s="2">
        <v>19899</v>
      </c>
      <c r="B19904" s="11" t="str">
        <f>"00868286"</f>
        <v>00868286</v>
      </c>
    </row>
    <row r="19905" spans="1:2" x14ac:dyDescent="0.25">
      <c r="A19905" s="2">
        <v>19900</v>
      </c>
      <c r="B19905" s="11" t="str">
        <f>"00868290"</f>
        <v>00868290</v>
      </c>
    </row>
    <row r="19906" spans="1:2" x14ac:dyDescent="0.25">
      <c r="A19906" s="2">
        <v>19901</v>
      </c>
      <c r="B19906" s="11" t="str">
        <f>"00869063"</f>
        <v>00869063</v>
      </c>
    </row>
    <row r="19907" spans="1:2" x14ac:dyDescent="0.25">
      <c r="A19907" s="2">
        <v>19902</v>
      </c>
      <c r="B19907" s="11" t="str">
        <f>"00869071"</f>
        <v>00869071</v>
      </c>
    </row>
    <row r="19908" spans="1:2" x14ac:dyDescent="0.25">
      <c r="A19908" s="2">
        <v>19903</v>
      </c>
      <c r="B19908" s="11" t="str">
        <f>"00869092"</f>
        <v>00869092</v>
      </c>
    </row>
    <row r="19909" spans="1:2" x14ac:dyDescent="0.25">
      <c r="A19909" s="2">
        <v>19904</v>
      </c>
      <c r="B19909" s="11" t="str">
        <f>"00869099"</f>
        <v>00869099</v>
      </c>
    </row>
    <row r="19910" spans="1:2" x14ac:dyDescent="0.25">
      <c r="A19910" s="2">
        <v>19905</v>
      </c>
      <c r="B19910" s="11" t="str">
        <f>"00869166"</f>
        <v>00869166</v>
      </c>
    </row>
    <row r="19911" spans="1:2" x14ac:dyDescent="0.25">
      <c r="A19911" s="2">
        <v>19906</v>
      </c>
      <c r="B19911" s="11" t="str">
        <f>"00869236"</f>
        <v>00869236</v>
      </c>
    </row>
    <row r="19912" spans="1:2" x14ac:dyDescent="0.25">
      <c r="A19912" s="2">
        <v>19907</v>
      </c>
      <c r="B19912" s="11" t="str">
        <f>"00869316"</f>
        <v>00869316</v>
      </c>
    </row>
    <row r="19913" spans="1:2" x14ac:dyDescent="0.25">
      <c r="A19913" s="2">
        <v>19908</v>
      </c>
      <c r="B19913" s="11" t="str">
        <f>"00869345"</f>
        <v>00869345</v>
      </c>
    </row>
    <row r="19914" spans="1:2" x14ac:dyDescent="0.25">
      <c r="A19914" s="2">
        <v>19909</v>
      </c>
      <c r="B19914" s="11" t="str">
        <f>"00869363"</f>
        <v>00869363</v>
      </c>
    </row>
    <row r="19915" spans="1:2" x14ac:dyDescent="0.25">
      <c r="A19915" s="2">
        <v>19910</v>
      </c>
      <c r="B19915" s="11" t="str">
        <f>"00869374"</f>
        <v>00869374</v>
      </c>
    </row>
    <row r="19916" spans="1:2" x14ac:dyDescent="0.25">
      <c r="A19916" s="2">
        <v>19911</v>
      </c>
      <c r="B19916" s="11" t="str">
        <f>"00869403"</f>
        <v>00869403</v>
      </c>
    </row>
    <row r="19917" spans="1:2" x14ac:dyDescent="0.25">
      <c r="A19917" s="2">
        <v>19912</v>
      </c>
      <c r="B19917" s="11" t="str">
        <f>"00869410"</f>
        <v>00869410</v>
      </c>
    </row>
    <row r="19918" spans="1:2" x14ac:dyDescent="0.25">
      <c r="A19918" s="2">
        <v>19913</v>
      </c>
      <c r="B19918" s="11" t="str">
        <f>"00869427"</f>
        <v>00869427</v>
      </c>
    </row>
    <row r="19919" spans="1:2" x14ac:dyDescent="0.25">
      <c r="A19919" s="2">
        <v>19914</v>
      </c>
      <c r="B19919" s="11" t="str">
        <f>"00869478"</f>
        <v>00869478</v>
      </c>
    </row>
    <row r="19920" spans="1:2" x14ac:dyDescent="0.25">
      <c r="A19920" s="2">
        <v>19915</v>
      </c>
      <c r="B19920" s="11" t="str">
        <f>"00869547"</f>
        <v>00869547</v>
      </c>
    </row>
    <row r="19921" spans="1:2" x14ac:dyDescent="0.25">
      <c r="A19921" s="2">
        <v>19916</v>
      </c>
      <c r="B19921" s="11" t="str">
        <f>"00869564"</f>
        <v>00869564</v>
      </c>
    </row>
    <row r="19922" spans="1:2" x14ac:dyDescent="0.25">
      <c r="A19922" s="2">
        <v>19917</v>
      </c>
      <c r="B19922" s="11" t="str">
        <f>"00869591"</f>
        <v>00869591</v>
      </c>
    </row>
    <row r="19923" spans="1:2" x14ac:dyDescent="0.25">
      <c r="A19923" s="2">
        <v>19918</v>
      </c>
      <c r="B19923" s="11" t="str">
        <f>"00869786"</f>
        <v>00869786</v>
      </c>
    </row>
    <row r="19924" spans="1:2" x14ac:dyDescent="0.25">
      <c r="A19924" s="2">
        <v>19919</v>
      </c>
      <c r="B19924" s="11" t="str">
        <f>"00869831"</f>
        <v>00869831</v>
      </c>
    </row>
    <row r="19925" spans="1:2" x14ac:dyDescent="0.25">
      <c r="A19925" s="2">
        <v>19920</v>
      </c>
      <c r="B19925" s="11" t="str">
        <f>"00869840"</f>
        <v>00869840</v>
      </c>
    </row>
    <row r="19926" spans="1:2" x14ac:dyDescent="0.25">
      <c r="A19926" s="2">
        <v>19921</v>
      </c>
      <c r="B19926" s="11" t="str">
        <f>"00869878"</f>
        <v>00869878</v>
      </c>
    </row>
    <row r="19927" spans="1:2" x14ac:dyDescent="0.25">
      <c r="A19927" s="2">
        <v>19922</v>
      </c>
      <c r="B19927" s="11" t="str">
        <f>"00869916"</f>
        <v>00869916</v>
      </c>
    </row>
    <row r="19928" spans="1:2" x14ac:dyDescent="0.25">
      <c r="A19928" s="2">
        <v>19923</v>
      </c>
      <c r="B19928" s="11" t="str">
        <f>"00869982"</f>
        <v>00869982</v>
      </c>
    </row>
    <row r="19929" spans="1:2" x14ac:dyDescent="0.25">
      <c r="A19929" s="2">
        <v>19924</v>
      </c>
      <c r="B19929" s="11" t="str">
        <f>"00870031"</f>
        <v>00870031</v>
      </c>
    </row>
    <row r="19930" spans="1:2" x14ac:dyDescent="0.25">
      <c r="A19930" s="2">
        <v>19925</v>
      </c>
      <c r="B19930" s="11" t="str">
        <f>"00870113"</f>
        <v>00870113</v>
      </c>
    </row>
    <row r="19931" spans="1:2" x14ac:dyDescent="0.25">
      <c r="A19931" s="2">
        <v>19926</v>
      </c>
      <c r="B19931" s="11" t="str">
        <f>"00870114"</f>
        <v>00870114</v>
      </c>
    </row>
    <row r="19932" spans="1:2" x14ac:dyDescent="0.25">
      <c r="A19932" s="2">
        <v>19927</v>
      </c>
      <c r="B19932" s="11" t="str">
        <f>"00870144"</f>
        <v>00870144</v>
      </c>
    </row>
    <row r="19933" spans="1:2" x14ac:dyDescent="0.25">
      <c r="A19933" s="2">
        <v>19928</v>
      </c>
      <c r="B19933" s="11" t="str">
        <f>"00870203"</f>
        <v>00870203</v>
      </c>
    </row>
    <row r="19934" spans="1:2" x14ac:dyDescent="0.25">
      <c r="A19934" s="2">
        <v>19929</v>
      </c>
      <c r="B19934" s="11" t="str">
        <f>"00870206"</f>
        <v>00870206</v>
      </c>
    </row>
    <row r="19935" spans="1:2" x14ac:dyDescent="0.25">
      <c r="A19935" s="2">
        <v>19930</v>
      </c>
      <c r="B19935" s="11" t="str">
        <f>"00870215"</f>
        <v>00870215</v>
      </c>
    </row>
    <row r="19936" spans="1:2" x14ac:dyDescent="0.25">
      <c r="A19936" s="2">
        <v>19931</v>
      </c>
      <c r="B19936" s="11" t="str">
        <f>"00870268"</f>
        <v>00870268</v>
      </c>
    </row>
    <row r="19937" spans="1:2" x14ac:dyDescent="0.25">
      <c r="A19937" s="2">
        <v>19932</v>
      </c>
      <c r="B19937" s="11" t="str">
        <f>"00870332"</f>
        <v>00870332</v>
      </c>
    </row>
    <row r="19938" spans="1:2" x14ac:dyDescent="0.25">
      <c r="A19938" s="2">
        <v>19933</v>
      </c>
      <c r="B19938" s="11" t="str">
        <f>"00870351"</f>
        <v>00870351</v>
      </c>
    </row>
    <row r="19939" spans="1:2" x14ac:dyDescent="0.25">
      <c r="A19939" s="2">
        <v>19934</v>
      </c>
      <c r="B19939" s="11" t="str">
        <f>"00870437"</f>
        <v>00870437</v>
      </c>
    </row>
    <row r="19940" spans="1:2" x14ac:dyDescent="0.25">
      <c r="A19940" s="2">
        <v>19935</v>
      </c>
      <c r="B19940" s="11" t="str">
        <f>"00870439"</f>
        <v>00870439</v>
      </c>
    </row>
    <row r="19941" spans="1:2" x14ac:dyDescent="0.25">
      <c r="A19941" s="2">
        <v>19936</v>
      </c>
      <c r="B19941" s="11" t="str">
        <f>"00870468"</f>
        <v>00870468</v>
      </c>
    </row>
    <row r="19942" spans="1:2" x14ac:dyDescent="0.25">
      <c r="A19942" s="2">
        <v>19937</v>
      </c>
      <c r="B19942" s="11" t="str">
        <f>"00870552"</f>
        <v>00870552</v>
      </c>
    </row>
    <row r="19943" spans="1:2" x14ac:dyDescent="0.25">
      <c r="A19943" s="2">
        <v>19938</v>
      </c>
      <c r="B19943" s="11" t="str">
        <f>"00870575"</f>
        <v>00870575</v>
      </c>
    </row>
    <row r="19944" spans="1:2" x14ac:dyDescent="0.25">
      <c r="A19944" s="2">
        <v>19939</v>
      </c>
      <c r="B19944" s="11" t="str">
        <f>"00870630"</f>
        <v>00870630</v>
      </c>
    </row>
    <row r="19945" spans="1:2" x14ac:dyDescent="0.25">
      <c r="A19945" s="2">
        <v>19940</v>
      </c>
      <c r="B19945" s="11" t="str">
        <f>"00870693"</f>
        <v>00870693</v>
      </c>
    </row>
    <row r="19946" spans="1:2" x14ac:dyDescent="0.25">
      <c r="A19946" s="2">
        <v>19941</v>
      </c>
      <c r="B19946" s="11" t="str">
        <f>"00870752"</f>
        <v>00870752</v>
      </c>
    </row>
    <row r="19947" spans="1:2" x14ac:dyDescent="0.25">
      <c r="A19947" s="2">
        <v>19942</v>
      </c>
      <c r="B19947" s="11" t="str">
        <f>"00870864"</f>
        <v>00870864</v>
      </c>
    </row>
    <row r="19948" spans="1:2" x14ac:dyDescent="0.25">
      <c r="A19948" s="2">
        <v>19943</v>
      </c>
      <c r="B19948" s="11" t="str">
        <f>"00870876"</f>
        <v>00870876</v>
      </c>
    </row>
    <row r="19949" spans="1:2" x14ac:dyDescent="0.25">
      <c r="A19949" s="2">
        <v>19944</v>
      </c>
      <c r="B19949" s="11" t="str">
        <f>"00870885"</f>
        <v>00870885</v>
      </c>
    </row>
    <row r="19950" spans="1:2" x14ac:dyDescent="0.25">
      <c r="A19950" s="2">
        <v>19945</v>
      </c>
      <c r="B19950" s="11" t="str">
        <f>"00870898"</f>
        <v>00870898</v>
      </c>
    </row>
    <row r="19951" spans="1:2" x14ac:dyDescent="0.25">
      <c r="A19951" s="2">
        <v>19946</v>
      </c>
      <c r="B19951" s="11" t="str">
        <f>"00870976"</f>
        <v>00870976</v>
      </c>
    </row>
    <row r="19952" spans="1:2" x14ac:dyDescent="0.25">
      <c r="A19952" s="2">
        <v>19947</v>
      </c>
      <c r="B19952" s="11" t="str">
        <f>"00871003"</f>
        <v>00871003</v>
      </c>
    </row>
    <row r="19953" spans="1:2" x14ac:dyDescent="0.25">
      <c r="A19953" s="2">
        <v>19948</v>
      </c>
      <c r="B19953" s="11" t="str">
        <f>"00871004"</f>
        <v>00871004</v>
      </c>
    </row>
    <row r="19954" spans="1:2" x14ac:dyDescent="0.25">
      <c r="A19954" s="2">
        <v>19949</v>
      </c>
      <c r="B19954" s="11" t="str">
        <f>"00871012"</f>
        <v>00871012</v>
      </c>
    </row>
    <row r="19955" spans="1:2" x14ac:dyDescent="0.25">
      <c r="A19955" s="2">
        <v>19950</v>
      </c>
      <c r="B19955" s="11" t="str">
        <f>"00871046"</f>
        <v>00871046</v>
      </c>
    </row>
    <row r="19956" spans="1:2" x14ac:dyDescent="0.25">
      <c r="A19956" s="2">
        <v>19951</v>
      </c>
      <c r="B19956" s="11" t="str">
        <f>"00871097"</f>
        <v>00871097</v>
      </c>
    </row>
    <row r="19957" spans="1:2" x14ac:dyDescent="0.25">
      <c r="A19957" s="2">
        <v>19952</v>
      </c>
      <c r="B19957" s="11" t="str">
        <f>"00871105"</f>
        <v>00871105</v>
      </c>
    </row>
    <row r="19958" spans="1:2" x14ac:dyDescent="0.25">
      <c r="A19958" s="2">
        <v>19953</v>
      </c>
      <c r="B19958" s="11" t="str">
        <f>"00871136"</f>
        <v>00871136</v>
      </c>
    </row>
    <row r="19959" spans="1:2" x14ac:dyDescent="0.25">
      <c r="A19959" s="2">
        <v>19954</v>
      </c>
      <c r="B19959" s="11" t="str">
        <f>"00871154"</f>
        <v>00871154</v>
      </c>
    </row>
    <row r="19960" spans="1:2" x14ac:dyDescent="0.25">
      <c r="A19960" s="2">
        <v>19955</v>
      </c>
      <c r="B19960" s="11" t="str">
        <f>"00871155"</f>
        <v>00871155</v>
      </c>
    </row>
    <row r="19961" spans="1:2" x14ac:dyDescent="0.25">
      <c r="A19961" s="2">
        <v>19956</v>
      </c>
      <c r="B19961" s="11" t="str">
        <f>"00871199"</f>
        <v>00871199</v>
      </c>
    </row>
    <row r="19962" spans="1:2" x14ac:dyDescent="0.25">
      <c r="A19962" s="2">
        <v>19957</v>
      </c>
      <c r="B19962" s="11" t="str">
        <f>"00871298"</f>
        <v>00871298</v>
      </c>
    </row>
    <row r="19963" spans="1:2" x14ac:dyDescent="0.25">
      <c r="A19963" s="2">
        <v>19958</v>
      </c>
      <c r="B19963" s="11" t="str">
        <f>"00871378"</f>
        <v>00871378</v>
      </c>
    </row>
    <row r="19964" spans="1:2" x14ac:dyDescent="0.25">
      <c r="A19964" s="2">
        <v>19959</v>
      </c>
      <c r="B19964" s="11" t="str">
        <f>"00871461"</f>
        <v>00871461</v>
      </c>
    </row>
    <row r="19965" spans="1:2" x14ac:dyDescent="0.25">
      <c r="A19965" s="2">
        <v>19960</v>
      </c>
      <c r="B19965" s="11" t="str">
        <f>"00871474"</f>
        <v>00871474</v>
      </c>
    </row>
    <row r="19966" spans="1:2" x14ac:dyDescent="0.25">
      <c r="A19966" s="2">
        <v>19961</v>
      </c>
      <c r="B19966" s="11" t="str">
        <f>"00871486"</f>
        <v>00871486</v>
      </c>
    </row>
    <row r="19967" spans="1:2" x14ac:dyDescent="0.25">
      <c r="A19967" s="2">
        <v>19962</v>
      </c>
      <c r="B19967" s="11" t="str">
        <f>"00871503"</f>
        <v>00871503</v>
      </c>
    </row>
    <row r="19968" spans="1:2" x14ac:dyDescent="0.25">
      <c r="A19968" s="2">
        <v>19963</v>
      </c>
      <c r="B19968" s="11" t="str">
        <f>"00871509"</f>
        <v>00871509</v>
      </c>
    </row>
    <row r="19969" spans="1:2" x14ac:dyDescent="0.25">
      <c r="A19969" s="2">
        <v>19964</v>
      </c>
      <c r="B19969" s="11" t="str">
        <f>"00871511"</f>
        <v>00871511</v>
      </c>
    </row>
    <row r="19970" spans="1:2" x14ac:dyDescent="0.25">
      <c r="A19970" s="2">
        <v>19965</v>
      </c>
      <c r="B19970" s="11" t="str">
        <f>"00871538"</f>
        <v>00871538</v>
      </c>
    </row>
    <row r="19971" spans="1:2" x14ac:dyDescent="0.25">
      <c r="A19971" s="2">
        <v>19966</v>
      </c>
      <c r="B19971" s="11" t="str">
        <f>"00871544"</f>
        <v>00871544</v>
      </c>
    </row>
    <row r="19972" spans="1:2" x14ac:dyDescent="0.25">
      <c r="A19972" s="2">
        <v>19967</v>
      </c>
      <c r="B19972" s="11" t="str">
        <f>"00871555"</f>
        <v>00871555</v>
      </c>
    </row>
    <row r="19973" spans="1:2" x14ac:dyDescent="0.25">
      <c r="A19973" s="2">
        <v>19968</v>
      </c>
      <c r="B19973" s="11" t="str">
        <f>"00871769"</f>
        <v>00871769</v>
      </c>
    </row>
    <row r="19974" spans="1:2" x14ac:dyDescent="0.25">
      <c r="A19974" s="2">
        <v>19969</v>
      </c>
      <c r="B19974" s="11" t="str">
        <f>"00871777"</f>
        <v>00871777</v>
      </c>
    </row>
    <row r="19975" spans="1:2" x14ac:dyDescent="0.25">
      <c r="A19975" s="2">
        <v>19970</v>
      </c>
      <c r="B19975" s="11" t="str">
        <f>"00871793"</f>
        <v>00871793</v>
      </c>
    </row>
    <row r="19976" spans="1:2" x14ac:dyDescent="0.25">
      <c r="A19976" s="2">
        <v>19971</v>
      </c>
      <c r="B19976" s="11" t="str">
        <f>"00871797"</f>
        <v>00871797</v>
      </c>
    </row>
    <row r="19977" spans="1:2" x14ac:dyDescent="0.25">
      <c r="A19977" s="2">
        <v>19972</v>
      </c>
      <c r="B19977" s="11" t="str">
        <f>"00871873"</f>
        <v>00871873</v>
      </c>
    </row>
    <row r="19978" spans="1:2" x14ac:dyDescent="0.25">
      <c r="A19978" s="2">
        <v>19973</v>
      </c>
      <c r="B19978" s="11" t="str">
        <f>"00871898"</f>
        <v>00871898</v>
      </c>
    </row>
    <row r="19979" spans="1:2" x14ac:dyDescent="0.25">
      <c r="A19979" s="2">
        <v>19974</v>
      </c>
      <c r="B19979" s="11" t="str">
        <f>"00871909"</f>
        <v>00871909</v>
      </c>
    </row>
    <row r="19980" spans="1:2" x14ac:dyDescent="0.25">
      <c r="A19980" s="2">
        <v>19975</v>
      </c>
      <c r="B19980" s="11" t="str">
        <f>"00871933"</f>
        <v>00871933</v>
      </c>
    </row>
    <row r="19981" spans="1:2" x14ac:dyDescent="0.25">
      <c r="A19981" s="2">
        <v>19976</v>
      </c>
      <c r="B19981" s="11" t="str">
        <f>"00872086"</f>
        <v>00872086</v>
      </c>
    </row>
    <row r="19982" spans="1:2" x14ac:dyDescent="0.25">
      <c r="A19982" s="2">
        <v>19977</v>
      </c>
      <c r="B19982" s="11" t="str">
        <f>"00872156"</f>
        <v>00872156</v>
      </c>
    </row>
    <row r="19983" spans="1:2" x14ac:dyDescent="0.25">
      <c r="A19983" s="2">
        <v>19978</v>
      </c>
      <c r="B19983" s="11" t="str">
        <f>"00872188"</f>
        <v>00872188</v>
      </c>
    </row>
    <row r="19984" spans="1:2" x14ac:dyDescent="0.25">
      <c r="A19984" s="2">
        <v>19979</v>
      </c>
      <c r="B19984" s="11" t="str">
        <f>"00872194"</f>
        <v>00872194</v>
      </c>
    </row>
    <row r="19985" spans="1:2" x14ac:dyDescent="0.25">
      <c r="A19985" s="2">
        <v>19980</v>
      </c>
      <c r="B19985" s="11" t="str">
        <f>"00872241"</f>
        <v>00872241</v>
      </c>
    </row>
    <row r="19986" spans="1:2" x14ac:dyDescent="0.25">
      <c r="A19986" s="2">
        <v>19981</v>
      </c>
      <c r="B19986" s="11" t="str">
        <f>"00872247"</f>
        <v>00872247</v>
      </c>
    </row>
    <row r="19987" spans="1:2" x14ac:dyDescent="0.25">
      <c r="A19987" s="2">
        <v>19982</v>
      </c>
      <c r="B19987" s="11" t="str">
        <f>"00872256"</f>
        <v>00872256</v>
      </c>
    </row>
    <row r="19988" spans="1:2" x14ac:dyDescent="0.25">
      <c r="A19988" s="2">
        <v>19983</v>
      </c>
      <c r="B19988" s="11" t="str">
        <f>"00872263"</f>
        <v>00872263</v>
      </c>
    </row>
    <row r="19989" spans="1:2" x14ac:dyDescent="0.25">
      <c r="A19989" s="2">
        <v>19984</v>
      </c>
      <c r="B19989" s="11" t="str">
        <f>"00872315"</f>
        <v>00872315</v>
      </c>
    </row>
    <row r="19990" spans="1:2" x14ac:dyDescent="0.25">
      <c r="A19990" s="2">
        <v>19985</v>
      </c>
      <c r="B19990" s="11" t="str">
        <f>"00872335"</f>
        <v>00872335</v>
      </c>
    </row>
    <row r="19991" spans="1:2" x14ac:dyDescent="0.25">
      <c r="A19991" s="2">
        <v>19986</v>
      </c>
      <c r="B19991" s="11" t="str">
        <f>"00872341"</f>
        <v>00872341</v>
      </c>
    </row>
    <row r="19992" spans="1:2" x14ac:dyDescent="0.25">
      <c r="A19992" s="2">
        <v>19987</v>
      </c>
      <c r="B19992" s="11" t="str">
        <f>"00872361"</f>
        <v>00872361</v>
      </c>
    </row>
    <row r="19993" spans="1:2" x14ac:dyDescent="0.25">
      <c r="A19993" s="2">
        <v>19988</v>
      </c>
      <c r="B19993" s="11" t="str">
        <f>"00872368"</f>
        <v>00872368</v>
      </c>
    </row>
    <row r="19994" spans="1:2" x14ac:dyDescent="0.25">
      <c r="A19994" s="2">
        <v>19989</v>
      </c>
      <c r="B19994" s="11" t="str">
        <f>"00872369"</f>
        <v>00872369</v>
      </c>
    </row>
    <row r="19995" spans="1:2" x14ac:dyDescent="0.25">
      <c r="A19995" s="2">
        <v>19990</v>
      </c>
      <c r="B19995" s="11" t="str">
        <f>"00872393"</f>
        <v>00872393</v>
      </c>
    </row>
    <row r="19996" spans="1:2" x14ac:dyDescent="0.25">
      <c r="A19996" s="2">
        <v>19991</v>
      </c>
      <c r="B19996" s="11" t="str">
        <f>"00872439"</f>
        <v>00872439</v>
      </c>
    </row>
    <row r="19997" spans="1:2" x14ac:dyDescent="0.25">
      <c r="A19997" s="2">
        <v>19992</v>
      </c>
      <c r="B19997" s="11" t="str">
        <f>"00872502"</f>
        <v>00872502</v>
      </c>
    </row>
    <row r="19998" spans="1:2" x14ac:dyDescent="0.25">
      <c r="A19998" s="2">
        <v>19993</v>
      </c>
      <c r="B19998" s="11" t="str">
        <f>"00872505"</f>
        <v>00872505</v>
      </c>
    </row>
    <row r="19999" spans="1:2" x14ac:dyDescent="0.25">
      <c r="A19999" s="2">
        <v>19994</v>
      </c>
      <c r="B19999" s="11" t="str">
        <f>"00872506"</f>
        <v>00872506</v>
      </c>
    </row>
    <row r="20000" spans="1:2" x14ac:dyDescent="0.25">
      <c r="A20000" s="2">
        <v>19995</v>
      </c>
      <c r="B20000" s="11" t="str">
        <f>"00872513"</f>
        <v>00872513</v>
      </c>
    </row>
    <row r="20001" spans="1:2" x14ac:dyDescent="0.25">
      <c r="A20001" s="2">
        <v>19996</v>
      </c>
      <c r="B20001" s="11" t="str">
        <f>"00872612"</f>
        <v>00872612</v>
      </c>
    </row>
    <row r="20002" spans="1:2" x14ac:dyDescent="0.25">
      <c r="A20002" s="2">
        <v>19997</v>
      </c>
      <c r="B20002" s="11" t="str">
        <f>"00872628"</f>
        <v>00872628</v>
      </c>
    </row>
    <row r="20003" spans="1:2" x14ac:dyDescent="0.25">
      <c r="A20003" s="2">
        <v>19998</v>
      </c>
      <c r="B20003" s="11" t="str">
        <f>"00872649"</f>
        <v>00872649</v>
      </c>
    </row>
    <row r="20004" spans="1:2" x14ac:dyDescent="0.25">
      <c r="A20004" s="2">
        <v>19999</v>
      </c>
      <c r="B20004" s="11" t="str">
        <f>"00872687"</f>
        <v>00872687</v>
      </c>
    </row>
    <row r="20005" spans="1:2" x14ac:dyDescent="0.25">
      <c r="A20005" s="2">
        <v>20000</v>
      </c>
      <c r="B20005" s="11" t="str">
        <f>"00872698"</f>
        <v>00872698</v>
      </c>
    </row>
    <row r="20006" spans="1:2" x14ac:dyDescent="0.25">
      <c r="A20006" s="2">
        <v>20001</v>
      </c>
      <c r="B20006" s="11" t="str">
        <f>"00872746"</f>
        <v>00872746</v>
      </c>
    </row>
    <row r="20007" spans="1:2" x14ac:dyDescent="0.25">
      <c r="A20007" s="2">
        <v>20002</v>
      </c>
      <c r="B20007" s="11" t="str">
        <f>"00872755"</f>
        <v>00872755</v>
      </c>
    </row>
    <row r="20008" spans="1:2" x14ac:dyDescent="0.25">
      <c r="A20008" s="2">
        <v>20003</v>
      </c>
      <c r="B20008" s="11" t="str">
        <f>"00872784"</f>
        <v>00872784</v>
      </c>
    </row>
    <row r="20009" spans="1:2" x14ac:dyDescent="0.25">
      <c r="A20009" s="2">
        <v>20004</v>
      </c>
      <c r="B20009" s="11" t="str">
        <f>"00872849"</f>
        <v>00872849</v>
      </c>
    </row>
    <row r="20010" spans="1:2" x14ac:dyDescent="0.25">
      <c r="A20010" s="2">
        <v>20005</v>
      </c>
      <c r="B20010" s="11" t="str">
        <f>"00872862"</f>
        <v>00872862</v>
      </c>
    </row>
    <row r="20011" spans="1:2" x14ac:dyDescent="0.25">
      <c r="A20011" s="2">
        <v>20006</v>
      </c>
      <c r="B20011" s="11" t="str">
        <f>"00872883"</f>
        <v>00872883</v>
      </c>
    </row>
    <row r="20012" spans="1:2" x14ac:dyDescent="0.25">
      <c r="A20012" s="2">
        <v>20007</v>
      </c>
      <c r="B20012" s="11" t="str">
        <f>"00872960"</f>
        <v>00872960</v>
      </c>
    </row>
    <row r="20013" spans="1:2" x14ac:dyDescent="0.25">
      <c r="A20013" s="2">
        <v>20008</v>
      </c>
      <c r="B20013" s="11" t="str">
        <f>"00872971"</f>
        <v>00872971</v>
      </c>
    </row>
    <row r="20014" spans="1:2" x14ac:dyDescent="0.25">
      <c r="A20014" s="2">
        <v>20009</v>
      </c>
      <c r="B20014" s="11" t="str">
        <f>"00872974"</f>
        <v>00872974</v>
      </c>
    </row>
    <row r="20015" spans="1:2" x14ac:dyDescent="0.25">
      <c r="A20015" s="2">
        <v>20010</v>
      </c>
      <c r="B20015" s="11" t="str">
        <f>"00872981"</f>
        <v>00872981</v>
      </c>
    </row>
    <row r="20016" spans="1:2" x14ac:dyDescent="0.25">
      <c r="A20016" s="2">
        <v>20011</v>
      </c>
      <c r="B20016" s="11" t="str">
        <f>"00873089"</f>
        <v>00873089</v>
      </c>
    </row>
    <row r="20017" spans="1:2" x14ac:dyDescent="0.25">
      <c r="A20017" s="2">
        <v>20012</v>
      </c>
      <c r="B20017" s="11" t="str">
        <f>"00873098"</f>
        <v>00873098</v>
      </c>
    </row>
    <row r="20018" spans="1:2" x14ac:dyDescent="0.25">
      <c r="A20018" s="2">
        <v>20013</v>
      </c>
      <c r="B20018" s="11" t="str">
        <f>"00873099"</f>
        <v>00873099</v>
      </c>
    </row>
    <row r="20019" spans="1:2" x14ac:dyDescent="0.25">
      <c r="A20019" s="2">
        <v>20014</v>
      </c>
      <c r="B20019" s="11" t="str">
        <f>"00873115"</f>
        <v>00873115</v>
      </c>
    </row>
    <row r="20020" spans="1:2" x14ac:dyDescent="0.25">
      <c r="A20020" s="2">
        <v>20015</v>
      </c>
      <c r="B20020" s="11" t="str">
        <f>"00873121"</f>
        <v>00873121</v>
      </c>
    </row>
    <row r="20021" spans="1:2" x14ac:dyDescent="0.25">
      <c r="A20021" s="2">
        <v>20016</v>
      </c>
      <c r="B20021" s="11" t="str">
        <f>"00873140"</f>
        <v>00873140</v>
      </c>
    </row>
    <row r="20022" spans="1:2" x14ac:dyDescent="0.25">
      <c r="A20022" s="2">
        <v>20017</v>
      </c>
      <c r="B20022" s="11" t="str">
        <f>"00873183"</f>
        <v>00873183</v>
      </c>
    </row>
    <row r="20023" spans="1:2" x14ac:dyDescent="0.25">
      <c r="A20023" s="2">
        <v>20018</v>
      </c>
      <c r="B20023" s="11" t="str">
        <f>"00873184"</f>
        <v>00873184</v>
      </c>
    </row>
    <row r="20024" spans="1:2" x14ac:dyDescent="0.25">
      <c r="A20024" s="2">
        <v>20019</v>
      </c>
      <c r="B20024" s="11" t="str">
        <f>"00873234"</f>
        <v>00873234</v>
      </c>
    </row>
    <row r="20025" spans="1:2" x14ac:dyDescent="0.25">
      <c r="A20025" s="2">
        <v>20020</v>
      </c>
      <c r="B20025" s="11" t="str">
        <f>"00873257"</f>
        <v>00873257</v>
      </c>
    </row>
    <row r="20026" spans="1:2" x14ac:dyDescent="0.25">
      <c r="A20026" s="2">
        <v>20021</v>
      </c>
      <c r="B20026" s="11" t="str">
        <f>"00873278"</f>
        <v>00873278</v>
      </c>
    </row>
    <row r="20027" spans="1:2" x14ac:dyDescent="0.25">
      <c r="A20027" s="2">
        <v>20022</v>
      </c>
      <c r="B20027" s="11" t="str">
        <f>"00873282"</f>
        <v>00873282</v>
      </c>
    </row>
    <row r="20028" spans="1:2" x14ac:dyDescent="0.25">
      <c r="A20028" s="2">
        <v>20023</v>
      </c>
      <c r="B20028" s="11" t="str">
        <f>"00873337"</f>
        <v>00873337</v>
      </c>
    </row>
    <row r="20029" spans="1:2" x14ac:dyDescent="0.25">
      <c r="A20029" s="2">
        <v>20024</v>
      </c>
      <c r="B20029" s="11" t="str">
        <f>"00873369"</f>
        <v>00873369</v>
      </c>
    </row>
    <row r="20030" spans="1:2" x14ac:dyDescent="0.25">
      <c r="A20030" s="2">
        <v>20025</v>
      </c>
      <c r="B20030" s="11" t="str">
        <f>"00873399"</f>
        <v>00873399</v>
      </c>
    </row>
    <row r="20031" spans="1:2" x14ac:dyDescent="0.25">
      <c r="A20031" s="2">
        <v>20026</v>
      </c>
      <c r="B20031" s="11" t="str">
        <f>"00873474"</f>
        <v>00873474</v>
      </c>
    </row>
    <row r="20032" spans="1:2" x14ac:dyDescent="0.25">
      <c r="A20032" s="2">
        <v>20027</v>
      </c>
      <c r="B20032" s="11" t="str">
        <f>"00873487"</f>
        <v>00873487</v>
      </c>
    </row>
    <row r="20033" spans="1:2" x14ac:dyDescent="0.25">
      <c r="A20033" s="2">
        <v>20028</v>
      </c>
      <c r="B20033" s="11" t="str">
        <f>"00873498"</f>
        <v>00873498</v>
      </c>
    </row>
    <row r="20034" spans="1:2" x14ac:dyDescent="0.25">
      <c r="A20034" s="2">
        <v>20029</v>
      </c>
      <c r="B20034" s="11" t="str">
        <f>"00873505"</f>
        <v>00873505</v>
      </c>
    </row>
    <row r="20035" spans="1:2" x14ac:dyDescent="0.25">
      <c r="A20035" s="2">
        <v>20030</v>
      </c>
      <c r="B20035" s="11" t="str">
        <f>"00873515"</f>
        <v>00873515</v>
      </c>
    </row>
    <row r="20036" spans="1:2" x14ac:dyDescent="0.25">
      <c r="A20036" s="2">
        <v>20031</v>
      </c>
      <c r="B20036" s="11" t="str">
        <f>"00873541"</f>
        <v>00873541</v>
      </c>
    </row>
    <row r="20037" spans="1:2" x14ac:dyDescent="0.25">
      <c r="A20037" s="2">
        <v>20032</v>
      </c>
      <c r="B20037" s="11" t="str">
        <f>"00873542"</f>
        <v>00873542</v>
      </c>
    </row>
    <row r="20038" spans="1:2" x14ac:dyDescent="0.25">
      <c r="A20038" s="2">
        <v>20033</v>
      </c>
      <c r="B20038" s="11" t="str">
        <f>"00873638"</f>
        <v>00873638</v>
      </c>
    </row>
    <row r="20039" spans="1:2" x14ac:dyDescent="0.25">
      <c r="A20039" s="2">
        <v>20034</v>
      </c>
      <c r="B20039" s="11" t="str">
        <f>"00873665"</f>
        <v>00873665</v>
      </c>
    </row>
    <row r="20040" spans="1:2" x14ac:dyDescent="0.25">
      <c r="A20040" s="2">
        <v>20035</v>
      </c>
      <c r="B20040" s="11" t="str">
        <f>"00873730"</f>
        <v>00873730</v>
      </c>
    </row>
    <row r="20041" spans="1:2" x14ac:dyDescent="0.25">
      <c r="A20041" s="2">
        <v>20036</v>
      </c>
      <c r="B20041" s="11" t="str">
        <f>"00873774"</f>
        <v>00873774</v>
      </c>
    </row>
    <row r="20042" spans="1:2" x14ac:dyDescent="0.25">
      <c r="A20042" s="2">
        <v>20037</v>
      </c>
      <c r="B20042" s="11" t="str">
        <f>"00873782"</f>
        <v>00873782</v>
      </c>
    </row>
    <row r="20043" spans="1:2" x14ac:dyDescent="0.25">
      <c r="A20043" s="2">
        <v>20038</v>
      </c>
      <c r="B20043" s="11" t="str">
        <f>"00873816"</f>
        <v>00873816</v>
      </c>
    </row>
    <row r="20044" spans="1:2" x14ac:dyDescent="0.25">
      <c r="A20044" s="2">
        <v>20039</v>
      </c>
      <c r="B20044" s="11" t="str">
        <f>"00873822"</f>
        <v>00873822</v>
      </c>
    </row>
    <row r="20045" spans="1:2" x14ac:dyDescent="0.25">
      <c r="A20045" s="2">
        <v>20040</v>
      </c>
      <c r="B20045" s="11" t="str">
        <f>"00873828"</f>
        <v>00873828</v>
      </c>
    </row>
    <row r="20046" spans="1:2" x14ac:dyDescent="0.25">
      <c r="A20046" s="2">
        <v>20041</v>
      </c>
      <c r="B20046" s="11" t="str">
        <f>"00873846"</f>
        <v>00873846</v>
      </c>
    </row>
    <row r="20047" spans="1:2" x14ac:dyDescent="0.25">
      <c r="A20047" s="2">
        <v>20042</v>
      </c>
      <c r="B20047" s="11" t="str">
        <f>"00873897"</f>
        <v>00873897</v>
      </c>
    </row>
    <row r="20048" spans="1:2" x14ac:dyDescent="0.25">
      <c r="A20048" s="2">
        <v>20043</v>
      </c>
      <c r="B20048" s="11" t="str">
        <f>"00873900"</f>
        <v>00873900</v>
      </c>
    </row>
    <row r="20049" spans="1:2" x14ac:dyDescent="0.25">
      <c r="A20049" s="2">
        <v>20044</v>
      </c>
      <c r="B20049" s="11" t="str">
        <f>"00873918"</f>
        <v>00873918</v>
      </c>
    </row>
    <row r="20050" spans="1:2" x14ac:dyDescent="0.25">
      <c r="A20050" s="2">
        <v>20045</v>
      </c>
      <c r="B20050" s="11" t="str">
        <f>"00873926"</f>
        <v>00873926</v>
      </c>
    </row>
    <row r="20051" spans="1:2" x14ac:dyDescent="0.25">
      <c r="A20051" s="2">
        <v>20046</v>
      </c>
      <c r="B20051" s="11" t="str">
        <f>"00873936"</f>
        <v>00873936</v>
      </c>
    </row>
    <row r="20052" spans="1:2" x14ac:dyDescent="0.25">
      <c r="A20052" s="2">
        <v>20047</v>
      </c>
      <c r="B20052" s="11" t="str">
        <f>"00873937"</f>
        <v>00873937</v>
      </c>
    </row>
    <row r="20053" spans="1:2" x14ac:dyDescent="0.25">
      <c r="A20053" s="2">
        <v>20048</v>
      </c>
      <c r="B20053" s="11" t="str">
        <f>"00873941"</f>
        <v>00873941</v>
      </c>
    </row>
    <row r="20054" spans="1:2" x14ac:dyDescent="0.25">
      <c r="A20054" s="2">
        <v>20049</v>
      </c>
      <c r="B20054" s="11" t="str">
        <f>"00873944"</f>
        <v>00873944</v>
      </c>
    </row>
    <row r="20055" spans="1:2" x14ac:dyDescent="0.25">
      <c r="A20055" s="2">
        <v>20050</v>
      </c>
      <c r="B20055" s="11" t="str">
        <f>"00873952"</f>
        <v>00873952</v>
      </c>
    </row>
    <row r="20056" spans="1:2" x14ac:dyDescent="0.25">
      <c r="A20056" s="2">
        <v>20051</v>
      </c>
      <c r="B20056" s="11" t="str">
        <f>"00873980"</f>
        <v>00873980</v>
      </c>
    </row>
    <row r="20057" spans="1:2" x14ac:dyDescent="0.25">
      <c r="A20057" s="2">
        <v>20052</v>
      </c>
      <c r="B20057" s="11" t="str">
        <f>"00873982"</f>
        <v>00873982</v>
      </c>
    </row>
    <row r="20058" spans="1:2" x14ac:dyDescent="0.25">
      <c r="A20058" s="2">
        <v>20053</v>
      </c>
      <c r="B20058" s="11" t="str">
        <f>"00874037"</f>
        <v>00874037</v>
      </c>
    </row>
    <row r="20059" spans="1:2" x14ac:dyDescent="0.25">
      <c r="A20059" s="2">
        <v>20054</v>
      </c>
      <c r="B20059" s="11" t="str">
        <f>"00874067"</f>
        <v>00874067</v>
      </c>
    </row>
    <row r="20060" spans="1:2" x14ac:dyDescent="0.25">
      <c r="A20060" s="2">
        <v>20055</v>
      </c>
      <c r="B20060" s="11" t="str">
        <f>"00874073"</f>
        <v>00874073</v>
      </c>
    </row>
    <row r="20061" spans="1:2" x14ac:dyDescent="0.25">
      <c r="A20061" s="2">
        <v>20056</v>
      </c>
      <c r="B20061" s="11" t="str">
        <f>"00874082"</f>
        <v>00874082</v>
      </c>
    </row>
    <row r="20062" spans="1:2" x14ac:dyDescent="0.25">
      <c r="A20062" s="2">
        <v>20057</v>
      </c>
      <c r="B20062" s="11" t="str">
        <f>"00874105"</f>
        <v>00874105</v>
      </c>
    </row>
    <row r="20063" spans="1:2" x14ac:dyDescent="0.25">
      <c r="A20063" s="2">
        <v>20058</v>
      </c>
      <c r="B20063" s="11" t="str">
        <f>"00874170"</f>
        <v>00874170</v>
      </c>
    </row>
    <row r="20064" spans="1:2" x14ac:dyDescent="0.25">
      <c r="A20064" s="2">
        <v>20059</v>
      </c>
      <c r="B20064" s="11" t="str">
        <f>"00874173"</f>
        <v>00874173</v>
      </c>
    </row>
    <row r="20065" spans="1:2" x14ac:dyDescent="0.25">
      <c r="A20065" s="2">
        <v>20060</v>
      </c>
      <c r="B20065" s="11" t="str">
        <f>"00874191"</f>
        <v>00874191</v>
      </c>
    </row>
    <row r="20066" spans="1:2" x14ac:dyDescent="0.25">
      <c r="A20066" s="2">
        <v>20061</v>
      </c>
      <c r="B20066" s="11" t="str">
        <f>"00874196"</f>
        <v>00874196</v>
      </c>
    </row>
    <row r="20067" spans="1:2" x14ac:dyDescent="0.25">
      <c r="A20067" s="2">
        <v>20062</v>
      </c>
      <c r="B20067" s="11" t="str">
        <f>"00874197"</f>
        <v>00874197</v>
      </c>
    </row>
    <row r="20068" spans="1:2" x14ac:dyDescent="0.25">
      <c r="A20068" s="2">
        <v>20063</v>
      </c>
      <c r="B20068" s="11" t="str">
        <f>"00874213"</f>
        <v>00874213</v>
      </c>
    </row>
    <row r="20069" spans="1:2" x14ac:dyDescent="0.25">
      <c r="A20069" s="2">
        <v>20064</v>
      </c>
      <c r="B20069" s="11" t="str">
        <f>"00874220"</f>
        <v>00874220</v>
      </c>
    </row>
    <row r="20070" spans="1:2" x14ac:dyDescent="0.25">
      <c r="A20070" s="2">
        <v>20065</v>
      </c>
      <c r="B20070" s="11" t="str">
        <f>"00874248"</f>
        <v>00874248</v>
      </c>
    </row>
    <row r="20071" spans="1:2" x14ac:dyDescent="0.25">
      <c r="A20071" s="2">
        <v>20066</v>
      </c>
      <c r="B20071" s="11" t="str">
        <f>"00874252"</f>
        <v>00874252</v>
      </c>
    </row>
    <row r="20072" spans="1:2" x14ac:dyDescent="0.25">
      <c r="A20072" s="2">
        <v>20067</v>
      </c>
      <c r="B20072" s="11" t="str">
        <f>"00874258"</f>
        <v>00874258</v>
      </c>
    </row>
    <row r="20073" spans="1:2" x14ac:dyDescent="0.25">
      <c r="A20073" s="2">
        <v>20068</v>
      </c>
      <c r="B20073" s="11" t="str">
        <f>"00874267"</f>
        <v>00874267</v>
      </c>
    </row>
    <row r="20074" spans="1:2" x14ac:dyDescent="0.25">
      <c r="A20074" s="2">
        <v>20069</v>
      </c>
      <c r="B20074" s="11" t="str">
        <f>"00874272"</f>
        <v>00874272</v>
      </c>
    </row>
    <row r="20075" spans="1:2" x14ac:dyDescent="0.25">
      <c r="A20075" s="2">
        <v>20070</v>
      </c>
      <c r="B20075" s="11" t="str">
        <f>"00874280"</f>
        <v>00874280</v>
      </c>
    </row>
    <row r="20076" spans="1:2" x14ac:dyDescent="0.25">
      <c r="A20076" s="2">
        <v>20071</v>
      </c>
      <c r="B20076" s="11" t="str">
        <f>"00874290"</f>
        <v>00874290</v>
      </c>
    </row>
    <row r="20077" spans="1:2" x14ac:dyDescent="0.25">
      <c r="A20077" s="2">
        <v>20072</v>
      </c>
      <c r="B20077" s="11" t="str">
        <f>"00874305"</f>
        <v>00874305</v>
      </c>
    </row>
    <row r="20078" spans="1:2" x14ac:dyDescent="0.25">
      <c r="A20078" s="2">
        <v>20073</v>
      </c>
      <c r="B20078" s="11" t="str">
        <f>"00874329"</f>
        <v>00874329</v>
      </c>
    </row>
    <row r="20079" spans="1:2" x14ac:dyDescent="0.25">
      <c r="A20079" s="2">
        <v>20074</v>
      </c>
      <c r="B20079" s="11" t="str">
        <f>"00874332"</f>
        <v>00874332</v>
      </c>
    </row>
    <row r="20080" spans="1:2" x14ac:dyDescent="0.25">
      <c r="A20080" s="2">
        <v>20075</v>
      </c>
      <c r="B20080" s="11" t="str">
        <f>"00874363"</f>
        <v>00874363</v>
      </c>
    </row>
    <row r="20081" spans="1:2" x14ac:dyDescent="0.25">
      <c r="A20081" s="2">
        <v>20076</v>
      </c>
      <c r="B20081" s="11" t="str">
        <f>"00874369"</f>
        <v>00874369</v>
      </c>
    </row>
    <row r="20082" spans="1:2" x14ac:dyDescent="0.25">
      <c r="A20082" s="2">
        <v>20077</v>
      </c>
      <c r="B20082" s="11" t="str">
        <f>"00874401"</f>
        <v>00874401</v>
      </c>
    </row>
    <row r="20083" spans="1:2" x14ac:dyDescent="0.25">
      <c r="A20083" s="2">
        <v>20078</v>
      </c>
      <c r="B20083" s="11" t="str">
        <f>"00874418"</f>
        <v>00874418</v>
      </c>
    </row>
    <row r="20084" spans="1:2" x14ac:dyDescent="0.25">
      <c r="A20084" s="2">
        <v>20079</v>
      </c>
      <c r="B20084" s="11" t="str">
        <f>"00874422"</f>
        <v>00874422</v>
      </c>
    </row>
    <row r="20085" spans="1:2" x14ac:dyDescent="0.25">
      <c r="A20085" s="2">
        <v>20080</v>
      </c>
      <c r="B20085" s="11" t="str">
        <f>"00874447"</f>
        <v>00874447</v>
      </c>
    </row>
    <row r="20086" spans="1:2" x14ac:dyDescent="0.25">
      <c r="A20086" s="2">
        <v>20081</v>
      </c>
      <c r="B20086" s="11" t="str">
        <f>"00874483"</f>
        <v>00874483</v>
      </c>
    </row>
    <row r="20087" spans="1:2" x14ac:dyDescent="0.25">
      <c r="A20087" s="2">
        <v>20082</v>
      </c>
      <c r="B20087" s="11" t="str">
        <f>"00874491"</f>
        <v>00874491</v>
      </c>
    </row>
    <row r="20088" spans="1:2" x14ac:dyDescent="0.25">
      <c r="A20088" s="2">
        <v>20083</v>
      </c>
      <c r="B20088" s="11" t="str">
        <f>"00874506"</f>
        <v>00874506</v>
      </c>
    </row>
    <row r="20089" spans="1:2" x14ac:dyDescent="0.25">
      <c r="A20089" s="2">
        <v>20084</v>
      </c>
      <c r="B20089" s="11" t="str">
        <f>"00874513"</f>
        <v>00874513</v>
      </c>
    </row>
    <row r="20090" spans="1:2" x14ac:dyDescent="0.25">
      <c r="A20090" s="2">
        <v>20085</v>
      </c>
      <c r="B20090" s="11" t="str">
        <f>"00874520"</f>
        <v>00874520</v>
      </c>
    </row>
    <row r="20091" spans="1:2" x14ac:dyDescent="0.25">
      <c r="A20091" s="2">
        <v>20086</v>
      </c>
      <c r="B20091" s="11" t="str">
        <f>"00874559"</f>
        <v>00874559</v>
      </c>
    </row>
    <row r="20092" spans="1:2" x14ac:dyDescent="0.25">
      <c r="A20092" s="2">
        <v>20087</v>
      </c>
      <c r="B20092" s="11" t="str">
        <f>"00874565"</f>
        <v>00874565</v>
      </c>
    </row>
    <row r="20093" spans="1:2" x14ac:dyDescent="0.25">
      <c r="A20093" s="2">
        <v>20088</v>
      </c>
      <c r="B20093" s="11" t="str">
        <f>"00874576"</f>
        <v>00874576</v>
      </c>
    </row>
    <row r="20094" spans="1:2" x14ac:dyDescent="0.25">
      <c r="A20094" s="2">
        <v>20089</v>
      </c>
      <c r="B20094" s="11" t="str">
        <f>"00874595"</f>
        <v>00874595</v>
      </c>
    </row>
    <row r="20095" spans="1:2" x14ac:dyDescent="0.25">
      <c r="A20095" s="2">
        <v>20090</v>
      </c>
      <c r="B20095" s="11" t="str">
        <f>"00874660"</f>
        <v>00874660</v>
      </c>
    </row>
    <row r="20096" spans="1:2" x14ac:dyDescent="0.25">
      <c r="A20096" s="2">
        <v>20091</v>
      </c>
      <c r="B20096" s="11" t="str">
        <f>"00874677"</f>
        <v>00874677</v>
      </c>
    </row>
    <row r="20097" spans="1:2" x14ac:dyDescent="0.25">
      <c r="A20097" s="2">
        <v>20092</v>
      </c>
      <c r="B20097" s="11" t="str">
        <f>"00874679"</f>
        <v>00874679</v>
      </c>
    </row>
    <row r="20098" spans="1:2" x14ac:dyDescent="0.25">
      <c r="A20098" s="2">
        <v>20093</v>
      </c>
      <c r="B20098" s="11" t="str">
        <f>"00874691"</f>
        <v>00874691</v>
      </c>
    </row>
    <row r="20099" spans="1:2" x14ac:dyDescent="0.25">
      <c r="A20099" s="2">
        <v>20094</v>
      </c>
      <c r="B20099" s="11" t="str">
        <f>"00874707"</f>
        <v>00874707</v>
      </c>
    </row>
    <row r="20100" spans="1:2" x14ac:dyDescent="0.25">
      <c r="A20100" s="2">
        <v>20095</v>
      </c>
      <c r="B20100" s="11" t="str">
        <f>"00874753"</f>
        <v>00874753</v>
      </c>
    </row>
    <row r="20101" spans="1:2" x14ac:dyDescent="0.25">
      <c r="A20101" s="2">
        <v>20096</v>
      </c>
      <c r="B20101" s="11" t="str">
        <f>"00874831"</f>
        <v>00874831</v>
      </c>
    </row>
    <row r="20102" spans="1:2" x14ac:dyDescent="0.25">
      <c r="A20102" s="2">
        <v>20097</v>
      </c>
      <c r="B20102" s="11" t="str">
        <f>"00874834"</f>
        <v>00874834</v>
      </c>
    </row>
    <row r="20103" spans="1:2" x14ac:dyDescent="0.25">
      <c r="A20103" s="2">
        <v>20098</v>
      </c>
      <c r="B20103" s="11" t="str">
        <f>"00874838"</f>
        <v>00874838</v>
      </c>
    </row>
    <row r="20104" spans="1:2" x14ac:dyDescent="0.25">
      <c r="A20104" s="2">
        <v>20099</v>
      </c>
      <c r="B20104" s="11" t="str">
        <f>"00874862"</f>
        <v>00874862</v>
      </c>
    </row>
    <row r="20105" spans="1:2" x14ac:dyDescent="0.25">
      <c r="A20105" s="2">
        <v>20100</v>
      </c>
      <c r="B20105" s="11" t="str">
        <f>"00874889"</f>
        <v>00874889</v>
      </c>
    </row>
    <row r="20106" spans="1:2" x14ac:dyDescent="0.25">
      <c r="A20106" s="2">
        <v>20101</v>
      </c>
      <c r="B20106" s="11" t="str">
        <f>"00874894"</f>
        <v>00874894</v>
      </c>
    </row>
    <row r="20107" spans="1:2" x14ac:dyDescent="0.25">
      <c r="A20107" s="2">
        <v>20102</v>
      </c>
      <c r="B20107" s="11" t="str">
        <f>"00874934"</f>
        <v>00874934</v>
      </c>
    </row>
    <row r="20108" spans="1:2" x14ac:dyDescent="0.25">
      <c r="A20108" s="2">
        <v>20103</v>
      </c>
      <c r="B20108" s="11" t="str">
        <f>"00874941"</f>
        <v>00874941</v>
      </c>
    </row>
    <row r="20109" spans="1:2" x14ac:dyDescent="0.25">
      <c r="A20109" s="2">
        <v>20104</v>
      </c>
      <c r="B20109" s="11" t="str">
        <f>"00874981"</f>
        <v>00874981</v>
      </c>
    </row>
    <row r="20110" spans="1:2" x14ac:dyDescent="0.25">
      <c r="A20110" s="2">
        <v>20105</v>
      </c>
      <c r="B20110" s="11" t="str">
        <f>"00875003"</f>
        <v>00875003</v>
      </c>
    </row>
    <row r="20111" spans="1:2" x14ac:dyDescent="0.25">
      <c r="A20111" s="2">
        <v>20106</v>
      </c>
      <c r="B20111" s="11" t="str">
        <f>"00875066"</f>
        <v>00875066</v>
      </c>
    </row>
    <row r="20112" spans="1:2" x14ac:dyDescent="0.25">
      <c r="A20112" s="2">
        <v>20107</v>
      </c>
      <c r="B20112" s="11" t="str">
        <f>"00875068"</f>
        <v>00875068</v>
      </c>
    </row>
    <row r="20113" spans="1:2" x14ac:dyDescent="0.25">
      <c r="A20113" s="2">
        <v>20108</v>
      </c>
      <c r="B20113" s="11" t="str">
        <f>"00875088"</f>
        <v>00875088</v>
      </c>
    </row>
    <row r="20114" spans="1:2" x14ac:dyDescent="0.25">
      <c r="A20114" s="2">
        <v>20109</v>
      </c>
      <c r="B20114" s="11" t="str">
        <f>"00875091"</f>
        <v>00875091</v>
      </c>
    </row>
    <row r="20115" spans="1:2" x14ac:dyDescent="0.25">
      <c r="A20115" s="2">
        <v>20110</v>
      </c>
      <c r="B20115" s="11" t="str">
        <f>"00875093"</f>
        <v>00875093</v>
      </c>
    </row>
    <row r="20116" spans="1:2" x14ac:dyDescent="0.25">
      <c r="A20116" s="2">
        <v>20111</v>
      </c>
      <c r="B20116" s="11" t="str">
        <f>"00875128"</f>
        <v>00875128</v>
      </c>
    </row>
    <row r="20117" spans="1:2" x14ac:dyDescent="0.25">
      <c r="A20117" s="2">
        <v>20112</v>
      </c>
      <c r="B20117" s="11" t="str">
        <f>"00875147"</f>
        <v>00875147</v>
      </c>
    </row>
    <row r="20118" spans="1:2" x14ac:dyDescent="0.25">
      <c r="A20118" s="2">
        <v>20113</v>
      </c>
      <c r="B20118" s="11" t="str">
        <f>"00875163"</f>
        <v>00875163</v>
      </c>
    </row>
    <row r="20119" spans="1:2" x14ac:dyDescent="0.25">
      <c r="A20119" s="2">
        <v>20114</v>
      </c>
      <c r="B20119" s="11" t="str">
        <f>"00875172"</f>
        <v>00875172</v>
      </c>
    </row>
    <row r="20120" spans="1:2" x14ac:dyDescent="0.25">
      <c r="A20120" s="2">
        <v>20115</v>
      </c>
      <c r="B20120" s="11" t="str">
        <f>"00875205"</f>
        <v>00875205</v>
      </c>
    </row>
    <row r="20121" spans="1:2" x14ac:dyDescent="0.25">
      <c r="A20121" s="2">
        <v>20116</v>
      </c>
      <c r="B20121" s="11" t="str">
        <f>"00875246"</f>
        <v>00875246</v>
      </c>
    </row>
    <row r="20122" spans="1:2" x14ac:dyDescent="0.25">
      <c r="A20122" s="2">
        <v>20117</v>
      </c>
      <c r="B20122" s="11" t="str">
        <f>"00875250"</f>
        <v>00875250</v>
      </c>
    </row>
    <row r="20123" spans="1:2" x14ac:dyDescent="0.25">
      <c r="A20123" s="2">
        <v>20118</v>
      </c>
      <c r="B20123" s="11" t="str">
        <f>"00875261"</f>
        <v>00875261</v>
      </c>
    </row>
    <row r="20124" spans="1:2" x14ac:dyDescent="0.25">
      <c r="A20124" s="2">
        <v>20119</v>
      </c>
      <c r="B20124" s="11" t="str">
        <f>"00875282"</f>
        <v>00875282</v>
      </c>
    </row>
    <row r="20125" spans="1:2" x14ac:dyDescent="0.25">
      <c r="A20125" s="2">
        <v>20120</v>
      </c>
      <c r="B20125" s="11" t="str">
        <f>"00875340"</f>
        <v>00875340</v>
      </c>
    </row>
    <row r="20126" spans="1:2" x14ac:dyDescent="0.25">
      <c r="A20126" s="2">
        <v>20121</v>
      </c>
      <c r="B20126" s="11" t="str">
        <f>"00875343"</f>
        <v>00875343</v>
      </c>
    </row>
    <row r="20127" spans="1:2" x14ac:dyDescent="0.25">
      <c r="A20127" s="2">
        <v>20122</v>
      </c>
      <c r="B20127" s="11" t="str">
        <f>"00875351"</f>
        <v>00875351</v>
      </c>
    </row>
    <row r="20128" spans="1:2" x14ac:dyDescent="0.25">
      <c r="A20128" s="2">
        <v>20123</v>
      </c>
      <c r="B20128" s="11" t="str">
        <f>"00875361"</f>
        <v>00875361</v>
      </c>
    </row>
    <row r="20129" spans="1:2" x14ac:dyDescent="0.25">
      <c r="A20129" s="2">
        <v>20124</v>
      </c>
      <c r="B20129" s="11" t="str">
        <f>"00875403"</f>
        <v>00875403</v>
      </c>
    </row>
    <row r="20130" spans="1:2" x14ac:dyDescent="0.25">
      <c r="A20130" s="2">
        <v>20125</v>
      </c>
      <c r="B20130" s="11" t="str">
        <f>"00875404"</f>
        <v>00875404</v>
      </c>
    </row>
    <row r="20131" spans="1:2" x14ac:dyDescent="0.25">
      <c r="A20131" s="2">
        <v>20126</v>
      </c>
      <c r="B20131" s="11" t="str">
        <f>"00875406"</f>
        <v>00875406</v>
      </c>
    </row>
    <row r="20132" spans="1:2" x14ac:dyDescent="0.25">
      <c r="A20132" s="2">
        <v>20127</v>
      </c>
      <c r="B20132" s="11" t="str">
        <f>"00875440"</f>
        <v>00875440</v>
      </c>
    </row>
    <row r="20133" spans="1:2" x14ac:dyDescent="0.25">
      <c r="A20133" s="2">
        <v>20128</v>
      </c>
      <c r="B20133" s="11" t="str">
        <f>"00875450"</f>
        <v>00875450</v>
      </c>
    </row>
    <row r="20134" spans="1:2" x14ac:dyDescent="0.25">
      <c r="A20134" s="2">
        <v>20129</v>
      </c>
      <c r="B20134" s="11" t="str">
        <f>"00875458"</f>
        <v>00875458</v>
      </c>
    </row>
    <row r="20135" spans="1:2" x14ac:dyDescent="0.25">
      <c r="A20135" s="2">
        <v>20130</v>
      </c>
      <c r="B20135" s="11" t="str">
        <f>"00875487"</f>
        <v>00875487</v>
      </c>
    </row>
    <row r="20136" spans="1:2" x14ac:dyDescent="0.25">
      <c r="A20136" s="2">
        <v>20131</v>
      </c>
      <c r="B20136" s="11" t="str">
        <f>"00875494"</f>
        <v>00875494</v>
      </c>
    </row>
    <row r="20137" spans="1:2" x14ac:dyDescent="0.25">
      <c r="A20137" s="2">
        <v>20132</v>
      </c>
      <c r="B20137" s="11" t="str">
        <f>"00875500"</f>
        <v>00875500</v>
      </c>
    </row>
    <row r="20138" spans="1:2" x14ac:dyDescent="0.25">
      <c r="A20138" s="2">
        <v>20133</v>
      </c>
      <c r="B20138" s="11" t="str">
        <f>"00875504"</f>
        <v>00875504</v>
      </c>
    </row>
    <row r="20139" spans="1:2" x14ac:dyDescent="0.25">
      <c r="A20139" s="2">
        <v>20134</v>
      </c>
      <c r="B20139" s="11" t="str">
        <f>"00875510"</f>
        <v>00875510</v>
      </c>
    </row>
    <row r="20140" spans="1:2" x14ac:dyDescent="0.25">
      <c r="A20140" s="2">
        <v>20135</v>
      </c>
      <c r="B20140" s="11" t="str">
        <f>"00875522"</f>
        <v>00875522</v>
      </c>
    </row>
    <row r="20141" spans="1:2" x14ac:dyDescent="0.25">
      <c r="A20141" s="2">
        <v>20136</v>
      </c>
      <c r="B20141" s="11" t="str">
        <f>"00875564"</f>
        <v>00875564</v>
      </c>
    </row>
    <row r="20142" spans="1:2" x14ac:dyDescent="0.25">
      <c r="A20142" s="2">
        <v>20137</v>
      </c>
      <c r="B20142" s="11" t="str">
        <f>"00875586"</f>
        <v>00875586</v>
      </c>
    </row>
    <row r="20143" spans="1:2" x14ac:dyDescent="0.25">
      <c r="A20143" s="2">
        <v>20138</v>
      </c>
      <c r="B20143" s="11" t="str">
        <f>"00875590"</f>
        <v>00875590</v>
      </c>
    </row>
    <row r="20144" spans="1:2" x14ac:dyDescent="0.25">
      <c r="A20144" s="2">
        <v>20139</v>
      </c>
      <c r="B20144" s="11" t="str">
        <f>"00875632"</f>
        <v>00875632</v>
      </c>
    </row>
    <row r="20145" spans="1:2" x14ac:dyDescent="0.25">
      <c r="A20145" s="2">
        <v>20140</v>
      </c>
      <c r="B20145" s="11" t="str">
        <f>"00875667"</f>
        <v>00875667</v>
      </c>
    </row>
    <row r="20146" spans="1:2" x14ac:dyDescent="0.25">
      <c r="A20146" s="2">
        <v>20141</v>
      </c>
      <c r="B20146" s="11" t="str">
        <f>"00875782"</f>
        <v>00875782</v>
      </c>
    </row>
    <row r="20147" spans="1:2" x14ac:dyDescent="0.25">
      <c r="A20147" s="2">
        <v>20142</v>
      </c>
      <c r="B20147" s="11" t="str">
        <f>"00875797"</f>
        <v>00875797</v>
      </c>
    </row>
    <row r="20148" spans="1:2" x14ac:dyDescent="0.25">
      <c r="A20148" s="2">
        <v>20143</v>
      </c>
      <c r="B20148" s="11" t="str">
        <f>"00875822"</f>
        <v>00875822</v>
      </c>
    </row>
    <row r="20149" spans="1:2" x14ac:dyDescent="0.25">
      <c r="A20149" s="2">
        <v>20144</v>
      </c>
      <c r="B20149" s="11" t="str">
        <f>"00875851"</f>
        <v>00875851</v>
      </c>
    </row>
    <row r="20150" spans="1:2" x14ac:dyDescent="0.25">
      <c r="A20150" s="2">
        <v>20145</v>
      </c>
      <c r="B20150" s="11" t="str">
        <f>"00875931"</f>
        <v>00875931</v>
      </c>
    </row>
    <row r="20151" spans="1:2" x14ac:dyDescent="0.25">
      <c r="A20151" s="2">
        <v>20146</v>
      </c>
      <c r="B20151" s="11" t="str">
        <f>"00875959"</f>
        <v>00875959</v>
      </c>
    </row>
    <row r="20152" spans="1:2" x14ac:dyDescent="0.25">
      <c r="A20152" s="2">
        <v>20147</v>
      </c>
      <c r="B20152" s="11" t="str">
        <f>"00875962"</f>
        <v>00875962</v>
      </c>
    </row>
    <row r="20153" spans="1:2" x14ac:dyDescent="0.25">
      <c r="A20153" s="2">
        <v>20148</v>
      </c>
      <c r="B20153" s="11" t="str">
        <f>"00875975"</f>
        <v>00875975</v>
      </c>
    </row>
    <row r="20154" spans="1:2" x14ac:dyDescent="0.25">
      <c r="A20154" s="2">
        <v>20149</v>
      </c>
      <c r="B20154" s="11" t="str">
        <f>"00875987"</f>
        <v>00875987</v>
      </c>
    </row>
    <row r="20155" spans="1:2" x14ac:dyDescent="0.25">
      <c r="A20155" s="2">
        <v>20150</v>
      </c>
      <c r="B20155" s="11" t="str">
        <f>"00875988"</f>
        <v>00875988</v>
      </c>
    </row>
    <row r="20156" spans="1:2" x14ac:dyDescent="0.25">
      <c r="A20156" s="2">
        <v>20151</v>
      </c>
      <c r="B20156" s="11" t="str">
        <f>"00876019"</f>
        <v>00876019</v>
      </c>
    </row>
    <row r="20157" spans="1:2" x14ac:dyDescent="0.25">
      <c r="A20157" s="2">
        <v>20152</v>
      </c>
      <c r="B20157" s="11" t="str">
        <f>"00876021"</f>
        <v>00876021</v>
      </c>
    </row>
    <row r="20158" spans="1:2" x14ac:dyDescent="0.25">
      <c r="A20158" s="2">
        <v>20153</v>
      </c>
      <c r="B20158" s="11" t="str">
        <f>"00876032"</f>
        <v>00876032</v>
      </c>
    </row>
    <row r="20159" spans="1:2" x14ac:dyDescent="0.25">
      <c r="A20159" s="2">
        <v>20154</v>
      </c>
      <c r="B20159" s="11" t="str">
        <f>"00876046"</f>
        <v>00876046</v>
      </c>
    </row>
    <row r="20160" spans="1:2" x14ac:dyDescent="0.25">
      <c r="A20160" s="2">
        <v>20155</v>
      </c>
      <c r="B20160" s="11" t="str">
        <f>"00876056"</f>
        <v>00876056</v>
      </c>
    </row>
    <row r="20161" spans="1:2" x14ac:dyDescent="0.25">
      <c r="A20161" s="2">
        <v>20156</v>
      </c>
      <c r="B20161" s="11" t="str">
        <f>"00876059"</f>
        <v>00876059</v>
      </c>
    </row>
    <row r="20162" spans="1:2" x14ac:dyDescent="0.25">
      <c r="A20162" s="2">
        <v>20157</v>
      </c>
      <c r="B20162" s="11" t="str">
        <f>"00876069"</f>
        <v>00876069</v>
      </c>
    </row>
    <row r="20163" spans="1:2" x14ac:dyDescent="0.25">
      <c r="A20163" s="2">
        <v>20158</v>
      </c>
      <c r="B20163" s="11" t="str">
        <f>"00876074"</f>
        <v>00876074</v>
      </c>
    </row>
    <row r="20164" spans="1:2" x14ac:dyDescent="0.25">
      <c r="A20164" s="2">
        <v>20159</v>
      </c>
      <c r="B20164" s="11" t="str">
        <f>"00876092"</f>
        <v>00876092</v>
      </c>
    </row>
    <row r="20165" spans="1:2" x14ac:dyDescent="0.25">
      <c r="A20165" s="2">
        <v>20160</v>
      </c>
      <c r="B20165" s="11" t="str">
        <f>"00876109"</f>
        <v>00876109</v>
      </c>
    </row>
    <row r="20166" spans="1:2" x14ac:dyDescent="0.25">
      <c r="A20166" s="2">
        <v>20161</v>
      </c>
      <c r="B20166" s="11" t="str">
        <f>"00876116"</f>
        <v>00876116</v>
      </c>
    </row>
    <row r="20167" spans="1:2" x14ac:dyDescent="0.25">
      <c r="A20167" s="2">
        <v>20162</v>
      </c>
      <c r="B20167" s="11" t="str">
        <f>"00876137"</f>
        <v>00876137</v>
      </c>
    </row>
    <row r="20168" spans="1:2" x14ac:dyDescent="0.25">
      <c r="A20168" s="2">
        <v>20163</v>
      </c>
      <c r="B20168" s="11" t="str">
        <f>"00876195"</f>
        <v>00876195</v>
      </c>
    </row>
    <row r="20169" spans="1:2" x14ac:dyDescent="0.25">
      <c r="A20169" s="2">
        <v>20164</v>
      </c>
      <c r="B20169" s="11" t="str">
        <f>"00876215"</f>
        <v>00876215</v>
      </c>
    </row>
    <row r="20170" spans="1:2" x14ac:dyDescent="0.25">
      <c r="A20170" s="2">
        <v>20165</v>
      </c>
      <c r="B20170" s="11" t="str">
        <f>"00876265"</f>
        <v>00876265</v>
      </c>
    </row>
    <row r="20171" spans="1:2" x14ac:dyDescent="0.25">
      <c r="A20171" s="2">
        <v>20166</v>
      </c>
      <c r="B20171" s="11" t="str">
        <f>"00876298"</f>
        <v>00876298</v>
      </c>
    </row>
    <row r="20172" spans="1:2" x14ac:dyDescent="0.25">
      <c r="A20172" s="2">
        <v>20167</v>
      </c>
      <c r="B20172" s="11" t="str">
        <f>"00876302"</f>
        <v>00876302</v>
      </c>
    </row>
    <row r="20173" spans="1:2" x14ac:dyDescent="0.25">
      <c r="A20173" s="2">
        <v>20168</v>
      </c>
      <c r="B20173" s="11" t="str">
        <f>"00876354"</f>
        <v>00876354</v>
      </c>
    </row>
    <row r="20174" spans="1:2" x14ac:dyDescent="0.25">
      <c r="A20174" s="2">
        <v>20169</v>
      </c>
      <c r="B20174" s="11" t="str">
        <f>"00876355"</f>
        <v>00876355</v>
      </c>
    </row>
    <row r="20175" spans="1:2" x14ac:dyDescent="0.25">
      <c r="A20175" s="2">
        <v>20170</v>
      </c>
      <c r="B20175" s="11" t="str">
        <f>"00876363"</f>
        <v>00876363</v>
      </c>
    </row>
    <row r="20176" spans="1:2" x14ac:dyDescent="0.25">
      <c r="A20176" s="2">
        <v>20171</v>
      </c>
      <c r="B20176" s="11" t="str">
        <f>"00876481"</f>
        <v>00876481</v>
      </c>
    </row>
    <row r="20177" spans="1:2" x14ac:dyDescent="0.25">
      <c r="A20177" s="2">
        <v>20172</v>
      </c>
      <c r="B20177" s="11" t="str">
        <f>"00876483"</f>
        <v>00876483</v>
      </c>
    </row>
    <row r="20178" spans="1:2" x14ac:dyDescent="0.25">
      <c r="A20178" s="2">
        <v>20173</v>
      </c>
      <c r="B20178" s="11" t="str">
        <f>"00876488"</f>
        <v>00876488</v>
      </c>
    </row>
    <row r="20179" spans="1:2" x14ac:dyDescent="0.25">
      <c r="A20179" s="2">
        <v>20174</v>
      </c>
      <c r="B20179" s="11" t="str">
        <f>"00876519"</f>
        <v>00876519</v>
      </c>
    </row>
    <row r="20180" spans="1:2" x14ac:dyDescent="0.25">
      <c r="A20180" s="2">
        <v>20175</v>
      </c>
      <c r="B20180" s="11" t="str">
        <f>"00876529"</f>
        <v>00876529</v>
      </c>
    </row>
    <row r="20181" spans="1:2" x14ac:dyDescent="0.25">
      <c r="A20181" s="2">
        <v>20176</v>
      </c>
      <c r="B20181" s="11" t="str">
        <f>"00876543"</f>
        <v>00876543</v>
      </c>
    </row>
    <row r="20182" spans="1:2" x14ac:dyDescent="0.25">
      <c r="A20182" s="2">
        <v>20177</v>
      </c>
      <c r="B20182" s="11" t="str">
        <f>"00876549"</f>
        <v>00876549</v>
      </c>
    </row>
    <row r="20183" spans="1:2" x14ac:dyDescent="0.25">
      <c r="A20183" s="2">
        <v>20178</v>
      </c>
      <c r="B20183" s="11" t="str">
        <f>"00876556"</f>
        <v>00876556</v>
      </c>
    </row>
    <row r="20184" spans="1:2" x14ac:dyDescent="0.25">
      <c r="A20184" s="2">
        <v>20179</v>
      </c>
      <c r="B20184" s="11" t="str">
        <f>"00876563"</f>
        <v>00876563</v>
      </c>
    </row>
    <row r="20185" spans="1:2" x14ac:dyDescent="0.25">
      <c r="A20185" s="2">
        <v>20180</v>
      </c>
      <c r="B20185" s="11" t="str">
        <f>"00876567"</f>
        <v>00876567</v>
      </c>
    </row>
    <row r="20186" spans="1:2" x14ac:dyDescent="0.25">
      <c r="A20186" s="2">
        <v>20181</v>
      </c>
      <c r="B20186" s="11" t="str">
        <f>"00876573"</f>
        <v>00876573</v>
      </c>
    </row>
    <row r="20187" spans="1:2" x14ac:dyDescent="0.25">
      <c r="A20187" s="2">
        <v>20182</v>
      </c>
      <c r="B20187" s="11" t="str">
        <f>"00876579"</f>
        <v>00876579</v>
      </c>
    </row>
    <row r="20188" spans="1:2" x14ac:dyDescent="0.25">
      <c r="A20188" s="2">
        <v>20183</v>
      </c>
      <c r="B20188" s="11" t="str">
        <f>"00876605"</f>
        <v>00876605</v>
      </c>
    </row>
    <row r="20189" spans="1:2" x14ac:dyDescent="0.25">
      <c r="A20189" s="2">
        <v>20184</v>
      </c>
      <c r="B20189" s="11" t="str">
        <f>"00876727"</f>
        <v>00876727</v>
      </c>
    </row>
    <row r="20190" spans="1:2" x14ac:dyDescent="0.25">
      <c r="A20190" s="2">
        <v>20185</v>
      </c>
      <c r="B20190" s="11" t="str">
        <f>"00876735"</f>
        <v>00876735</v>
      </c>
    </row>
    <row r="20191" spans="1:2" x14ac:dyDescent="0.25">
      <c r="A20191" s="2">
        <v>20186</v>
      </c>
      <c r="B20191" s="11" t="str">
        <f>"00876785"</f>
        <v>00876785</v>
      </c>
    </row>
    <row r="20192" spans="1:2" x14ac:dyDescent="0.25">
      <c r="A20192" s="2">
        <v>20187</v>
      </c>
      <c r="B20192" s="11" t="str">
        <f>"00876796"</f>
        <v>00876796</v>
      </c>
    </row>
    <row r="20193" spans="1:2" x14ac:dyDescent="0.25">
      <c r="A20193" s="2">
        <v>20188</v>
      </c>
      <c r="B20193" s="11" t="str">
        <f>"00876807"</f>
        <v>00876807</v>
      </c>
    </row>
    <row r="20194" spans="1:2" x14ac:dyDescent="0.25">
      <c r="A20194" s="2">
        <v>20189</v>
      </c>
      <c r="B20194" s="11" t="str">
        <f>"00876810"</f>
        <v>00876810</v>
      </c>
    </row>
    <row r="20195" spans="1:2" x14ac:dyDescent="0.25">
      <c r="A20195" s="2">
        <v>20190</v>
      </c>
      <c r="B20195" s="11" t="str">
        <f>"00876852"</f>
        <v>00876852</v>
      </c>
    </row>
    <row r="20196" spans="1:2" x14ac:dyDescent="0.25">
      <c r="A20196" s="2">
        <v>20191</v>
      </c>
      <c r="B20196" s="11" t="str">
        <f>"00876862"</f>
        <v>00876862</v>
      </c>
    </row>
    <row r="20197" spans="1:2" x14ac:dyDescent="0.25">
      <c r="A20197" s="2">
        <v>20192</v>
      </c>
      <c r="B20197" s="11" t="str">
        <f>"00876888"</f>
        <v>00876888</v>
      </c>
    </row>
    <row r="20198" spans="1:2" x14ac:dyDescent="0.25">
      <c r="A20198" s="2">
        <v>20193</v>
      </c>
      <c r="B20198" s="11" t="str">
        <f>"00876971"</f>
        <v>00876971</v>
      </c>
    </row>
    <row r="20199" spans="1:2" x14ac:dyDescent="0.25">
      <c r="A20199" s="2">
        <v>20194</v>
      </c>
      <c r="B20199" s="11" t="str">
        <f>"00876973"</f>
        <v>00876973</v>
      </c>
    </row>
    <row r="20200" spans="1:2" x14ac:dyDescent="0.25">
      <c r="A20200" s="2">
        <v>20195</v>
      </c>
      <c r="B20200" s="11" t="str">
        <f>"00877099"</f>
        <v>00877099</v>
      </c>
    </row>
    <row r="20201" spans="1:2" x14ac:dyDescent="0.25">
      <c r="A20201" s="2">
        <v>20196</v>
      </c>
      <c r="B20201" s="11" t="str">
        <f>"00877112"</f>
        <v>00877112</v>
      </c>
    </row>
    <row r="20202" spans="1:2" x14ac:dyDescent="0.25">
      <c r="A20202" s="2">
        <v>20197</v>
      </c>
      <c r="B20202" s="11" t="str">
        <f>"00877156"</f>
        <v>00877156</v>
      </c>
    </row>
    <row r="20203" spans="1:2" x14ac:dyDescent="0.25">
      <c r="A20203" s="2">
        <v>20198</v>
      </c>
      <c r="B20203" s="11" t="str">
        <f>"00877228"</f>
        <v>00877228</v>
      </c>
    </row>
    <row r="20204" spans="1:2" x14ac:dyDescent="0.25">
      <c r="A20204" s="2">
        <v>20199</v>
      </c>
      <c r="B20204" s="11" t="str">
        <f>"00877334"</f>
        <v>00877334</v>
      </c>
    </row>
    <row r="20205" spans="1:2" x14ac:dyDescent="0.25">
      <c r="A20205" s="2">
        <v>20200</v>
      </c>
      <c r="B20205" s="11" t="str">
        <f>"00877363"</f>
        <v>00877363</v>
      </c>
    </row>
    <row r="20206" spans="1:2" x14ac:dyDescent="0.25">
      <c r="A20206" s="2">
        <v>20201</v>
      </c>
      <c r="B20206" s="11" t="str">
        <f>"00877416"</f>
        <v>00877416</v>
      </c>
    </row>
    <row r="20207" spans="1:2" x14ac:dyDescent="0.25">
      <c r="A20207" s="2">
        <v>20202</v>
      </c>
      <c r="B20207" s="11" t="str">
        <f>"00877444"</f>
        <v>00877444</v>
      </c>
    </row>
    <row r="20208" spans="1:2" x14ac:dyDescent="0.25">
      <c r="A20208" s="2">
        <v>20203</v>
      </c>
      <c r="B20208" s="11" t="str">
        <f>"00877540"</f>
        <v>00877540</v>
      </c>
    </row>
    <row r="20209" spans="1:2" x14ac:dyDescent="0.25">
      <c r="A20209" s="2">
        <v>20204</v>
      </c>
      <c r="B20209" s="11" t="str">
        <f>"00877547"</f>
        <v>00877547</v>
      </c>
    </row>
    <row r="20210" spans="1:2" x14ac:dyDescent="0.25">
      <c r="A20210" s="2">
        <v>20205</v>
      </c>
      <c r="B20210" s="11" t="str">
        <f>"00877586"</f>
        <v>00877586</v>
      </c>
    </row>
    <row r="20211" spans="1:2" x14ac:dyDescent="0.25">
      <c r="A20211" s="2">
        <v>20206</v>
      </c>
      <c r="B20211" s="11" t="str">
        <f>"00877793"</f>
        <v>00877793</v>
      </c>
    </row>
    <row r="20212" spans="1:2" x14ac:dyDescent="0.25">
      <c r="A20212" s="2">
        <v>20207</v>
      </c>
      <c r="B20212" s="11" t="str">
        <f>"00877813"</f>
        <v>00877813</v>
      </c>
    </row>
    <row r="20213" spans="1:2" x14ac:dyDescent="0.25">
      <c r="A20213" s="2">
        <v>20208</v>
      </c>
      <c r="B20213" s="11" t="str">
        <f>"00877881"</f>
        <v>00877881</v>
      </c>
    </row>
    <row r="20214" spans="1:2" x14ac:dyDescent="0.25">
      <c r="A20214" s="2">
        <v>20209</v>
      </c>
      <c r="B20214" s="11" t="str">
        <f>"00877936"</f>
        <v>00877936</v>
      </c>
    </row>
    <row r="20215" spans="1:2" x14ac:dyDescent="0.25">
      <c r="A20215" s="2">
        <v>20210</v>
      </c>
      <c r="B20215" s="11" t="str">
        <f>"00877966"</f>
        <v>00877966</v>
      </c>
    </row>
    <row r="20216" spans="1:2" x14ac:dyDescent="0.25">
      <c r="A20216" s="2">
        <v>20211</v>
      </c>
      <c r="B20216" s="11" t="str">
        <f>"00878219"</f>
        <v>00878219</v>
      </c>
    </row>
    <row r="20217" spans="1:2" x14ac:dyDescent="0.25">
      <c r="A20217" s="2">
        <v>20212</v>
      </c>
      <c r="B20217" s="11" t="str">
        <f>"00878220"</f>
        <v>00878220</v>
      </c>
    </row>
    <row r="20218" spans="1:2" x14ac:dyDescent="0.25">
      <c r="A20218" s="2">
        <v>20213</v>
      </c>
      <c r="B20218" s="11" t="str">
        <f>"00878319"</f>
        <v>00878319</v>
      </c>
    </row>
    <row r="20219" spans="1:2" x14ac:dyDescent="0.25">
      <c r="A20219" s="2">
        <v>20214</v>
      </c>
      <c r="B20219" s="11" t="str">
        <f>"00878323"</f>
        <v>00878323</v>
      </c>
    </row>
    <row r="20220" spans="1:2" x14ac:dyDescent="0.25">
      <c r="A20220" s="2">
        <v>20215</v>
      </c>
      <c r="B20220" s="11" t="str">
        <f>"00878324"</f>
        <v>00878324</v>
      </c>
    </row>
    <row r="20221" spans="1:2" x14ac:dyDescent="0.25">
      <c r="A20221" s="2">
        <v>20216</v>
      </c>
      <c r="B20221" s="11" t="str">
        <f>"00878326"</f>
        <v>00878326</v>
      </c>
    </row>
    <row r="20222" spans="1:2" x14ac:dyDescent="0.25">
      <c r="A20222" s="2">
        <v>20217</v>
      </c>
      <c r="B20222" s="11" t="str">
        <f>"00878330"</f>
        <v>00878330</v>
      </c>
    </row>
    <row r="20223" spans="1:2" x14ac:dyDescent="0.25">
      <c r="A20223" s="2">
        <v>20218</v>
      </c>
      <c r="B20223" s="11" t="str">
        <f>"00878346"</f>
        <v>00878346</v>
      </c>
    </row>
    <row r="20224" spans="1:2" x14ac:dyDescent="0.25">
      <c r="A20224" s="2">
        <v>20219</v>
      </c>
      <c r="B20224" s="11" t="str">
        <f>"00878378"</f>
        <v>00878378</v>
      </c>
    </row>
    <row r="20225" spans="1:2" x14ac:dyDescent="0.25">
      <c r="A20225" s="2">
        <v>20220</v>
      </c>
      <c r="B20225" s="11" t="str">
        <f>"00878406"</f>
        <v>00878406</v>
      </c>
    </row>
    <row r="20226" spans="1:2" x14ac:dyDescent="0.25">
      <c r="A20226" s="2">
        <v>20221</v>
      </c>
      <c r="B20226" s="11" t="str">
        <f>"00878431"</f>
        <v>00878431</v>
      </c>
    </row>
    <row r="20227" spans="1:2" x14ac:dyDescent="0.25">
      <c r="A20227" s="2">
        <v>20222</v>
      </c>
      <c r="B20227" s="11" t="str">
        <f>"00878437"</f>
        <v>00878437</v>
      </c>
    </row>
    <row r="20228" spans="1:2" x14ac:dyDescent="0.25">
      <c r="A20228" s="2">
        <v>20223</v>
      </c>
      <c r="B20228" s="11" t="str">
        <f>"00878458"</f>
        <v>00878458</v>
      </c>
    </row>
    <row r="20229" spans="1:2" x14ac:dyDescent="0.25">
      <c r="A20229" s="2">
        <v>20224</v>
      </c>
      <c r="B20229" s="11" t="str">
        <f>"00878508"</f>
        <v>00878508</v>
      </c>
    </row>
    <row r="20230" spans="1:2" x14ac:dyDescent="0.25">
      <c r="A20230" s="2">
        <v>20225</v>
      </c>
      <c r="B20230" s="11" t="str">
        <f>"00878515"</f>
        <v>00878515</v>
      </c>
    </row>
    <row r="20231" spans="1:2" x14ac:dyDescent="0.25">
      <c r="A20231" s="2">
        <v>20226</v>
      </c>
      <c r="B20231" s="11" t="str">
        <f>"00878608"</f>
        <v>00878608</v>
      </c>
    </row>
    <row r="20232" spans="1:2" x14ac:dyDescent="0.25">
      <c r="A20232" s="2">
        <v>20227</v>
      </c>
      <c r="B20232" s="11" t="str">
        <f>"00878702"</f>
        <v>00878702</v>
      </c>
    </row>
    <row r="20233" spans="1:2" x14ac:dyDescent="0.25">
      <c r="A20233" s="2">
        <v>20228</v>
      </c>
      <c r="B20233" s="11" t="str">
        <f>"00878748"</f>
        <v>00878748</v>
      </c>
    </row>
    <row r="20234" spans="1:2" x14ac:dyDescent="0.25">
      <c r="A20234" s="2">
        <v>20229</v>
      </c>
      <c r="B20234" s="11" t="str">
        <f>"00878774"</f>
        <v>00878774</v>
      </c>
    </row>
    <row r="20235" spans="1:2" x14ac:dyDescent="0.25">
      <c r="A20235" s="2">
        <v>20230</v>
      </c>
      <c r="B20235" s="11" t="str">
        <f>"00878780"</f>
        <v>00878780</v>
      </c>
    </row>
    <row r="20236" spans="1:2" x14ac:dyDescent="0.25">
      <c r="A20236" s="2">
        <v>20231</v>
      </c>
      <c r="B20236" s="11" t="str">
        <f>"00878827"</f>
        <v>00878827</v>
      </c>
    </row>
    <row r="20237" spans="1:2" x14ac:dyDescent="0.25">
      <c r="A20237" s="2">
        <v>20232</v>
      </c>
      <c r="B20237" s="11" t="str">
        <f>"00878836"</f>
        <v>00878836</v>
      </c>
    </row>
    <row r="20238" spans="1:2" x14ac:dyDescent="0.25">
      <c r="A20238" s="2">
        <v>20233</v>
      </c>
      <c r="B20238" s="11" t="str">
        <f>"00878874"</f>
        <v>00878874</v>
      </c>
    </row>
    <row r="20239" spans="1:2" x14ac:dyDescent="0.25">
      <c r="A20239" s="2">
        <v>20234</v>
      </c>
      <c r="B20239" s="11" t="str">
        <f>"00878937"</f>
        <v>00878937</v>
      </c>
    </row>
    <row r="20240" spans="1:2" x14ac:dyDescent="0.25">
      <c r="A20240" s="2">
        <v>20235</v>
      </c>
      <c r="B20240" s="11" t="str">
        <f>"00878942"</f>
        <v>00878942</v>
      </c>
    </row>
    <row r="20241" spans="1:2" x14ac:dyDescent="0.25">
      <c r="A20241" s="2">
        <v>20236</v>
      </c>
      <c r="B20241" s="11" t="str">
        <f>"00878974"</f>
        <v>00878974</v>
      </c>
    </row>
    <row r="20242" spans="1:2" x14ac:dyDescent="0.25">
      <c r="A20242" s="2">
        <v>20237</v>
      </c>
      <c r="B20242" s="11" t="str">
        <f>"00879020"</f>
        <v>00879020</v>
      </c>
    </row>
    <row r="20243" spans="1:2" x14ac:dyDescent="0.25">
      <c r="A20243" s="2">
        <v>20238</v>
      </c>
      <c r="B20243" s="11" t="str">
        <f>"00879169"</f>
        <v>00879169</v>
      </c>
    </row>
    <row r="20244" spans="1:2" x14ac:dyDescent="0.25">
      <c r="A20244" s="2">
        <v>20239</v>
      </c>
      <c r="B20244" s="11" t="str">
        <f>"00879376"</f>
        <v>00879376</v>
      </c>
    </row>
    <row r="20245" spans="1:2" x14ac:dyDescent="0.25">
      <c r="A20245" s="2">
        <v>20240</v>
      </c>
      <c r="B20245" s="11" t="str">
        <f>"00879401"</f>
        <v>00879401</v>
      </c>
    </row>
    <row r="20246" spans="1:2" x14ac:dyDescent="0.25">
      <c r="A20246" s="2">
        <v>20241</v>
      </c>
      <c r="B20246" s="11" t="str">
        <f>"00879416"</f>
        <v>00879416</v>
      </c>
    </row>
    <row r="20247" spans="1:2" x14ac:dyDescent="0.25">
      <c r="A20247" s="2">
        <v>20242</v>
      </c>
      <c r="B20247" s="11" t="str">
        <f>"00879445"</f>
        <v>00879445</v>
      </c>
    </row>
    <row r="20248" spans="1:2" x14ac:dyDescent="0.25">
      <c r="A20248" s="2">
        <v>20243</v>
      </c>
      <c r="B20248" s="11" t="str">
        <f>"00879451"</f>
        <v>00879451</v>
      </c>
    </row>
    <row r="20249" spans="1:2" x14ac:dyDescent="0.25">
      <c r="A20249" s="2">
        <v>20244</v>
      </c>
      <c r="B20249" s="11" t="str">
        <f>"00879491"</f>
        <v>00879491</v>
      </c>
    </row>
    <row r="20250" spans="1:2" x14ac:dyDescent="0.25">
      <c r="A20250" s="2">
        <v>20245</v>
      </c>
      <c r="B20250" s="11" t="str">
        <f>"00879499"</f>
        <v>00879499</v>
      </c>
    </row>
    <row r="20251" spans="1:2" x14ac:dyDescent="0.25">
      <c r="A20251" s="2">
        <v>20246</v>
      </c>
      <c r="B20251" s="11" t="str">
        <f>"00879513"</f>
        <v>00879513</v>
      </c>
    </row>
    <row r="20252" spans="1:2" x14ac:dyDescent="0.25">
      <c r="A20252" s="2">
        <v>20247</v>
      </c>
      <c r="B20252" s="11" t="str">
        <f>"00879548"</f>
        <v>00879548</v>
      </c>
    </row>
    <row r="20253" spans="1:2" x14ac:dyDescent="0.25">
      <c r="A20253" s="2">
        <v>20248</v>
      </c>
      <c r="B20253" s="11" t="str">
        <f>"00879582"</f>
        <v>00879582</v>
      </c>
    </row>
    <row r="20254" spans="1:2" x14ac:dyDescent="0.25">
      <c r="A20254" s="2">
        <v>20249</v>
      </c>
      <c r="B20254" s="11" t="str">
        <f>"00879598"</f>
        <v>00879598</v>
      </c>
    </row>
    <row r="20255" spans="1:2" x14ac:dyDescent="0.25">
      <c r="A20255" s="2">
        <v>20250</v>
      </c>
      <c r="B20255" s="11" t="str">
        <f>"00879672"</f>
        <v>00879672</v>
      </c>
    </row>
    <row r="20256" spans="1:2" x14ac:dyDescent="0.25">
      <c r="A20256" s="2">
        <v>20251</v>
      </c>
      <c r="B20256" s="11" t="str">
        <f>"00879684"</f>
        <v>00879684</v>
      </c>
    </row>
    <row r="20257" spans="1:2" x14ac:dyDescent="0.25">
      <c r="A20257" s="2">
        <v>20252</v>
      </c>
      <c r="B20257" s="11" t="str">
        <f>"00879761"</f>
        <v>00879761</v>
      </c>
    </row>
    <row r="20258" spans="1:2" x14ac:dyDescent="0.25">
      <c r="A20258" s="2">
        <v>20253</v>
      </c>
      <c r="B20258" s="11" t="str">
        <f>"00879762"</f>
        <v>00879762</v>
      </c>
    </row>
    <row r="20259" spans="1:2" x14ac:dyDescent="0.25">
      <c r="A20259" s="2">
        <v>20254</v>
      </c>
      <c r="B20259" s="11" t="str">
        <f>"00879771"</f>
        <v>00879771</v>
      </c>
    </row>
    <row r="20260" spans="1:2" x14ac:dyDescent="0.25">
      <c r="A20260" s="2">
        <v>20255</v>
      </c>
      <c r="B20260" s="11" t="str">
        <f>"00879798"</f>
        <v>00879798</v>
      </c>
    </row>
    <row r="20261" spans="1:2" x14ac:dyDescent="0.25">
      <c r="A20261" s="2">
        <v>20256</v>
      </c>
      <c r="B20261" s="11" t="str">
        <f>"00879805"</f>
        <v>00879805</v>
      </c>
    </row>
    <row r="20262" spans="1:2" x14ac:dyDescent="0.25">
      <c r="A20262" s="2">
        <v>20257</v>
      </c>
      <c r="B20262" s="11" t="str">
        <f>"00879808"</f>
        <v>00879808</v>
      </c>
    </row>
    <row r="20263" spans="1:2" x14ac:dyDescent="0.25">
      <c r="A20263" s="2">
        <v>20258</v>
      </c>
      <c r="B20263" s="11" t="str">
        <f>"00879856"</f>
        <v>00879856</v>
      </c>
    </row>
    <row r="20264" spans="1:2" x14ac:dyDescent="0.25">
      <c r="A20264" s="2">
        <v>20259</v>
      </c>
      <c r="B20264" s="11" t="str">
        <f>"00879863"</f>
        <v>00879863</v>
      </c>
    </row>
    <row r="20265" spans="1:2" x14ac:dyDescent="0.25">
      <c r="A20265" s="2">
        <v>20260</v>
      </c>
      <c r="B20265" s="11" t="str">
        <f>"00879997"</f>
        <v>00879997</v>
      </c>
    </row>
    <row r="20266" spans="1:2" x14ac:dyDescent="0.25">
      <c r="A20266" s="2">
        <v>20261</v>
      </c>
      <c r="B20266" s="11" t="str">
        <f>"00880077"</f>
        <v>00880077</v>
      </c>
    </row>
    <row r="20267" spans="1:2" x14ac:dyDescent="0.25">
      <c r="A20267" s="2">
        <v>20262</v>
      </c>
      <c r="B20267" s="11" t="str">
        <f>"00880078"</f>
        <v>00880078</v>
      </c>
    </row>
    <row r="20268" spans="1:2" x14ac:dyDescent="0.25">
      <c r="A20268" s="2">
        <v>20263</v>
      </c>
      <c r="B20268" s="11" t="str">
        <f>"00880083"</f>
        <v>00880083</v>
      </c>
    </row>
    <row r="20269" spans="1:2" x14ac:dyDescent="0.25">
      <c r="A20269" s="2">
        <v>20264</v>
      </c>
      <c r="B20269" s="11" t="str">
        <f>"00880181"</f>
        <v>00880181</v>
      </c>
    </row>
    <row r="20270" spans="1:2" x14ac:dyDescent="0.25">
      <c r="A20270" s="2">
        <v>20265</v>
      </c>
      <c r="B20270" s="11" t="str">
        <f>"00880190"</f>
        <v>00880190</v>
      </c>
    </row>
    <row r="20271" spans="1:2" x14ac:dyDescent="0.25">
      <c r="A20271" s="2">
        <v>20266</v>
      </c>
      <c r="B20271" s="11" t="str">
        <f>"00880228"</f>
        <v>00880228</v>
      </c>
    </row>
    <row r="20272" spans="1:2" x14ac:dyDescent="0.25">
      <c r="A20272" s="2">
        <v>20267</v>
      </c>
      <c r="B20272" s="11" t="str">
        <f>"00880246"</f>
        <v>00880246</v>
      </c>
    </row>
    <row r="20273" spans="1:2" x14ac:dyDescent="0.25">
      <c r="A20273" s="2">
        <v>20268</v>
      </c>
      <c r="B20273" s="11" t="str">
        <f>"00880281"</f>
        <v>00880281</v>
      </c>
    </row>
    <row r="20274" spans="1:2" x14ac:dyDescent="0.25">
      <c r="A20274" s="2">
        <v>20269</v>
      </c>
      <c r="B20274" s="11" t="str">
        <f>"00880334"</f>
        <v>00880334</v>
      </c>
    </row>
    <row r="20275" spans="1:2" x14ac:dyDescent="0.25">
      <c r="A20275" s="2">
        <v>20270</v>
      </c>
      <c r="B20275" s="11" t="str">
        <f>"00880365"</f>
        <v>00880365</v>
      </c>
    </row>
    <row r="20276" spans="1:2" x14ac:dyDescent="0.25">
      <c r="A20276" s="2">
        <v>20271</v>
      </c>
      <c r="B20276" s="11" t="str">
        <f>"00880368"</f>
        <v>00880368</v>
      </c>
    </row>
    <row r="20277" spans="1:2" x14ac:dyDescent="0.25">
      <c r="A20277" s="2">
        <v>20272</v>
      </c>
      <c r="B20277" s="11" t="str">
        <f>"00880427"</f>
        <v>00880427</v>
      </c>
    </row>
    <row r="20278" spans="1:2" x14ac:dyDescent="0.25">
      <c r="A20278" s="2">
        <v>20273</v>
      </c>
      <c r="B20278" s="11" t="str">
        <f>"00880479"</f>
        <v>00880479</v>
      </c>
    </row>
    <row r="20279" spans="1:2" x14ac:dyDescent="0.25">
      <c r="A20279" s="2">
        <v>20274</v>
      </c>
      <c r="B20279" s="11" t="str">
        <f>"00880504"</f>
        <v>00880504</v>
      </c>
    </row>
    <row r="20280" spans="1:2" x14ac:dyDescent="0.25">
      <c r="A20280" s="2">
        <v>20275</v>
      </c>
      <c r="B20280" s="11" t="str">
        <f>"00880571"</f>
        <v>00880571</v>
      </c>
    </row>
    <row r="20281" spans="1:2" x14ac:dyDescent="0.25">
      <c r="A20281" s="2">
        <v>20276</v>
      </c>
      <c r="B20281" s="11" t="str">
        <f>"00880641"</f>
        <v>00880641</v>
      </c>
    </row>
    <row r="20282" spans="1:2" x14ac:dyDescent="0.25">
      <c r="A20282" s="2">
        <v>20277</v>
      </c>
      <c r="B20282" s="11" t="str">
        <f>"00880681"</f>
        <v>00880681</v>
      </c>
    </row>
    <row r="20283" spans="1:2" x14ac:dyDescent="0.25">
      <c r="A20283" s="2">
        <v>20278</v>
      </c>
      <c r="B20283" s="11" t="str">
        <f>"00880745"</f>
        <v>00880745</v>
      </c>
    </row>
    <row r="20284" spans="1:2" x14ac:dyDescent="0.25">
      <c r="A20284" s="2">
        <v>20279</v>
      </c>
      <c r="B20284" s="11" t="str">
        <f>"00880793"</f>
        <v>00880793</v>
      </c>
    </row>
    <row r="20285" spans="1:2" x14ac:dyDescent="0.25">
      <c r="A20285" s="2">
        <v>20280</v>
      </c>
      <c r="B20285" s="11" t="str">
        <f>"00880877"</f>
        <v>00880877</v>
      </c>
    </row>
    <row r="20286" spans="1:2" x14ac:dyDescent="0.25">
      <c r="A20286" s="2">
        <v>20281</v>
      </c>
      <c r="B20286" s="11" t="str">
        <f>"00880932"</f>
        <v>00880932</v>
      </c>
    </row>
    <row r="20287" spans="1:2" x14ac:dyDescent="0.25">
      <c r="A20287" s="2">
        <v>20282</v>
      </c>
      <c r="B20287" s="11" t="str">
        <f>"00881002"</f>
        <v>00881002</v>
      </c>
    </row>
    <row r="20288" spans="1:2" x14ac:dyDescent="0.25">
      <c r="A20288" s="2">
        <v>20283</v>
      </c>
      <c r="B20288" s="11" t="str">
        <f>"00881013"</f>
        <v>00881013</v>
      </c>
    </row>
    <row r="20289" spans="1:2" x14ac:dyDescent="0.25">
      <c r="A20289" s="2">
        <v>20284</v>
      </c>
      <c r="B20289" s="11" t="str">
        <f>"00881051"</f>
        <v>00881051</v>
      </c>
    </row>
    <row r="20290" spans="1:2" x14ac:dyDescent="0.25">
      <c r="A20290" s="2">
        <v>20285</v>
      </c>
      <c r="B20290" s="11" t="str">
        <f>"00881055"</f>
        <v>00881055</v>
      </c>
    </row>
    <row r="20291" spans="1:2" x14ac:dyDescent="0.25">
      <c r="A20291" s="2">
        <v>20286</v>
      </c>
      <c r="B20291" s="11" t="str">
        <f>"00881066"</f>
        <v>00881066</v>
      </c>
    </row>
    <row r="20292" spans="1:2" x14ac:dyDescent="0.25">
      <c r="A20292" s="2">
        <v>20287</v>
      </c>
      <c r="B20292" s="11" t="str">
        <f>"00881200"</f>
        <v>00881200</v>
      </c>
    </row>
    <row r="20293" spans="1:2" x14ac:dyDescent="0.25">
      <c r="A20293" s="2">
        <v>20288</v>
      </c>
      <c r="B20293" s="11" t="str">
        <f>"00881218"</f>
        <v>00881218</v>
      </c>
    </row>
    <row r="20294" spans="1:2" x14ac:dyDescent="0.25">
      <c r="A20294" s="2">
        <v>20289</v>
      </c>
      <c r="B20294" s="11" t="str">
        <f>"00881220"</f>
        <v>00881220</v>
      </c>
    </row>
    <row r="20295" spans="1:2" x14ac:dyDescent="0.25">
      <c r="A20295" s="2">
        <v>20290</v>
      </c>
      <c r="B20295" s="11" t="str">
        <f>"00881264"</f>
        <v>00881264</v>
      </c>
    </row>
    <row r="20296" spans="1:2" x14ac:dyDescent="0.25">
      <c r="A20296" s="2">
        <v>20291</v>
      </c>
      <c r="B20296" s="11" t="str">
        <f>"00881286"</f>
        <v>00881286</v>
      </c>
    </row>
    <row r="20297" spans="1:2" x14ac:dyDescent="0.25">
      <c r="A20297" s="2">
        <v>20292</v>
      </c>
      <c r="B20297" s="11" t="str">
        <f>"00881306"</f>
        <v>00881306</v>
      </c>
    </row>
    <row r="20298" spans="1:2" x14ac:dyDescent="0.25">
      <c r="A20298" s="2">
        <v>20293</v>
      </c>
      <c r="B20298" s="11" t="str">
        <f>"00881399"</f>
        <v>00881399</v>
      </c>
    </row>
    <row r="20299" spans="1:2" x14ac:dyDescent="0.25">
      <c r="A20299" s="2">
        <v>20294</v>
      </c>
      <c r="B20299" s="11" t="str">
        <f>"00881401"</f>
        <v>00881401</v>
      </c>
    </row>
    <row r="20300" spans="1:2" x14ac:dyDescent="0.25">
      <c r="A20300" s="2">
        <v>20295</v>
      </c>
      <c r="B20300" s="11" t="str">
        <f>"00881402"</f>
        <v>00881402</v>
      </c>
    </row>
    <row r="20301" spans="1:2" x14ac:dyDescent="0.25">
      <c r="A20301" s="2">
        <v>20296</v>
      </c>
      <c r="B20301" s="11" t="str">
        <f>"00881448"</f>
        <v>00881448</v>
      </c>
    </row>
    <row r="20302" spans="1:2" x14ac:dyDescent="0.25">
      <c r="A20302" s="2">
        <v>20297</v>
      </c>
      <c r="B20302" s="11" t="str">
        <f>"00881454"</f>
        <v>00881454</v>
      </c>
    </row>
    <row r="20303" spans="1:2" x14ac:dyDescent="0.25">
      <c r="A20303" s="2">
        <v>20298</v>
      </c>
      <c r="B20303" s="11" t="str">
        <f>"00881510"</f>
        <v>00881510</v>
      </c>
    </row>
    <row r="20304" spans="1:2" x14ac:dyDescent="0.25">
      <c r="A20304" s="2">
        <v>20299</v>
      </c>
      <c r="B20304" s="11" t="str">
        <f>"00881517"</f>
        <v>00881517</v>
      </c>
    </row>
    <row r="20305" spans="1:2" x14ac:dyDescent="0.25">
      <c r="A20305" s="2">
        <v>20300</v>
      </c>
      <c r="B20305" s="11" t="str">
        <f>"00881531"</f>
        <v>00881531</v>
      </c>
    </row>
    <row r="20306" spans="1:2" x14ac:dyDescent="0.25">
      <c r="A20306" s="2">
        <v>20301</v>
      </c>
      <c r="B20306" s="11" t="str">
        <f>"00881544"</f>
        <v>00881544</v>
      </c>
    </row>
    <row r="20307" spans="1:2" x14ac:dyDescent="0.25">
      <c r="A20307" s="2">
        <v>20302</v>
      </c>
      <c r="B20307" s="11" t="str">
        <f>"00881558"</f>
        <v>00881558</v>
      </c>
    </row>
    <row r="20308" spans="1:2" x14ac:dyDescent="0.25">
      <c r="A20308" s="2">
        <v>20303</v>
      </c>
      <c r="B20308" s="11" t="str">
        <f>"00881668"</f>
        <v>00881668</v>
      </c>
    </row>
    <row r="20309" spans="1:2" x14ac:dyDescent="0.25">
      <c r="A20309" s="2">
        <v>20304</v>
      </c>
      <c r="B20309" s="11" t="str">
        <f>"00881810"</f>
        <v>00881810</v>
      </c>
    </row>
    <row r="20310" spans="1:2" x14ac:dyDescent="0.25">
      <c r="A20310" s="2">
        <v>20305</v>
      </c>
      <c r="B20310" s="11" t="str">
        <f>"00881817"</f>
        <v>00881817</v>
      </c>
    </row>
    <row r="20311" spans="1:2" x14ac:dyDescent="0.25">
      <c r="A20311" s="2">
        <v>20306</v>
      </c>
      <c r="B20311" s="11" t="str">
        <f>"00881824"</f>
        <v>00881824</v>
      </c>
    </row>
    <row r="20312" spans="1:2" x14ac:dyDescent="0.25">
      <c r="A20312" s="2">
        <v>20307</v>
      </c>
      <c r="B20312" s="11" t="str">
        <f>"00881867"</f>
        <v>00881867</v>
      </c>
    </row>
    <row r="20313" spans="1:2" x14ac:dyDescent="0.25">
      <c r="A20313" s="2">
        <v>20308</v>
      </c>
      <c r="B20313" s="11" t="str">
        <f>"00881899"</f>
        <v>00881899</v>
      </c>
    </row>
    <row r="20314" spans="1:2" x14ac:dyDescent="0.25">
      <c r="A20314" s="2">
        <v>20309</v>
      </c>
      <c r="B20314" s="11" t="str">
        <f>"00881908"</f>
        <v>00881908</v>
      </c>
    </row>
    <row r="20315" spans="1:2" x14ac:dyDescent="0.25">
      <c r="A20315" s="2">
        <v>20310</v>
      </c>
      <c r="B20315" s="11" t="str">
        <f>"00881929"</f>
        <v>00881929</v>
      </c>
    </row>
    <row r="20316" spans="1:2" x14ac:dyDescent="0.25">
      <c r="A20316" s="2">
        <v>20311</v>
      </c>
      <c r="B20316" s="11" t="str">
        <f>"00881977"</f>
        <v>00881977</v>
      </c>
    </row>
    <row r="20317" spans="1:2" x14ac:dyDescent="0.25">
      <c r="A20317" s="2">
        <v>20312</v>
      </c>
      <c r="B20317" s="11" t="str">
        <f>"00882028"</f>
        <v>00882028</v>
      </c>
    </row>
    <row r="20318" spans="1:2" x14ac:dyDescent="0.25">
      <c r="A20318" s="2">
        <v>20313</v>
      </c>
      <c r="B20318" s="11" t="str">
        <f>"00882138"</f>
        <v>00882138</v>
      </c>
    </row>
    <row r="20319" spans="1:2" x14ac:dyDescent="0.25">
      <c r="A20319" s="2">
        <v>20314</v>
      </c>
      <c r="B20319" s="11" t="str">
        <f>"00882149"</f>
        <v>00882149</v>
      </c>
    </row>
    <row r="20320" spans="1:2" x14ac:dyDescent="0.25">
      <c r="A20320" s="2">
        <v>20315</v>
      </c>
      <c r="B20320" s="11" t="str">
        <f>"00882207"</f>
        <v>00882207</v>
      </c>
    </row>
    <row r="20321" spans="1:2" x14ac:dyDescent="0.25">
      <c r="A20321" s="2">
        <v>20316</v>
      </c>
      <c r="B20321" s="11" t="str">
        <f>"00882219"</f>
        <v>00882219</v>
      </c>
    </row>
    <row r="20322" spans="1:2" x14ac:dyDescent="0.25">
      <c r="A20322" s="2">
        <v>20317</v>
      </c>
      <c r="B20322" s="11" t="str">
        <f>"00882236"</f>
        <v>00882236</v>
      </c>
    </row>
    <row r="20323" spans="1:2" x14ac:dyDescent="0.25">
      <c r="A20323" s="2">
        <v>20318</v>
      </c>
      <c r="B20323" s="11" t="str">
        <f>"00882292"</f>
        <v>00882292</v>
      </c>
    </row>
    <row r="20324" spans="1:2" x14ac:dyDescent="0.25">
      <c r="A20324" s="2">
        <v>20319</v>
      </c>
      <c r="B20324" s="11" t="str">
        <f>"00882293"</f>
        <v>00882293</v>
      </c>
    </row>
    <row r="20325" spans="1:2" x14ac:dyDescent="0.25">
      <c r="A20325" s="2">
        <v>20320</v>
      </c>
      <c r="B20325" s="11" t="str">
        <f>"00882296"</f>
        <v>00882296</v>
      </c>
    </row>
    <row r="20326" spans="1:2" x14ac:dyDescent="0.25">
      <c r="A20326" s="2">
        <v>20321</v>
      </c>
      <c r="B20326" s="11" t="str">
        <f>"00882383"</f>
        <v>00882383</v>
      </c>
    </row>
    <row r="20327" spans="1:2" x14ac:dyDescent="0.25">
      <c r="A20327" s="2">
        <v>20322</v>
      </c>
      <c r="B20327" s="11" t="str">
        <f>"00882461"</f>
        <v>00882461</v>
      </c>
    </row>
    <row r="20328" spans="1:2" x14ac:dyDescent="0.25">
      <c r="A20328" s="2">
        <v>20323</v>
      </c>
      <c r="B20328" s="11" t="str">
        <f>"00882465"</f>
        <v>00882465</v>
      </c>
    </row>
    <row r="20329" spans="1:2" x14ac:dyDescent="0.25">
      <c r="A20329" s="2">
        <v>20324</v>
      </c>
      <c r="B20329" s="11" t="str">
        <f>"00882475"</f>
        <v>00882475</v>
      </c>
    </row>
    <row r="20330" spans="1:2" x14ac:dyDescent="0.25">
      <c r="A20330" s="2">
        <v>20325</v>
      </c>
      <c r="B20330" s="11" t="str">
        <f>"00882476"</f>
        <v>00882476</v>
      </c>
    </row>
    <row r="20331" spans="1:2" x14ac:dyDescent="0.25">
      <c r="A20331" s="2">
        <v>20326</v>
      </c>
      <c r="B20331" s="11" t="str">
        <f>"00882477"</f>
        <v>00882477</v>
      </c>
    </row>
    <row r="20332" spans="1:2" x14ac:dyDescent="0.25">
      <c r="A20332" s="2">
        <v>20327</v>
      </c>
      <c r="B20332" s="11" t="str">
        <f>"00882520"</f>
        <v>00882520</v>
      </c>
    </row>
    <row r="20333" spans="1:2" x14ac:dyDescent="0.25">
      <c r="A20333" s="2">
        <v>20328</v>
      </c>
      <c r="B20333" s="11" t="str">
        <f>"00882525"</f>
        <v>00882525</v>
      </c>
    </row>
    <row r="20334" spans="1:2" x14ac:dyDescent="0.25">
      <c r="A20334" s="2">
        <v>20329</v>
      </c>
      <c r="B20334" s="11" t="str">
        <f>"00882652"</f>
        <v>00882652</v>
      </c>
    </row>
    <row r="20335" spans="1:2" x14ac:dyDescent="0.25">
      <c r="A20335" s="2">
        <v>20330</v>
      </c>
      <c r="B20335" s="11" t="str">
        <f>"00882701"</f>
        <v>00882701</v>
      </c>
    </row>
    <row r="20336" spans="1:2" x14ac:dyDescent="0.25">
      <c r="A20336" s="2">
        <v>20331</v>
      </c>
      <c r="B20336" s="11" t="str">
        <f>"00882702"</f>
        <v>00882702</v>
      </c>
    </row>
    <row r="20337" spans="1:2" x14ac:dyDescent="0.25">
      <c r="A20337" s="2">
        <v>20332</v>
      </c>
      <c r="B20337" s="11" t="str">
        <f>"00882731"</f>
        <v>00882731</v>
      </c>
    </row>
    <row r="20338" spans="1:2" x14ac:dyDescent="0.25">
      <c r="A20338" s="2">
        <v>20333</v>
      </c>
      <c r="B20338" s="11" t="str">
        <f>"00882785"</f>
        <v>00882785</v>
      </c>
    </row>
    <row r="20339" spans="1:2" x14ac:dyDescent="0.25">
      <c r="A20339" s="2">
        <v>20334</v>
      </c>
      <c r="B20339" s="11" t="str">
        <f>"00882791"</f>
        <v>00882791</v>
      </c>
    </row>
    <row r="20340" spans="1:2" x14ac:dyDescent="0.25">
      <c r="A20340" s="2">
        <v>20335</v>
      </c>
      <c r="B20340" s="11" t="str">
        <f>"00882837"</f>
        <v>00882837</v>
      </c>
    </row>
    <row r="20341" spans="1:2" x14ac:dyDescent="0.25">
      <c r="A20341" s="2">
        <v>20336</v>
      </c>
      <c r="B20341" s="11" t="str">
        <f>"00882877"</f>
        <v>00882877</v>
      </c>
    </row>
    <row r="20342" spans="1:2" x14ac:dyDescent="0.25">
      <c r="A20342" s="2">
        <v>20337</v>
      </c>
      <c r="B20342" s="11" t="str">
        <f>"00883070"</f>
        <v>00883070</v>
      </c>
    </row>
    <row r="20343" spans="1:2" x14ac:dyDescent="0.25">
      <c r="A20343" s="2">
        <v>20338</v>
      </c>
      <c r="B20343" s="11" t="str">
        <f>"00883081"</f>
        <v>00883081</v>
      </c>
    </row>
    <row r="20344" spans="1:2" x14ac:dyDescent="0.25">
      <c r="A20344" s="2">
        <v>20339</v>
      </c>
      <c r="B20344" s="11" t="str">
        <f>"00883104"</f>
        <v>00883104</v>
      </c>
    </row>
    <row r="20345" spans="1:2" x14ac:dyDescent="0.25">
      <c r="A20345" s="2">
        <v>20340</v>
      </c>
      <c r="B20345" s="11" t="str">
        <f>"00883167"</f>
        <v>00883167</v>
      </c>
    </row>
    <row r="20346" spans="1:2" x14ac:dyDescent="0.25">
      <c r="A20346" s="2">
        <v>20341</v>
      </c>
      <c r="B20346" s="11" t="str">
        <f>"00883236"</f>
        <v>00883236</v>
      </c>
    </row>
    <row r="20347" spans="1:2" x14ac:dyDescent="0.25">
      <c r="A20347" s="2">
        <v>20342</v>
      </c>
      <c r="B20347" s="11" t="str">
        <f>"00883250"</f>
        <v>00883250</v>
      </c>
    </row>
    <row r="20348" spans="1:2" x14ac:dyDescent="0.25">
      <c r="A20348" s="2">
        <v>20343</v>
      </c>
      <c r="B20348" s="11" t="str">
        <f>"00883259"</f>
        <v>00883259</v>
      </c>
    </row>
    <row r="20349" spans="1:2" x14ac:dyDescent="0.25">
      <c r="A20349" s="2">
        <v>20344</v>
      </c>
      <c r="B20349" s="11" t="str">
        <f>"00883287"</f>
        <v>00883287</v>
      </c>
    </row>
    <row r="20350" spans="1:2" x14ac:dyDescent="0.25">
      <c r="A20350" s="2">
        <v>20345</v>
      </c>
      <c r="B20350" s="11" t="str">
        <f>"00883355"</f>
        <v>00883355</v>
      </c>
    </row>
    <row r="20351" spans="1:2" x14ac:dyDescent="0.25">
      <c r="A20351" s="2">
        <v>20346</v>
      </c>
      <c r="B20351" s="11" t="str">
        <f>"00883366"</f>
        <v>00883366</v>
      </c>
    </row>
    <row r="20352" spans="1:2" x14ac:dyDescent="0.25">
      <c r="A20352" s="2">
        <v>20347</v>
      </c>
      <c r="B20352" s="11" t="str">
        <f>"00883377"</f>
        <v>00883377</v>
      </c>
    </row>
    <row r="20353" spans="1:2" x14ac:dyDescent="0.25">
      <c r="A20353" s="2">
        <v>20348</v>
      </c>
      <c r="B20353" s="11" t="str">
        <f>"00883380"</f>
        <v>00883380</v>
      </c>
    </row>
    <row r="20354" spans="1:2" x14ac:dyDescent="0.25">
      <c r="A20354" s="2">
        <v>20349</v>
      </c>
      <c r="B20354" s="11" t="str">
        <f>"00883381"</f>
        <v>00883381</v>
      </c>
    </row>
    <row r="20355" spans="1:2" x14ac:dyDescent="0.25">
      <c r="A20355" s="2">
        <v>20350</v>
      </c>
      <c r="B20355" s="11" t="str">
        <f>"00883486"</f>
        <v>00883486</v>
      </c>
    </row>
    <row r="20356" spans="1:2" x14ac:dyDescent="0.25">
      <c r="A20356" s="2">
        <v>20351</v>
      </c>
      <c r="B20356" s="11" t="str">
        <f>"00883529"</f>
        <v>00883529</v>
      </c>
    </row>
    <row r="20357" spans="1:2" x14ac:dyDescent="0.25">
      <c r="A20357" s="2">
        <v>20352</v>
      </c>
      <c r="B20357" s="11" t="str">
        <f>"00883593"</f>
        <v>00883593</v>
      </c>
    </row>
    <row r="20358" spans="1:2" x14ac:dyDescent="0.25">
      <c r="A20358" s="2">
        <v>20353</v>
      </c>
      <c r="B20358" s="11" t="str">
        <f>"00883713"</f>
        <v>00883713</v>
      </c>
    </row>
    <row r="20359" spans="1:2" x14ac:dyDescent="0.25">
      <c r="A20359" s="2">
        <v>20354</v>
      </c>
      <c r="B20359" s="11" t="str">
        <f>"00883803"</f>
        <v>00883803</v>
      </c>
    </row>
    <row r="20360" spans="1:2" x14ac:dyDescent="0.25">
      <c r="A20360" s="2">
        <v>20355</v>
      </c>
      <c r="B20360" s="11" t="str">
        <f>"00883819"</f>
        <v>00883819</v>
      </c>
    </row>
    <row r="20361" spans="1:2" x14ac:dyDescent="0.25">
      <c r="A20361" s="2">
        <v>20356</v>
      </c>
      <c r="B20361" s="11" t="str">
        <f>"00883832"</f>
        <v>00883832</v>
      </c>
    </row>
    <row r="20362" spans="1:2" x14ac:dyDescent="0.25">
      <c r="A20362" s="2">
        <v>20357</v>
      </c>
      <c r="B20362" s="11" t="str">
        <f>"00883932"</f>
        <v>00883932</v>
      </c>
    </row>
    <row r="20363" spans="1:2" x14ac:dyDescent="0.25">
      <c r="A20363" s="2">
        <v>20358</v>
      </c>
      <c r="B20363" s="11" t="str">
        <f>"00883936"</f>
        <v>00883936</v>
      </c>
    </row>
    <row r="20364" spans="1:2" x14ac:dyDescent="0.25">
      <c r="A20364" s="2">
        <v>20359</v>
      </c>
      <c r="B20364" s="11" t="str">
        <f>"00883970"</f>
        <v>00883970</v>
      </c>
    </row>
    <row r="20365" spans="1:2" x14ac:dyDescent="0.25">
      <c r="A20365" s="2">
        <v>20360</v>
      </c>
      <c r="B20365" s="11" t="str">
        <f>"00883977"</f>
        <v>00883977</v>
      </c>
    </row>
    <row r="20366" spans="1:2" x14ac:dyDescent="0.25">
      <c r="A20366" s="2">
        <v>20361</v>
      </c>
      <c r="B20366" s="11" t="str">
        <f>"00883991"</f>
        <v>00883991</v>
      </c>
    </row>
    <row r="20367" spans="1:2" x14ac:dyDescent="0.25">
      <c r="A20367" s="2">
        <v>20362</v>
      </c>
      <c r="B20367" s="11" t="str">
        <f>"00884096"</f>
        <v>00884096</v>
      </c>
    </row>
    <row r="20368" spans="1:2" x14ac:dyDescent="0.25">
      <c r="A20368" s="2">
        <v>20363</v>
      </c>
      <c r="B20368" s="11" t="str">
        <f>"00884097"</f>
        <v>00884097</v>
      </c>
    </row>
    <row r="20369" spans="1:2" x14ac:dyDescent="0.25">
      <c r="A20369" s="2">
        <v>20364</v>
      </c>
      <c r="B20369" s="11" t="str">
        <f>"00884142"</f>
        <v>00884142</v>
      </c>
    </row>
    <row r="20370" spans="1:2" x14ac:dyDescent="0.25">
      <c r="A20370" s="2">
        <v>20365</v>
      </c>
      <c r="B20370" s="11" t="str">
        <f>"00884143"</f>
        <v>00884143</v>
      </c>
    </row>
    <row r="20371" spans="1:2" x14ac:dyDescent="0.25">
      <c r="A20371" s="2">
        <v>20366</v>
      </c>
      <c r="B20371" s="11" t="str">
        <f>"00884260"</f>
        <v>00884260</v>
      </c>
    </row>
    <row r="20372" spans="1:2" x14ac:dyDescent="0.25">
      <c r="A20372" s="2">
        <v>20367</v>
      </c>
      <c r="B20372" s="11" t="str">
        <f>"00884276"</f>
        <v>00884276</v>
      </c>
    </row>
    <row r="20373" spans="1:2" x14ac:dyDescent="0.25">
      <c r="A20373" s="2">
        <v>20368</v>
      </c>
      <c r="B20373" s="11" t="str">
        <f>"00884333"</f>
        <v>00884333</v>
      </c>
    </row>
    <row r="20374" spans="1:2" x14ac:dyDescent="0.25">
      <c r="A20374" s="2">
        <v>20369</v>
      </c>
      <c r="B20374" s="11" t="str">
        <f>"00884351"</f>
        <v>00884351</v>
      </c>
    </row>
    <row r="20375" spans="1:2" x14ac:dyDescent="0.25">
      <c r="A20375" s="2">
        <v>20370</v>
      </c>
      <c r="B20375" s="11" t="str">
        <f>"00884401"</f>
        <v>00884401</v>
      </c>
    </row>
    <row r="20376" spans="1:2" x14ac:dyDescent="0.25">
      <c r="A20376" s="2">
        <v>20371</v>
      </c>
      <c r="B20376" s="11" t="str">
        <f>"00884421"</f>
        <v>00884421</v>
      </c>
    </row>
    <row r="20377" spans="1:2" x14ac:dyDescent="0.25">
      <c r="A20377" s="2">
        <v>20372</v>
      </c>
      <c r="B20377" s="11" t="str">
        <f>"00884434"</f>
        <v>00884434</v>
      </c>
    </row>
    <row r="20378" spans="1:2" x14ac:dyDescent="0.25">
      <c r="A20378" s="2">
        <v>20373</v>
      </c>
      <c r="B20378" s="11" t="str">
        <f>"00884459"</f>
        <v>00884459</v>
      </c>
    </row>
    <row r="20379" spans="1:2" x14ac:dyDescent="0.25">
      <c r="A20379" s="2">
        <v>20374</v>
      </c>
      <c r="B20379" s="11" t="str">
        <f>"00884477"</f>
        <v>00884477</v>
      </c>
    </row>
    <row r="20380" spans="1:2" x14ac:dyDescent="0.25">
      <c r="A20380" s="2">
        <v>20375</v>
      </c>
      <c r="B20380" s="11" t="str">
        <f>"00884506"</f>
        <v>00884506</v>
      </c>
    </row>
    <row r="20381" spans="1:2" x14ac:dyDescent="0.25">
      <c r="A20381" s="2">
        <v>20376</v>
      </c>
      <c r="B20381" s="11" t="str">
        <f>"00884560"</f>
        <v>00884560</v>
      </c>
    </row>
    <row r="20382" spans="1:2" x14ac:dyDescent="0.25">
      <c r="A20382" s="2">
        <v>20377</v>
      </c>
      <c r="B20382" s="11" t="str">
        <f>"00884597"</f>
        <v>00884597</v>
      </c>
    </row>
    <row r="20383" spans="1:2" x14ac:dyDescent="0.25">
      <c r="A20383" s="2">
        <v>20378</v>
      </c>
      <c r="B20383" s="11" t="str">
        <f>"00884611"</f>
        <v>00884611</v>
      </c>
    </row>
    <row r="20384" spans="1:2" x14ac:dyDescent="0.25">
      <c r="A20384" s="2">
        <v>20379</v>
      </c>
      <c r="B20384" s="11" t="str">
        <f>"00884647"</f>
        <v>00884647</v>
      </c>
    </row>
    <row r="20385" spans="1:2" x14ac:dyDescent="0.25">
      <c r="A20385" s="2">
        <v>20380</v>
      </c>
      <c r="B20385" s="11" t="str">
        <f>"00884660"</f>
        <v>00884660</v>
      </c>
    </row>
    <row r="20386" spans="1:2" x14ac:dyDescent="0.25">
      <c r="A20386" s="2">
        <v>20381</v>
      </c>
      <c r="B20386" s="11" t="str">
        <f>"00884680"</f>
        <v>00884680</v>
      </c>
    </row>
    <row r="20387" spans="1:2" x14ac:dyDescent="0.25">
      <c r="A20387" s="2">
        <v>20382</v>
      </c>
      <c r="B20387" s="11" t="str">
        <f>"00884704"</f>
        <v>00884704</v>
      </c>
    </row>
    <row r="20388" spans="1:2" x14ac:dyDescent="0.25">
      <c r="A20388" s="2">
        <v>20383</v>
      </c>
      <c r="B20388" s="11" t="str">
        <f>"00884728"</f>
        <v>00884728</v>
      </c>
    </row>
    <row r="20389" spans="1:2" x14ac:dyDescent="0.25">
      <c r="A20389" s="2">
        <v>20384</v>
      </c>
      <c r="B20389" s="11" t="str">
        <f>"00884747"</f>
        <v>00884747</v>
      </c>
    </row>
    <row r="20390" spans="1:2" x14ac:dyDescent="0.25">
      <c r="A20390" s="2">
        <v>20385</v>
      </c>
      <c r="B20390" s="11" t="str">
        <f>"00884864"</f>
        <v>00884864</v>
      </c>
    </row>
    <row r="20391" spans="1:2" x14ac:dyDescent="0.25">
      <c r="A20391" s="2">
        <v>20386</v>
      </c>
      <c r="B20391" s="11" t="str">
        <f>"00884958"</f>
        <v>00884958</v>
      </c>
    </row>
    <row r="20392" spans="1:2" x14ac:dyDescent="0.25">
      <c r="A20392" s="2">
        <v>20387</v>
      </c>
      <c r="B20392" s="11" t="str">
        <f>"00884964"</f>
        <v>00884964</v>
      </c>
    </row>
    <row r="20393" spans="1:2" x14ac:dyDescent="0.25">
      <c r="A20393" s="2">
        <v>20388</v>
      </c>
      <c r="B20393" s="11" t="str">
        <f>"00885042"</f>
        <v>00885042</v>
      </c>
    </row>
    <row r="20394" spans="1:2" x14ac:dyDescent="0.25">
      <c r="A20394" s="2">
        <v>20389</v>
      </c>
      <c r="B20394" s="11" t="str">
        <f>"00885095"</f>
        <v>00885095</v>
      </c>
    </row>
    <row r="20395" spans="1:2" x14ac:dyDescent="0.25">
      <c r="A20395" s="2">
        <v>20390</v>
      </c>
      <c r="B20395" s="11" t="str">
        <f>"00885141"</f>
        <v>00885141</v>
      </c>
    </row>
    <row r="20396" spans="1:2" x14ac:dyDescent="0.25">
      <c r="A20396" s="2">
        <v>20391</v>
      </c>
      <c r="B20396" s="11" t="str">
        <f>"00885170"</f>
        <v>00885170</v>
      </c>
    </row>
    <row r="20397" spans="1:2" x14ac:dyDescent="0.25">
      <c r="A20397" s="2">
        <v>20392</v>
      </c>
      <c r="B20397" s="11" t="str">
        <f>"00885228"</f>
        <v>00885228</v>
      </c>
    </row>
    <row r="20398" spans="1:2" x14ac:dyDescent="0.25">
      <c r="A20398" s="2">
        <v>20393</v>
      </c>
      <c r="B20398" s="11" t="str">
        <f>"00885302"</f>
        <v>00885302</v>
      </c>
    </row>
    <row r="20399" spans="1:2" x14ac:dyDescent="0.25">
      <c r="A20399" s="2">
        <v>20394</v>
      </c>
      <c r="B20399" s="11" t="str">
        <f>"00885317"</f>
        <v>00885317</v>
      </c>
    </row>
    <row r="20400" spans="1:2" x14ac:dyDescent="0.25">
      <c r="A20400" s="2">
        <v>20395</v>
      </c>
      <c r="B20400" s="11" t="str">
        <f>"00885336"</f>
        <v>00885336</v>
      </c>
    </row>
    <row r="20401" spans="1:2" x14ac:dyDescent="0.25">
      <c r="A20401" s="2">
        <v>20396</v>
      </c>
      <c r="B20401" s="11" t="str">
        <f>"00885350"</f>
        <v>00885350</v>
      </c>
    </row>
    <row r="20402" spans="1:2" x14ac:dyDescent="0.25">
      <c r="A20402" s="2">
        <v>20397</v>
      </c>
      <c r="B20402" s="11" t="str">
        <f>"00885459"</f>
        <v>00885459</v>
      </c>
    </row>
    <row r="20403" spans="1:2" x14ac:dyDescent="0.25">
      <c r="A20403" s="2">
        <v>20398</v>
      </c>
      <c r="B20403" s="11" t="str">
        <f>"00885511"</f>
        <v>00885511</v>
      </c>
    </row>
    <row r="20404" spans="1:2" x14ac:dyDescent="0.25">
      <c r="A20404" s="2">
        <v>20399</v>
      </c>
      <c r="B20404" s="11" t="str">
        <f>"00885567"</f>
        <v>00885567</v>
      </c>
    </row>
    <row r="20405" spans="1:2" x14ac:dyDescent="0.25">
      <c r="A20405" s="2">
        <v>20400</v>
      </c>
      <c r="B20405" s="11" t="str">
        <f>"00885622"</f>
        <v>00885622</v>
      </c>
    </row>
    <row r="20406" spans="1:2" x14ac:dyDescent="0.25">
      <c r="A20406" s="2">
        <v>20401</v>
      </c>
      <c r="B20406" s="11" t="str">
        <f>"00885626"</f>
        <v>00885626</v>
      </c>
    </row>
    <row r="20407" spans="1:2" x14ac:dyDescent="0.25">
      <c r="A20407" s="2">
        <v>20402</v>
      </c>
      <c r="B20407" s="11" t="str">
        <f>"00885637"</f>
        <v>00885637</v>
      </c>
    </row>
    <row r="20408" spans="1:2" x14ac:dyDescent="0.25">
      <c r="A20408" s="2">
        <v>20403</v>
      </c>
      <c r="B20408" s="11" t="str">
        <f>"00885681"</f>
        <v>00885681</v>
      </c>
    </row>
    <row r="20409" spans="1:2" x14ac:dyDescent="0.25">
      <c r="A20409" s="2">
        <v>20404</v>
      </c>
      <c r="B20409" s="11" t="str">
        <f>"00885700"</f>
        <v>00885700</v>
      </c>
    </row>
    <row r="20410" spans="1:2" x14ac:dyDescent="0.25">
      <c r="A20410" s="2">
        <v>20405</v>
      </c>
      <c r="B20410" s="11" t="str">
        <f>"00885735"</f>
        <v>00885735</v>
      </c>
    </row>
    <row r="20411" spans="1:2" x14ac:dyDescent="0.25">
      <c r="A20411" s="2">
        <v>20406</v>
      </c>
      <c r="B20411" s="11" t="str">
        <f>"00885750"</f>
        <v>00885750</v>
      </c>
    </row>
    <row r="20412" spans="1:2" x14ac:dyDescent="0.25">
      <c r="A20412" s="2">
        <v>20407</v>
      </c>
      <c r="B20412" s="11" t="str">
        <f>"00885762"</f>
        <v>00885762</v>
      </c>
    </row>
    <row r="20413" spans="1:2" x14ac:dyDescent="0.25">
      <c r="A20413" s="2">
        <v>20408</v>
      </c>
      <c r="B20413" s="11" t="str">
        <f>"00885765"</f>
        <v>00885765</v>
      </c>
    </row>
    <row r="20414" spans="1:2" x14ac:dyDescent="0.25">
      <c r="A20414" s="2">
        <v>20409</v>
      </c>
      <c r="B20414" s="11" t="str">
        <f>"00885800"</f>
        <v>00885800</v>
      </c>
    </row>
    <row r="20415" spans="1:2" x14ac:dyDescent="0.25">
      <c r="A20415" s="2">
        <v>20410</v>
      </c>
      <c r="B20415" s="11" t="str">
        <f>"00885808"</f>
        <v>00885808</v>
      </c>
    </row>
    <row r="20416" spans="1:2" x14ac:dyDescent="0.25">
      <c r="A20416" s="2">
        <v>20411</v>
      </c>
      <c r="B20416" s="11" t="str">
        <f>"00885821"</f>
        <v>00885821</v>
      </c>
    </row>
    <row r="20417" spans="1:2" x14ac:dyDescent="0.25">
      <c r="A20417" s="2">
        <v>20412</v>
      </c>
      <c r="B20417" s="11" t="str">
        <f>"00885852"</f>
        <v>00885852</v>
      </c>
    </row>
    <row r="20418" spans="1:2" x14ac:dyDescent="0.25">
      <c r="A20418" s="2">
        <v>20413</v>
      </c>
      <c r="B20418" s="11" t="str">
        <f>"00885914"</f>
        <v>00885914</v>
      </c>
    </row>
    <row r="20419" spans="1:2" x14ac:dyDescent="0.25">
      <c r="A20419" s="2">
        <v>20414</v>
      </c>
      <c r="B20419" s="11" t="str">
        <f>"00885921"</f>
        <v>00885921</v>
      </c>
    </row>
    <row r="20420" spans="1:2" x14ac:dyDescent="0.25">
      <c r="A20420" s="2">
        <v>20415</v>
      </c>
      <c r="B20420" s="11" t="str">
        <f>"00886213"</f>
        <v>00886213</v>
      </c>
    </row>
    <row r="20421" spans="1:2" x14ac:dyDescent="0.25">
      <c r="A20421" s="2">
        <v>20416</v>
      </c>
      <c r="B20421" s="11" t="str">
        <f>"00886225"</f>
        <v>00886225</v>
      </c>
    </row>
    <row r="20422" spans="1:2" x14ac:dyDescent="0.25">
      <c r="A20422" s="2">
        <v>20417</v>
      </c>
      <c r="B20422" s="11" t="str">
        <f>"00886243"</f>
        <v>00886243</v>
      </c>
    </row>
    <row r="20423" spans="1:2" x14ac:dyDescent="0.25">
      <c r="A20423" s="2">
        <v>20418</v>
      </c>
      <c r="B20423" s="11" t="str">
        <f>"00886252"</f>
        <v>00886252</v>
      </c>
    </row>
    <row r="20424" spans="1:2" x14ac:dyDescent="0.25">
      <c r="A20424" s="2">
        <v>20419</v>
      </c>
      <c r="B20424" s="11" t="str">
        <f>"00886275"</f>
        <v>00886275</v>
      </c>
    </row>
    <row r="20425" spans="1:2" x14ac:dyDescent="0.25">
      <c r="A20425" s="2">
        <v>20420</v>
      </c>
      <c r="B20425" s="11" t="str">
        <f>"00886299"</f>
        <v>00886299</v>
      </c>
    </row>
    <row r="20426" spans="1:2" x14ac:dyDescent="0.25">
      <c r="A20426" s="2">
        <v>20421</v>
      </c>
      <c r="B20426" s="11" t="str">
        <f>"00886390"</f>
        <v>00886390</v>
      </c>
    </row>
    <row r="20427" spans="1:2" x14ac:dyDescent="0.25">
      <c r="A20427" s="2">
        <v>20422</v>
      </c>
      <c r="B20427" s="11" t="str">
        <f>"00886430"</f>
        <v>00886430</v>
      </c>
    </row>
    <row r="20428" spans="1:2" x14ac:dyDescent="0.25">
      <c r="A20428" s="2">
        <v>20423</v>
      </c>
      <c r="B20428" s="11" t="str">
        <f>"00886508"</f>
        <v>00886508</v>
      </c>
    </row>
    <row r="20429" spans="1:2" x14ac:dyDescent="0.25">
      <c r="A20429" s="2">
        <v>20424</v>
      </c>
      <c r="B20429" s="11" t="str">
        <f>"00886547"</f>
        <v>00886547</v>
      </c>
    </row>
    <row r="20430" spans="1:2" x14ac:dyDescent="0.25">
      <c r="A20430" s="2">
        <v>20425</v>
      </c>
      <c r="B20430" s="11" t="str">
        <f>"00886617"</f>
        <v>00886617</v>
      </c>
    </row>
    <row r="20431" spans="1:2" x14ac:dyDescent="0.25">
      <c r="A20431" s="2">
        <v>20426</v>
      </c>
      <c r="B20431" s="11" t="str">
        <f>"00886842"</f>
        <v>00886842</v>
      </c>
    </row>
    <row r="20432" spans="1:2" x14ac:dyDescent="0.25">
      <c r="A20432" s="2">
        <v>20427</v>
      </c>
      <c r="B20432" s="11" t="str">
        <f>"00886875"</f>
        <v>00886875</v>
      </c>
    </row>
    <row r="20433" spans="1:2" x14ac:dyDescent="0.25">
      <c r="A20433" s="2">
        <v>20428</v>
      </c>
      <c r="B20433" s="11" t="str">
        <f>"00886911"</f>
        <v>00886911</v>
      </c>
    </row>
    <row r="20434" spans="1:2" x14ac:dyDescent="0.25">
      <c r="A20434" s="2">
        <v>20429</v>
      </c>
      <c r="B20434" s="11" t="str">
        <f>"00886960"</f>
        <v>00886960</v>
      </c>
    </row>
    <row r="20435" spans="1:2" x14ac:dyDescent="0.25">
      <c r="A20435" s="2">
        <v>20430</v>
      </c>
      <c r="B20435" s="11" t="str">
        <f>"00887035"</f>
        <v>00887035</v>
      </c>
    </row>
    <row r="20436" spans="1:2" x14ac:dyDescent="0.25">
      <c r="A20436" s="2">
        <v>20431</v>
      </c>
      <c r="B20436" s="11" t="str">
        <f>"00887082"</f>
        <v>00887082</v>
      </c>
    </row>
    <row r="20437" spans="1:2" x14ac:dyDescent="0.25">
      <c r="A20437" s="2">
        <v>20432</v>
      </c>
      <c r="B20437" s="11" t="str">
        <f>"00887244"</f>
        <v>00887244</v>
      </c>
    </row>
    <row r="20438" spans="1:2" x14ac:dyDescent="0.25">
      <c r="A20438" s="2">
        <v>20433</v>
      </c>
      <c r="B20438" s="11" t="str">
        <f>"00887387"</f>
        <v>00887387</v>
      </c>
    </row>
    <row r="20439" spans="1:2" x14ac:dyDescent="0.25">
      <c r="A20439" s="2">
        <v>20434</v>
      </c>
      <c r="B20439" s="11" t="str">
        <f>"00887420"</f>
        <v>00887420</v>
      </c>
    </row>
    <row r="20440" spans="1:2" x14ac:dyDescent="0.25">
      <c r="A20440" s="2">
        <v>20435</v>
      </c>
      <c r="B20440" s="11" t="str">
        <f>"00887497"</f>
        <v>00887497</v>
      </c>
    </row>
    <row r="20441" spans="1:2" x14ac:dyDescent="0.25">
      <c r="A20441" s="2">
        <v>20436</v>
      </c>
      <c r="B20441" s="11" t="str">
        <f>"00887499"</f>
        <v>00887499</v>
      </c>
    </row>
    <row r="20442" spans="1:2" x14ac:dyDescent="0.25">
      <c r="A20442" s="2">
        <v>20437</v>
      </c>
      <c r="B20442" s="11" t="str">
        <f>"00887547"</f>
        <v>00887547</v>
      </c>
    </row>
    <row r="20443" spans="1:2" x14ac:dyDescent="0.25">
      <c r="A20443" s="2">
        <v>20438</v>
      </c>
      <c r="B20443" s="11" t="str">
        <f>"00887549"</f>
        <v>00887549</v>
      </c>
    </row>
    <row r="20444" spans="1:2" x14ac:dyDescent="0.25">
      <c r="A20444" s="2">
        <v>20439</v>
      </c>
      <c r="B20444" s="11" t="str">
        <f>"00887591"</f>
        <v>00887591</v>
      </c>
    </row>
    <row r="20445" spans="1:2" x14ac:dyDescent="0.25">
      <c r="A20445" s="2">
        <v>20440</v>
      </c>
      <c r="B20445" s="11" t="str">
        <f>"00887630"</f>
        <v>00887630</v>
      </c>
    </row>
    <row r="20446" spans="1:2" x14ac:dyDescent="0.25">
      <c r="A20446" s="2">
        <v>20441</v>
      </c>
      <c r="B20446" s="11" t="str">
        <f>"00887765"</f>
        <v>00887765</v>
      </c>
    </row>
    <row r="20447" spans="1:2" x14ac:dyDescent="0.25">
      <c r="A20447" s="2">
        <v>20442</v>
      </c>
      <c r="B20447" s="11" t="str">
        <f>"00887807"</f>
        <v>00887807</v>
      </c>
    </row>
    <row r="20448" spans="1:2" x14ac:dyDescent="0.25">
      <c r="A20448" s="2">
        <v>20443</v>
      </c>
      <c r="B20448" s="11" t="str">
        <f>"00887820"</f>
        <v>00887820</v>
      </c>
    </row>
    <row r="20449" spans="1:2" x14ac:dyDescent="0.25">
      <c r="A20449" s="2">
        <v>20444</v>
      </c>
      <c r="B20449" s="11" t="str">
        <f>"00887843"</f>
        <v>00887843</v>
      </c>
    </row>
    <row r="20450" spans="1:2" x14ac:dyDescent="0.25">
      <c r="A20450" s="2">
        <v>20445</v>
      </c>
      <c r="B20450" s="11" t="str">
        <f>"00887856"</f>
        <v>00887856</v>
      </c>
    </row>
    <row r="20451" spans="1:2" x14ac:dyDescent="0.25">
      <c r="A20451" s="2">
        <v>20446</v>
      </c>
      <c r="B20451" s="11" t="str">
        <f>"00887870"</f>
        <v>00887870</v>
      </c>
    </row>
    <row r="20452" spans="1:2" x14ac:dyDescent="0.25">
      <c r="A20452" s="2">
        <v>20447</v>
      </c>
      <c r="B20452" s="11" t="str">
        <f>"00887922"</f>
        <v>00887922</v>
      </c>
    </row>
    <row r="20453" spans="1:2" x14ac:dyDescent="0.25">
      <c r="A20453" s="2">
        <v>20448</v>
      </c>
      <c r="B20453" s="11" t="str">
        <f>"00887954"</f>
        <v>00887954</v>
      </c>
    </row>
    <row r="20454" spans="1:2" x14ac:dyDescent="0.25">
      <c r="A20454" s="2">
        <v>20449</v>
      </c>
      <c r="B20454" s="11" t="str">
        <f>"00887979"</f>
        <v>00887979</v>
      </c>
    </row>
    <row r="20455" spans="1:2" x14ac:dyDescent="0.25">
      <c r="A20455" s="2">
        <v>20450</v>
      </c>
      <c r="B20455" s="11" t="str">
        <f>"00887992"</f>
        <v>00887992</v>
      </c>
    </row>
    <row r="20456" spans="1:2" x14ac:dyDescent="0.25">
      <c r="A20456" s="2">
        <v>20451</v>
      </c>
      <c r="B20456" s="11" t="str">
        <f>"00888008"</f>
        <v>00888008</v>
      </c>
    </row>
    <row r="20457" spans="1:2" x14ac:dyDescent="0.25">
      <c r="A20457" s="2">
        <v>20452</v>
      </c>
      <c r="B20457" s="11" t="str">
        <f>"00888075"</f>
        <v>00888075</v>
      </c>
    </row>
    <row r="20458" spans="1:2" x14ac:dyDescent="0.25">
      <c r="A20458" s="2">
        <v>20453</v>
      </c>
      <c r="B20458" s="11" t="str">
        <f>"00888076"</f>
        <v>00888076</v>
      </c>
    </row>
    <row r="20459" spans="1:2" x14ac:dyDescent="0.25">
      <c r="A20459" s="2">
        <v>20454</v>
      </c>
      <c r="B20459" s="11" t="str">
        <f>"00888121"</f>
        <v>00888121</v>
      </c>
    </row>
    <row r="20460" spans="1:2" x14ac:dyDescent="0.25">
      <c r="A20460" s="2">
        <v>20455</v>
      </c>
      <c r="B20460" s="11" t="str">
        <f>"00888148"</f>
        <v>00888148</v>
      </c>
    </row>
    <row r="20461" spans="1:2" x14ac:dyDescent="0.25">
      <c r="A20461" s="2">
        <v>20456</v>
      </c>
      <c r="B20461" s="11" t="str">
        <f>"00888184"</f>
        <v>00888184</v>
      </c>
    </row>
    <row r="20462" spans="1:2" x14ac:dyDescent="0.25">
      <c r="A20462" s="2">
        <v>20457</v>
      </c>
      <c r="B20462" s="11" t="str">
        <f>"00888226"</f>
        <v>00888226</v>
      </c>
    </row>
    <row r="20463" spans="1:2" x14ac:dyDescent="0.25">
      <c r="A20463" s="2">
        <v>20458</v>
      </c>
      <c r="B20463" s="11" t="str">
        <f>"00888236"</f>
        <v>00888236</v>
      </c>
    </row>
    <row r="20464" spans="1:2" x14ac:dyDescent="0.25">
      <c r="A20464" s="2">
        <v>20459</v>
      </c>
      <c r="B20464" s="11" t="str">
        <f>"00888292"</f>
        <v>00888292</v>
      </c>
    </row>
    <row r="20465" spans="1:2" x14ac:dyDescent="0.25">
      <c r="A20465" s="2">
        <v>20460</v>
      </c>
      <c r="B20465" s="11" t="str">
        <f>"00888294"</f>
        <v>00888294</v>
      </c>
    </row>
    <row r="20466" spans="1:2" x14ac:dyDescent="0.25">
      <c r="A20466" s="2">
        <v>20461</v>
      </c>
      <c r="B20466" s="11" t="str">
        <f>"00888295"</f>
        <v>00888295</v>
      </c>
    </row>
    <row r="20467" spans="1:2" x14ac:dyDescent="0.25">
      <c r="A20467" s="2">
        <v>20462</v>
      </c>
      <c r="B20467" s="11" t="str">
        <f>"00888298"</f>
        <v>00888298</v>
      </c>
    </row>
    <row r="20468" spans="1:2" x14ac:dyDescent="0.25">
      <c r="A20468" s="2">
        <v>20463</v>
      </c>
      <c r="B20468" s="11" t="str">
        <f>"00888384"</f>
        <v>00888384</v>
      </c>
    </row>
    <row r="20469" spans="1:2" x14ac:dyDescent="0.25">
      <c r="A20469" s="2">
        <v>20464</v>
      </c>
      <c r="B20469" s="11" t="str">
        <f>"00888391"</f>
        <v>00888391</v>
      </c>
    </row>
    <row r="20470" spans="1:2" x14ac:dyDescent="0.25">
      <c r="A20470" s="2">
        <v>20465</v>
      </c>
      <c r="B20470" s="11" t="str">
        <f>"00888456"</f>
        <v>00888456</v>
      </c>
    </row>
    <row r="20471" spans="1:2" x14ac:dyDescent="0.25">
      <c r="A20471" s="2">
        <v>20466</v>
      </c>
      <c r="B20471" s="11" t="str">
        <f>"00888488"</f>
        <v>00888488</v>
      </c>
    </row>
    <row r="20472" spans="1:2" x14ac:dyDescent="0.25">
      <c r="A20472" s="2">
        <v>20467</v>
      </c>
      <c r="B20472" s="11" t="str">
        <f>"00888569"</f>
        <v>00888569</v>
      </c>
    </row>
    <row r="20473" spans="1:2" x14ac:dyDescent="0.25">
      <c r="A20473" s="2">
        <v>20468</v>
      </c>
      <c r="B20473" s="11" t="str">
        <f>"00888589"</f>
        <v>00888589</v>
      </c>
    </row>
    <row r="20474" spans="1:2" x14ac:dyDescent="0.25">
      <c r="A20474" s="2">
        <v>20469</v>
      </c>
      <c r="B20474" s="11" t="str">
        <f>"00888667"</f>
        <v>00888667</v>
      </c>
    </row>
    <row r="20475" spans="1:2" x14ac:dyDescent="0.25">
      <c r="A20475" s="2">
        <v>20470</v>
      </c>
      <c r="B20475" s="11" t="str">
        <f>"00888671"</f>
        <v>00888671</v>
      </c>
    </row>
    <row r="20476" spans="1:2" x14ac:dyDescent="0.25">
      <c r="A20476" s="2">
        <v>20471</v>
      </c>
      <c r="B20476" s="11" t="str">
        <f>"00888693"</f>
        <v>00888693</v>
      </c>
    </row>
    <row r="20477" spans="1:2" x14ac:dyDescent="0.25">
      <c r="A20477" s="2">
        <v>20472</v>
      </c>
      <c r="B20477" s="11" t="str">
        <f>"00888763"</f>
        <v>00888763</v>
      </c>
    </row>
    <row r="20478" spans="1:2" x14ac:dyDescent="0.25">
      <c r="A20478" s="2">
        <v>20473</v>
      </c>
      <c r="B20478" s="11" t="str">
        <f>"00888823"</f>
        <v>00888823</v>
      </c>
    </row>
    <row r="20479" spans="1:2" x14ac:dyDescent="0.25">
      <c r="A20479" s="2">
        <v>20474</v>
      </c>
      <c r="B20479" s="11" t="str">
        <f>"00888851"</f>
        <v>00888851</v>
      </c>
    </row>
    <row r="20480" spans="1:2" x14ac:dyDescent="0.25">
      <c r="A20480" s="2">
        <v>20475</v>
      </c>
      <c r="B20480" s="11" t="str">
        <f>"00888855"</f>
        <v>00888855</v>
      </c>
    </row>
    <row r="20481" spans="1:2" x14ac:dyDescent="0.25">
      <c r="A20481" s="2">
        <v>20476</v>
      </c>
      <c r="B20481" s="11" t="str">
        <f>"00888859"</f>
        <v>00888859</v>
      </c>
    </row>
    <row r="20482" spans="1:2" x14ac:dyDescent="0.25">
      <c r="A20482" s="2">
        <v>20477</v>
      </c>
      <c r="B20482" s="11" t="str">
        <f>"00888868"</f>
        <v>00888868</v>
      </c>
    </row>
    <row r="20483" spans="1:2" x14ac:dyDescent="0.25">
      <c r="A20483" s="2">
        <v>20478</v>
      </c>
      <c r="B20483" s="11" t="str">
        <f>"00888884"</f>
        <v>00888884</v>
      </c>
    </row>
    <row r="20484" spans="1:2" x14ac:dyDescent="0.25">
      <c r="A20484" s="2">
        <v>20479</v>
      </c>
      <c r="B20484" s="11" t="str">
        <f>"00888888"</f>
        <v>00888888</v>
      </c>
    </row>
    <row r="20485" spans="1:2" x14ac:dyDescent="0.25">
      <c r="A20485" s="2">
        <v>20480</v>
      </c>
      <c r="B20485" s="11" t="str">
        <f>"00888907"</f>
        <v>00888907</v>
      </c>
    </row>
    <row r="20486" spans="1:2" x14ac:dyDescent="0.25">
      <c r="A20486" s="2">
        <v>20481</v>
      </c>
      <c r="B20486" s="11" t="str">
        <f>"00888959"</f>
        <v>00888959</v>
      </c>
    </row>
    <row r="20487" spans="1:2" x14ac:dyDescent="0.25">
      <c r="A20487" s="2">
        <v>20482</v>
      </c>
      <c r="B20487" s="11" t="str">
        <f>"00889030"</f>
        <v>00889030</v>
      </c>
    </row>
    <row r="20488" spans="1:2" x14ac:dyDescent="0.25">
      <c r="A20488" s="2">
        <v>20483</v>
      </c>
      <c r="B20488" s="11" t="str">
        <f>"00889077"</f>
        <v>00889077</v>
      </c>
    </row>
    <row r="20489" spans="1:2" x14ac:dyDescent="0.25">
      <c r="A20489" s="2">
        <v>20484</v>
      </c>
      <c r="B20489" s="11" t="str">
        <f>"00889098"</f>
        <v>00889098</v>
      </c>
    </row>
    <row r="20490" spans="1:2" x14ac:dyDescent="0.25">
      <c r="A20490" s="2">
        <v>20485</v>
      </c>
      <c r="B20490" s="11" t="str">
        <f>"00889192"</f>
        <v>00889192</v>
      </c>
    </row>
    <row r="20491" spans="1:2" x14ac:dyDescent="0.25">
      <c r="A20491" s="2">
        <v>20486</v>
      </c>
      <c r="B20491" s="11" t="str">
        <f>"00889275"</f>
        <v>00889275</v>
      </c>
    </row>
    <row r="20492" spans="1:2" x14ac:dyDescent="0.25">
      <c r="A20492" s="2">
        <v>20487</v>
      </c>
      <c r="B20492" s="11" t="str">
        <f>"00889284"</f>
        <v>00889284</v>
      </c>
    </row>
    <row r="20493" spans="1:2" x14ac:dyDescent="0.25">
      <c r="A20493" s="2">
        <v>20488</v>
      </c>
      <c r="B20493" s="11" t="str">
        <f>"00889285"</f>
        <v>00889285</v>
      </c>
    </row>
    <row r="20494" spans="1:2" x14ac:dyDescent="0.25">
      <c r="A20494" s="2">
        <v>20489</v>
      </c>
      <c r="B20494" s="11" t="str">
        <f>"00889291"</f>
        <v>00889291</v>
      </c>
    </row>
    <row r="20495" spans="1:2" x14ac:dyDescent="0.25">
      <c r="A20495" s="2">
        <v>20490</v>
      </c>
      <c r="B20495" s="11" t="str">
        <f>"00889303"</f>
        <v>00889303</v>
      </c>
    </row>
    <row r="20496" spans="1:2" x14ac:dyDescent="0.25">
      <c r="A20496" s="2">
        <v>20491</v>
      </c>
      <c r="B20496" s="11" t="str">
        <f>"00889325"</f>
        <v>00889325</v>
      </c>
    </row>
    <row r="20497" spans="1:2" x14ac:dyDescent="0.25">
      <c r="A20497" s="2">
        <v>20492</v>
      </c>
      <c r="B20497" s="11" t="str">
        <f>"00889394"</f>
        <v>00889394</v>
      </c>
    </row>
    <row r="20498" spans="1:2" x14ac:dyDescent="0.25">
      <c r="A20498" s="2">
        <v>20493</v>
      </c>
      <c r="B20498" s="11" t="str">
        <f>"00889424"</f>
        <v>00889424</v>
      </c>
    </row>
    <row r="20499" spans="1:2" x14ac:dyDescent="0.25">
      <c r="A20499" s="2">
        <v>20494</v>
      </c>
      <c r="B20499" s="11" t="str">
        <f>"00889432"</f>
        <v>00889432</v>
      </c>
    </row>
    <row r="20500" spans="1:2" x14ac:dyDescent="0.25">
      <c r="A20500" s="2">
        <v>20495</v>
      </c>
      <c r="B20500" s="11" t="str">
        <f>"00889440"</f>
        <v>00889440</v>
      </c>
    </row>
    <row r="20501" spans="1:2" x14ac:dyDescent="0.25">
      <c r="A20501" s="2">
        <v>20496</v>
      </c>
      <c r="B20501" s="11" t="str">
        <f>"00889515"</f>
        <v>00889515</v>
      </c>
    </row>
    <row r="20502" spans="1:2" x14ac:dyDescent="0.25">
      <c r="A20502" s="2">
        <v>20497</v>
      </c>
      <c r="B20502" s="11" t="str">
        <f>"00889525"</f>
        <v>00889525</v>
      </c>
    </row>
    <row r="20503" spans="1:2" x14ac:dyDescent="0.25">
      <c r="A20503" s="2">
        <v>20498</v>
      </c>
      <c r="B20503" s="11" t="str">
        <f>"00889532"</f>
        <v>00889532</v>
      </c>
    </row>
    <row r="20504" spans="1:2" x14ac:dyDescent="0.25">
      <c r="A20504" s="2">
        <v>20499</v>
      </c>
      <c r="B20504" s="11" t="str">
        <f>"00889555"</f>
        <v>00889555</v>
      </c>
    </row>
    <row r="20505" spans="1:2" x14ac:dyDescent="0.25">
      <c r="A20505" s="2">
        <v>20500</v>
      </c>
      <c r="B20505" s="11" t="str">
        <f>"00889567"</f>
        <v>00889567</v>
      </c>
    </row>
    <row r="20506" spans="1:2" x14ac:dyDescent="0.25">
      <c r="A20506" s="2">
        <v>20501</v>
      </c>
      <c r="B20506" s="11" t="str">
        <f>"00889607"</f>
        <v>00889607</v>
      </c>
    </row>
    <row r="20507" spans="1:2" x14ac:dyDescent="0.25">
      <c r="A20507" s="2">
        <v>20502</v>
      </c>
      <c r="B20507" s="11" t="str">
        <f>"00889609"</f>
        <v>00889609</v>
      </c>
    </row>
    <row r="20508" spans="1:2" x14ac:dyDescent="0.25">
      <c r="A20508" s="2">
        <v>20503</v>
      </c>
      <c r="B20508" s="11" t="str">
        <f>"00889632"</f>
        <v>00889632</v>
      </c>
    </row>
    <row r="20509" spans="1:2" x14ac:dyDescent="0.25">
      <c r="A20509" s="2">
        <v>20504</v>
      </c>
      <c r="B20509" s="11" t="str">
        <f>"00889656"</f>
        <v>00889656</v>
      </c>
    </row>
    <row r="20510" spans="1:2" x14ac:dyDescent="0.25">
      <c r="A20510" s="2">
        <v>20505</v>
      </c>
      <c r="B20510" s="11" t="str">
        <f>"00889668"</f>
        <v>00889668</v>
      </c>
    </row>
    <row r="20511" spans="1:2" x14ac:dyDescent="0.25">
      <c r="A20511" s="2">
        <v>20506</v>
      </c>
      <c r="B20511" s="11" t="str">
        <f>"00889714"</f>
        <v>00889714</v>
      </c>
    </row>
    <row r="20512" spans="1:2" x14ac:dyDescent="0.25">
      <c r="A20512" s="2">
        <v>20507</v>
      </c>
      <c r="B20512" s="11" t="str">
        <f>"00889739"</f>
        <v>00889739</v>
      </c>
    </row>
    <row r="20513" spans="1:2" x14ac:dyDescent="0.25">
      <c r="A20513" s="2">
        <v>20508</v>
      </c>
      <c r="B20513" s="11" t="str">
        <f>"00889741"</f>
        <v>00889741</v>
      </c>
    </row>
    <row r="20514" spans="1:2" x14ac:dyDescent="0.25">
      <c r="A20514" s="2">
        <v>20509</v>
      </c>
      <c r="B20514" s="11" t="str">
        <f>"00889745"</f>
        <v>00889745</v>
      </c>
    </row>
    <row r="20515" spans="1:2" x14ac:dyDescent="0.25">
      <c r="A20515" s="2">
        <v>20510</v>
      </c>
      <c r="B20515" s="11" t="str">
        <f>"00889800"</f>
        <v>00889800</v>
      </c>
    </row>
    <row r="20516" spans="1:2" x14ac:dyDescent="0.25">
      <c r="A20516" s="2">
        <v>20511</v>
      </c>
      <c r="B20516" s="11" t="str">
        <f>"00889806"</f>
        <v>00889806</v>
      </c>
    </row>
    <row r="20517" spans="1:2" x14ac:dyDescent="0.25">
      <c r="A20517" s="2">
        <v>20512</v>
      </c>
      <c r="B20517" s="11" t="str">
        <f>"00889810"</f>
        <v>00889810</v>
      </c>
    </row>
    <row r="20518" spans="1:2" x14ac:dyDescent="0.25">
      <c r="A20518" s="2">
        <v>20513</v>
      </c>
      <c r="B20518" s="11" t="str">
        <f>"00889852"</f>
        <v>00889852</v>
      </c>
    </row>
    <row r="20519" spans="1:2" x14ac:dyDescent="0.25">
      <c r="A20519" s="2">
        <v>20514</v>
      </c>
      <c r="B20519" s="11" t="str">
        <f>"00889857"</f>
        <v>00889857</v>
      </c>
    </row>
    <row r="20520" spans="1:2" x14ac:dyDescent="0.25">
      <c r="A20520" s="2">
        <v>20515</v>
      </c>
      <c r="B20520" s="11" t="str">
        <f>"00889903"</f>
        <v>00889903</v>
      </c>
    </row>
    <row r="20521" spans="1:2" x14ac:dyDescent="0.25">
      <c r="A20521" s="2">
        <v>20516</v>
      </c>
      <c r="B20521" s="11" t="str">
        <f>"00889954"</f>
        <v>00889954</v>
      </c>
    </row>
    <row r="20522" spans="1:2" x14ac:dyDescent="0.25">
      <c r="A20522" s="2">
        <v>20517</v>
      </c>
      <c r="B20522" s="11" t="str">
        <f>"00889981"</f>
        <v>00889981</v>
      </c>
    </row>
    <row r="20523" spans="1:2" x14ac:dyDescent="0.25">
      <c r="A20523" s="2">
        <v>20518</v>
      </c>
      <c r="B20523" s="11" t="str">
        <f>"00889994"</f>
        <v>00889994</v>
      </c>
    </row>
    <row r="20524" spans="1:2" x14ac:dyDescent="0.25">
      <c r="A20524" s="2">
        <v>20519</v>
      </c>
      <c r="B20524" s="11" t="str">
        <f>"00890014"</f>
        <v>00890014</v>
      </c>
    </row>
    <row r="20525" spans="1:2" x14ac:dyDescent="0.25">
      <c r="A20525" s="2">
        <v>20520</v>
      </c>
      <c r="B20525" s="11" t="str">
        <f>"00890020"</f>
        <v>00890020</v>
      </c>
    </row>
    <row r="20526" spans="1:2" x14ac:dyDescent="0.25">
      <c r="A20526" s="2">
        <v>20521</v>
      </c>
      <c r="B20526" s="11" t="str">
        <f>"00890060"</f>
        <v>00890060</v>
      </c>
    </row>
    <row r="20527" spans="1:2" x14ac:dyDescent="0.25">
      <c r="A20527" s="2">
        <v>20522</v>
      </c>
      <c r="B20527" s="11" t="str">
        <f>"00890093"</f>
        <v>00890093</v>
      </c>
    </row>
    <row r="20528" spans="1:2" x14ac:dyDescent="0.25">
      <c r="A20528" s="2">
        <v>20523</v>
      </c>
      <c r="B20528" s="11" t="str">
        <f>"00890115"</f>
        <v>00890115</v>
      </c>
    </row>
    <row r="20529" spans="1:2" x14ac:dyDescent="0.25">
      <c r="A20529" s="2">
        <v>20524</v>
      </c>
      <c r="B20529" s="11" t="str">
        <f>"00890133"</f>
        <v>00890133</v>
      </c>
    </row>
    <row r="20530" spans="1:2" x14ac:dyDescent="0.25">
      <c r="A20530" s="2">
        <v>20525</v>
      </c>
      <c r="B20530" s="11" t="str">
        <f>"00890152"</f>
        <v>00890152</v>
      </c>
    </row>
    <row r="20531" spans="1:2" x14ac:dyDescent="0.25">
      <c r="A20531" s="2">
        <v>20526</v>
      </c>
      <c r="B20531" s="11" t="str">
        <f>"00890156"</f>
        <v>00890156</v>
      </c>
    </row>
    <row r="20532" spans="1:2" x14ac:dyDescent="0.25">
      <c r="A20532" s="2">
        <v>20527</v>
      </c>
      <c r="B20532" s="11" t="str">
        <f>"00890157"</f>
        <v>00890157</v>
      </c>
    </row>
    <row r="20533" spans="1:2" x14ac:dyDescent="0.25">
      <c r="A20533" s="2">
        <v>20528</v>
      </c>
      <c r="B20533" s="11" t="str">
        <f>"00890158"</f>
        <v>00890158</v>
      </c>
    </row>
    <row r="20534" spans="1:2" x14ac:dyDescent="0.25">
      <c r="A20534" s="2">
        <v>20529</v>
      </c>
      <c r="B20534" s="11" t="str">
        <f>"00890189"</f>
        <v>00890189</v>
      </c>
    </row>
    <row r="20535" spans="1:2" x14ac:dyDescent="0.25">
      <c r="A20535" s="2">
        <v>20530</v>
      </c>
      <c r="B20535" s="11" t="str">
        <f>"00890193"</f>
        <v>00890193</v>
      </c>
    </row>
    <row r="20536" spans="1:2" x14ac:dyDescent="0.25">
      <c r="A20536" s="2">
        <v>20531</v>
      </c>
      <c r="B20536" s="11" t="str">
        <f>"00890199"</f>
        <v>00890199</v>
      </c>
    </row>
    <row r="20537" spans="1:2" x14ac:dyDescent="0.25">
      <c r="A20537" s="2">
        <v>20532</v>
      </c>
      <c r="B20537" s="11" t="str">
        <f>"00890206"</f>
        <v>00890206</v>
      </c>
    </row>
    <row r="20538" spans="1:2" x14ac:dyDescent="0.25">
      <c r="A20538" s="2">
        <v>20533</v>
      </c>
      <c r="B20538" s="11" t="str">
        <f>"00890228"</f>
        <v>00890228</v>
      </c>
    </row>
    <row r="20539" spans="1:2" x14ac:dyDescent="0.25">
      <c r="A20539" s="2">
        <v>20534</v>
      </c>
      <c r="B20539" s="11" t="str">
        <f>"00890234"</f>
        <v>00890234</v>
      </c>
    </row>
    <row r="20540" spans="1:2" x14ac:dyDescent="0.25">
      <c r="A20540" s="2">
        <v>20535</v>
      </c>
      <c r="B20540" s="11" t="str">
        <f>"00890271"</f>
        <v>00890271</v>
      </c>
    </row>
    <row r="20541" spans="1:2" x14ac:dyDescent="0.25">
      <c r="A20541" s="2">
        <v>20536</v>
      </c>
      <c r="B20541" s="11" t="str">
        <f>"00890310"</f>
        <v>00890310</v>
      </c>
    </row>
    <row r="20542" spans="1:2" x14ac:dyDescent="0.25">
      <c r="A20542" s="2">
        <v>20537</v>
      </c>
      <c r="B20542" s="11" t="str">
        <f>"00890332"</f>
        <v>00890332</v>
      </c>
    </row>
    <row r="20543" spans="1:2" x14ac:dyDescent="0.25">
      <c r="A20543" s="2">
        <v>20538</v>
      </c>
      <c r="B20543" s="11" t="str">
        <f>"00890367"</f>
        <v>00890367</v>
      </c>
    </row>
    <row r="20544" spans="1:2" x14ac:dyDescent="0.25">
      <c r="A20544" s="2">
        <v>20539</v>
      </c>
      <c r="B20544" s="11" t="str">
        <f>"00890373"</f>
        <v>00890373</v>
      </c>
    </row>
    <row r="20545" spans="1:2" x14ac:dyDescent="0.25">
      <c r="A20545" s="2">
        <v>20540</v>
      </c>
      <c r="B20545" s="11" t="str">
        <f>"00890390"</f>
        <v>00890390</v>
      </c>
    </row>
    <row r="20546" spans="1:2" x14ac:dyDescent="0.25">
      <c r="A20546" s="2">
        <v>20541</v>
      </c>
      <c r="B20546" s="11" t="str">
        <f>"00890404"</f>
        <v>00890404</v>
      </c>
    </row>
    <row r="20547" spans="1:2" x14ac:dyDescent="0.25">
      <c r="A20547" s="2">
        <v>20542</v>
      </c>
      <c r="B20547" s="11" t="str">
        <f>"00890442"</f>
        <v>00890442</v>
      </c>
    </row>
    <row r="20548" spans="1:2" x14ac:dyDescent="0.25">
      <c r="A20548" s="2">
        <v>20543</v>
      </c>
      <c r="B20548" s="11" t="str">
        <f>"00890457"</f>
        <v>00890457</v>
      </c>
    </row>
    <row r="20549" spans="1:2" x14ac:dyDescent="0.25">
      <c r="A20549" s="2">
        <v>20544</v>
      </c>
      <c r="B20549" s="11" t="str">
        <f>"00890480"</f>
        <v>00890480</v>
      </c>
    </row>
    <row r="20550" spans="1:2" x14ac:dyDescent="0.25">
      <c r="A20550" s="2">
        <v>20545</v>
      </c>
      <c r="B20550" s="11" t="str">
        <f>"00890487"</f>
        <v>00890487</v>
      </c>
    </row>
    <row r="20551" spans="1:2" x14ac:dyDescent="0.25">
      <c r="A20551" s="2">
        <v>20546</v>
      </c>
      <c r="B20551" s="11" t="str">
        <f>"00890523"</f>
        <v>00890523</v>
      </c>
    </row>
    <row r="20552" spans="1:2" x14ac:dyDescent="0.25">
      <c r="A20552" s="2">
        <v>20547</v>
      </c>
      <c r="B20552" s="11" t="str">
        <f>"00890638"</f>
        <v>00890638</v>
      </c>
    </row>
    <row r="20553" spans="1:2" x14ac:dyDescent="0.25">
      <c r="A20553" s="2">
        <v>20548</v>
      </c>
      <c r="B20553" s="11" t="str">
        <f>"00890645"</f>
        <v>00890645</v>
      </c>
    </row>
    <row r="20554" spans="1:2" x14ac:dyDescent="0.25">
      <c r="A20554" s="2">
        <v>20549</v>
      </c>
      <c r="B20554" s="11" t="str">
        <f>"00890668"</f>
        <v>00890668</v>
      </c>
    </row>
    <row r="20555" spans="1:2" x14ac:dyDescent="0.25">
      <c r="A20555" s="2">
        <v>20550</v>
      </c>
      <c r="B20555" s="11" t="str">
        <f>"00890707"</f>
        <v>00890707</v>
      </c>
    </row>
    <row r="20556" spans="1:2" x14ac:dyDescent="0.25">
      <c r="A20556" s="2">
        <v>20551</v>
      </c>
      <c r="B20556" s="11" t="str">
        <f>"00890743"</f>
        <v>00890743</v>
      </c>
    </row>
    <row r="20557" spans="1:2" x14ac:dyDescent="0.25">
      <c r="A20557" s="2">
        <v>20552</v>
      </c>
      <c r="B20557" s="11" t="str">
        <f>"00890753"</f>
        <v>00890753</v>
      </c>
    </row>
    <row r="20558" spans="1:2" x14ac:dyDescent="0.25">
      <c r="A20558" s="2">
        <v>20553</v>
      </c>
      <c r="B20558" s="11" t="str">
        <f>"00890762"</f>
        <v>00890762</v>
      </c>
    </row>
    <row r="20559" spans="1:2" x14ac:dyDescent="0.25">
      <c r="A20559" s="2">
        <v>20554</v>
      </c>
      <c r="B20559" s="11" t="str">
        <f>"00890834"</f>
        <v>00890834</v>
      </c>
    </row>
    <row r="20560" spans="1:2" x14ac:dyDescent="0.25">
      <c r="A20560" s="2">
        <v>20555</v>
      </c>
      <c r="B20560" s="11" t="str">
        <f>"00890877"</f>
        <v>00890877</v>
      </c>
    </row>
    <row r="20561" spans="1:2" x14ac:dyDescent="0.25">
      <c r="A20561" s="2">
        <v>20556</v>
      </c>
      <c r="B20561" s="11" t="str">
        <f>"00890883"</f>
        <v>00890883</v>
      </c>
    </row>
    <row r="20562" spans="1:2" x14ac:dyDescent="0.25">
      <c r="A20562" s="2">
        <v>20557</v>
      </c>
      <c r="B20562" s="11" t="str">
        <f>"00890929"</f>
        <v>00890929</v>
      </c>
    </row>
    <row r="20563" spans="1:2" x14ac:dyDescent="0.25">
      <c r="A20563" s="2">
        <v>20558</v>
      </c>
      <c r="B20563" s="11" t="str">
        <f>"00890968"</f>
        <v>00890968</v>
      </c>
    </row>
    <row r="20564" spans="1:2" x14ac:dyDescent="0.25">
      <c r="A20564" s="2">
        <v>20559</v>
      </c>
      <c r="B20564" s="11" t="str">
        <f>"00891034"</f>
        <v>00891034</v>
      </c>
    </row>
    <row r="20565" spans="1:2" x14ac:dyDescent="0.25">
      <c r="A20565" s="2">
        <v>20560</v>
      </c>
      <c r="B20565" s="11" t="str">
        <f>"00891075"</f>
        <v>00891075</v>
      </c>
    </row>
    <row r="20566" spans="1:2" x14ac:dyDescent="0.25">
      <c r="A20566" s="2">
        <v>20561</v>
      </c>
      <c r="B20566" s="11" t="str">
        <f>"00891093"</f>
        <v>00891093</v>
      </c>
    </row>
    <row r="20567" spans="1:2" x14ac:dyDescent="0.25">
      <c r="A20567" s="2">
        <v>20562</v>
      </c>
      <c r="B20567" s="11" t="str">
        <f>"00891109"</f>
        <v>00891109</v>
      </c>
    </row>
    <row r="20568" spans="1:2" x14ac:dyDescent="0.25">
      <c r="A20568" s="2">
        <v>20563</v>
      </c>
      <c r="B20568" s="11" t="str">
        <f>"00891111"</f>
        <v>00891111</v>
      </c>
    </row>
    <row r="20569" spans="1:2" x14ac:dyDescent="0.25">
      <c r="A20569" s="2">
        <v>20564</v>
      </c>
      <c r="B20569" s="11" t="str">
        <f>"00891138"</f>
        <v>00891138</v>
      </c>
    </row>
    <row r="20570" spans="1:2" x14ac:dyDescent="0.25">
      <c r="A20570" s="2">
        <v>20565</v>
      </c>
      <c r="B20570" s="11" t="str">
        <f>"00891265"</f>
        <v>00891265</v>
      </c>
    </row>
    <row r="20571" spans="1:2" x14ac:dyDescent="0.25">
      <c r="A20571" s="2">
        <v>20566</v>
      </c>
      <c r="B20571" s="11" t="str">
        <f>"00891303"</f>
        <v>00891303</v>
      </c>
    </row>
    <row r="20572" spans="1:2" x14ac:dyDescent="0.25">
      <c r="A20572" s="2">
        <v>20567</v>
      </c>
      <c r="B20572" s="11" t="str">
        <f>"00891323"</f>
        <v>00891323</v>
      </c>
    </row>
    <row r="20573" spans="1:2" x14ac:dyDescent="0.25">
      <c r="A20573" s="2">
        <v>20568</v>
      </c>
      <c r="B20573" s="11" t="str">
        <f>"00891369"</f>
        <v>00891369</v>
      </c>
    </row>
    <row r="20574" spans="1:2" x14ac:dyDescent="0.25">
      <c r="A20574" s="2">
        <v>20569</v>
      </c>
      <c r="B20574" s="11" t="str">
        <f>"00891399"</f>
        <v>00891399</v>
      </c>
    </row>
    <row r="20575" spans="1:2" x14ac:dyDescent="0.25">
      <c r="A20575" s="2">
        <v>20570</v>
      </c>
      <c r="B20575" s="11" t="str">
        <f>"00891401"</f>
        <v>00891401</v>
      </c>
    </row>
    <row r="20576" spans="1:2" x14ac:dyDescent="0.25">
      <c r="A20576" s="2">
        <v>20571</v>
      </c>
      <c r="B20576" s="11" t="str">
        <f>"00891416"</f>
        <v>00891416</v>
      </c>
    </row>
    <row r="20577" spans="1:2" x14ac:dyDescent="0.25">
      <c r="A20577" s="2">
        <v>20572</v>
      </c>
      <c r="B20577" s="11" t="str">
        <f>"00891476"</f>
        <v>00891476</v>
      </c>
    </row>
    <row r="20578" spans="1:2" x14ac:dyDescent="0.25">
      <c r="A20578" s="2">
        <v>20573</v>
      </c>
      <c r="B20578" s="11" t="str">
        <f>"00891496"</f>
        <v>00891496</v>
      </c>
    </row>
    <row r="20579" spans="1:2" x14ac:dyDescent="0.25">
      <c r="A20579" s="2">
        <v>20574</v>
      </c>
      <c r="B20579" s="11" t="str">
        <f>"00891520"</f>
        <v>00891520</v>
      </c>
    </row>
    <row r="20580" spans="1:2" x14ac:dyDescent="0.25">
      <c r="A20580" s="2">
        <v>20575</v>
      </c>
      <c r="B20580" s="11" t="str">
        <f>"00891542"</f>
        <v>00891542</v>
      </c>
    </row>
    <row r="20581" spans="1:2" x14ac:dyDescent="0.25">
      <c r="A20581" s="2">
        <v>20576</v>
      </c>
      <c r="B20581" s="11" t="str">
        <f>"00891567"</f>
        <v>00891567</v>
      </c>
    </row>
    <row r="20582" spans="1:2" x14ac:dyDescent="0.25">
      <c r="A20582" s="2">
        <v>20577</v>
      </c>
      <c r="B20582" s="11" t="str">
        <f>"00891624"</f>
        <v>00891624</v>
      </c>
    </row>
    <row r="20583" spans="1:2" x14ac:dyDescent="0.25">
      <c r="A20583" s="2">
        <v>20578</v>
      </c>
      <c r="B20583" s="11" t="str">
        <f>"00891640"</f>
        <v>00891640</v>
      </c>
    </row>
    <row r="20584" spans="1:2" x14ac:dyDescent="0.25">
      <c r="A20584" s="2">
        <v>20579</v>
      </c>
      <c r="B20584" s="11" t="str">
        <f>"00891641"</f>
        <v>00891641</v>
      </c>
    </row>
    <row r="20585" spans="1:2" x14ac:dyDescent="0.25">
      <c r="A20585" s="2">
        <v>20580</v>
      </c>
      <c r="B20585" s="11" t="str">
        <f>"00891652"</f>
        <v>00891652</v>
      </c>
    </row>
    <row r="20586" spans="1:2" x14ac:dyDescent="0.25">
      <c r="A20586" s="2">
        <v>20581</v>
      </c>
      <c r="B20586" s="11" t="str">
        <f>"00891769"</f>
        <v>00891769</v>
      </c>
    </row>
    <row r="20587" spans="1:2" x14ac:dyDescent="0.25">
      <c r="A20587" s="2">
        <v>20582</v>
      </c>
      <c r="B20587" s="11" t="str">
        <f>"00891789"</f>
        <v>00891789</v>
      </c>
    </row>
    <row r="20588" spans="1:2" x14ac:dyDescent="0.25">
      <c r="A20588" s="2">
        <v>20583</v>
      </c>
      <c r="B20588" s="11" t="str">
        <f>"00891806"</f>
        <v>00891806</v>
      </c>
    </row>
    <row r="20589" spans="1:2" x14ac:dyDescent="0.25">
      <c r="A20589" s="2">
        <v>20584</v>
      </c>
      <c r="B20589" s="11" t="str">
        <f>"00891917"</f>
        <v>00891917</v>
      </c>
    </row>
    <row r="20590" spans="1:2" x14ac:dyDescent="0.25">
      <c r="A20590" s="2">
        <v>20585</v>
      </c>
      <c r="B20590" s="11" t="str">
        <f>"00891919"</f>
        <v>00891919</v>
      </c>
    </row>
    <row r="20591" spans="1:2" x14ac:dyDescent="0.25">
      <c r="A20591" s="2">
        <v>20586</v>
      </c>
      <c r="B20591" s="11" t="str">
        <f>"00892069"</f>
        <v>00892069</v>
      </c>
    </row>
    <row r="20592" spans="1:2" x14ac:dyDescent="0.25">
      <c r="A20592" s="2">
        <v>20587</v>
      </c>
      <c r="B20592" s="11" t="str">
        <f>"00892103"</f>
        <v>00892103</v>
      </c>
    </row>
    <row r="20593" spans="1:2" x14ac:dyDescent="0.25">
      <c r="A20593" s="2">
        <v>20588</v>
      </c>
      <c r="B20593" s="11" t="str">
        <f>"00892114"</f>
        <v>00892114</v>
      </c>
    </row>
    <row r="20594" spans="1:2" x14ac:dyDescent="0.25">
      <c r="A20594" s="2">
        <v>20589</v>
      </c>
      <c r="B20594" s="11" t="str">
        <f>"00892122"</f>
        <v>00892122</v>
      </c>
    </row>
    <row r="20595" spans="1:2" x14ac:dyDescent="0.25">
      <c r="A20595" s="2">
        <v>20590</v>
      </c>
      <c r="B20595" s="11" t="str">
        <f>"00892197"</f>
        <v>00892197</v>
      </c>
    </row>
    <row r="20596" spans="1:2" x14ac:dyDescent="0.25">
      <c r="A20596" s="2">
        <v>20591</v>
      </c>
      <c r="B20596" s="11" t="str">
        <f>"00892265"</f>
        <v>00892265</v>
      </c>
    </row>
    <row r="20597" spans="1:2" x14ac:dyDescent="0.25">
      <c r="A20597" s="2">
        <v>20592</v>
      </c>
      <c r="B20597" s="11" t="str">
        <f>"00892276"</f>
        <v>00892276</v>
      </c>
    </row>
    <row r="20598" spans="1:2" x14ac:dyDescent="0.25">
      <c r="A20598" s="2">
        <v>20593</v>
      </c>
      <c r="B20598" s="11" t="str">
        <f>"00892287"</f>
        <v>00892287</v>
      </c>
    </row>
    <row r="20599" spans="1:2" x14ac:dyDescent="0.25">
      <c r="A20599" s="2">
        <v>20594</v>
      </c>
      <c r="B20599" s="11" t="str">
        <f>"00892305"</f>
        <v>00892305</v>
      </c>
    </row>
    <row r="20600" spans="1:2" x14ac:dyDescent="0.25">
      <c r="A20600" s="2">
        <v>20595</v>
      </c>
      <c r="B20600" s="11" t="str">
        <f>"00892306"</f>
        <v>00892306</v>
      </c>
    </row>
    <row r="20601" spans="1:2" x14ac:dyDescent="0.25">
      <c r="A20601" s="2">
        <v>20596</v>
      </c>
      <c r="B20601" s="11" t="str">
        <f>"00892328"</f>
        <v>00892328</v>
      </c>
    </row>
    <row r="20602" spans="1:2" x14ac:dyDescent="0.25">
      <c r="A20602" s="2">
        <v>20597</v>
      </c>
      <c r="B20602" s="11" t="str">
        <f>"00892391"</f>
        <v>00892391</v>
      </c>
    </row>
    <row r="20603" spans="1:2" x14ac:dyDescent="0.25">
      <c r="A20603" s="2">
        <v>20598</v>
      </c>
      <c r="B20603" s="11" t="str">
        <f>"00892414"</f>
        <v>00892414</v>
      </c>
    </row>
    <row r="20604" spans="1:2" x14ac:dyDescent="0.25">
      <c r="A20604" s="2">
        <v>20599</v>
      </c>
      <c r="B20604" s="11" t="str">
        <f>"00892430"</f>
        <v>00892430</v>
      </c>
    </row>
    <row r="20605" spans="1:2" x14ac:dyDescent="0.25">
      <c r="A20605" s="2">
        <v>20600</v>
      </c>
      <c r="B20605" s="11" t="str">
        <f>"00892490"</f>
        <v>00892490</v>
      </c>
    </row>
    <row r="20606" spans="1:2" x14ac:dyDescent="0.25">
      <c r="A20606" s="2">
        <v>20601</v>
      </c>
      <c r="B20606" s="11" t="str">
        <f>"00892496"</f>
        <v>00892496</v>
      </c>
    </row>
    <row r="20607" spans="1:2" x14ac:dyDescent="0.25">
      <c r="A20607" s="2">
        <v>20602</v>
      </c>
      <c r="B20607" s="11" t="str">
        <f>"00892571"</f>
        <v>00892571</v>
      </c>
    </row>
    <row r="20608" spans="1:2" x14ac:dyDescent="0.25">
      <c r="A20608" s="2">
        <v>20603</v>
      </c>
      <c r="B20608" s="11" t="str">
        <f>"00892598"</f>
        <v>00892598</v>
      </c>
    </row>
    <row r="20609" spans="1:2" x14ac:dyDescent="0.25">
      <c r="A20609" s="2">
        <v>20604</v>
      </c>
      <c r="B20609" s="11" t="str">
        <f>"00892606"</f>
        <v>00892606</v>
      </c>
    </row>
    <row r="20610" spans="1:2" x14ac:dyDescent="0.25">
      <c r="A20610" s="2">
        <v>20605</v>
      </c>
      <c r="B20610" s="11" t="str">
        <f>"00892626"</f>
        <v>00892626</v>
      </c>
    </row>
    <row r="20611" spans="1:2" x14ac:dyDescent="0.25">
      <c r="A20611" s="2">
        <v>20606</v>
      </c>
      <c r="B20611" s="11" t="str">
        <f>"00892647"</f>
        <v>00892647</v>
      </c>
    </row>
    <row r="20612" spans="1:2" x14ac:dyDescent="0.25">
      <c r="A20612" s="2">
        <v>20607</v>
      </c>
      <c r="B20612" s="11" t="str">
        <f>"00892654"</f>
        <v>00892654</v>
      </c>
    </row>
    <row r="20613" spans="1:2" x14ac:dyDescent="0.25">
      <c r="A20613" s="2">
        <v>20608</v>
      </c>
      <c r="B20613" s="11" t="str">
        <f>"00892657"</f>
        <v>00892657</v>
      </c>
    </row>
    <row r="20614" spans="1:2" x14ac:dyDescent="0.25">
      <c r="A20614" s="2">
        <v>20609</v>
      </c>
      <c r="B20614" s="11" t="str">
        <f>"00892680"</f>
        <v>00892680</v>
      </c>
    </row>
    <row r="20615" spans="1:2" x14ac:dyDescent="0.25">
      <c r="A20615" s="2">
        <v>20610</v>
      </c>
      <c r="B20615" s="11" t="str">
        <f>"00892754"</f>
        <v>00892754</v>
      </c>
    </row>
    <row r="20616" spans="1:2" x14ac:dyDescent="0.25">
      <c r="A20616" s="2">
        <v>20611</v>
      </c>
      <c r="B20616" s="11" t="str">
        <f>"00892780"</f>
        <v>00892780</v>
      </c>
    </row>
    <row r="20617" spans="1:2" x14ac:dyDescent="0.25">
      <c r="A20617" s="2">
        <v>20612</v>
      </c>
      <c r="B20617" s="11" t="str">
        <f>"00892786"</f>
        <v>00892786</v>
      </c>
    </row>
    <row r="20618" spans="1:2" x14ac:dyDescent="0.25">
      <c r="A20618" s="2">
        <v>20613</v>
      </c>
      <c r="B20618" s="11" t="str">
        <f>"00892799"</f>
        <v>00892799</v>
      </c>
    </row>
    <row r="20619" spans="1:2" x14ac:dyDescent="0.25">
      <c r="A20619" s="2">
        <v>20614</v>
      </c>
      <c r="B20619" s="11" t="str">
        <f>"00892860"</f>
        <v>00892860</v>
      </c>
    </row>
    <row r="20620" spans="1:2" x14ac:dyDescent="0.25">
      <c r="A20620" s="2">
        <v>20615</v>
      </c>
      <c r="B20620" s="11" t="str">
        <f>"00892865"</f>
        <v>00892865</v>
      </c>
    </row>
    <row r="20621" spans="1:2" x14ac:dyDescent="0.25">
      <c r="A20621" s="2">
        <v>20616</v>
      </c>
      <c r="B20621" s="11" t="str">
        <f>"00892925"</f>
        <v>00892925</v>
      </c>
    </row>
    <row r="20622" spans="1:2" x14ac:dyDescent="0.25">
      <c r="A20622" s="2">
        <v>20617</v>
      </c>
      <c r="B20622" s="11" t="str">
        <f>"00892943"</f>
        <v>00892943</v>
      </c>
    </row>
    <row r="20623" spans="1:2" x14ac:dyDescent="0.25">
      <c r="A20623" s="2">
        <v>20618</v>
      </c>
      <c r="B20623" s="11" t="str">
        <f>"00892982"</f>
        <v>00892982</v>
      </c>
    </row>
    <row r="20624" spans="1:2" x14ac:dyDescent="0.25">
      <c r="A20624" s="2">
        <v>20619</v>
      </c>
      <c r="B20624" s="11" t="str">
        <f>"00892983"</f>
        <v>00892983</v>
      </c>
    </row>
    <row r="20625" spans="1:2" x14ac:dyDescent="0.25">
      <c r="A20625" s="2">
        <v>20620</v>
      </c>
      <c r="B20625" s="11" t="str">
        <f>"00893025"</f>
        <v>00893025</v>
      </c>
    </row>
    <row r="20626" spans="1:2" x14ac:dyDescent="0.25">
      <c r="A20626" s="2">
        <v>20621</v>
      </c>
      <c r="B20626" s="11" t="str">
        <f>"00893060"</f>
        <v>00893060</v>
      </c>
    </row>
    <row r="20627" spans="1:2" x14ac:dyDescent="0.25">
      <c r="A20627" s="2">
        <v>20622</v>
      </c>
      <c r="B20627" s="11" t="str">
        <f>"00893108"</f>
        <v>00893108</v>
      </c>
    </row>
    <row r="20628" spans="1:2" x14ac:dyDescent="0.25">
      <c r="A20628" s="2">
        <v>20623</v>
      </c>
      <c r="B20628" s="11" t="str">
        <f>"00893169"</f>
        <v>00893169</v>
      </c>
    </row>
    <row r="20629" spans="1:2" x14ac:dyDescent="0.25">
      <c r="A20629" s="2">
        <v>20624</v>
      </c>
      <c r="B20629" s="11" t="str">
        <f>"00893181"</f>
        <v>00893181</v>
      </c>
    </row>
    <row r="20630" spans="1:2" x14ac:dyDescent="0.25">
      <c r="A20630" s="2">
        <v>20625</v>
      </c>
      <c r="B20630" s="11" t="str">
        <f>"00893245"</f>
        <v>00893245</v>
      </c>
    </row>
    <row r="20631" spans="1:2" x14ac:dyDescent="0.25">
      <c r="A20631" s="2">
        <v>20626</v>
      </c>
      <c r="B20631" s="11" t="str">
        <f>"00893247"</f>
        <v>00893247</v>
      </c>
    </row>
    <row r="20632" spans="1:2" x14ac:dyDescent="0.25">
      <c r="A20632" s="2">
        <v>20627</v>
      </c>
      <c r="B20632" s="11" t="str">
        <f>"00893296"</f>
        <v>00893296</v>
      </c>
    </row>
    <row r="20633" spans="1:2" x14ac:dyDescent="0.25">
      <c r="A20633" s="2">
        <v>20628</v>
      </c>
      <c r="B20633" s="11" t="str">
        <f>"00893390"</f>
        <v>00893390</v>
      </c>
    </row>
    <row r="20634" spans="1:2" x14ac:dyDescent="0.25">
      <c r="A20634" s="2">
        <v>20629</v>
      </c>
      <c r="B20634" s="11" t="str">
        <f>"00893460"</f>
        <v>00893460</v>
      </c>
    </row>
    <row r="20635" spans="1:2" x14ac:dyDescent="0.25">
      <c r="A20635" s="2">
        <v>20630</v>
      </c>
      <c r="B20635" s="11" t="str">
        <f>"00893482"</f>
        <v>00893482</v>
      </c>
    </row>
    <row r="20636" spans="1:2" x14ac:dyDescent="0.25">
      <c r="A20636" s="2">
        <v>20631</v>
      </c>
      <c r="B20636" s="11" t="str">
        <f>"00896547"</f>
        <v>00896547</v>
      </c>
    </row>
    <row r="20637" spans="1:2" x14ac:dyDescent="0.25">
      <c r="A20637" s="2">
        <v>20632</v>
      </c>
      <c r="B20637" s="11" t="str">
        <f>"00896635"</f>
        <v>00896635</v>
      </c>
    </row>
    <row r="20638" spans="1:2" x14ac:dyDescent="0.25">
      <c r="A20638" s="2">
        <v>20633</v>
      </c>
      <c r="B20638" s="11" t="str">
        <f>"00896656"</f>
        <v>00896656</v>
      </c>
    </row>
    <row r="20639" spans="1:2" x14ac:dyDescent="0.25">
      <c r="A20639" s="2">
        <v>20634</v>
      </c>
      <c r="B20639" s="11" t="str">
        <f>"00896675"</f>
        <v>00896675</v>
      </c>
    </row>
    <row r="20640" spans="1:2" x14ac:dyDescent="0.25">
      <c r="A20640" s="2">
        <v>20635</v>
      </c>
      <c r="B20640" s="11" t="str">
        <f>"00896692"</f>
        <v>00896692</v>
      </c>
    </row>
    <row r="20641" spans="1:2" x14ac:dyDescent="0.25">
      <c r="A20641" s="2">
        <v>20636</v>
      </c>
      <c r="B20641" s="11" t="str">
        <f>"00896805"</f>
        <v>00896805</v>
      </c>
    </row>
    <row r="20642" spans="1:2" x14ac:dyDescent="0.25">
      <c r="A20642" s="2">
        <v>20637</v>
      </c>
      <c r="B20642" s="11" t="str">
        <f>"00896815"</f>
        <v>00896815</v>
      </c>
    </row>
    <row r="20643" spans="1:2" x14ac:dyDescent="0.25">
      <c r="A20643" s="2">
        <v>20638</v>
      </c>
      <c r="B20643" s="11" t="str">
        <f>"00896831"</f>
        <v>00896831</v>
      </c>
    </row>
    <row r="20644" spans="1:2" x14ac:dyDescent="0.25">
      <c r="A20644" s="2">
        <v>20639</v>
      </c>
      <c r="B20644" s="11" t="str">
        <f>"00896954"</f>
        <v>00896954</v>
      </c>
    </row>
    <row r="20645" spans="1:2" x14ac:dyDescent="0.25">
      <c r="A20645" s="2">
        <v>20640</v>
      </c>
      <c r="B20645" s="11" t="str">
        <f>"00896969"</f>
        <v>00896969</v>
      </c>
    </row>
    <row r="20646" spans="1:2" x14ac:dyDescent="0.25">
      <c r="A20646" s="2">
        <v>20641</v>
      </c>
      <c r="B20646" s="11" t="str">
        <f>"00896977"</f>
        <v>00896977</v>
      </c>
    </row>
    <row r="20647" spans="1:2" x14ac:dyDescent="0.25">
      <c r="A20647" s="2">
        <v>20642</v>
      </c>
      <c r="B20647" s="11" t="str">
        <f>"00896992"</f>
        <v>00896992</v>
      </c>
    </row>
    <row r="20648" spans="1:2" x14ac:dyDescent="0.25">
      <c r="A20648" s="2">
        <v>20643</v>
      </c>
      <c r="B20648" s="11" t="str">
        <f>"00896994"</f>
        <v>00896994</v>
      </c>
    </row>
    <row r="20649" spans="1:2" x14ac:dyDescent="0.25">
      <c r="A20649" s="2">
        <v>20644</v>
      </c>
      <c r="B20649" s="11" t="str">
        <f>"00897049"</f>
        <v>00897049</v>
      </c>
    </row>
    <row r="20650" spans="1:2" x14ac:dyDescent="0.25">
      <c r="A20650" s="2">
        <v>20645</v>
      </c>
      <c r="B20650" s="11" t="str">
        <f>"00897109"</f>
        <v>00897109</v>
      </c>
    </row>
    <row r="20651" spans="1:2" x14ac:dyDescent="0.25">
      <c r="A20651" s="2">
        <v>20646</v>
      </c>
      <c r="B20651" s="11" t="str">
        <f>"00897133"</f>
        <v>00897133</v>
      </c>
    </row>
    <row r="20652" spans="1:2" x14ac:dyDescent="0.25">
      <c r="A20652" s="2">
        <v>20647</v>
      </c>
      <c r="B20652" s="11" t="str">
        <f>"00897219"</f>
        <v>00897219</v>
      </c>
    </row>
    <row r="20653" spans="1:2" x14ac:dyDescent="0.25">
      <c r="A20653" s="2">
        <v>20648</v>
      </c>
      <c r="B20653" s="11" t="str">
        <f>"00897231"</f>
        <v>00897231</v>
      </c>
    </row>
    <row r="20654" spans="1:2" x14ac:dyDescent="0.25">
      <c r="A20654" s="2">
        <v>20649</v>
      </c>
      <c r="B20654" s="11" t="str">
        <f>"00897264"</f>
        <v>00897264</v>
      </c>
    </row>
    <row r="20655" spans="1:2" x14ac:dyDescent="0.25">
      <c r="A20655" s="2">
        <v>20650</v>
      </c>
      <c r="B20655" s="11" t="str">
        <f>"00897270"</f>
        <v>00897270</v>
      </c>
    </row>
    <row r="20656" spans="1:2" x14ac:dyDescent="0.25">
      <c r="A20656" s="2">
        <v>20651</v>
      </c>
      <c r="B20656" s="11" t="str">
        <f>"00897315"</f>
        <v>00897315</v>
      </c>
    </row>
    <row r="20657" spans="1:2" x14ac:dyDescent="0.25">
      <c r="A20657" s="2">
        <v>20652</v>
      </c>
      <c r="B20657" s="11" t="str">
        <f>"00897356"</f>
        <v>00897356</v>
      </c>
    </row>
    <row r="20658" spans="1:2" x14ac:dyDescent="0.25">
      <c r="A20658" s="2">
        <v>20653</v>
      </c>
      <c r="B20658" s="11" t="str">
        <f>"00897395"</f>
        <v>00897395</v>
      </c>
    </row>
    <row r="20659" spans="1:2" x14ac:dyDescent="0.25">
      <c r="A20659" s="2">
        <v>20654</v>
      </c>
      <c r="B20659" s="11" t="str">
        <f>"00897415"</f>
        <v>00897415</v>
      </c>
    </row>
    <row r="20660" spans="1:2" x14ac:dyDescent="0.25">
      <c r="A20660" s="2">
        <v>20655</v>
      </c>
      <c r="B20660" s="11" t="str">
        <f>"00897428"</f>
        <v>00897428</v>
      </c>
    </row>
    <row r="20661" spans="1:2" x14ac:dyDescent="0.25">
      <c r="A20661" s="2">
        <v>20656</v>
      </c>
      <c r="B20661" s="11" t="str">
        <f>"00897431"</f>
        <v>00897431</v>
      </c>
    </row>
    <row r="20662" spans="1:2" x14ac:dyDescent="0.25">
      <c r="A20662" s="2">
        <v>20657</v>
      </c>
      <c r="B20662" s="11" t="str">
        <f>"00897472"</f>
        <v>00897472</v>
      </c>
    </row>
    <row r="20663" spans="1:2" x14ac:dyDescent="0.25">
      <c r="A20663" s="2">
        <v>20658</v>
      </c>
      <c r="B20663" s="11" t="str">
        <f>"00897585"</f>
        <v>00897585</v>
      </c>
    </row>
    <row r="20664" spans="1:2" x14ac:dyDescent="0.25">
      <c r="A20664" s="2">
        <v>20659</v>
      </c>
      <c r="B20664" s="11" t="str">
        <f>"00897594"</f>
        <v>00897594</v>
      </c>
    </row>
    <row r="20665" spans="1:2" x14ac:dyDescent="0.25">
      <c r="A20665" s="2">
        <v>20660</v>
      </c>
      <c r="B20665" s="11" t="str">
        <f>"00897597"</f>
        <v>00897597</v>
      </c>
    </row>
    <row r="20666" spans="1:2" x14ac:dyDescent="0.25">
      <c r="A20666" s="2">
        <v>20661</v>
      </c>
      <c r="B20666" s="11" t="str">
        <f>"00897677"</f>
        <v>00897677</v>
      </c>
    </row>
    <row r="20667" spans="1:2" x14ac:dyDescent="0.25">
      <c r="A20667" s="2">
        <v>20662</v>
      </c>
      <c r="B20667" s="11" t="str">
        <f>"00897688"</f>
        <v>00897688</v>
      </c>
    </row>
    <row r="20668" spans="1:2" x14ac:dyDescent="0.25">
      <c r="A20668" s="2">
        <v>20663</v>
      </c>
      <c r="B20668" s="11" t="str">
        <f>"00897807"</f>
        <v>00897807</v>
      </c>
    </row>
    <row r="20669" spans="1:2" x14ac:dyDescent="0.25">
      <c r="A20669" s="2">
        <v>20664</v>
      </c>
      <c r="B20669" s="11" t="str">
        <f>"00897818"</f>
        <v>00897818</v>
      </c>
    </row>
    <row r="20670" spans="1:2" x14ac:dyDescent="0.25">
      <c r="A20670" s="2">
        <v>20665</v>
      </c>
      <c r="B20670" s="11" t="str">
        <f>"00897875"</f>
        <v>00897875</v>
      </c>
    </row>
    <row r="20671" spans="1:2" x14ac:dyDescent="0.25">
      <c r="A20671" s="2">
        <v>20666</v>
      </c>
      <c r="B20671" s="11" t="str">
        <f>"00897908"</f>
        <v>00897908</v>
      </c>
    </row>
    <row r="20672" spans="1:2" x14ac:dyDescent="0.25">
      <c r="A20672" s="2">
        <v>20667</v>
      </c>
      <c r="B20672" s="11" t="str">
        <f>"00897997"</f>
        <v>00897997</v>
      </c>
    </row>
    <row r="20673" spans="1:2" x14ac:dyDescent="0.25">
      <c r="A20673" s="2">
        <v>20668</v>
      </c>
      <c r="B20673" s="11" t="str">
        <f>"00898001"</f>
        <v>00898001</v>
      </c>
    </row>
    <row r="20674" spans="1:2" x14ac:dyDescent="0.25">
      <c r="A20674" s="2">
        <v>20669</v>
      </c>
      <c r="B20674" s="11" t="str">
        <f>"00898167"</f>
        <v>00898167</v>
      </c>
    </row>
    <row r="20675" spans="1:2" x14ac:dyDescent="0.25">
      <c r="A20675" s="2">
        <v>20670</v>
      </c>
      <c r="B20675" s="11" t="str">
        <f>"00898223"</f>
        <v>00898223</v>
      </c>
    </row>
    <row r="20676" spans="1:2" x14ac:dyDescent="0.25">
      <c r="A20676" s="2">
        <v>20671</v>
      </c>
      <c r="B20676" s="11" t="str">
        <f>"00898330"</f>
        <v>00898330</v>
      </c>
    </row>
    <row r="20677" spans="1:2" x14ac:dyDescent="0.25">
      <c r="A20677" s="2">
        <v>20672</v>
      </c>
      <c r="B20677" s="11" t="str">
        <f>"00898405"</f>
        <v>00898405</v>
      </c>
    </row>
    <row r="20678" spans="1:2" x14ac:dyDescent="0.25">
      <c r="A20678" s="2">
        <v>20673</v>
      </c>
      <c r="B20678" s="11" t="str">
        <f>"00898415"</f>
        <v>00898415</v>
      </c>
    </row>
    <row r="20679" spans="1:2" x14ac:dyDescent="0.25">
      <c r="A20679" s="2">
        <v>20674</v>
      </c>
      <c r="B20679" s="11" t="str">
        <f>"00898497"</f>
        <v>00898497</v>
      </c>
    </row>
    <row r="20680" spans="1:2" x14ac:dyDescent="0.25">
      <c r="A20680" s="2">
        <v>20675</v>
      </c>
      <c r="B20680" s="11" t="str">
        <f>"00898506"</f>
        <v>00898506</v>
      </c>
    </row>
    <row r="20681" spans="1:2" x14ac:dyDescent="0.25">
      <c r="A20681" s="2">
        <v>20676</v>
      </c>
      <c r="B20681" s="11" t="str">
        <f>"00898509"</f>
        <v>00898509</v>
      </c>
    </row>
    <row r="20682" spans="1:2" x14ac:dyDescent="0.25">
      <c r="A20682" s="2">
        <v>20677</v>
      </c>
      <c r="B20682" s="11" t="str">
        <f>"00898555"</f>
        <v>00898555</v>
      </c>
    </row>
    <row r="20683" spans="1:2" x14ac:dyDescent="0.25">
      <c r="A20683" s="2">
        <v>20678</v>
      </c>
      <c r="B20683" s="11" t="str">
        <f>"00898648"</f>
        <v>00898648</v>
      </c>
    </row>
    <row r="20684" spans="1:2" x14ac:dyDescent="0.25">
      <c r="A20684" s="2">
        <v>20679</v>
      </c>
      <c r="B20684" s="11" t="str">
        <f>"00898708"</f>
        <v>00898708</v>
      </c>
    </row>
    <row r="20685" spans="1:2" x14ac:dyDescent="0.25">
      <c r="A20685" s="2">
        <v>20680</v>
      </c>
      <c r="B20685" s="11" t="str">
        <f>"00898750"</f>
        <v>00898750</v>
      </c>
    </row>
    <row r="20686" spans="1:2" x14ac:dyDescent="0.25">
      <c r="A20686" s="2">
        <v>20681</v>
      </c>
      <c r="B20686" s="11" t="str">
        <f>"00898755"</f>
        <v>00898755</v>
      </c>
    </row>
    <row r="20687" spans="1:2" x14ac:dyDescent="0.25">
      <c r="A20687" s="2">
        <v>20682</v>
      </c>
      <c r="B20687" s="11" t="str">
        <f>"00898809"</f>
        <v>00898809</v>
      </c>
    </row>
    <row r="20688" spans="1:2" x14ac:dyDescent="0.25">
      <c r="A20688" s="2">
        <v>20683</v>
      </c>
      <c r="B20688" s="11" t="str">
        <f>"00898843"</f>
        <v>00898843</v>
      </c>
    </row>
    <row r="20689" spans="1:2" x14ac:dyDescent="0.25">
      <c r="A20689" s="2">
        <v>20684</v>
      </c>
      <c r="B20689" s="11" t="str">
        <f>"00898925"</f>
        <v>00898925</v>
      </c>
    </row>
    <row r="20690" spans="1:2" x14ac:dyDescent="0.25">
      <c r="A20690" s="2">
        <v>20685</v>
      </c>
      <c r="B20690" s="11" t="str">
        <f>"00898962"</f>
        <v>00898962</v>
      </c>
    </row>
    <row r="20691" spans="1:2" x14ac:dyDescent="0.25">
      <c r="A20691" s="2">
        <v>20686</v>
      </c>
      <c r="B20691" s="11" t="str">
        <f>"00898971"</f>
        <v>00898971</v>
      </c>
    </row>
    <row r="20692" spans="1:2" x14ac:dyDescent="0.25">
      <c r="A20692" s="2">
        <v>20687</v>
      </c>
      <c r="B20692" s="11" t="str">
        <f>"00899028"</f>
        <v>00899028</v>
      </c>
    </row>
    <row r="20693" spans="1:2" x14ac:dyDescent="0.25">
      <c r="A20693" s="2">
        <v>20688</v>
      </c>
      <c r="B20693" s="11" t="str">
        <f>"00899101"</f>
        <v>00899101</v>
      </c>
    </row>
    <row r="20694" spans="1:2" x14ac:dyDescent="0.25">
      <c r="A20694" s="2">
        <v>20689</v>
      </c>
      <c r="B20694" s="11" t="str">
        <f>"00899141"</f>
        <v>00899141</v>
      </c>
    </row>
    <row r="20695" spans="1:2" x14ac:dyDescent="0.25">
      <c r="A20695" s="2">
        <v>20690</v>
      </c>
      <c r="B20695" s="11" t="str">
        <f>"00899241"</f>
        <v>00899241</v>
      </c>
    </row>
    <row r="20696" spans="1:2" x14ac:dyDescent="0.25">
      <c r="A20696" s="2">
        <v>20691</v>
      </c>
      <c r="B20696" s="11" t="str">
        <f>"00899307"</f>
        <v>00899307</v>
      </c>
    </row>
    <row r="20697" spans="1:2" x14ac:dyDescent="0.25">
      <c r="A20697" s="2">
        <v>20692</v>
      </c>
      <c r="B20697" s="11" t="str">
        <f>"00899317"</f>
        <v>00899317</v>
      </c>
    </row>
    <row r="20698" spans="1:2" x14ac:dyDescent="0.25">
      <c r="A20698" s="2">
        <v>20693</v>
      </c>
      <c r="B20698" s="11" t="str">
        <f>"00899345"</f>
        <v>00899345</v>
      </c>
    </row>
    <row r="20699" spans="1:2" x14ac:dyDescent="0.25">
      <c r="A20699" s="2">
        <v>20694</v>
      </c>
      <c r="B20699" s="11" t="str">
        <f>"00899376"</f>
        <v>00899376</v>
      </c>
    </row>
    <row r="20700" spans="1:2" x14ac:dyDescent="0.25">
      <c r="A20700" s="2">
        <v>20695</v>
      </c>
      <c r="B20700" s="11" t="str">
        <f>"00899397"</f>
        <v>00899397</v>
      </c>
    </row>
    <row r="20701" spans="1:2" x14ac:dyDescent="0.25">
      <c r="A20701" s="2">
        <v>20696</v>
      </c>
      <c r="B20701" s="11" t="str">
        <f>"00899410"</f>
        <v>00899410</v>
      </c>
    </row>
    <row r="20702" spans="1:2" x14ac:dyDescent="0.25">
      <c r="A20702" s="2">
        <v>20697</v>
      </c>
      <c r="B20702" s="11" t="str">
        <f>"00899425"</f>
        <v>00899425</v>
      </c>
    </row>
    <row r="20703" spans="1:2" x14ac:dyDescent="0.25">
      <c r="A20703" s="2">
        <v>20698</v>
      </c>
      <c r="B20703" s="11" t="str">
        <f>"00899430"</f>
        <v>00899430</v>
      </c>
    </row>
    <row r="20704" spans="1:2" x14ac:dyDescent="0.25">
      <c r="A20704" s="2">
        <v>20699</v>
      </c>
      <c r="B20704" s="11" t="str">
        <f>"00899558"</f>
        <v>00899558</v>
      </c>
    </row>
    <row r="20705" spans="1:2" x14ac:dyDescent="0.25">
      <c r="A20705" s="2">
        <v>20700</v>
      </c>
      <c r="B20705" s="11" t="str">
        <f>"00899643"</f>
        <v>00899643</v>
      </c>
    </row>
    <row r="20706" spans="1:2" x14ac:dyDescent="0.25">
      <c r="A20706" s="2">
        <v>20701</v>
      </c>
      <c r="B20706" s="11" t="str">
        <f>"00899682"</f>
        <v>00899682</v>
      </c>
    </row>
    <row r="20707" spans="1:2" x14ac:dyDescent="0.25">
      <c r="A20707" s="2">
        <v>20702</v>
      </c>
      <c r="B20707" s="11" t="str">
        <f>"00899801"</f>
        <v>00899801</v>
      </c>
    </row>
    <row r="20708" spans="1:2" x14ac:dyDescent="0.25">
      <c r="A20708" s="2">
        <v>20703</v>
      </c>
      <c r="B20708" s="11" t="str">
        <f>"00899832"</f>
        <v>00899832</v>
      </c>
    </row>
    <row r="20709" spans="1:2" x14ac:dyDescent="0.25">
      <c r="A20709" s="2">
        <v>20704</v>
      </c>
      <c r="B20709" s="11" t="str">
        <f>"00899836"</f>
        <v>00899836</v>
      </c>
    </row>
    <row r="20710" spans="1:2" x14ac:dyDescent="0.25">
      <c r="A20710" s="2">
        <v>20705</v>
      </c>
      <c r="B20710" s="11" t="str">
        <f>"00899885"</f>
        <v>00899885</v>
      </c>
    </row>
    <row r="20711" spans="1:2" x14ac:dyDescent="0.25">
      <c r="A20711" s="2">
        <v>20706</v>
      </c>
      <c r="B20711" s="11" t="str">
        <f>"00900000"</f>
        <v>00900000</v>
      </c>
    </row>
    <row r="20712" spans="1:2" x14ac:dyDescent="0.25">
      <c r="A20712" s="2">
        <v>20707</v>
      </c>
      <c r="B20712" s="11" t="str">
        <f>"00900062"</f>
        <v>00900062</v>
      </c>
    </row>
    <row r="20713" spans="1:2" x14ac:dyDescent="0.25">
      <c r="A20713" s="2">
        <v>20708</v>
      </c>
      <c r="B20713" s="11" t="str">
        <f>"00900081"</f>
        <v>00900081</v>
      </c>
    </row>
    <row r="20714" spans="1:2" x14ac:dyDescent="0.25">
      <c r="A20714" s="2">
        <v>20709</v>
      </c>
      <c r="B20714" s="11" t="str">
        <f>"00900123"</f>
        <v>00900123</v>
      </c>
    </row>
    <row r="20715" spans="1:2" x14ac:dyDescent="0.25">
      <c r="A20715" s="2">
        <v>20710</v>
      </c>
      <c r="B20715" s="11" t="str">
        <f>"00900167"</f>
        <v>00900167</v>
      </c>
    </row>
    <row r="20716" spans="1:2" x14ac:dyDescent="0.25">
      <c r="A20716" s="2">
        <v>20711</v>
      </c>
      <c r="B20716" s="11" t="str">
        <f>"00900181"</f>
        <v>00900181</v>
      </c>
    </row>
    <row r="20717" spans="1:2" x14ac:dyDescent="0.25">
      <c r="A20717" s="2">
        <v>20712</v>
      </c>
      <c r="B20717" s="11" t="str">
        <f>"00900227"</f>
        <v>00900227</v>
      </c>
    </row>
    <row r="20718" spans="1:2" x14ac:dyDescent="0.25">
      <c r="A20718" s="2">
        <v>20713</v>
      </c>
      <c r="B20718" s="11" t="str">
        <f>"00900281"</f>
        <v>00900281</v>
      </c>
    </row>
    <row r="20719" spans="1:2" x14ac:dyDescent="0.25">
      <c r="A20719" s="2">
        <v>20714</v>
      </c>
      <c r="B20719" s="11" t="str">
        <f>"00900298"</f>
        <v>00900298</v>
      </c>
    </row>
    <row r="20720" spans="1:2" x14ac:dyDescent="0.25">
      <c r="A20720" s="2">
        <v>20715</v>
      </c>
      <c r="B20720" s="11" t="str">
        <f>"00900355"</f>
        <v>00900355</v>
      </c>
    </row>
    <row r="20721" spans="1:2" x14ac:dyDescent="0.25">
      <c r="A20721" s="2">
        <v>20716</v>
      </c>
      <c r="B20721" s="11" t="str">
        <f>"00900479"</f>
        <v>00900479</v>
      </c>
    </row>
    <row r="20722" spans="1:2" x14ac:dyDescent="0.25">
      <c r="A20722" s="2">
        <v>20717</v>
      </c>
      <c r="B20722" s="11" t="str">
        <f>"00900589"</f>
        <v>00900589</v>
      </c>
    </row>
    <row r="20723" spans="1:2" x14ac:dyDescent="0.25">
      <c r="A20723" s="2">
        <v>20718</v>
      </c>
      <c r="B20723" s="11" t="str">
        <f>"00900593"</f>
        <v>00900593</v>
      </c>
    </row>
    <row r="20724" spans="1:2" x14ac:dyDescent="0.25">
      <c r="A20724" s="2">
        <v>20719</v>
      </c>
      <c r="B20724" s="11" t="str">
        <f>"00900594"</f>
        <v>00900594</v>
      </c>
    </row>
    <row r="20725" spans="1:2" x14ac:dyDescent="0.25">
      <c r="A20725" s="2">
        <v>20720</v>
      </c>
      <c r="B20725" s="11" t="str">
        <f>"00900639"</f>
        <v>00900639</v>
      </c>
    </row>
    <row r="20726" spans="1:2" x14ac:dyDescent="0.25">
      <c r="A20726" s="2">
        <v>20721</v>
      </c>
      <c r="B20726" s="11" t="str">
        <f>"00900663"</f>
        <v>00900663</v>
      </c>
    </row>
    <row r="20727" spans="1:2" x14ac:dyDescent="0.25">
      <c r="A20727" s="2">
        <v>20722</v>
      </c>
      <c r="B20727" s="11" t="str">
        <f>"00900756"</f>
        <v>00900756</v>
      </c>
    </row>
    <row r="20728" spans="1:2" x14ac:dyDescent="0.25">
      <c r="A20728" s="2">
        <v>20723</v>
      </c>
      <c r="B20728" s="11" t="str">
        <f>"00900762"</f>
        <v>00900762</v>
      </c>
    </row>
    <row r="20729" spans="1:2" x14ac:dyDescent="0.25">
      <c r="A20729" s="2">
        <v>20724</v>
      </c>
      <c r="B20729" s="11" t="str">
        <f>"00900828"</f>
        <v>00900828</v>
      </c>
    </row>
    <row r="20730" spans="1:2" x14ac:dyDescent="0.25">
      <c r="A20730" s="2">
        <v>20725</v>
      </c>
      <c r="B20730" s="11" t="str">
        <f>"00901042"</f>
        <v>00901042</v>
      </c>
    </row>
    <row r="20731" spans="1:2" x14ac:dyDescent="0.25">
      <c r="A20731" s="2">
        <v>20726</v>
      </c>
      <c r="B20731" s="11" t="str">
        <f>"00901103"</f>
        <v>00901103</v>
      </c>
    </row>
    <row r="20732" spans="1:2" x14ac:dyDescent="0.25">
      <c r="A20732" s="2">
        <v>20727</v>
      </c>
      <c r="B20732" s="11" t="str">
        <f>"00901111"</f>
        <v>00901111</v>
      </c>
    </row>
    <row r="20733" spans="1:2" x14ac:dyDescent="0.25">
      <c r="A20733" s="2">
        <v>20728</v>
      </c>
      <c r="B20733" s="11" t="str">
        <f>"00901114"</f>
        <v>00901114</v>
      </c>
    </row>
    <row r="20734" spans="1:2" x14ac:dyDescent="0.25">
      <c r="A20734" s="2">
        <v>20729</v>
      </c>
      <c r="B20734" s="11" t="str">
        <f>"00901157"</f>
        <v>00901157</v>
      </c>
    </row>
    <row r="20735" spans="1:2" x14ac:dyDescent="0.25">
      <c r="A20735" s="2">
        <v>20730</v>
      </c>
      <c r="B20735" s="11" t="str">
        <f>"00901190"</f>
        <v>00901190</v>
      </c>
    </row>
    <row r="20736" spans="1:2" x14ac:dyDescent="0.25">
      <c r="A20736" s="2">
        <v>20731</v>
      </c>
      <c r="B20736" s="11" t="str">
        <f>"00901212"</f>
        <v>00901212</v>
      </c>
    </row>
    <row r="20737" spans="1:2" x14ac:dyDescent="0.25">
      <c r="A20737" s="2">
        <v>20732</v>
      </c>
      <c r="B20737" s="11" t="str">
        <f>"00901341"</f>
        <v>00901341</v>
      </c>
    </row>
    <row r="20738" spans="1:2" x14ac:dyDescent="0.25">
      <c r="A20738" s="2">
        <v>20733</v>
      </c>
      <c r="B20738" s="11" t="str">
        <f>"00901376"</f>
        <v>00901376</v>
      </c>
    </row>
    <row r="20739" spans="1:2" x14ac:dyDescent="0.25">
      <c r="A20739" s="2">
        <v>20734</v>
      </c>
      <c r="B20739" s="11" t="str">
        <f>"00901515"</f>
        <v>00901515</v>
      </c>
    </row>
    <row r="20740" spans="1:2" x14ac:dyDescent="0.25">
      <c r="A20740" s="2">
        <v>20735</v>
      </c>
      <c r="B20740" s="11" t="str">
        <f>"00901516"</f>
        <v>00901516</v>
      </c>
    </row>
    <row r="20741" spans="1:2" x14ac:dyDescent="0.25">
      <c r="A20741" s="2">
        <v>20736</v>
      </c>
      <c r="B20741" s="11" t="str">
        <f>"00901544"</f>
        <v>00901544</v>
      </c>
    </row>
    <row r="20742" spans="1:2" x14ac:dyDescent="0.25">
      <c r="A20742" s="2">
        <v>20737</v>
      </c>
      <c r="B20742" s="11" t="str">
        <f>"00901649"</f>
        <v>00901649</v>
      </c>
    </row>
    <row r="20743" spans="1:2" x14ac:dyDescent="0.25">
      <c r="A20743" s="2">
        <v>20738</v>
      </c>
      <c r="B20743" s="11" t="str">
        <f>"00901680"</f>
        <v>00901680</v>
      </c>
    </row>
    <row r="20744" spans="1:2" x14ac:dyDescent="0.25">
      <c r="A20744" s="2">
        <v>20739</v>
      </c>
      <c r="B20744" s="11" t="str">
        <f>"00901763"</f>
        <v>00901763</v>
      </c>
    </row>
    <row r="20745" spans="1:2" x14ac:dyDescent="0.25">
      <c r="A20745" s="2">
        <v>20740</v>
      </c>
      <c r="B20745" s="11" t="str">
        <f>"00901764"</f>
        <v>00901764</v>
      </c>
    </row>
    <row r="20746" spans="1:2" x14ac:dyDescent="0.25">
      <c r="A20746" s="2">
        <v>20741</v>
      </c>
      <c r="B20746" s="11" t="str">
        <f>"00901774"</f>
        <v>00901774</v>
      </c>
    </row>
    <row r="20747" spans="1:2" x14ac:dyDescent="0.25">
      <c r="A20747" s="2">
        <v>20742</v>
      </c>
      <c r="B20747" s="11" t="str">
        <f>"00901807"</f>
        <v>00901807</v>
      </c>
    </row>
    <row r="20748" spans="1:2" x14ac:dyDescent="0.25">
      <c r="A20748" s="2">
        <v>20743</v>
      </c>
      <c r="B20748" s="11" t="str">
        <f>"00901865"</f>
        <v>00901865</v>
      </c>
    </row>
    <row r="20749" spans="1:2" x14ac:dyDescent="0.25">
      <c r="A20749" s="2">
        <v>20744</v>
      </c>
      <c r="B20749" s="11" t="str">
        <f>"00901907"</f>
        <v>00901907</v>
      </c>
    </row>
    <row r="20750" spans="1:2" x14ac:dyDescent="0.25">
      <c r="A20750" s="2">
        <v>20745</v>
      </c>
      <c r="B20750" s="11" t="str">
        <f>"00901935"</f>
        <v>00901935</v>
      </c>
    </row>
    <row r="20751" spans="1:2" x14ac:dyDescent="0.25">
      <c r="A20751" s="2">
        <v>20746</v>
      </c>
      <c r="B20751" s="11" t="str">
        <f>"00901944"</f>
        <v>00901944</v>
      </c>
    </row>
    <row r="20752" spans="1:2" x14ac:dyDescent="0.25">
      <c r="A20752" s="2">
        <v>20747</v>
      </c>
      <c r="B20752" s="11" t="str">
        <f>"00902011"</f>
        <v>00902011</v>
      </c>
    </row>
    <row r="20753" spans="1:2" x14ac:dyDescent="0.25">
      <c r="A20753" s="2">
        <v>20748</v>
      </c>
      <c r="B20753" s="11" t="str">
        <f>"00902014"</f>
        <v>00902014</v>
      </c>
    </row>
    <row r="20754" spans="1:2" x14ac:dyDescent="0.25">
      <c r="A20754" s="2">
        <v>20749</v>
      </c>
      <c r="B20754" s="11" t="str">
        <f>"00902036"</f>
        <v>00902036</v>
      </c>
    </row>
    <row r="20755" spans="1:2" x14ac:dyDescent="0.25">
      <c r="A20755" s="2">
        <v>20750</v>
      </c>
      <c r="B20755" s="11" t="str">
        <f>"00902110"</f>
        <v>00902110</v>
      </c>
    </row>
    <row r="20756" spans="1:2" x14ac:dyDescent="0.25">
      <c r="A20756" s="2">
        <v>20751</v>
      </c>
      <c r="B20756" s="11" t="str">
        <f>"00902136"</f>
        <v>00902136</v>
      </c>
    </row>
    <row r="20757" spans="1:2" x14ac:dyDescent="0.25">
      <c r="A20757" s="2">
        <v>20752</v>
      </c>
      <c r="B20757" s="11" t="str">
        <f>"00902234"</f>
        <v>00902234</v>
      </c>
    </row>
    <row r="20758" spans="1:2" x14ac:dyDescent="0.25">
      <c r="A20758" s="2">
        <v>20753</v>
      </c>
      <c r="B20758" s="11" t="str">
        <f>"00902255"</f>
        <v>00902255</v>
      </c>
    </row>
    <row r="20759" spans="1:2" x14ac:dyDescent="0.25">
      <c r="A20759" s="2">
        <v>20754</v>
      </c>
      <c r="B20759" s="11" t="str">
        <f>"00902270"</f>
        <v>00902270</v>
      </c>
    </row>
    <row r="20760" spans="1:2" x14ac:dyDescent="0.25">
      <c r="A20760" s="2">
        <v>20755</v>
      </c>
      <c r="B20760" s="11" t="str">
        <f>"00902295"</f>
        <v>00902295</v>
      </c>
    </row>
    <row r="20761" spans="1:2" x14ac:dyDescent="0.25">
      <c r="A20761" s="2">
        <v>20756</v>
      </c>
      <c r="B20761" s="11" t="str">
        <f>"00902346"</f>
        <v>00902346</v>
      </c>
    </row>
    <row r="20762" spans="1:2" x14ac:dyDescent="0.25">
      <c r="A20762" s="2">
        <v>20757</v>
      </c>
      <c r="B20762" s="11" t="str">
        <f>"00902383"</f>
        <v>00902383</v>
      </c>
    </row>
    <row r="20763" spans="1:2" x14ac:dyDescent="0.25">
      <c r="A20763" s="2">
        <v>20758</v>
      </c>
      <c r="B20763" s="11" t="str">
        <f>"00902421"</f>
        <v>00902421</v>
      </c>
    </row>
    <row r="20764" spans="1:2" x14ac:dyDescent="0.25">
      <c r="A20764" s="2">
        <v>20759</v>
      </c>
      <c r="B20764" s="11" t="str">
        <f>"00902451"</f>
        <v>00902451</v>
      </c>
    </row>
    <row r="20765" spans="1:2" x14ac:dyDescent="0.25">
      <c r="A20765" s="2">
        <v>20760</v>
      </c>
      <c r="B20765" s="11" t="str">
        <f>"00902479"</f>
        <v>00902479</v>
      </c>
    </row>
    <row r="20766" spans="1:2" x14ac:dyDescent="0.25">
      <c r="A20766" s="2">
        <v>20761</v>
      </c>
      <c r="B20766" s="11" t="str">
        <f>"00902482"</f>
        <v>00902482</v>
      </c>
    </row>
    <row r="20767" spans="1:2" x14ac:dyDescent="0.25">
      <c r="A20767" s="2">
        <v>20762</v>
      </c>
      <c r="B20767" s="11" t="str">
        <f>"00902498"</f>
        <v>00902498</v>
      </c>
    </row>
    <row r="20768" spans="1:2" x14ac:dyDescent="0.25">
      <c r="A20768" s="2">
        <v>20763</v>
      </c>
      <c r="B20768" s="11" t="str">
        <f>"00902611"</f>
        <v>00902611</v>
      </c>
    </row>
    <row r="20769" spans="1:2" x14ac:dyDescent="0.25">
      <c r="A20769" s="2">
        <v>20764</v>
      </c>
      <c r="B20769" s="11" t="str">
        <f>"00902617"</f>
        <v>00902617</v>
      </c>
    </row>
    <row r="20770" spans="1:2" x14ac:dyDescent="0.25">
      <c r="A20770" s="2">
        <v>20765</v>
      </c>
      <c r="B20770" s="11" t="str">
        <f>"00902714"</f>
        <v>00902714</v>
      </c>
    </row>
    <row r="20771" spans="1:2" x14ac:dyDescent="0.25">
      <c r="A20771" s="2">
        <v>20766</v>
      </c>
      <c r="B20771" s="11" t="str">
        <f>"00902752"</f>
        <v>00902752</v>
      </c>
    </row>
    <row r="20772" spans="1:2" x14ac:dyDescent="0.25">
      <c r="A20772" s="2">
        <v>20767</v>
      </c>
      <c r="B20772" s="11" t="str">
        <f>"00902762"</f>
        <v>00902762</v>
      </c>
    </row>
    <row r="20773" spans="1:2" x14ac:dyDescent="0.25">
      <c r="A20773" s="2">
        <v>20768</v>
      </c>
      <c r="B20773" s="11" t="str">
        <f>"00902778"</f>
        <v>00902778</v>
      </c>
    </row>
    <row r="20774" spans="1:2" x14ac:dyDescent="0.25">
      <c r="A20774" s="2">
        <v>20769</v>
      </c>
      <c r="B20774" s="11" t="str">
        <f>"00902797"</f>
        <v>00902797</v>
      </c>
    </row>
    <row r="20775" spans="1:2" x14ac:dyDescent="0.25">
      <c r="A20775" s="2">
        <v>20770</v>
      </c>
      <c r="B20775" s="11" t="str">
        <f>"00902798"</f>
        <v>00902798</v>
      </c>
    </row>
    <row r="20776" spans="1:2" x14ac:dyDescent="0.25">
      <c r="A20776" s="2">
        <v>20771</v>
      </c>
      <c r="B20776" s="11" t="str">
        <f>"00902845"</f>
        <v>00902845</v>
      </c>
    </row>
    <row r="20777" spans="1:2" x14ac:dyDescent="0.25">
      <c r="A20777" s="2">
        <v>20772</v>
      </c>
      <c r="B20777" s="11" t="str">
        <f>"00902886"</f>
        <v>00902886</v>
      </c>
    </row>
    <row r="20778" spans="1:2" x14ac:dyDescent="0.25">
      <c r="A20778" s="2">
        <v>20773</v>
      </c>
      <c r="B20778" s="11" t="str">
        <f>"00902916"</f>
        <v>00902916</v>
      </c>
    </row>
    <row r="20779" spans="1:2" x14ac:dyDescent="0.25">
      <c r="A20779" s="2">
        <v>20774</v>
      </c>
      <c r="B20779" s="11" t="str">
        <f>"00902972"</f>
        <v>00902972</v>
      </c>
    </row>
    <row r="20780" spans="1:2" x14ac:dyDescent="0.25">
      <c r="A20780" s="2">
        <v>20775</v>
      </c>
      <c r="B20780" s="11" t="str">
        <f>"00903056"</f>
        <v>00903056</v>
      </c>
    </row>
    <row r="20781" spans="1:2" x14ac:dyDescent="0.25">
      <c r="A20781" s="2">
        <v>20776</v>
      </c>
      <c r="B20781" s="11" t="str">
        <f>"00903072"</f>
        <v>00903072</v>
      </c>
    </row>
    <row r="20782" spans="1:2" x14ac:dyDescent="0.25">
      <c r="A20782" s="2">
        <v>20777</v>
      </c>
      <c r="B20782" s="11" t="str">
        <f>"00903074"</f>
        <v>00903074</v>
      </c>
    </row>
    <row r="20783" spans="1:2" x14ac:dyDescent="0.25">
      <c r="A20783" s="2">
        <v>20778</v>
      </c>
      <c r="B20783" s="11" t="str">
        <f>"00903110"</f>
        <v>00903110</v>
      </c>
    </row>
    <row r="20784" spans="1:2" x14ac:dyDescent="0.25">
      <c r="A20784" s="2">
        <v>20779</v>
      </c>
      <c r="B20784" s="11" t="str">
        <f>"00903147"</f>
        <v>00903147</v>
      </c>
    </row>
    <row r="20785" spans="1:2" x14ac:dyDescent="0.25">
      <c r="A20785" s="2">
        <v>20780</v>
      </c>
      <c r="B20785" s="11" t="str">
        <f>"00903170"</f>
        <v>00903170</v>
      </c>
    </row>
    <row r="20786" spans="1:2" x14ac:dyDescent="0.25">
      <c r="A20786" s="2">
        <v>20781</v>
      </c>
      <c r="B20786" s="11" t="str">
        <f>"00903172"</f>
        <v>00903172</v>
      </c>
    </row>
    <row r="20787" spans="1:2" x14ac:dyDescent="0.25">
      <c r="A20787" s="2">
        <v>20782</v>
      </c>
      <c r="B20787" s="11" t="str">
        <f>"00903187"</f>
        <v>00903187</v>
      </c>
    </row>
    <row r="20788" spans="1:2" x14ac:dyDescent="0.25">
      <c r="A20788" s="2">
        <v>20783</v>
      </c>
      <c r="B20788" s="11" t="str">
        <f>"00903202"</f>
        <v>00903202</v>
      </c>
    </row>
    <row r="20789" spans="1:2" x14ac:dyDescent="0.25">
      <c r="A20789" s="2">
        <v>20784</v>
      </c>
      <c r="B20789" s="11" t="str">
        <f>"00903215"</f>
        <v>00903215</v>
      </c>
    </row>
    <row r="20790" spans="1:2" x14ac:dyDescent="0.25">
      <c r="A20790" s="2">
        <v>20785</v>
      </c>
      <c r="B20790" s="11" t="str">
        <f>"00903248"</f>
        <v>00903248</v>
      </c>
    </row>
    <row r="20791" spans="1:2" x14ac:dyDescent="0.25">
      <c r="A20791" s="2">
        <v>20786</v>
      </c>
      <c r="B20791" s="11" t="str">
        <f>"00903308"</f>
        <v>00903308</v>
      </c>
    </row>
    <row r="20792" spans="1:2" x14ac:dyDescent="0.25">
      <c r="A20792" s="2">
        <v>20787</v>
      </c>
      <c r="B20792" s="11" t="str">
        <f>"00903341"</f>
        <v>00903341</v>
      </c>
    </row>
    <row r="20793" spans="1:2" x14ac:dyDescent="0.25">
      <c r="A20793" s="2">
        <v>20788</v>
      </c>
      <c r="B20793" s="11" t="str">
        <f>"00903351"</f>
        <v>00903351</v>
      </c>
    </row>
    <row r="20794" spans="1:2" x14ac:dyDescent="0.25">
      <c r="A20794" s="2">
        <v>20789</v>
      </c>
      <c r="B20794" s="11" t="str">
        <f>"00903371"</f>
        <v>00903371</v>
      </c>
    </row>
    <row r="20795" spans="1:2" x14ac:dyDescent="0.25">
      <c r="A20795" s="2">
        <v>20790</v>
      </c>
      <c r="B20795" s="11" t="str">
        <f>"00903423"</f>
        <v>00903423</v>
      </c>
    </row>
    <row r="20796" spans="1:2" x14ac:dyDescent="0.25">
      <c r="A20796" s="2">
        <v>20791</v>
      </c>
      <c r="B20796" s="11" t="str">
        <f>"00903430"</f>
        <v>00903430</v>
      </c>
    </row>
    <row r="20797" spans="1:2" x14ac:dyDescent="0.25">
      <c r="A20797" s="2">
        <v>20792</v>
      </c>
      <c r="B20797" s="11" t="str">
        <f>"00903443"</f>
        <v>00903443</v>
      </c>
    </row>
    <row r="20798" spans="1:2" x14ac:dyDescent="0.25">
      <c r="A20798" s="2">
        <v>20793</v>
      </c>
      <c r="B20798" s="11" t="str">
        <f>"00903449"</f>
        <v>00903449</v>
      </c>
    </row>
    <row r="20799" spans="1:2" x14ac:dyDescent="0.25">
      <c r="A20799" s="2">
        <v>20794</v>
      </c>
      <c r="B20799" s="11" t="str">
        <f>"00903463"</f>
        <v>00903463</v>
      </c>
    </row>
    <row r="20800" spans="1:2" x14ac:dyDescent="0.25">
      <c r="A20800" s="2">
        <v>20795</v>
      </c>
      <c r="B20800" s="11" t="str">
        <f>"00903485"</f>
        <v>00903485</v>
      </c>
    </row>
    <row r="20801" spans="1:2" x14ac:dyDescent="0.25">
      <c r="A20801" s="2">
        <v>20796</v>
      </c>
      <c r="B20801" s="11" t="str">
        <f>"00903492"</f>
        <v>00903492</v>
      </c>
    </row>
    <row r="20802" spans="1:2" x14ac:dyDescent="0.25">
      <c r="A20802" s="2">
        <v>20797</v>
      </c>
      <c r="B20802" s="11" t="str">
        <f>"00903513"</f>
        <v>00903513</v>
      </c>
    </row>
    <row r="20803" spans="1:2" x14ac:dyDescent="0.25">
      <c r="A20803" s="2">
        <v>20798</v>
      </c>
      <c r="B20803" s="11" t="str">
        <f>"00903566"</f>
        <v>00903566</v>
      </c>
    </row>
    <row r="20804" spans="1:2" x14ac:dyDescent="0.25">
      <c r="A20804" s="2">
        <v>20799</v>
      </c>
      <c r="B20804" s="11" t="str">
        <f>"00903608"</f>
        <v>00903608</v>
      </c>
    </row>
    <row r="20805" spans="1:2" x14ac:dyDescent="0.25">
      <c r="A20805" s="2">
        <v>20800</v>
      </c>
      <c r="B20805" s="11" t="str">
        <f>"00903697"</f>
        <v>00903697</v>
      </c>
    </row>
    <row r="20806" spans="1:2" x14ac:dyDescent="0.25">
      <c r="A20806" s="2">
        <v>20801</v>
      </c>
      <c r="B20806" s="11" t="str">
        <f>"00903699"</f>
        <v>00903699</v>
      </c>
    </row>
    <row r="20807" spans="1:2" x14ac:dyDescent="0.25">
      <c r="A20807" s="2">
        <v>20802</v>
      </c>
      <c r="B20807" s="11" t="str">
        <f>"00903712"</f>
        <v>00903712</v>
      </c>
    </row>
    <row r="20808" spans="1:2" x14ac:dyDescent="0.25">
      <c r="A20808" s="2">
        <v>20803</v>
      </c>
      <c r="B20808" s="11" t="str">
        <f>"00903717"</f>
        <v>00903717</v>
      </c>
    </row>
    <row r="20809" spans="1:2" x14ac:dyDescent="0.25">
      <c r="A20809" s="2">
        <v>20804</v>
      </c>
      <c r="B20809" s="11" t="str">
        <f>"00903746"</f>
        <v>00903746</v>
      </c>
    </row>
    <row r="20810" spans="1:2" x14ac:dyDescent="0.25">
      <c r="A20810" s="2">
        <v>20805</v>
      </c>
      <c r="B20810" s="11" t="str">
        <f>"00903750"</f>
        <v>00903750</v>
      </c>
    </row>
    <row r="20811" spans="1:2" x14ac:dyDescent="0.25">
      <c r="A20811" s="2">
        <v>20806</v>
      </c>
      <c r="B20811" s="11" t="str">
        <f>"00903751"</f>
        <v>00903751</v>
      </c>
    </row>
    <row r="20812" spans="1:2" x14ac:dyDescent="0.25">
      <c r="A20812" s="2">
        <v>20807</v>
      </c>
      <c r="B20812" s="11" t="str">
        <f>"00903816"</f>
        <v>00903816</v>
      </c>
    </row>
    <row r="20813" spans="1:2" x14ac:dyDescent="0.25">
      <c r="A20813" s="2">
        <v>20808</v>
      </c>
      <c r="B20813" s="11" t="str">
        <f>"00903843"</f>
        <v>00903843</v>
      </c>
    </row>
    <row r="20814" spans="1:2" x14ac:dyDescent="0.25">
      <c r="A20814" s="2">
        <v>20809</v>
      </c>
      <c r="B20814" s="11" t="str">
        <f>"00903852"</f>
        <v>00903852</v>
      </c>
    </row>
    <row r="20815" spans="1:2" x14ac:dyDescent="0.25">
      <c r="A20815" s="2">
        <v>20810</v>
      </c>
      <c r="B20815" s="11" t="str">
        <f>"00903853"</f>
        <v>00903853</v>
      </c>
    </row>
    <row r="20816" spans="1:2" x14ac:dyDescent="0.25">
      <c r="A20816" s="2">
        <v>20811</v>
      </c>
      <c r="B20816" s="11" t="str">
        <f>"00903946"</f>
        <v>00903946</v>
      </c>
    </row>
    <row r="20817" spans="1:2" x14ac:dyDescent="0.25">
      <c r="A20817" s="2">
        <v>20812</v>
      </c>
      <c r="B20817" s="11" t="str">
        <f>"00904049"</f>
        <v>00904049</v>
      </c>
    </row>
    <row r="20818" spans="1:2" x14ac:dyDescent="0.25">
      <c r="A20818" s="2">
        <v>20813</v>
      </c>
      <c r="B20818" s="11" t="str">
        <f>"00904072"</f>
        <v>00904072</v>
      </c>
    </row>
    <row r="20819" spans="1:2" x14ac:dyDescent="0.25">
      <c r="A20819" s="2">
        <v>20814</v>
      </c>
      <c r="B20819" s="11" t="str">
        <f>"00904077"</f>
        <v>00904077</v>
      </c>
    </row>
    <row r="20820" spans="1:2" x14ac:dyDescent="0.25">
      <c r="A20820" s="2">
        <v>20815</v>
      </c>
      <c r="B20820" s="11" t="str">
        <f>"00904109"</f>
        <v>00904109</v>
      </c>
    </row>
    <row r="20821" spans="1:2" x14ac:dyDescent="0.25">
      <c r="A20821" s="2">
        <v>20816</v>
      </c>
      <c r="B20821" s="11" t="str">
        <f>"00904139"</f>
        <v>00904139</v>
      </c>
    </row>
    <row r="20822" spans="1:2" x14ac:dyDescent="0.25">
      <c r="A20822" s="2">
        <v>20817</v>
      </c>
      <c r="B20822" s="11" t="str">
        <f>"00904140"</f>
        <v>00904140</v>
      </c>
    </row>
    <row r="20823" spans="1:2" x14ac:dyDescent="0.25">
      <c r="A20823" s="2">
        <v>20818</v>
      </c>
      <c r="B20823" s="11" t="str">
        <f>"00904165"</f>
        <v>00904165</v>
      </c>
    </row>
    <row r="20824" spans="1:2" x14ac:dyDescent="0.25">
      <c r="A20824" s="2">
        <v>20819</v>
      </c>
      <c r="B20824" s="11" t="str">
        <f>"00904197"</f>
        <v>00904197</v>
      </c>
    </row>
    <row r="20825" spans="1:2" x14ac:dyDescent="0.25">
      <c r="A20825" s="2">
        <v>20820</v>
      </c>
      <c r="B20825" s="11" t="str">
        <f>"00904219"</f>
        <v>00904219</v>
      </c>
    </row>
    <row r="20826" spans="1:2" x14ac:dyDescent="0.25">
      <c r="A20826" s="2">
        <v>20821</v>
      </c>
      <c r="B20826" s="11" t="str">
        <f>"00904270"</f>
        <v>00904270</v>
      </c>
    </row>
    <row r="20827" spans="1:2" x14ac:dyDescent="0.25">
      <c r="A20827" s="2">
        <v>20822</v>
      </c>
      <c r="B20827" s="11" t="str">
        <f>"00904271"</f>
        <v>00904271</v>
      </c>
    </row>
    <row r="20828" spans="1:2" x14ac:dyDescent="0.25">
      <c r="A20828" s="2">
        <v>20823</v>
      </c>
      <c r="B20828" s="11" t="str">
        <f>"00904304"</f>
        <v>00904304</v>
      </c>
    </row>
    <row r="20829" spans="1:2" x14ac:dyDescent="0.25">
      <c r="A20829" s="2">
        <v>20824</v>
      </c>
      <c r="B20829" s="11" t="str">
        <f>"00904329"</f>
        <v>00904329</v>
      </c>
    </row>
    <row r="20830" spans="1:2" x14ac:dyDescent="0.25">
      <c r="A20830" s="2">
        <v>20825</v>
      </c>
      <c r="B20830" s="11" t="str">
        <f>"00904330"</f>
        <v>00904330</v>
      </c>
    </row>
    <row r="20831" spans="1:2" x14ac:dyDescent="0.25">
      <c r="A20831" s="2">
        <v>20826</v>
      </c>
      <c r="B20831" s="11" t="str">
        <f>"00904358"</f>
        <v>00904358</v>
      </c>
    </row>
    <row r="20832" spans="1:2" x14ac:dyDescent="0.25">
      <c r="A20832" s="2">
        <v>20827</v>
      </c>
      <c r="B20832" s="11" t="str">
        <f>"00904420"</f>
        <v>00904420</v>
      </c>
    </row>
    <row r="20833" spans="1:2" x14ac:dyDescent="0.25">
      <c r="A20833" s="2">
        <v>20828</v>
      </c>
      <c r="B20833" s="11" t="str">
        <f>"00904457"</f>
        <v>00904457</v>
      </c>
    </row>
    <row r="20834" spans="1:2" x14ac:dyDescent="0.25">
      <c r="A20834" s="2">
        <v>20829</v>
      </c>
      <c r="B20834" s="11" t="str">
        <f>"00904486"</f>
        <v>00904486</v>
      </c>
    </row>
    <row r="20835" spans="1:2" x14ac:dyDescent="0.25">
      <c r="A20835" s="2">
        <v>20830</v>
      </c>
      <c r="B20835" s="11" t="str">
        <f>"00904493"</f>
        <v>00904493</v>
      </c>
    </row>
    <row r="20836" spans="1:2" x14ac:dyDescent="0.25">
      <c r="A20836" s="2">
        <v>20831</v>
      </c>
      <c r="B20836" s="11" t="str">
        <f>"00904517"</f>
        <v>00904517</v>
      </c>
    </row>
    <row r="20837" spans="1:2" x14ac:dyDescent="0.25">
      <c r="A20837" s="2">
        <v>20832</v>
      </c>
      <c r="B20837" s="11" t="str">
        <f>"00904539"</f>
        <v>00904539</v>
      </c>
    </row>
    <row r="20838" spans="1:2" x14ac:dyDescent="0.25">
      <c r="A20838" s="2">
        <v>20833</v>
      </c>
      <c r="B20838" s="11" t="str">
        <f>"00904551"</f>
        <v>00904551</v>
      </c>
    </row>
    <row r="20839" spans="1:2" x14ac:dyDescent="0.25">
      <c r="A20839" s="2">
        <v>20834</v>
      </c>
      <c r="B20839" s="11" t="str">
        <f>"00904597"</f>
        <v>00904597</v>
      </c>
    </row>
    <row r="20840" spans="1:2" x14ac:dyDescent="0.25">
      <c r="A20840" s="2">
        <v>20835</v>
      </c>
      <c r="B20840" s="11" t="str">
        <f>"00904646"</f>
        <v>00904646</v>
      </c>
    </row>
    <row r="20841" spans="1:2" x14ac:dyDescent="0.25">
      <c r="A20841" s="2">
        <v>20836</v>
      </c>
      <c r="B20841" s="11" t="str">
        <f>"00904664"</f>
        <v>00904664</v>
      </c>
    </row>
    <row r="20842" spans="1:2" x14ac:dyDescent="0.25">
      <c r="A20842" s="2">
        <v>20837</v>
      </c>
      <c r="B20842" s="11" t="str">
        <f>"00904683"</f>
        <v>00904683</v>
      </c>
    </row>
    <row r="20843" spans="1:2" x14ac:dyDescent="0.25">
      <c r="A20843" s="2">
        <v>20838</v>
      </c>
      <c r="B20843" s="11" t="str">
        <f>"00904705"</f>
        <v>00904705</v>
      </c>
    </row>
    <row r="20844" spans="1:2" x14ac:dyDescent="0.25">
      <c r="A20844" s="2">
        <v>20839</v>
      </c>
      <c r="B20844" s="11" t="str">
        <f>"00904728"</f>
        <v>00904728</v>
      </c>
    </row>
    <row r="20845" spans="1:2" x14ac:dyDescent="0.25">
      <c r="A20845" s="2">
        <v>20840</v>
      </c>
      <c r="B20845" s="11" t="str">
        <f>"00904733"</f>
        <v>00904733</v>
      </c>
    </row>
    <row r="20846" spans="1:2" x14ac:dyDescent="0.25">
      <c r="A20846" s="2">
        <v>20841</v>
      </c>
      <c r="B20846" s="11" t="str">
        <f>"00904813"</f>
        <v>00904813</v>
      </c>
    </row>
    <row r="20847" spans="1:2" x14ac:dyDescent="0.25">
      <c r="A20847" s="2">
        <v>20842</v>
      </c>
      <c r="B20847" s="11" t="str">
        <f>"00904869"</f>
        <v>00904869</v>
      </c>
    </row>
    <row r="20848" spans="1:2" x14ac:dyDescent="0.25">
      <c r="A20848" s="2">
        <v>20843</v>
      </c>
      <c r="B20848" s="11" t="str">
        <f>"00904879"</f>
        <v>00904879</v>
      </c>
    </row>
    <row r="20849" spans="1:2" x14ac:dyDescent="0.25">
      <c r="A20849" s="2">
        <v>20844</v>
      </c>
      <c r="B20849" s="11" t="str">
        <f>"00904900"</f>
        <v>00904900</v>
      </c>
    </row>
    <row r="20850" spans="1:2" x14ac:dyDescent="0.25">
      <c r="A20850" s="2">
        <v>20845</v>
      </c>
      <c r="B20850" s="11" t="str">
        <f>"00904903"</f>
        <v>00904903</v>
      </c>
    </row>
    <row r="20851" spans="1:2" x14ac:dyDescent="0.25">
      <c r="A20851" s="2">
        <v>20846</v>
      </c>
      <c r="B20851" s="11" t="str">
        <f>"00904972"</f>
        <v>00904972</v>
      </c>
    </row>
    <row r="20852" spans="1:2" x14ac:dyDescent="0.25">
      <c r="A20852" s="2">
        <v>20847</v>
      </c>
      <c r="B20852" s="11" t="str">
        <f>"00904983"</f>
        <v>00904983</v>
      </c>
    </row>
    <row r="20853" spans="1:2" x14ac:dyDescent="0.25">
      <c r="A20853" s="2">
        <v>20848</v>
      </c>
      <c r="B20853" s="11" t="str">
        <f>"00904996"</f>
        <v>00904996</v>
      </c>
    </row>
    <row r="20854" spans="1:2" x14ac:dyDescent="0.25">
      <c r="A20854" s="2">
        <v>20849</v>
      </c>
      <c r="B20854" s="11" t="str">
        <f>"00905071"</f>
        <v>00905071</v>
      </c>
    </row>
    <row r="20855" spans="1:2" x14ac:dyDescent="0.25">
      <c r="A20855" s="2">
        <v>20850</v>
      </c>
      <c r="B20855" s="11" t="str">
        <f>"00905099"</f>
        <v>00905099</v>
      </c>
    </row>
    <row r="20856" spans="1:2" x14ac:dyDescent="0.25">
      <c r="A20856" s="2">
        <v>20851</v>
      </c>
      <c r="B20856" s="11" t="str">
        <f>"00905253"</f>
        <v>00905253</v>
      </c>
    </row>
    <row r="20857" spans="1:2" x14ac:dyDescent="0.25">
      <c r="A20857" s="2">
        <v>20852</v>
      </c>
      <c r="B20857" s="11" t="str">
        <f>"00905280"</f>
        <v>00905280</v>
      </c>
    </row>
    <row r="20858" spans="1:2" x14ac:dyDescent="0.25">
      <c r="A20858" s="2">
        <v>20853</v>
      </c>
      <c r="B20858" s="11" t="str">
        <f>"00905286"</f>
        <v>00905286</v>
      </c>
    </row>
    <row r="20859" spans="1:2" x14ac:dyDescent="0.25">
      <c r="A20859" s="2">
        <v>20854</v>
      </c>
      <c r="B20859" s="11" t="str">
        <f>"00905304"</f>
        <v>00905304</v>
      </c>
    </row>
    <row r="20860" spans="1:2" x14ac:dyDescent="0.25">
      <c r="A20860" s="2">
        <v>20855</v>
      </c>
      <c r="B20860" s="11" t="str">
        <f>"00905305"</f>
        <v>00905305</v>
      </c>
    </row>
    <row r="20861" spans="1:2" x14ac:dyDescent="0.25">
      <c r="A20861" s="2">
        <v>20856</v>
      </c>
      <c r="B20861" s="11" t="str">
        <f>"00905320"</f>
        <v>00905320</v>
      </c>
    </row>
    <row r="20862" spans="1:2" x14ac:dyDescent="0.25">
      <c r="A20862" s="2">
        <v>20857</v>
      </c>
      <c r="B20862" s="11" t="str">
        <f>"00905324"</f>
        <v>00905324</v>
      </c>
    </row>
    <row r="20863" spans="1:2" x14ac:dyDescent="0.25">
      <c r="A20863" s="2">
        <v>20858</v>
      </c>
      <c r="B20863" s="11" t="str">
        <f>"00905331"</f>
        <v>00905331</v>
      </c>
    </row>
    <row r="20864" spans="1:2" x14ac:dyDescent="0.25">
      <c r="A20864" s="2">
        <v>20859</v>
      </c>
      <c r="B20864" s="11" t="str">
        <f>"00905377"</f>
        <v>00905377</v>
      </c>
    </row>
    <row r="20865" spans="1:2" x14ac:dyDescent="0.25">
      <c r="A20865" s="2">
        <v>20860</v>
      </c>
      <c r="B20865" s="11" t="str">
        <f>"00905383"</f>
        <v>00905383</v>
      </c>
    </row>
    <row r="20866" spans="1:2" x14ac:dyDescent="0.25">
      <c r="A20866" s="2">
        <v>20861</v>
      </c>
      <c r="B20866" s="11" t="str">
        <f>"00905434"</f>
        <v>00905434</v>
      </c>
    </row>
    <row r="20867" spans="1:2" x14ac:dyDescent="0.25">
      <c r="A20867" s="2">
        <v>20862</v>
      </c>
      <c r="B20867" s="11" t="str">
        <f>"00905459"</f>
        <v>00905459</v>
      </c>
    </row>
    <row r="20868" spans="1:2" x14ac:dyDescent="0.25">
      <c r="A20868" s="2">
        <v>20863</v>
      </c>
      <c r="B20868" s="11" t="str">
        <f>"00905493"</f>
        <v>00905493</v>
      </c>
    </row>
    <row r="20869" spans="1:2" x14ac:dyDescent="0.25">
      <c r="A20869" s="2">
        <v>20864</v>
      </c>
      <c r="B20869" s="11" t="str">
        <f>"00905499"</f>
        <v>00905499</v>
      </c>
    </row>
    <row r="20870" spans="1:2" x14ac:dyDescent="0.25">
      <c r="A20870" s="2">
        <v>20865</v>
      </c>
      <c r="B20870" s="11" t="str">
        <f>"00905554"</f>
        <v>00905554</v>
      </c>
    </row>
    <row r="20871" spans="1:2" x14ac:dyDescent="0.25">
      <c r="A20871" s="2">
        <v>20866</v>
      </c>
      <c r="B20871" s="11" t="str">
        <f>"00905556"</f>
        <v>00905556</v>
      </c>
    </row>
    <row r="20872" spans="1:2" x14ac:dyDescent="0.25">
      <c r="A20872" s="2">
        <v>20867</v>
      </c>
      <c r="B20872" s="11" t="str">
        <f>"00905558"</f>
        <v>00905558</v>
      </c>
    </row>
    <row r="20873" spans="1:2" x14ac:dyDescent="0.25">
      <c r="A20873" s="2">
        <v>20868</v>
      </c>
      <c r="B20873" s="11" t="str">
        <f>"00905579"</f>
        <v>00905579</v>
      </c>
    </row>
    <row r="20874" spans="1:2" x14ac:dyDescent="0.25">
      <c r="A20874" s="2">
        <v>20869</v>
      </c>
      <c r="B20874" s="11" t="str">
        <f>"00905585"</f>
        <v>00905585</v>
      </c>
    </row>
    <row r="20875" spans="1:2" x14ac:dyDescent="0.25">
      <c r="A20875" s="2">
        <v>20870</v>
      </c>
      <c r="B20875" s="11" t="str">
        <f>"00905673"</f>
        <v>00905673</v>
      </c>
    </row>
    <row r="20876" spans="1:2" x14ac:dyDescent="0.25">
      <c r="A20876" s="2">
        <v>20871</v>
      </c>
      <c r="B20876" s="11" t="str">
        <f>"00905688"</f>
        <v>00905688</v>
      </c>
    </row>
    <row r="20877" spans="1:2" x14ac:dyDescent="0.25">
      <c r="A20877" s="2">
        <v>20872</v>
      </c>
      <c r="B20877" s="11" t="str">
        <f>"00905761"</f>
        <v>00905761</v>
      </c>
    </row>
    <row r="20878" spans="1:2" x14ac:dyDescent="0.25">
      <c r="A20878" s="2">
        <v>20873</v>
      </c>
      <c r="B20878" s="11" t="str">
        <f>"00905771"</f>
        <v>00905771</v>
      </c>
    </row>
    <row r="20879" spans="1:2" x14ac:dyDescent="0.25">
      <c r="A20879" s="2">
        <v>20874</v>
      </c>
      <c r="B20879" s="11" t="str">
        <f>"00905778"</f>
        <v>00905778</v>
      </c>
    </row>
    <row r="20880" spans="1:2" x14ac:dyDescent="0.25">
      <c r="A20880" s="2">
        <v>20875</v>
      </c>
      <c r="B20880" s="11" t="str">
        <f>"00905878"</f>
        <v>00905878</v>
      </c>
    </row>
    <row r="20881" spans="1:2" x14ac:dyDescent="0.25">
      <c r="A20881" s="2">
        <v>20876</v>
      </c>
      <c r="B20881" s="11" t="str">
        <f>"00905884"</f>
        <v>00905884</v>
      </c>
    </row>
    <row r="20882" spans="1:2" x14ac:dyDescent="0.25">
      <c r="A20882" s="2">
        <v>20877</v>
      </c>
      <c r="B20882" s="11" t="str">
        <f>"00905925"</f>
        <v>00905925</v>
      </c>
    </row>
    <row r="20883" spans="1:2" x14ac:dyDescent="0.25">
      <c r="A20883" s="2">
        <v>20878</v>
      </c>
      <c r="B20883" s="11" t="str">
        <f>"00905929"</f>
        <v>00905929</v>
      </c>
    </row>
    <row r="20884" spans="1:2" x14ac:dyDescent="0.25">
      <c r="A20884" s="2">
        <v>20879</v>
      </c>
      <c r="B20884" s="11" t="str">
        <f>"00905981"</f>
        <v>00905981</v>
      </c>
    </row>
    <row r="20885" spans="1:2" x14ac:dyDescent="0.25">
      <c r="A20885" s="2">
        <v>20880</v>
      </c>
      <c r="B20885" s="11" t="str">
        <f>"00905987"</f>
        <v>00905987</v>
      </c>
    </row>
    <row r="20886" spans="1:2" x14ac:dyDescent="0.25">
      <c r="A20886" s="2">
        <v>20881</v>
      </c>
      <c r="B20886" s="11" t="str">
        <f>"00906014"</f>
        <v>00906014</v>
      </c>
    </row>
    <row r="20887" spans="1:2" x14ac:dyDescent="0.25">
      <c r="A20887" s="2">
        <v>20882</v>
      </c>
      <c r="B20887" s="11" t="str">
        <f>"00906016"</f>
        <v>00906016</v>
      </c>
    </row>
    <row r="20888" spans="1:2" x14ac:dyDescent="0.25">
      <c r="A20888" s="2">
        <v>20883</v>
      </c>
      <c r="B20888" s="11" t="str">
        <f>"00906025"</f>
        <v>00906025</v>
      </c>
    </row>
    <row r="20889" spans="1:2" x14ac:dyDescent="0.25">
      <c r="A20889" s="2">
        <v>20884</v>
      </c>
      <c r="B20889" s="11" t="str">
        <f>"00906032"</f>
        <v>00906032</v>
      </c>
    </row>
    <row r="20890" spans="1:2" x14ac:dyDescent="0.25">
      <c r="A20890" s="2">
        <v>20885</v>
      </c>
      <c r="B20890" s="11" t="str">
        <f>"00906042"</f>
        <v>00906042</v>
      </c>
    </row>
    <row r="20891" spans="1:2" x14ac:dyDescent="0.25">
      <c r="A20891" s="2">
        <v>20886</v>
      </c>
      <c r="B20891" s="11" t="str">
        <f>"00906056"</f>
        <v>00906056</v>
      </c>
    </row>
    <row r="20892" spans="1:2" x14ac:dyDescent="0.25">
      <c r="A20892" s="2">
        <v>20887</v>
      </c>
      <c r="B20892" s="11" t="str">
        <f>"00906093"</f>
        <v>00906093</v>
      </c>
    </row>
    <row r="20893" spans="1:2" x14ac:dyDescent="0.25">
      <c r="A20893" s="2">
        <v>20888</v>
      </c>
      <c r="B20893" s="11" t="str">
        <f>"00906097"</f>
        <v>00906097</v>
      </c>
    </row>
    <row r="20894" spans="1:2" x14ac:dyDescent="0.25">
      <c r="A20894" s="2">
        <v>20889</v>
      </c>
      <c r="B20894" s="11" t="str">
        <f>"00906132"</f>
        <v>00906132</v>
      </c>
    </row>
    <row r="20895" spans="1:2" x14ac:dyDescent="0.25">
      <c r="A20895" s="2">
        <v>20890</v>
      </c>
      <c r="B20895" s="11" t="str">
        <f>"00906285"</f>
        <v>00906285</v>
      </c>
    </row>
    <row r="20896" spans="1:2" x14ac:dyDescent="0.25">
      <c r="A20896" s="2">
        <v>20891</v>
      </c>
      <c r="B20896" s="11" t="str">
        <f>"00906287"</f>
        <v>00906287</v>
      </c>
    </row>
    <row r="20897" spans="1:2" x14ac:dyDescent="0.25">
      <c r="A20897" s="2">
        <v>20892</v>
      </c>
      <c r="B20897" s="11" t="str">
        <f>"00906346"</f>
        <v>00906346</v>
      </c>
    </row>
    <row r="20898" spans="1:2" x14ac:dyDescent="0.25">
      <c r="A20898" s="2">
        <v>20893</v>
      </c>
      <c r="B20898" s="11" t="str">
        <f>"00906398"</f>
        <v>00906398</v>
      </c>
    </row>
    <row r="20899" spans="1:2" x14ac:dyDescent="0.25">
      <c r="A20899" s="2">
        <v>20894</v>
      </c>
      <c r="B20899" s="11" t="str">
        <f>"00906492"</f>
        <v>00906492</v>
      </c>
    </row>
    <row r="20900" spans="1:2" x14ac:dyDescent="0.25">
      <c r="A20900" s="2">
        <v>20895</v>
      </c>
      <c r="B20900" s="11" t="str">
        <f>"00906589"</f>
        <v>00906589</v>
      </c>
    </row>
    <row r="20901" spans="1:2" x14ac:dyDescent="0.25">
      <c r="A20901" s="2">
        <v>20896</v>
      </c>
      <c r="B20901" s="11" t="str">
        <f>"00906596"</f>
        <v>00906596</v>
      </c>
    </row>
    <row r="20902" spans="1:2" x14ac:dyDescent="0.25">
      <c r="A20902" s="2">
        <v>20897</v>
      </c>
      <c r="B20902" s="11" t="str">
        <f>"00906619"</f>
        <v>00906619</v>
      </c>
    </row>
    <row r="20903" spans="1:2" x14ac:dyDescent="0.25">
      <c r="A20903" s="2">
        <v>20898</v>
      </c>
      <c r="B20903" s="11" t="str">
        <f>"00906675"</f>
        <v>00906675</v>
      </c>
    </row>
    <row r="20904" spans="1:2" x14ac:dyDescent="0.25">
      <c r="A20904" s="2">
        <v>20899</v>
      </c>
      <c r="B20904" s="11" t="str">
        <f>"00906738"</f>
        <v>00906738</v>
      </c>
    </row>
    <row r="20905" spans="1:2" x14ac:dyDescent="0.25">
      <c r="A20905" s="2">
        <v>20900</v>
      </c>
      <c r="B20905" s="11" t="str">
        <f>"00906774"</f>
        <v>00906774</v>
      </c>
    </row>
    <row r="20906" spans="1:2" x14ac:dyDescent="0.25">
      <c r="A20906" s="2">
        <v>20901</v>
      </c>
      <c r="B20906" s="11" t="str">
        <f>"00906803"</f>
        <v>00906803</v>
      </c>
    </row>
    <row r="20907" spans="1:2" x14ac:dyDescent="0.25">
      <c r="A20907" s="2">
        <v>20902</v>
      </c>
      <c r="B20907" s="11" t="str">
        <f>"00906857"</f>
        <v>00906857</v>
      </c>
    </row>
    <row r="20908" spans="1:2" x14ac:dyDescent="0.25">
      <c r="A20908" s="2">
        <v>20903</v>
      </c>
      <c r="B20908" s="11" t="str">
        <f>"00906990"</f>
        <v>00906990</v>
      </c>
    </row>
    <row r="20909" spans="1:2" x14ac:dyDescent="0.25">
      <c r="A20909" s="2">
        <v>20904</v>
      </c>
      <c r="B20909" s="11" t="str">
        <f>"00907014"</f>
        <v>00907014</v>
      </c>
    </row>
    <row r="20910" spans="1:2" x14ac:dyDescent="0.25">
      <c r="A20910" s="2">
        <v>20905</v>
      </c>
      <c r="B20910" s="11" t="str">
        <f>"00907034"</f>
        <v>00907034</v>
      </c>
    </row>
    <row r="20911" spans="1:2" x14ac:dyDescent="0.25">
      <c r="A20911" s="2">
        <v>20906</v>
      </c>
      <c r="B20911" s="11" t="str">
        <f>"00907036"</f>
        <v>00907036</v>
      </c>
    </row>
    <row r="20912" spans="1:2" x14ac:dyDescent="0.25">
      <c r="A20912" s="2">
        <v>20907</v>
      </c>
      <c r="B20912" s="11" t="str">
        <f>"00907063"</f>
        <v>00907063</v>
      </c>
    </row>
    <row r="20913" spans="1:2" x14ac:dyDescent="0.25">
      <c r="A20913" s="2">
        <v>20908</v>
      </c>
      <c r="B20913" s="11" t="str">
        <f>"00907074"</f>
        <v>00907074</v>
      </c>
    </row>
    <row r="20914" spans="1:2" x14ac:dyDescent="0.25">
      <c r="A20914" s="2">
        <v>20909</v>
      </c>
      <c r="B20914" s="11" t="str">
        <f>"00907091"</f>
        <v>00907091</v>
      </c>
    </row>
    <row r="20915" spans="1:2" x14ac:dyDescent="0.25">
      <c r="A20915" s="2">
        <v>20910</v>
      </c>
      <c r="B20915" s="11" t="str">
        <f>"00907109"</f>
        <v>00907109</v>
      </c>
    </row>
    <row r="20916" spans="1:2" x14ac:dyDescent="0.25">
      <c r="A20916" s="2">
        <v>20911</v>
      </c>
      <c r="B20916" s="11" t="str">
        <f>"00907126"</f>
        <v>00907126</v>
      </c>
    </row>
    <row r="20917" spans="1:2" x14ac:dyDescent="0.25">
      <c r="A20917" s="2">
        <v>20912</v>
      </c>
      <c r="B20917" s="11" t="str">
        <f>"00907130"</f>
        <v>00907130</v>
      </c>
    </row>
    <row r="20918" spans="1:2" x14ac:dyDescent="0.25">
      <c r="A20918" s="2">
        <v>20913</v>
      </c>
      <c r="B20918" s="11" t="str">
        <f>"00907183"</f>
        <v>00907183</v>
      </c>
    </row>
    <row r="20919" spans="1:2" x14ac:dyDescent="0.25">
      <c r="A20919" s="2">
        <v>20914</v>
      </c>
      <c r="B20919" s="11" t="str">
        <f>"00907201"</f>
        <v>00907201</v>
      </c>
    </row>
    <row r="20920" spans="1:2" x14ac:dyDescent="0.25">
      <c r="A20920" s="2">
        <v>20915</v>
      </c>
      <c r="B20920" s="11" t="str">
        <f>"00907274"</f>
        <v>00907274</v>
      </c>
    </row>
    <row r="20921" spans="1:2" x14ac:dyDescent="0.25">
      <c r="A20921" s="2">
        <v>20916</v>
      </c>
      <c r="B20921" s="11" t="str">
        <f>"00907298"</f>
        <v>00907298</v>
      </c>
    </row>
    <row r="20922" spans="1:2" x14ac:dyDescent="0.25">
      <c r="A20922" s="2">
        <v>20917</v>
      </c>
      <c r="B20922" s="11" t="str">
        <f>"00907328"</f>
        <v>00907328</v>
      </c>
    </row>
    <row r="20923" spans="1:2" x14ac:dyDescent="0.25">
      <c r="A20923" s="2">
        <v>20918</v>
      </c>
      <c r="B20923" s="11" t="str">
        <f>"00907357"</f>
        <v>00907357</v>
      </c>
    </row>
    <row r="20924" spans="1:2" x14ac:dyDescent="0.25">
      <c r="A20924" s="2">
        <v>20919</v>
      </c>
      <c r="B20924" s="11" t="str">
        <f>"00907384"</f>
        <v>00907384</v>
      </c>
    </row>
    <row r="20925" spans="1:2" x14ac:dyDescent="0.25">
      <c r="A20925" s="2">
        <v>20920</v>
      </c>
      <c r="B20925" s="11" t="str">
        <f>"00907437"</f>
        <v>00907437</v>
      </c>
    </row>
    <row r="20926" spans="1:2" x14ac:dyDescent="0.25">
      <c r="A20926" s="2">
        <v>20921</v>
      </c>
      <c r="B20926" s="11" t="str">
        <f>"00907459"</f>
        <v>00907459</v>
      </c>
    </row>
    <row r="20927" spans="1:2" x14ac:dyDescent="0.25">
      <c r="A20927" s="2">
        <v>20922</v>
      </c>
      <c r="B20927" s="11" t="str">
        <f>"00907474"</f>
        <v>00907474</v>
      </c>
    </row>
    <row r="20928" spans="1:2" x14ac:dyDescent="0.25">
      <c r="A20928" s="2">
        <v>20923</v>
      </c>
      <c r="B20928" s="11" t="str">
        <f>"00907487"</f>
        <v>00907487</v>
      </c>
    </row>
    <row r="20929" spans="1:2" x14ac:dyDescent="0.25">
      <c r="A20929" s="2">
        <v>20924</v>
      </c>
      <c r="B20929" s="11" t="str">
        <f>"00907508"</f>
        <v>00907508</v>
      </c>
    </row>
    <row r="20930" spans="1:2" x14ac:dyDescent="0.25">
      <c r="A20930" s="2">
        <v>20925</v>
      </c>
      <c r="B20930" s="11" t="str">
        <f>"00907515"</f>
        <v>00907515</v>
      </c>
    </row>
    <row r="20931" spans="1:2" x14ac:dyDescent="0.25">
      <c r="A20931" s="2">
        <v>20926</v>
      </c>
      <c r="B20931" s="11" t="str">
        <f>"00907539"</f>
        <v>00907539</v>
      </c>
    </row>
    <row r="20932" spans="1:2" x14ac:dyDescent="0.25">
      <c r="A20932" s="2">
        <v>20927</v>
      </c>
      <c r="B20932" s="11" t="str">
        <f>"00907557"</f>
        <v>00907557</v>
      </c>
    </row>
    <row r="20933" spans="1:2" x14ac:dyDescent="0.25">
      <c r="A20933" s="2">
        <v>20928</v>
      </c>
      <c r="B20933" s="11" t="str">
        <f>"00907561"</f>
        <v>00907561</v>
      </c>
    </row>
    <row r="20934" spans="1:2" x14ac:dyDescent="0.25">
      <c r="A20934" s="2">
        <v>20929</v>
      </c>
      <c r="B20934" s="11" t="str">
        <f>"00907626"</f>
        <v>00907626</v>
      </c>
    </row>
    <row r="20935" spans="1:2" x14ac:dyDescent="0.25">
      <c r="A20935" s="2">
        <v>20930</v>
      </c>
      <c r="B20935" s="11" t="str">
        <f>"00907654"</f>
        <v>00907654</v>
      </c>
    </row>
    <row r="20936" spans="1:2" x14ac:dyDescent="0.25">
      <c r="A20936" s="2">
        <v>20931</v>
      </c>
      <c r="B20936" s="11" t="str">
        <f>"00907672"</f>
        <v>00907672</v>
      </c>
    </row>
    <row r="20937" spans="1:2" x14ac:dyDescent="0.25">
      <c r="A20937" s="2">
        <v>20932</v>
      </c>
      <c r="B20937" s="11" t="str">
        <f>"00907693"</f>
        <v>00907693</v>
      </c>
    </row>
    <row r="20938" spans="1:2" x14ac:dyDescent="0.25">
      <c r="A20938" s="2">
        <v>20933</v>
      </c>
      <c r="B20938" s="11" t="str">
        <f>"00907719"</f>
        <v>00907719</v>
      </c>
    </row>
    <row r="20939" spans="1:2" x14ac:dyDescent="0.25">
      <c r="A20939" s="2">
        <v>20934</v>
      </c>
      <c r="B20939" s="11" t="str">
        <f>"00907720"</f>
        <v>00907720</v>
      </c>
    </row>
    <row r="20940" spans="1:2" x14ac:dyDescent="0.25">
      <c r="A20940" s="2">
        <v>20935</v>
      </c>
      <c r="B20940" s="11" t="str">
        <f>"00907813"</f>
        <v>00907813</v>
      </c>
    </row>
    <row r="20941" spans="1:2" x14ac:dyDescent="0.25">
      <c r="A20941" s="2">
        <v>20936</v>
      </c>
      <c r="B20941" s="11" t="str">
        <f>"00907856"</f>
        <v>00907856</v>
      </c>
    </row>
    <row r="20942" spans="1:2" x14ac:dyDescent="0.25">
      <c r="A20942" s="2">
        <v>20937</v>
      </c>
      <c r="B20942" s="11" t="str">
        <f>"00907864"</f>
        <v>00907864</v>
      </c>
    </row>
    <row r="20943" spans="1:2" x14ac:dyDescent="0.25">
      <c r="A20943" s="2">
        <v>20938</v>
      </c>
      <c r="B20943" s="11" t="str">
        <f>"00907970"</f>
        <v>00907970</v>
      </c>
    </row>
    <row r="20944" spans="1:2" x14ac:dyDescent="0.25">
      <c r="A20944" s="2">
        <v>20939</v>
      </c>
      <c r="B20944" s="11" t="str">
        <f>"00907989"</f>
        <v>00907989</v>
      </c>
    </row>
    <row r="20945" spans="1:2" x14ac:dyDescent="0.25">
      <c r="A20945" s="2">
        <v>20940</v>
      </c>
      <c r="B20945" s="11" t="str">
        <f>"00908002"</f>
        <v>00908002</v>
      </c>
    </row>
    <row r="20946" spans="1:2" x14ac:dyDescent="0.25">
      <c r="A20946" s="2">
        <v>20941</v>
      </c>
      <c r="B20946" s="11" t="str">
        <f>"00908078"</f>
        <v>00908078</v>
      </c>
    </row>
    <row r="20947" spans="1:2" x14ac:dyDescent="0.25">
      <c r="A20947" s="2">
        <v>20942</v>
      </c>
      <c r="B20947" s="11" t="str">
        <f>"00908081"</f>
        <v>00908081</v>
      </c>
    </row>
    <row r="20948" spans="1:2" x14ac:dyDescent="0.25">
      <c r="A20948" s="2">
        <v>20943</v>
      </c>
      <c r="B20948" s="11" t="str">
        <f>"00908107"</f>
        <v>00908107</v>
      </c>
    </row>
    <row r="20949" spans="1:2" x14ac:dyDescent="0.25">
      <c r="A20949" s="2">
        <v>20944</v>
      </c>
      <c r="B20949" s="11" t="str">
        <f>"00908108"</f>
        <v>00908108</v>
      </c>
    </row>
    <row r="20950" spans="1:2" x14ac:dyDescent="0.25">
      <c r="A20950" s="2">
        <v>20945</v>
      </c>
      <c r="B20950" s="11" t="str">
        <f>"00908121"</f>
        <v>00908121</v>
      </c>
    </row>
    <row r="20951" spans="1:2" x14ac:dyDescent="0.25">
      <c r="A20951" s="2">
        <v>20946</v>
      </c>
      <c r="B20951" s="11" t="str">
        <f>"00908242"</f>
        <v>00908242</v>
      </c>
    </row>
    <row r="20952" spans="1:2" x14ac:dyDescent="0.25">
      <c r="A20952" s="2">
        <v>20947</v>
      </c>
      <c r="B20952" s="11" t="str">
        <f>"00908248"</f>
        <v>00908248</v>
      </c>
    </row>
    <row r="20953" spans="1:2" x14ac:dyDescent="0.25">
      <c r="A20953" s="2">
        <v>20948</v>
      </c>
      <c r="B20953" s="11" t="str">
        <f>"00908278"</f>
        <v>00908278</v>
      </c>
    </row>
    <row r="20954" spans="1:2" x14ac:dyDescent="0.25">
      <c r="A20954" s="2">
        <v>20949</v>
      </c>
      <c r="B20954" s="11" t="str">
        <f>"00908306"</f>
        <v>00908306</v>
      </c>
    </row>
    <row r="20955" spans="1:2" x14ac:dyDescent="0.25">
      <c r="A20955" s="2">
        <v>20950</v>
      </c>
      <c r="B20955" s="11" t="str">
        <f>"00908346"</f>
        <v>00908346</v>
      </c>
    </row>
    <row r="20956" spans="1:2" x14ac:dyDescent="0.25">
      <c r="A20956" s="2">
        <v>20951</v>
      </c>
      <c r="B20956" s="11" t="str">
        <f>"00908352"</f>
        <v>00908352</v>
      </c>
    </row>
    <row r="20957" spans="1:2" x14ac:dyDescent="0.25">
      <c r="A20957" s="2">
        <v>20952</v>
      </c>
      <c r="B20957" s="11" t="str">
        <f>"00908431"</f>
        <v>00908431</v>
      </c>
    </row>
    <row r="20958" spans="1:2" x14ac:dyDescent="0.25">
      <c r="A20958" s="2">
        <v>20953</v>
      </c>
      <c r="B20958" s="11" t="str">
        <f>"00908448"</f>
        <v>00908448</v>
      </c>
    </row>
    <row r="20959" spans="1:2" x14ac:dyDescent="0.25">
      <c r="A20959" s="2">
        <v>20954</v>
      </c>
      <c r="B20959" s="11" t="str">
        <f>"00908475"</f>
        <v>00908475</v>
      </c>
    </row>
    <row r="20960" spans="1:2" x14ac:dyDescent="0.25">
      <c r="A20960" s="2">
        <v>20955</v>
      </c>
      <c r="B20960" s="11" t="str">
        <f>"00908521"</f>
        <v>00908521</v>
      </c>
    </row>
    <row r="20961" spans="1:2" x14ac:dyDescent="0.25">
      <c r="A20961" s="2">
        <v>20956</v>
      </c>
      <c r="B20961" s="11" t="str">
        <f>"00908533"</f>
        <v>00908533</v>
      </c>
    </row>
    <row r="20962" spans="1:2" x14ac:dyDescent="0.25">
      <c r="A20962" s="2">
        <v>20957</v>
      </c>
      <c r="B20962" s="11" t="str">
        <f>"00908545"</f>
        <v>00908545</v>
      </c>
    </row>
    <row r="20963" spans="1:2" x14ac:dyDescent="0.25">
      <c r="A20963" s="2">
        <v>20958</v>
      </c>
      <c r="B20963" s="11" t="str">
        <f>"00908612"</f>
        <v>00908612</v>
      </c>
    </row>
    <row r="20964" spans="1:2" x14ac:dyDescent="0.25">
      <c r="A20964" s="2">
        <v>20959</v>
      </c>
      <c r="B20964" s="11" t="str">
        <f>"00908626"</f>
        <v>00908626</v>
      </c>
    </row>
    <row r="20965" spans="1:2" x14ac:dyDescent="0.25">
      <c r="A20965" s="2">
        <v>20960</v>
      </c>
      <c r="B20965" s="11" t="str">
        <f>"00908652"</f>
        <v>00908652</v>
      </c>
    </row>
    <row r="20966" spans="1:2" x14ac:dyDescent="0.25">
      <c r="A20966" s="2">
        <v>20961</v>
      </c>
      <c r="B20966" s="11" t="str">
        <f>"00908655"</f>
        <v>00908655</v>
      </c>
    </row>
    <row r="20967" spans="1:2" x14ac:dyDescent="0.25">
      <c r="A20967" s="2">
        <v>20962</v>
      </c>
      <c r="B20967" s="11" t="str">
        <f>"00908699"</f>
        <v>00908699</v>
      </c>
    </row>
    <row r="20968" spans="1:2" x14ac:dyDescent="0.25">
      <c r="A20968" s="2">
        <v>20963</v>
      </c>
      <c r="B20968" s="11" t="str">
        <f>"00908704"</f>
        <v>00908704</v>
      </c>
    </row>
    <row r="20969" spans="1:2" x14ac:dyDescent="0.25">
      <c r="A20969" s="2">
        <v>20964</v>
      </c>
      <c r="B20969" s="11" t="str">
        <f>"00908711"</f>
        <v>00908711</v>
      </c>
    </row>
    <row r="20970" spans="1:2" x14ac:dyDescent="0.25">
      <c r="A20970" s="2">
        <v>20965</v>
      </c>
      <c r="B20970" s="11" t="str">
        <f>"00908769"</f>
        <v>00908769</v>
      </c>
    </row>
    <row r="20971" spans="1:2" x14ac:dyDescent="0.25">
      <c r="A20971" s="2">
        <v>20966</v>
      </c>
      <c r="B20971" s="11" t="str">
        <f>"00908793"</f>
        <v>00908793</v>
      </c>
    </row>
    <row r="20972" spans="1:2" x14ac:dyDescent="0.25">
      <c r="A20972" s="2">
        <v>20967</v>
      </c>
      <c r="B20972" s="11" t="str">
        <f>"00908809"</f>
        <v>00908809</v>
      </c>
    </row>
    <row r="20973" spans="1:2" x14ac:dyDescent="0.25">
      <c r="A20973" s="2">
        <v>20968</v>
      </c>
      <c r="B20973" s="11" t="str">
        <f>"00908812"</f>
        <v>00908812</v>
      </c>
    </row>
    <row r="20974" spans="1:2" x14ac:dyDescent="0.25">
      <c r="A20974" s="2">
        <v>20969</v>
      </c>
      <c r="B20974" s="11" t="str">
        <f>"00908938"</f>
        <v>00908938</v>
      </c>
    </row>
    <row r="20975" spans="1:2" x14ac:dyDescent="0.25">
      <c r="A20975" s="2">
        <v>20970</v>
      </c>
      <c r="B20975" s="11" t="str">
        <f>"00908979"</f>
        <v>00908979</v>
      </c>
    </row>
    <row r="20976" spans="1:2" x14ac:dyDescent="0.25">
      <c r="A20976" s="2">
        <v>20971</v>
      </c>
      <c r="B20976" s="11" t="str">
        <f>"00908983"</f>
        <v>00908983</v>
      </c>
    </row>
    <row r="20977" spans="1:2" x14ac:dyDescent="0.25">
      <c r="A20977" s="2">
        <v>20972</v>
      </c>
      <c r="B20977" s="11" t="str">
        <f>"00909013"</f>
        <v>00909013</v>
      </c>
    </row>
    <row r="20978" spans="1:2" x14ac:dyDescent="0.25">
      <c r="A20978" s="2">
        <v>20973</v>
      </c>
      <c r="B20978" s="11" t="str">
        <f>"00909045"</f>
        <v>00909045</v>
      </c>
    </row>
    <row r="20979" spans="1:2" x14ac:dyDescent="0.25">
      <c r="A20979" s="2">
        <v>20974</v>
      </c>
      <c r="B20979" s="11" t="str">
        <f>"00909102"</f>
        <v>00909102</v>
      </c>
    </row>
    <row r="20980" spans="1:2" x14ac:dyDescent="0.25">
      <c r="A20980" s="2">
        <v>20975</v>
      </c>
      <c r="B20980" s="11" t="str">
        <f>"00909115"</f>
        <v>00909115</v>
      </c>
    </row>
    <row r="20981" spans="1:2" x14ac:dyDescent="0.25">
      <c r="A20981" s="2">
        <v>20976</v>
      </c>
      <c r="B20981" s="11" t="str">
        <f>"00909137"</f>
        <v>00909137</v>
      </c>
    </row>
    <row r="20982" spans="1:2" x14ac:dyDescent="0.25">
      <c r="A20982" s="2">
        <v>20977</v>
      </c>
      <c r="B20982" s="11" t="str">
        <f>"00909158"</f>
        <v>00909158</v>
      </c>
    </row>
    <row r="20983" spans="1:2" x14ac:dyDescent="0.25">
      <c r="A20983" s="2">
        <v>20978</v>
      </c>
      <c r="B20983" s="11" t="str">
        <f>"00909178"</f>
        <v>00909178</v>
      </c>
    </row>
    <row r="20984" spans="1:2" x14ac:dyDescent="0.25">
      <c r="A20984" s="2">
        <v>20979</v>
      </c>
      <c r="B20984" s="11" t="str">
        <f>"00909180"</f>
        <v>00909180</v>
      </c>
    </row>
    <row r="20985" spans="1:2" x14ac:dyDescent="0.25">
      <c r="A20985" s="2">
        <v>20980</v>
      </c>
      <c r="B20985" s="11" t="str">
        <f>"00909181"</f>
        <v>00909181</v>
      </c>
    </row>
    <row r="20986" spans="1:2" x14ac:dyDescent="0.25">
      <c r="A20986" s="2">
        <v>20981</v>
      </c>
      <c r="B20986" s="11" t="str">
        <f>"00909193"</f>
        <v>00909193</v>
      </c>
    </row>
    <row r="20987" spans="1:2" x14ac:dyDescent="0.25">
      <c r="A20987" s="2">
        <v>20982</v>
      </c>
      <c r="B20987" s="11" t="str">
        <f>"00909200"</f>
        <v>00909200</v>
      </c>
    </row>
    <row r="20988" spans="1:2" x14ac:dyDescent="0.25">
      <c r="A20988" s="2">
        <v>20983</v>
      </c>
      <c r="B20988" s="11" t="str">
        <f>"00909233"</f>
        <v>00909233</v>
      </c>
    </row>
    <row r="20989" spans="1:2" x14ac:dyDescent="0.25">
      <c r="A20989" s="2">
        <v>20984</v>
      </c>
      <c r="B20989" s="11" t="str">
        <f>"00909245"</f>
        <v>00909245</v>
      </c>
    </row>
    <row r="20990" spans="1:2" x14ac:dyDescent="0.25">
      <c r="A20990" s="2">
        <v>20985</v>
      </c>
      <c r="B20990" s="11" t="str">
        <f>"00909254"</f>
        <v>00909254</v>
      </c>
    </row>
    <row r="20991" spans="1:2" x14ac:dyDescent="0.25">
      <c r="A20991" s="2">
        <v>20986</v>
      </c>
      <c r="B20991" s="11" t="str">
        <f>"00909284"</f>
        <v>00909284</v>
      </c>
    </row>
    <row r="20992" spans="1:2" x14ac:dyDescent="0.25">
      <c r="A20992" s="2">
        <v>20987</v>
      </c>
      <c r="B20992" s="11" t="str">
        <f>"00909297"</f>
        <v>00909297</v>
      </c>
    </row>
    <row r="20993" spans="1:2" x14ac:dyDescent="0.25">
      <c r="A20993" s="2">
        <v>20988</v>
      </c>
      <c r="B20993" s="11" t="str">
        <f>"00909319"</f>
        <v>00909319</v>
      </c>
    </row>
    <row r="20994" spans="1:2" x14ac:dyDescent="0.25">
      <c r="A20994" s="2">
        <v>20989</v>
      </c>
      <c r="B20994" s="11" t="str">
        <f>"00909351"</f>
        <v>00909351</v>
      </c>
    </row>
    <row r="20995" spans="1:2" x14ac:dyDescent="0.25">
      <c r="A20995" s="2">
        <v>20990</v>
      </c>
      <c r="B20995" s="11" t="str">
        <f>"00909371"</f>
        <v>00909371</v>
      </c>
    </row>
    <row r="20996" spans="1:2" x14ac:dyDescent="0.25">
      <c r="A20996" s="2">
        <v>20991</v>
      </c>
      <c r="B20996" s="11" t="str">
        <f>"00909452"</f>
        <v>00909452</v>
      </c>
    </row>
    <row r="20997" spans="1:2" x14ac:dyDescent="0.25">
      <c r="A20997" s="2">
        <v>20992</v>
      </c>
      <c r="B20997" s="11" t="str">
        <f>"00909483"</f>
        <v>00909483</v>
      </c>
    </row>
    <row r="20998" spans="1:2" x14ac:dyDescent="0.25">
      <c r="A20998" s="2">
        <v>20993</v>
      </c>
      <c r="B20998" s="11" t="str">
        <f>"00909501"</f>
        <v>00909501</v>
      </c>
    </row>
    <row r="20999" spans="1:2" x14ac:dyDescent="0.25">
      <c r="A20999" s="2">
        <v>20994</v>
      </c>
      <c r="B20999" s="11" t="str">
        <f>"00909510"</f>
        <v>00909510</v>
      </c>
    </row>
    <row r="21000" spans="1:2" x14ac:dyDescent="0.25">
      <c r="A21000" s="2">
        <v>20995</v>
      </c>
      <c r="B21000" s="11" t="str">
        <f>"00909515"</f>
        <v>00909515</v>
      </c>
    </row>
    <row r="21001" spans="1:2" x14ac:dyDescent="0.25">
      <c r="A21001" s="2">
        <v>20996</v>
      </c>
      <c r="B21001" s="11" t="str">
        <f>"00909535"</f>
        <v>00909535</v>
      </c>
    </row>
    <row r="21002" spans="1:2" x14ac:dyDescent="0.25">
      <c r="A21002" s="2">
        <v>20997</v>
      </c>
      <c r="B21002" s="11" t="str">
        <f>"00909537"</f>
        <v>00909537</v>
      </c>
    </row>
    <row r="21003" spans="1:2" x14ac:dyDescent="0.25">
      <c r="A21003" s="2">
        <v>20998</v>
      </c>
      <c r="B21003" s="11" t="str">
        <f>"00909590"</f>
        <v>00909590</v>
      </c>
    </row>
    <row r="21004" spans="1:2" x14ac:dyDescent="0.25">
      <c r="A21004" s="2">
        <v>20999</v>
      </c>
      <c r="B21004" s="11" t="str">
        <f>"00909591"</f>
        <v>00909591</v>
      </c>
    </row>
    <row r="21005" spans="1:2" x14ac:dyDescent="0.25">
      <c r="A21005" s="2">
        <v>21000</v>
      </c>
      <c r="B21005" s="11" t="str">
        <f>"00909597"</f>
        <v>00909597</v>
      </c>
    </row>
    <row r="21006" spans="1:2" x14ac:dyDescent="0.25">
      <c r="A21006" s="2">
        <v>21001</v>
      </c>
      <c r="B21006" s="11" t="str">
        <f>"00909639"</f>
        <v>00909639</v>
      </c>
    </row>
    <row r="21007" spans="1:2" x14ac:dyDescent="0.25">
      <c r="A21007" s="2">
        <v>21002</v>
      </c>
      <c r="B21007" s="11" t="str">
        <f>"00909655"</f>
        <v>00909655</v>
      </c>
    </row>
    <row r="21008" spans="1:2" x14ac:dyDescent="0.25">
      <c r="A21008" s="2">
        <v>21003</v>
      </c>
      <c r="B21008" s="11" t="str">
        <f>"00909695"</f>
        <v>00909695</v>
      </c>
    </row>
    <row r="21009" spans="1:2" x14ac:dyDescent="0.25">
      <c r="A21009" s="2">
        <v>21004</v>
      </c>
      <c r="B21009" s="11" t="str">
        <f>"00909756"</f>
        <v>00909756</v>
      </c>
    </row>
    <row r="21010" spans="1:2" x14ac:dyDescent="0.25">
      <c r="A21010" s="2">
        <v>21005</v>
      </c>
      <c r="B21010" s="11" t="str">
        <f>"00909762"</f>
        <v>00909762</v>
      </c>
    </row>
    <row r="21011" spans="1:2" x14ac:dyDescent="0.25">
      <c r="A21011" s="2">
        <v>21006</v>
      </c>
      <c r="B21011" s="11" t="str">
        <f>"00909812"</f>
        <v>00909812</v>
      </c>
    </row>
    <row r="21012" spans="1:2" x14ac:dyDescent="0.25">
      <c r="A21012" s="2">
        <v>21007</v>
      </c>
      <c r="B21012" s="11" t="str">
        <f>"00909836"</f>
        <v>00909836</v>
      </c>
    </row>
    <row r="21013" spans="1:2" x14ac:dyDescent="0.25">
      <c r="A21013" s="2">
        <v>21008</v>
      </c>
      <c r="B21013" s="11" t="str">
        <f>"00909858"</f>
        <v>00909858</v>
      </c>
    </row>
    <row r="21014" spans="1:2" x14ac:dyDescent="0.25">
      <c r="A21014" s="2">
        <v>21009</v>
      </c>
      <c r="B21014" s="11" t="str">
        <f>"00909891"</f>
        <v>00909891</v>
      </c>
    </row>
    <row r="21015" spans="1:2" x14ac:dyDescent="0.25">
      <c r="A21015" s="2">
        <v>21010</v>
      </c>
      <c r="B21015" s="11" t="str">
        <f>"00909926"</f>
        <v>00909926</v>
      </c>
    </row>
    <row r="21016" spans="1:2" x14ac:dyDescent="0.25">
      <c r="A21016" s="2">
        <v>21011</v>
      </c>
      <c r="B21016" s="11" t="str">
        <f>"00910002"</f>
        <v>00910002</v>
      </c>
    </row>
    <row r="21017" spans="1:2" x14ac:dyDescent="0.25">
      <c r="A21017" s="2">
        <v>21012</v>
      </c>
      <c r="B21017" s="11" t="str">
        <f>"00910012"</f>
        <v>00910012</v>
      </c>
    </row>
    <row r="21018" spans="1:2" x14ac:dyDescent="0.25">
      <c r="A21018" s="2">
        <v>21013</v>
      </c>
      <c r="B21018" s="11" t="str">
        <f>"00910025"</f>
        <v>00910025</v>
      </c>
    </row>
    <row r="21019" spans="1:2" x14ac:dyDescent="0.25">
      <c r="A21019" s="2">
        <v>21014</v>
      </c>
      <c r="B21019" s="11" t="str">
        <f>"00910034"</f>
        <v>00910034</v>
      </c>
    </row>
    <row r="21020" spans="1:2" x14ac:dyDescent="0.25">
      <c r="A21020" s="2">
        <v>21015</v>
      </c>
      <c r="B21020" s="11" t="str">
        <f>"00910130"</f>
        <v>00910130</v>
      </c>
    </row>
    <row r="21021" spans="1:2" x14ac:dyDescent="0.25">
      <c r="A21021" s="2">
        <v>21016</v>
      </c>
      <c r="B21021" s="11" t="str">
        <f>"00910179"</f>
        <v>00910179</v>
      </c>
    </row>
    <row r="21022" spans="1:2" x14ac:dyDescent="0.25">
      <c r="A21022" s="2">
        <v>21017</v>
      </c>
      <c r="B21022" s="11" t="str">
        <f>"00910228"</f>
        <v>00910228</v>
      </c>
    </row>
    <row r="21023" spans="1:2" x14ac:dyDescent="0.25">
      <c r="A21023" s="2">
        <v>21018</v>
      </c>
      <c r="B21023" s="11" t="str">
        <f>"00910231"</f>
        <v>00910231</v>
      </c>
    </row>
    <row r="21024" spans="1:2" x14ac:dyDescent="0.25">
      <c r="A21024" s="2">
        <v>21019</v>
      </c>
      <c r="B21024" s="11" t="str">
        <f>"00910284"</f>
        <v>00910284</v>
      </c>
    </row>
    <row r="21025" spans="1:2" x14ac:dyDescent="0.25">
      <c r="A21025" s="2">
        <v>21020</v>
      </c>
      <c r="B21025" s="11" t="str">
        <f>"00910290"</f>
        <v>00910290</v>
      </c>
    </row>
    <row r="21026" spans="1:2" x14ac:dyDescent="0.25">
      <c r="A21026" s="2">
        <v>21021</v>
      </c>
      <c r="B21026" s="11" t="str">
        <f>"00910307"</f>
        <v>00910307</v>
      </c>
    </row>
    <row r="21027" spans="1:2" x14ac:dyDescent="0.25">
      <c r="A21027" s="2">
        <v>21022</v>
      </c>
      <c r="B21027" s="11" t="str">
        <f>"00910314"</f>
        <v>00910314</v>
      </c>
    </row>
    <row r="21028" spans="1:2" x14ac:dyDescent="0.25">
      <c r="A21028" s="2">
        <v>21023</v>
      </c>
      <c r="B21028" s="11" t="str">
        <f>"00910453"</f>
        <v>00910453</v>
      </c>
    </row>
    <row r="21029" spans="1:2" x14ac:dyDescent="0.25">
      <c r="A21029" s="2">
        <v>21024</v>
      </c>
      <c r="B21029" s="11" t="str">
        <f>"00910464"</f>
        <v>00910464</v>
      </c>
    </row>
    <row r="21030" spans="1:2" x14ac:dyDescent="0.25">
      <c r="A21030" s="2">
        <v>21025</v>
      </c>
      <c r="B21030" s="11" t="str">
        <f>"00910477"</f>
        <v>00910477</v>
      </c>
    </row>
    <row r="21031" spans="1:2" x14ac:dyDescent="0.25">
      <c r="A21031" s="2">
        <v>21026</v>
      </c>
      <c r="B21031" s="11" t="str">
        <f>"00910518"</f>
        <v>00910518</v>
      </c>
    </row>
    <row r="21032" spans="1:2" x14ac:dyDescent="0.25">
      <c r="A21032" s="2">
        <v>21027</v>
      </c>
      <c r="B21032" s="11" t="str">
        <f>"00910520"</f>
        <v>00910520</v>
      </c>
    </row>
    <row r="21033" spans="1:2" x14ac:dyDescent="0.25">
      <c r="A21033" s="2">
        <v>21028</v>
      </c>
      <c r="B21033" s="11" t="str">
        <f>"00910561"</f>
        <v>00910561</v>
      </c>
    </row>
    <row r="21034" spans="1:2" x14ac:dyDescent="0.25">
      <c r="A21034" s="2">
        <v>21029</v>
      </c>
      <c r="B21034" s="11" t="str">
        <f>"00910573"</f>
        <v>00910573</v>
      </c>
    </row>
    <row r="21035" spans="1:2" x14ac:dyDescent="0.25">
      <c r="A21035" s="2">
        <v>21030</v>
      </c>
      <c r="B21035" s="11" t="str">
        <f>"00910584"</f>
        <v>00910584</v>
      </c>
    </row>
    <row r="21036" spans="1:2" x14ac:dyDescent="0.25">
      <c r="A21036" s="2">
        <v>21031</v>
      </c>
      <c r="B21036" s="11" t="str">
        <f>"00910604"</f>
        <v>00910604</v>
      </c>
    </row>
    <row r="21037" spans="1:2" x14ac:dyDescent="0.25">
      <c r="A21037" s="2">
        <v>21032</v>
      </c>
      <c r="B21037" s="11" t="str">
        <f>"00910617"</f>
        <v>00910617</v>
      </c>
    </row>
    <row r="21038" spans="1:2" x14ac:dyDescent="0.25">
      <c r="A21038" s="2">
        <v>21033</v>
      </c>
      <c r="B21038" s="11" t="str">
        <f>"00910670"</f>
        <v>00910670</v>
      </c>
    </row>
    <row r="21039" spans="1:2" x14ac:dyDescent="0.25">
      <c r="A21039" s="2">
        <v>21034</v>
      </c>
      <c r="B21039" s="11" t="str">
        <f>"00910691"</f>
        <v>00910691</v>
      </c>
    </row>
    <row r="21040" spans="1:2" x14ac:dyDescent="0.25">
      <c r="A21040" s="2">
        <v>21035</v>
      </c>
      <c r="B21040" s="11" t="str">
        <f>"00910724"</f>
        <v>00910724</v>
      </c>
    </row>
    <row r="21041" spans="1:2" x14ac:dyDescent="0.25">
      <c r="A21041" s="2">
        <v>21036</v>
      </c>
      <c r="B21041" s="11" t="str">
        <f>"00910732"</f>
        <v>00910732</v>
      </c>
    </row>
    <row r="21042" spans="1:2" x14ac:dyDescent="0.25">
      <c r="A21042" s="2">
        <v>21037</v>
      </c>
      <c r="B21042" s="11" t="str">
        <f>"00910734"</f>
        <v>00910734</v>
      </c>
    </row>
    <row r="21043" spans="1:2" x14ac:dyDescent="0.25">
      <c r="A21043" s="2">
        <v>21038</v>
      </c>
      <c r="B21043" s="11" t="str">
        <f>"00910751"</f>
        <v>00910751</v>
      </c>
    </row>
    <row r="21044" spans="1:2" x14ac:dyDescent="0.25">
      <c r="A21044" s="2">
        <v>21039</v>
      </c>
      <c r="B21044" s="11" t="str">
        <f>"00910756"</f>
        <v>00910756</v>
      </c>
    </row>
    <row r="21045" spans="1:2" x14ac:dyDescent="0.25">
      <c r="A21045" s="2">
        <v>21040</v>
      </c>
      <c r="B21045" s="11" t="str">
        <f>"00910769"</f>
        <v>00910769</v>
      </c>
    </row>
    <row r="21046" spans="1:2" x14ac:dyDescent="0.25">
      <c r="A21046" s="2">
        <v>21041</v>
      </c>
      <c r="B21046" s="11" t="str">
        <f>"00910792"</f>
        <v>00910792</v>
      </c>
    </row>
    <row r="21047" spans="1:2" x14ac:dyDescent="0.25">
      <c r="A21047" s="2">
        <v>21042</v>
      </c>
      <c r="B21047" s="11" t="str">
        <f>"00910844"</f>
        <v>00910844</v>
      </c>
    </row>
    <row r="21048" spans="1:2" x14ac:dyDescent="0.25">
      <c r="A21048" s="2">
        <v>21043</v>
      </c>
      <c r="B21048" s="11" t="str">
        <f>"00910858"</f>
        <v>00910858</v>
      </c>
    </row>
    <row r="21049" spans="1:2" x14ac:dyDescent="0.25">
      <c r="A21049" s="2">
        <v>21044</v>
      </c>
      <c r="B21049" s="11" t="str">
        <f>"00910872"</f>
        <v>00910872</v>
      </c>
    </row>
    <row r="21050" spans="1:2" x14ac:dyDescent="0.25">
      <c r="A21050" s="2">
        <v>21045</v>
      </c>
      <c r="B21050" s="11" t="str">
        <f>"00910891"</f>
        <v>00910891</v>
      </c>
    </row>
    <row r="21051" spans="1:2" x14ac:dyDescent="0.25">
      <c r="A21051" s="2">
        <v>21046</v>
      </c>
      <c r="B21051" s="11" t="str">
        <f>"00910933"</f>
        <v>00910933</v>
      </c>
    </row>
    <row r="21052" spans="1:2" x14ac:dyDescent="0.25">
      <c r="A21052" s="2">
        <v>21047</v>
      </c>
      <c r="B21052" s="11" t="str">
        <f>"00910941"</f>
        <v>00910941</v>
      </c>
    </row>
    <row r="21053" spans="1:2" x14ac:dyDescent="0.25">
      <c r="A21053" s="2">
        <v>21048</v>
      </c>
      <c r="B21053" s="11" t="str">
        <f>"00910954"</f>
        <v>00910954</v>
      </c>
    </row>
    <row r="21054" spans="1:2" x14ac:dyDescent="0.25">
      <c r="A21054" s="2">
        <v>21049</v>
      </c>
      <c r="B21054" s="11" t="str">
        <f>"00910984"</f>
        <v>00910984</v>
      </c>
    </row>
    <row r="21055" spans="1:2" x14ac:dyDescent="0.25">
      <c r="A21055" s="2">
        <v>21050</v>
      </c>
      <c r="B21055" s="11" t="str">
        <f>"00911014"</f>
        <v>00911014</v>
      </c>
    </row>
    <row r="21056" spans="1:2" x14ac:dyDescent="0.25">
      <c r="A21056" s="2">
        <v>21051</v>
      </c>
      <c r="B21056" s="11" t="str">
        <f>"00911077"</f>
        <v>00911077</v>
      </c>
    </row>
    <row r="21057" spans="1:2" x14ac:dyDescent="0.25">
      <c r="A21057" s="2">
        <v>21052</v>
      </c>
      <c r="B21057" s="11" t="str">
        <f>"00911083"</f>
        <v>00911083</v>
      </c>
    </row>
    <row r="21058" spans="1:2" x14ac:dyDescent="0.25">
      <c r="A21058" s="2">
        <v>21053</v>
      </c>
      <c r="B21058" s="11" t="str">
        <f>"00911123"</f>
        <v>00911123</v>
      </c>
    </row>
    <row r="21059" spans="1:2" x14ac:dyDescent="0.25">
      <c r="A21059" s="2">
        <v>21054</v>
      </c>
      <c r="B21059" s="11" t="str">
        <f>"00911147"</f>
        <v>00911147</v>
      </c>
    </row>
    <row r="21060" spans="1:2" x14ac:dyDescent="0.25">
      <c r="A21060" s="2">
        <v>21055</v>
      </c>
      <c r="B21060" s="11" t="str">
        <f>"00911165"</f>
        <v>00911165</v>
      </c>
    </row>
    <row r="21061" spans="1:2" x14ac:dyDescent="0.25">
      <c r="A21061" s="2">
        <v>21056</v>
      </c>
      <c r="B21061" s="11" t="str">
        <f>"00911174"</f>
        <v>00911174</v>
      </c>
    </row>
    <row r="21062" spans="1:2" x14ac:dyDescent="0.25">
      <c r="A21062" s="2">
        <v>21057</v>
      </c>
      <c r="B21062" s="11" t="str">
        <f>"00911188"</f>
        <v>00911188</v>
      </c>
    </row>
    <row r="21063" spans="1:2" x14ac:dyDescent="0.25">
      <c r="A21063" s="2">
        <v>21058</v>
      </c>
      <c r="B21063" s="11" t="str">
        <f>"00911277"</f>
        <v>00911277</v>
      </c>
    </row>
    <row r="21064" spans="1:2" x14ac:dyDescent="0.25">
      <c r="A21064" s="2">
        <v>21059</v>
      </c>
      <c r="B21064" s="11" t="str">
        <f>"00911374"</f>
        <v>00911374</v>
      </c>
    </row>
    <row r="21065" spans="1:2" x14ac:dyDescent="0.25">
      <c r="A21065" s="2">
        <v>21060</v>
      </c>
      <c r="B21065" s="11" t="str">
        <f>"00911378"</f>
        <v>00911378</v>
      </c>
    </row>
    <row r="21066" spans="1:2" x14ac:dyDescent="0.25">
      <c r="A21066" s="2">
        <v>21061</v>
      </c>
      <c r="B21066" s="11" t="str">
        <f>"00911417"</f>
        <v>00911417</v>
      </c>
    </row>
    <row r="21067" spans="1:2" x14ac:dyDescent="0.25">
      <c r="A21067" s="2">
        <v>21062</v>
      </c>
      <c r="B21067" s="11" t="str">
        <f>"00911430"</f>
        <v>00911430</v>
      </c>
    </row>
    <row r="21068" spans="1:2" x14ac:dyDescent="0.25">
      <c r="A21068" s="2">
        <v>21063</v>
      </c>
      <c r="B21068" s="11" t="str">
        <f>"00911562"</f>
        <v>00911562</v>
      </c>
    </row>
    <row r="21069" spans="1:2" x14ac:dyDescent="0.25">
      <c r="A21069" s="2">
        <v>21064</v>
      </c>
      <c r="B21069" s="11" t="str">
        <f>"00911606"</f>
        <v>00911606</v>
      </c>
    </row>
    <row r="21070" spans="1:2" x14ac:dyDescent="0.25">
      <c r="A21070" s="2">
        <v>21065</v>
      </c>
      <c r="B21070" s="11" t="str">
        <f>"00911635"</f>
        <v>00911635</v>
      </c>
    </row>
    <row r="21071" spans="1:2" x14ac:dyDescent="0.25">
      <c r="A21071" s="2">
        <v>21066</v>
      </c>
      <c r="B21071" s="11" t="str">
        <f>"00911670"</f>
        <v>00911670</v>
      </c>
    </row>
    <row r="21072" spans="1:2" x14ac:dyDescent="0.25">
      <c r="A21072" s="2">
        <v>21067</v>
      </c>
      <c r="B21072" s="11" t="str">
        <f>"00911678"</f>
        <v>00911678</v>
      </c>
    </row>
    <row r="21073" spans="1:2" x14ac:dyDescent="0.25">
      <c r="A21073" s="2">
        <v>21068</v>
      </c>
      <c r="B21073" s="11" t="str">
        <f>"00911694"</f>
        <v>00911694</v>
      </c>
    </row>
    <row r="21074" spans="1:2" x14ac:dyDescent="0.25">
      <c r="A21074" s="2">
        <v>21069</v>
      </c>
      <c r="B21074" s="11" t="str">
        <f>"00911715"</f>
        <v>00911715</v>
      </c>
    </row>
    <row r="21075" spans="1:2" x14ac:dyDescent="0.25">
      <c r="A21075" s="2">
        <v>21070</v>
      </c>
      <c r="B21075" s="11" t="str">
        <f>"00911748"</f>
        <v>00911748</v>
      </c>
    </row>
    <row r="21076" spans="1:2" x14ac:dyDescent="0.25">
      <c r="A21076" s="2">
        <v>21071</v>
      </c>
      <c r="B21076" s="11" t="str">
        <f>"00911757"</f>
        <v>00911757</v>
      </c>
    </row>
    <row r="21077" spans="1:2" x14ac:dyDescent="0.25">
      <c r="A21077" s="2">
        <v>21072</v>
      </c>
      <c r="B21077" s="11" t="str">
        <f>"00911763"</f>
        <v>00911763</v>
      </c>
    </row>
    <row r="21078" spans="1:2" x14ac:dyDescent="0.25">
      <c r="A21078" s="2">
        <v>21073</v>
      </c>
      <c r="B21078" s="11" t="str">
        <f>"00911778"</f>
        <v>00911778</v>
      </c>
    </row>
    <row r="21079" spans="1:2" x14ac:dyDescent="0.25">
      <c r="A21079" s="2">
        <v>21074</v>
      </c>
      <c r="B21079" s="11" t="str">
        <f>"00911900"</f>
        <v>00911900</v>
      </c>
    </row>
    <row r="21080" spans="1:2" x14ac:dyDescent="0.25">
      <c r="A21080" s="2">
        <v>21075</v>
      </c>
      <c r="B21080" s="11" t="str">
        <f>"00911914"</f>
        <v>00911914</v>
      </c>
    </row>
    <row r="21081" spans="1:2" x14ac:dyDescent="0.25">
      <c r="A21081" s="2">
        <v>21076</v>
      </c>
      <c r="B21081" s="11" t="str">
        <f>"00911925"</f>
        <v>00911925</v>
      </c>
    </row>
    <row r="21082" spans="1:2" x14ac:dyDescent="0.25">
      <c r="A21082" s="2">
        <v>21077</v>
      </c>
      <c r="B21082" s="11" t="str">
        <f>"00911948"</f>
        <v>00911948</v>
      </c>
    </row>
    <row r="21083" spans="1:2" x14ac:dyDescent="0.25">
      <c r="A21083" s="2">
        <v>21078</v>
      </c>
      <c r="B21083" s="11" t="str">
        <f>"00911952"</f>
        <v>00911952</v>
      </c>
    </row>
    <row r="21084" spans="1:2" x14ac:dyDescent="0.25">
      <c r="A21084" s="2">
        <v>21079</v>
      </c>
      <c r="B21084" s="11" t="str">
        <f>"00912030"</f>
        <v>00912030</v>
      </c>
    </row>
    <row r="21085" spans="1:2" x14ac:dyDescent="0.25">
      <c r="A21085" s="2">
        <v>21080</v>
      </c>
      <c r="B21085" s="11" t="str">
        <f>"00912050"</f>
        <v>00912050</v>
      </c>
    </row>
    <row r="21086" spans="1:2" x14ac:dyDescent="0.25">
      <c r="A21086" s="2">
        <v>21081</v>
      </c>
      <c r="B21086" s="11" t="str">
        <f>"00912077"</f>
        <v>00912077</v>
      </c>
    </row>
    <row r="21087" spans="1:2" x14ac:dyDescent="0.25">
      <c r="A21087" s="2">
        <v>21082</v>
      </c>
      <c r="B21087" s="11" t="str">
        <f>"00912090"</f>
        <v>00912090</v>
      </c>
    </row>
    <row r="21088" spans="1:2" x14ac:dyDescent="0.25">
      <c r="A21088" s="2">
        <v>21083</v>
      </c>
      <c r="B21088" s="11" t="str">
        <f>"00912116"</f>
        <v>00912116</v>
      </c>
    </row>
    <row r="21089" spans="1:2" x14ac:dyDescent="0.25">
      <c r="A21089" s="2">
        <v>21084</v>
      </c>
      <c r="B21089" s="11" t="str">
        <f>"00912117"</f>
        <v>00912117</v>
      </c>
    </row>
    <row r="21090" spans="1:2" x14ac:dyDescent="0.25">
      <c r="A21090" s="2">
        <v>21085</v>
      </c>
      <c r="B21090" s="11" t="str">
        <f>"00912160"</f>
        <v>00912160</v>
      </c>
    </row>
    <row r="21091" spans="1:2" x14ac:dyDescent="0.25">
      <c r="A21091" s="2">
        <v>21086</v>
      </c>
      <c r="B21091" s="11" t="str">
        <f>"00912195"</f>
        <v>00912195</v>
      </c>
    </row>
    <row r="21092" spans="1:2" x14ac:dyDescent="0.25">
      <c r="A21092" s="2">
        <v>21087</v>
      </c>
      <c r="B21092" s="11" t="str">
        <f>"00912197"</f>
        <v>00912197</v>
      </c>
    </row>
    <row r="21093" spans="1:2" x14ac:dyDescent="0.25">
      <c r="A21093" s="2">
        <v>21088</v>
      </c>
      <c r="B21093" s="11" t="str">
        <f>"00912203"</f>
        <v>00912203</v>
      </c>
    </row>
    <row r="21094" spans="1:2" x14ac:dyDescent="0.25">
      <c r="A21094" s="2">
        <v>21089</v>
      </c>
      <c r="B21094" s="11" t="str">
        <f>"00912236"</f>
        <v>00912236</v>
      </c>
    </row>
    <row r="21095" spans="1:2" x14ac:dyDescent="0.25">
      <c r="A21095" s="2">
        <v>21090</v>
      </c>
      <c r="B21095" s="11" t="str">
        <f>"00912304"</f>
        <v>00912304</v>
      </c>
    </row>
    <row r="21096" spans="1:2" x14ac:dyDescent="0.25">
      <c r="A21096" s="2">
        <v>21091</v>
      </c>
      <c r="B21096" s="11" t="str">
        <f>"00912332"</f>
        <v>00912332</v>
      </c>
    </row>
    <row r="21097" spans="1:2" x14ac:dyDescent="0.25">
      <c r="A21097" s="2">
        <v>21092</v>
      </c>
      <c r="B21097" s="11" t="str">
        <f>"00912349"</f>
        <v>00912349</v>
      </c>
    </row>
    <row r="21098" spans="1:2" x14ac:dyDescent="0.25">
      <c r="A21098" s="2">
        <v>21093</v>
      </c>
      <c r="B21098" s="11" t="str">
        <f>"00912350"</f>
        <v>00912350</v>
      </c>
    </row>
    <row r="21099" spans="1:2" x14ac:dyDescent="0.25">
      <c r="A21099" s="2">
        <v>21094</v>
      </c>
      <c r="B21099" s="11" t="str">
        <f>"00912358"</f>
        <v>00912358</v>
      </c>
    </row>
    <row r="21100" spans="1:2" x14ac:dyDescent="0.25">
      <c r="A21100" s="2">
        <v>21095</v>
      </c>
      <c r="B21100" s="11" t="str">
        <f>"00912388"</f>
        <v>00912388</v>
      </c>
    </row>
    <row r="21101" spans="1:2" x14ac:dyDescent="0.25">
      <c r="A21101" s="2">
        <v>21096</v>
      </c>
      <c r="B21101" s="11" t="str">
        <f>"00912418"</f>
        <v>00912418</v>
      </c>
    </row>
    <row r="21102" spans="1:2" x14ac:dyDescent="0.25">
      <c r="A21102" s="2">
        <v>21097</v>
      </c>
      <c r="B21102" s="11" t="str">
        <f>"00912475"</f>
        <v>00912475</v>
      </c>
    </row>
    <row r="21103" spans="1:2" x14ac:dyDescent="0.25">
      <c r="A21103" s="2">
        <v>21098</v>
      </c>
      <c r="B21103" s="11" t="str">
        <f>"00912489"</f>
        <v>00912489</v>
      </c>
    </row>
    <row r="21104" spans="1:2" x14ac:dyDescent="0.25">
      <c r="A21104" s="2">
        <v>21099</v>
      </c>
      <c r="B21104" s="11" t="str">
        <f>"00912506"</f>
        <v>00912506</v>
      </c>
    </row>
    <row r="21105" spans="1:2" x14ac:dyDescent="0.25">
      <c r="A21105" s="2">
        <v>21100</v>
      </c>
      <c r="B21105" s="11" t="str">
        <f>"00912523"</f>
        <v>00912523</v>
      </c>
    </row>
    <row r="21106" spans="1:2" x14ac:dyDescent="0.25">
      <c r="A21106" s="2">
        <v>21101</v>
      </c>
      <c r="B21106" s="11" t="str">
        <f>"00912547"</f>
        <v>00912547</v>
      </c>
    </row>
    <row r="21107" spans="1:2" x14ac:dyDescent="0.25">
      <c r="A21107" s="2">
        <v>21102</v>
      </c>
      <c r="B21107" s="11" t="str">
        <f>"00912568"</f>
        <v>00912568</v>
      </c>
    </row>
    <row r="21108" spans="1:2" x14ac:dyDescent="0.25">
      <c r="A21108" s="2">
        <v>21103</v>
      </c>
      <c r="B21108" s="11" t="str">
        <f>"00912575"</f>
        <v>00912575</v>
      </c>
    </row>
    <row r="21109" spans="1:2" x14ac:dyDescent="0.25">
      <c r="A21109" s="2">
        <v>21104</v>
      </c>
      <c r="B21109" s="11" t="str">
        <f>"00912585"</f>
        <v>00912585</v>
      </c>
    </row>
    <row r="21110" spans="1:2" x14ac:dyDescent="0.25">
      <c r="A21110" s="2">
        <v>21105</v>
      </c>
      <c r="B21110" s="11" t="str">
        <f>"00912614"</f>
        <v>00912614</v>
      </c>
    </row>
    <row r="21111" spans="1:2" x14ac:dyDescent="0.25">
      <c r="A21111" s="2">
        <v>21106</v>
      </c>
      <c r="B21111" s="11" t="str">
        <f>"00912635"</f>
        <v>00912635</v>
      </c>
    </row>
    <row r="21112" spans="1:2" x14ac:dyDescent="0.25">
      <c r="A21112" s="2">
        <v>21107</v>
      </c>
      <c r="B21112" s="11" t="str">
        <f>"00912642"</f>
        <v>00912642</v>
      </c>
    </row>
    <row r="21113" spans="1:2" x14ac:dyDescent="0.25">
      <c r="A21113" s="2">
        <v>21108</v>
      </c>
      <c r="B21113" s="11" t="str">
        <f>"00912664"</f>
        <v>00912664</v>
      </c>
    </row>
    <row r="21114" spans="1:2" x14ac:dyDescent="0.25">
      <c r="A21114" s="2">
        <v>21109</v>
      </c>
      <c r="B21114" s="11" t="str">
        <f>"00912789"</f>
        <v>00912789</v>
      </c>
    </row>
    <row r="21115" spans="1:2" x14ac:dyDescent="0.25">
      <c r="A21115" s="2">
        <v>21110</v>
      </c>
      <c r="B21115" s="11" t="str">
        <f>"00912830"</f>
        <v>00912830</v>
      </c>
    </row>
    <row r="21116" spans="1:2" x14ac:dyDescent="0.25">
      <c r="A21116" s="2">
        <v>21111</v>
      </c>
      <c r="B21116" s="11" t="str">
        <f>"00912853"</f>
        <v>00912853</v>
      </c>
    </row>
    <row r="21117" spans="1:2" x14ac:dyDescent="0.25">
      <c r="A21117" s="2">
        <v>21112</v>
      </c>
      <c r="B21117" s="11" t="str">
        <f>"00912854"</f>
        <v>00912854</v>
      </c>
    </row>
    <row r="21118" spans="1:2" x14ac:dyDescent="0.25">
      <c r="A21118" s="2">
        <v>21113</v>
      </c>
      <c r="B21118" s="11" t="str">
        <f>"00912860"</f>
        <v>00912860</v>
      </c>
    </row>
    <row r="21119" spans="1:2" x14ac:dyDescent="0.25">
      <c r="A21119" s="2">
        <v>21114</v>
      </c>
      <c r="B21119" s="11" t="str">
        <f>"00912876"</f>
        <v>00912876</v>
      </c>
    </row>
    <row r="21120" spans="1:2" x14ac:dyDescent="0.25">
      <c r="A21120" s="2">
        <v>21115</v>
      </c>
      <c r="B21120" s="11" t="str">
        <f>"00912935"</f>
        <v>00912935</v>
      </c>
    </row>
    <row r="21121" spans="1:2" x14ac:dyDescent="0.25">
      <c r="A21121" s="2">
        <v>21116</v>
      </c>
      <c r="B21121" s="11" t="str">
        <f>"00912940"</f>
        <v>00912940</v>
      </c>
    </row>
    <row r="21122" spans="1:2" x14ac:dyDescent="0.25">
      <c r="A21122" s="2">
        <v>21117</v>
      </c>
      <c r="B21122" s="11" t="str">
        <f>"00912972"</f>
        <v>00912972</v>
      </c>
    </row>
    <row r="21123" spans="1:2" x14ac:dyDescent="0.25">
      <c r="A21123" s="2">
        <v>21118</v>
      </c>
      <c r="B21123" s="11" t="str">
        <f>"00912998"</f>
        <v>00912998</v>
      </c>
    </row>
    <row r="21124" spans="1:2" x14ac:dyDescent="0.25">
      <c r="A21124" s="2">
        <v>21119</v>
      </c>
      <c r="B21124" s="11" t="str">
        <f>"00913006"</f>
        <v>00913006</v>
      </c>
    </row>
    <row r="21125" spans="1:2" x14ac:dyDescent="0.25">
      <c r="A21125" s="2">
        <v>21120</v>
      </c>
      <c r="B21125" s="11" t="str">
        <f>"00913023"</f>
        <v>00913023</v>
      </c>
    </row>
    <row r="21126" spans="1:2" x14ac:dyDescent="0.25">
      <c r="A21126" s="2">
        <v>21121</v>
      </c>
      <c r="B21126" s="11" t="str">
        <f>"00913063"</f>
        <v>00913063</v>
      </c>
    </row>
    <row r="21127" spans="1:2" x14ac:dyDescent="0.25">
      <c r="A21127" s="2">
        <v>21122</v>
      </c>
      <c r="B21127" s="11" t="str">
        <f>"00913105"</f>
        <v>00913105</v>
      </c>
    </row>
    <row r="21128" spans="1:2" x14ac:dyDescent="0.25">
      <c r="A21128" s="2">
        <v>21123</v>
      </c>
      <c r="B21128" s="11" t="str">
        <f>"00913122"</f>
        <v>00913122</v>
      </c>
    </row>
    <row r="21129" spans="1:2" x14ac:dyDescent="0.25">
      <c r="A21129" s="2">
        <v>21124</v>
      </c>
      <c r="B21129" s="11" t="str">
        <f>"00913167"</f>
        <v>00913167</v>
      </c>
    </row>
    <row r="21130" spans="1:2" x14ac:dyDescent="0.25">
      <c r="A21130" s="2">
        <v>21125</v>
      </c>
      <c r="B21130" s="11" t="str">
        <f>"00913168"</f>
        <v>00913168</v>
      </c>
    </row>
    <row r="21131" spans="1:2" x14ac:dyDescent="0.25">
      <c r="A21131" s="2">
        <v>21126</v>
      </c>
      <c r="B21131" s="11" t="str">
        <f>"00913228"</f>
        <v>00913228</v>
      </c>
    </row>
    <row r="21132" spans="1:2" x14ac:dyDescent="0.25">
      <c r="A21132" s="2">
        <v>21127</v>
      </c>
      <c r="B21132" s="11" t="str">
        <f>"00913287"</f>
        <v>00913287</v>
      </c>
    </row>
    <row r="21133" spans="1:2" x14ac:dyDescent="0.25">
      <c r="A21133" s="2">
        <v>21128</v>
      </c>
      <c r="B21133" s="11" t="str">
        <f>"00913305"</f>
        <v>00913305</v>
      </c>
    </row>
    <row r="21134" spans="1:2" x14ac:dyDescent="0.25">
      <c r="A21134" s="2">
        <v>21129</v>
      </c>
      <c r="B21134" s="11" t="str">
        <f>"00913332"</f>
        <v>00913332</v>
      </c>
    </row>
    <row r="21135" spans="1:2" x14ac:dyDescent="0.25">
      <c r="A21135" s="2">
        <v>21130</v>
      </c>
      <c r="B21135" s="11" t="str">
        <f>"00913387"</f>
        <v>00913387</v>
      </c>
    </row>
    <row r="21136" spans="1:2" x14ac:dyDescent="0.25">
      <c r="A21136" s="2">
        <v>21131</v>
      </c>
      <c r="B21136" s="11" t="str">
        <f>"00913475"</f>
        <v>00913475</v>
      </c>
    </row>
    <row r="21137" spans="1:2" x14ac:dyDescent="0.25">
      <c r="A21137" s="2">
        <v>21132</v>
      </c>
      <c r="B21137" s="11" t="str">
        <f>"00913477"</f>
        <v>00913477</v>
      </c>
    </row>
    <row r="21138" spans="1:2" x14ac:dyDescent="0.25">
      <c r="A21138" s="2">
        <v>21133</v>
      </c>
      <c r="B21138" s="11" t="str">
        <f>"00913485"</f>
        <v>00913485</v>
      </c>
    </row>
    <row r="21139" spans="1:2" x14ac:dyDescent="0.25">
      <c r="A21139" s="2">
        <v>21134</v>
      </c>
      <c r="B21139" s="11" t="str">
        <f>"00913501"</f>
        <v>00913501</v>
      </c>
    </row>
    <row r="21140" spans="1:2" x14ac:dyDescent="0.25">
      <c r="A21140" s="2">
        <v>21135</v>
      </c>
      <c r="B21140" s="11" t="str">
        <f>"00913554"</f>
        <v>00913554</v>
      </c>
    </row>
    <row r="21141" spans="1:2" x14ac:dyDescent="0.25">
      <c r="A21141" s="2">
        <v>21136</v>
      </c>
      <c r="B21141" s="11" t="str">
        <f>"00913564"</f>
        <v>00913564</v>
      </c>
    </row>
    <row r="21142" spans="1:2" x14ac:dyDescent="0.25">
      <c r="A21142" s="2">
        <v>21137</v>
      </c>
      <c r="B21142" s="11" t="str">
        <f>"00913663"</f>
        <v>00913663</v>
      </c>
    </row>
    <row r="21143" spans="1:2" x14ac:dyDescent="0.25">
      <c r="A21143" s="2">
        <v>21138</v>
      </c>
      <c r="B21143" s="11" t="str">
        <f>"00913679"</f>
        <v>00913679</v>
      </c>
    </row>
    <row r="21144" spans="1:2" x14ac:dyDescent="0.25">
      <c r="A21144" s="2">
        <v>21139</v>
      </c>
      <c r="B21144" s="11" t="str">
        <f>"00913723"</f>
        <v>00913723</v>
      </c>
    </row>
    <row r="21145" spans="1:2" x14ac:dyDescent="0.25">
      <c r="A21145" s="2">
        <v>21140</v>
      </c>
      <c r="B21145" s="11" t="str">
        <f>"00913762"</f>
        <v>00913762</v>
      </c>
    </row>
    <row r="21146" spans="1:2" x14ac:dyDescent="0.25">
      <c r="A21146" s="2">
        <v>21141</v>
      </c>
      <c r="B21146" s="11" t="str">
        <f>"00913850"</f>
        <v>00913850</v>
      </c>
    </row>
    <row r="21147" spans="1:2" x14ac:dyDescent="0.25">
      <c r="A21147" s="2">
        <v>21142</v>
      </c>
      <c r="B21147" s="11" t="str">
        <f>"00913851"</f>
        <v>00913851</v>
      </c>
    </row>
    <row r="21148" spans="1:2" x14ac:dyDescent="0.25">
      <c r="A21148" s="2">
        <v>21143</v>
      </c>
      <c r="B21148" s="11" t="str">
        <f>"00913852"</f>
        <v>00913852</v>
      </c>
    </row>
    <row r="21149" spans="1:2" x14ac:dyDescent="0.25">
      <c r="A21149" s="2">
        <v>21144</v>
      </c>
      <c r="B21149" s="11" t="str">
        <f>"00913915"</f>
        <v>00913915</v>
      </c>
    </row>
    <row r="21150" spans="1:2" x14ac:dyDescent="0.25">
      <c r="A21150" s="2">
        <v>21145</v>
      </c>
      <c r="B21150" s="11" t="str">
        <f>"00913935"</f>
        <v>00913935</v>
      </c>
    </row>
    <row r="21151" spans="1:2" x14ac:dyDescent="0.25">
      <c r="A21151" s="2">
        <v>21146</v>
      </c>
      <c r="B21151" s="11" t="str">
        <f>"00914010"</f>
        <v>00914010</v>
      </c>
    </row>
    <row r="21152" spans="1:2" x14ac:dyDescent="0.25">
      <c r="A21152" s="2">
        <v>21147</v>
      </c>
      <c r="B21152" s="11" t="str">
        <f>"00914039"</f>
        <v>00914039</v>
      </c>
    </row>
    <row r="21153" spans="1:2" x14ac:dyDescent="0.25">
      <c r="A21153" s="2">
        <v>21148</v>
      </c>
      <c r="B21153" s="11" t="str">
        <f>"00914041"</f>
        <v>00914041</v>
      </c>
    </row>
    <row r="21154" spans="1:2" x14ac:dyDescent="0.25">
      <c r="A21154" s="2">
        <v>21149</v>
      </c>
      <c r="B21154" s="11" t="str">
        <f>"00914131"</f>
        <v>00914131</v>
      </c>
    </row>
    <row r="21155" spans="1:2" x14ac:dyDescent="0.25">
      <c r="A21155" s="2">
        <v>21150</v>
      </c>
      <c r="B21155" s="11" t="str">
        <f>"00914219"</f>
        <v>00914219</v>
      </c>
    </row>
    <row r="21156" spans="1:2" x14ac:dyDescent="0.25">
      <c r="A21156" s="2">
        <v>21151</v>
      </c>
      <c r="B21156" s="11" t="str">
        <f>"00914247"</f>
        <v>00914247</v>
      </c>
    </row>
    <row r="21157" spans="1:2" x14ac:dyDescent="0.25">
      <c r="A21157" s="2">
        <v>21152</v>
      </c>
      <c r="B21157" s="11" t="str">
        <f>"00914328"</f>
        <v>00914328</v>
      </c>
    </row>
    <row r="21158" spans="1:2" x14ac:dyDescent="0.25">
      <c r="A21158" s="2">
        <v>21153</v>
      </c>
      <c r="B21158" s="11" t="str">
        <f>"00914336"</f>
        <v>00914336</v>
      </c>
    </row>
    <row r="21159" spans="1:2" x14ac:dyDescent="0.25">
      <c r="A21159" s="2">
        <v>21154</v>
      </c>
      <c r="B21159" s="11" t="str">
        <f>"00914374"</f>
        <v>00914374</v>
      </c>
    </row>
    <row r="21160" spans="1:2" x14ac:dyDescent="0.25">
      <c r="A21160" s="2">
        <v>21155</v>
      </c>
      <c r="B21160" s="11" t="str">
        <f>"00914420"</f>
        <v>00914420</v>
      </c>
    </row>
    <row r="21161" spans="1:2" x14ac:dyDescent="0.25">
      <c r="A21161" s="2">
        <v>21156</v>
      </c>
      <c r="B21161" s="11" t="str">
        <f>"00914468"</f>
        <v>00914468</v>
      </c>
    </row>
    <row r="21162" spans="1:2" x14ac:dyDescent="0.25">
      <c r="A21162" s="2">
        <v>21157</v>
      </c>
      <c r="B21162" s="11" t="str">
        <f>"00914480"</f>
        <v>00914480</v>
      </c>
    </row>
    <row r="21163" spans="1:2" x14ac:dyDescent="0.25">
      <c r="A21163" s="2">
        <v>21158</v>
      </c>
      <c r="B21163" s="11" t="str">
        <f>"00914497"</f>
        <v>00914497</v>
      </c>
    </row>
    <row r="21164" spans="1:2" x14ac:dyDescent="0.25">
      <c r="A21164" s="2">
        <v>21159</v>
      </c>
      <c r="B21164" s="11" t="str">
        <f>"00914509"</f>
        <v>00914509</v>
      </c>
    </row>
    <row r="21165" spans="1:2" x14ac:dyDescent="0.25">
      <c r="A21165" s="2">
        <v>21160</v>
      </c>
      <c r="B21165" s="11" t="str">
        <f>"00914600"</f>
        <v>00914600</v>
      </c>
    </row>
    <row r="21166" spans="1:2" x14ac:dyDescent="0.25">
      <c r="A21166" s="2">
        <v>21161</v>
      </c>
      <c r="B21166" s="11" t="str">
        <f>"00914619"</f>
        <v>00914619</v>
      </c>
    </row>
    <row r="21167" spans="1:2" x14ac:dyDescent="0.25">
      <c r="A21167" s="2">
        <v>21162</v>
      </c>
      <c r="B21167" s="11" t="str">
        <f>"00914634"</f>
        <v>00914634</v>
      </c>
    </row>
    <row r="21168" spans="1:2" x14ac:dyDescent="0.25">
      <c r="A21168" s="2">
        <v>21163</v>
      </c>
      <c r="B21168" s="11" t="str">
        <f>"00914724"</f>
        <v>00914724</v>
      </c>
    </row>
    <row r="21169" spans="1:2" x14ac:dyDescent="0.25">
      <c r="A21169" s="2">
        <v>21164</v>
      </c>
      <c r="B21169" s="11" t="str">
        <f>"00914746"</f>
        <v>00914746</v>
      </c>
    </row>
    <row r="21170" spans="1:2" x14ac:dyDescent="0.25">
      <c r="A21170" s="2">
        <v>21165</v>
      </c>
      <c r="B21170" s="11" t="str">
        <f>"00914838"</f>
        <v>00914838</v>
      </c>
    </row>
    <row r="21171" spans="1:2" x14ac:dyDescent="0.25">
      <c r="A21171" s="2">
        <v>21166</v>
      </c>
      <c r="B21171" s="11" t="str">
        <f>"00914905"</f>
        <v>00914905</v>
      </c>
    </row>
    <row r="21172" spans="1:2" x14ac:dyDescent="0.25">
      <c r="A21172" s="2">
        <v>21167</v>
      </c>
      <c r="B21172" s="11" t="str">
        <f>"00914953"</f>
        <v>00914953</v>
      </c>
    </row>
    <row r="21173" spans="1:2" x14ac:dyDescent="0.25">
      <c r="A21173" s="2">
        <v>21168</v>
      </c>
      <c r="B21173" s="11" t="str">
        <f>"00914956"</f>
        <v>00914956</v>
      </c>
    </row>
    <row r="21174" spans="1:2" x14ac:dyDescent="0.25">
      <c r="A21174" s="2">
        <v>21169</v>
      </c>
      <c r="B21174" s="11" t="str">
        <f>"00914957"</f>
        <v>00914957</v>
      </c>
    </row>
    <row r="21175" spans="1:2" x14ac:dyDescent="0.25">
      <c r="A21175" s="2">
        <v>21170</v>
      </c>
      <c r="B21175" s="11" t="str">
        <f>"00915057"</f>
        <v>00915057</v>
      </c>
    </row>
    <row r="21176" spans="1:2" x14ac:dyDescent="0.25">
      <c r="A21176" s="2">
        <v>21171</v>
      </c>
      <c r="B21176" s="11" t="str">
        <f>"00915113"</f>
        <v>00915113</v>
      </c>
    </row>
    <row r="21177" spans="1:2" x14ac:dyDescent="0.25">
      <c r="A21177" s="2">
        <v>21172</v>
      </c>
      <c r="B21177" s="11" t="str">
        <f>"00915166"</f>
        <v>00915166</v>
      </c>
    </row>
    <row r="21178" spans="1:2" x14ac:dyDescent="0.25">
      <c r="A21178" s="2">
        <v>21173</v>
      </c>
      <c r="B21178" s="11" t="str">
        <f>"00915171"</f>
        <v>00915171</v>
      </c>
    </row>
    <row r="21179" spans="1:2" x14ac:dyDescent="0.25">
      <c r="A21179" s="2">
        <v>21174</v>
      </c>
      <c r="B21179" s="11" t="str">
        <f>"00915294"</f>
        <v>00915294</v>
      </c>
    </row>
    <row r="21180" spans="1:2" x14ac:dyDescent="0.25">
      <c r="A21180" s="2">
        <v>21175</v>
      </c>
      <c r="B21180" s="11" t="str">
        <f>"00915311"</f>
        <v>00915311</v>
      </c>
    </row>
    <row r="21181" spans="1:2" x14ac:dyDescent="0.25">
      <c r="A21181" s="2">
        <v>21176</v>
      </c>
      <c r="B21181" s="11" t="str">
        <f>"00915353"</f>
        <v>00915353</v>
      </c>
    </row>
    <row r="21182" spans="1:2" x14ac:dyDescent="0.25">
      <c r="A21182" s="2">
        <v>21177</v>
      </c>
      <c r="B21182" s="11" t="str">
        <f>"00915429"</f>
        <v>00915429</v>
      </c>
    </row>
    <row r="21183" spans="1:2" x14ac:dyDescent="0.25">
      <c r="A21183" s="2">
        <v>21178</v>
      </c>
      <c r="B21183" s="11" t="str">
        <f>"00915481"</f>
        <v>00915481</v>
      </c>
    </row>
    <row r="21184" spans="1:2" x14ac:dyDescent="0.25">
      <c r="A21184" s="2">
        <v>21179</v>
      </c>
      <c r="B21184" s="11" t="str">
        <f>"00915531"</f>
        <v>00915531</v>
      </c>
    </row>
    <row r="21185" spans="1:2" x14ac:dyDescent="0.25">
      <c r="A21185" s="2">
        <v>21180</v>
      </c>
      <c r="B21185" s="11" t="str">
        <f>"00915544"</f>
        <v>00915544</v>
      </c>
    </row>
    <row r="21186" spans="1:2" x14ac:dyDescent="0.25">
      <c r="A21186" s="2">
        <v>21181</v>
      </c>
      <c r="B21186" s="11" t="str">
        <f>"00915626"</f>
        <v>00915626</v>
      </c>
    </row>
    <row r="21187" spans="1:2" x14ac:dyDescent="0.25">
      <c r="A21187" s="2">
        <v>21182</v>
      </c>
      <c r="B21187" s="11" t="str">
        <f>"00915684"</f>
        <v>00915684</v>
      </c>
    </row>
    <row r="21188" spans="1:2" x14ac:dyDescent="0.25">
      <c r="A21188" s="2">
        <v>21183</v>
      </c>
      <c r="B21188" s="11" t="str">
        <f>"00915692"</f>
        <v>00915692</v>
      </c>
    </row>
    <row r="21189" spans="1:2" x14ac:dyDescent="0.25">
      <c r="A21189" s="2">
        <v>21184</v>
      </c>
      <c r="B21189" s="11" t="str">
        <f>"00915756"</f>
        <v>00915756</v>
      </c>
    </row>
    <row r="21190" spans="1:2" x14ac:dyDescent="0.25">
      <c r="A21190" s="2">
        <v>21185</v>
      </c>
      <c r="B21190" s="11" t="str">
        <f>"00915782"</f>
        <v>00915782</v>
      </c>
    </row>
    <row r="21191" spans="1:2" x14ac:dyDescent="0.25">
      <c r="A21191" s="2">
        <v>21186</v>
      </c>
      <c r="B21191" s="11" t="str">
        <f>"00915787"</f>
        <v>00915787</v>
      </c>
    </row>
    <row r="21192" spans="1:2" x14ac:dyDescent="0.25">
      <c r="A21192" s="2">
        <v>21187</v>
      </c>
      <c r="B21192" s="11" t="str">
        <f>"00915794"</f>
        <v>00915794</v>
      </c>
    </row>
    <row r="21193" spans="1:2" x14ac:dyDescent="0.25">
      <c r="A21193" s="2">
        <v>21188</v>
      </c>
      <c r="B21193" s="11" t="str">
        <f>"00915814"</f>
        <v>00915814</v>
      </c>
    </row>
    <row r="21194" spans="1:2" x14ac:dyDescent="0.25">
      <c r="A21194" s="2">
        <v>21189</v>
      </c>
      <c r="B21194" s="11" t="str">
        <f>"00915870"</f>
        <v>00915870</v>
      </c>
    </row>
    <row r="21195" spans="1:2" x14ac:dyDescent="0.25">
      <c r="A21195" s="2">
        <v>21190</v>
      </c>
      <c r="B21195" s="11" t="str">
        <f>"00915972"</f>
        <v>00915972</v>
      </c>
    </row>
    <row r="21196" spans="1:2" x14ac:dyDescent="0.25">
      <c r="A21196" s="2">
        <v>21191</v>
      </c>
      <c r="B21196" s="11" t="str">
        <f>"00915994"</f>
        <v>00915994</v>
      </c>
    </row>
    <row r="21197" spans="1:2" x14ac:dyDescent="0.25">
      <c r="A21197" s="2">
        <v>21192</v>
      </c>
      <c r="B21197" s="11" t="str">
        <f>"00915998"</f>
        <v>00915998</v>
      </c>
    </row>
    <row r="21198" spans="1:2" x14ac:dyDescent="0.25">
      <c r="A21198" s="2">
        <v>21193</v>
      </c>
      <c r="B21198" s="11" t="str">
        <f>"00916019"</f>
        <v>00916019</v>
      </c>
    </row>
    <row r="21199" spans="1:2" x14ac:dyDescent="0.25">
      <c r="A21199" s="2">
        <v>21194</v>
      </c>
      <c r="B21199" s="11" t="str">
        <f>"00916041"</f>
        <v>00916041</v>
      </c>
    </row>
    <row r="21200" spans="1:2" x14ac:dyDescent="0.25">
      <c r="A21200" s="2">
        <v>21195</v>
      </c>
      <c r="B21200" s="11" t="str">
        <f>"00916085"</f>
        <v>00916085</v>
      </c>
    </row>
    <row r="21201" spans="1:2" x14ac:dyDescent="0.25">
      <c r="A21201" s="2">
        <v>21196</v>
      </c>
      <c r="B21201" s="11" t="str">
        <f>"00916119"</f>
        <v>00916119</v>
      </c>
    </row>
    <row r="21202" spans="1:2" x14ac:dyDescent="0.25">
      <c r="A21202" s="2">
        <v>21197</v>
      </c>
      <c r="B21202" s="11" t="str">
        <f>"00916125"</f>
        <v>00916125</v>
      </c>
    </row>
    <row r="21203" spans="1:2" x14ac:dyDescent="0.25">
      <c r="A21203" s="2">
        <v>21198</v>
      </c>
      <c r="B21203" s="11" t="str">
        <f>"00916170"</f>
        <v>00916170</v>
      </c>
    </row>
    <row r="21204" spans="1:2" x14ac:dyDescent="0.25">
      <c r="A21204" s="2">
        <v>21199</v>
      </c>
      <c r="B21204" s="11" t="str">
        <f>"00916207"</f>
        <v>00916207</v>
      </c>
    </row>
    <row r="21205" spans="1:2" x14ac:dyDescent="0.25">
      <c r="A21205" s="2">
        <v>21200</v>
      </c>
      <c r="B21205" s="11" t="str">
        <f>"00916226"</f>
        <v>00916226</v>
      </c>
    </row>
    <row r="21206" spans="1:2" x14ac:dyDescent="0.25">
      <c r="A21206" s="2">
        <v>21201</v>
      </c>
      <c r="B21206" s="11" t="str">
        <f>"00916255"</f>
        <v>00916255</v>
      </c>
    </row>
    <row r="21207" spans="1:2" x14ac:dyDescent="0.25">
      <c r="A21207" s="2">
        <v>21202</v>
      </c>
      <c r="B21207" s="11" t="str">
        <f>"00916276"</f>
        <v>00916276</v>
      </c>
    </row>
    <row r="21208" spans="1:2" x14ac:dyDescent="0.25">
      <c r="A21208" s="2">
        <v>21203</v>
      </c>
      <c r="B21208" s="11" t="str">
        <f>"00916307"</f>
        <v>00916307</v>
      </c>
    </row>
    <row r="21209" spans="1:2" x14ac:dyDescent="0.25">
      <c r="A21209" s="2">
        <v>21204</v>
      </c>
      <c r="B21209" s="11" t="str">
        <f>"00916313"</f>
        <v>00916313</v>
      </c>
    </row>
    <row r="21210" spans="1:2" x14ac:dyDescent="0.25">
      <c r="A21210" s="2">
        <v>21205</v>
      </c>
      <c r="B21210" s="11" t="str">
        <f>"00916364"</f>
        <v>00916364</v>
      </c>
    </row>
    <row r="21211" spans="1:2" x14ac:dyDescent="0.25">
      <c r="A21211" s="2">
        <v>21206</v>
      </c>
      <c r="B21211" s="11" t="str">
        <f>"00916383"</f>
        <v>00916383</v>
      </c>
    </row>
    <row r="21212" spans="1:2" x14ac:dyDescent="0.25">
      <c r="A21212" s="2">
        <v>21207</v>
      </c>
      <c r="B21212" s="11" t="str">
        <f>"00916406"</f>
        <v>00916406</v>
      </c>
    </row>
    <row r="21213" spans="1:2" x14ac:dyDescent="0.25">
      <c r="A21213" s="2">
        <v>21208</v>
      </c>
      <c r="B21213" s="11" t="str">
        <f>"00916411"</f>
        <v>00916411</v>
      </c>
    </row>
    <row r="21214" spans="1:2" x14ac:dyDescent="0.25">
      <c r="A21214" s="2">
        <v>21209</v>
      </c>
      <c r="B21214" s="11" t="str">
        <f>"00916422"</f>
        <v>00916422</v>
      </c>
    </row>
    <row r="21215" spans="1:2" x14ac:dyDescent="0.25">
      <c r="A21215" s="2">
        <v>21210</v>
      </c>
      <c r="B21215" s="11" t="str">
        <f>"00916431"</f>
        <v>00916431</v>
      </c>
    </row>
    <row r="21216" spans="1:2" x14ac:dyDescent="0.25">
      <c r="A21216" s="2">
        <v>21211</v>
      </c>
      <c r="B21216" s="11" t="str">
        <f>"00916488"</f>
        <v>00916488</v>
      </c>
    </row>
    <row r="21217" spans="1:2" x14ac:dyDescent="0.25">
      <c r="A21217" s="2">
        <v>21212</v>
      </c>
      <c r="B21217" s="11" t="str">
        <f>"00916505"</f>
        <v>00916505</v>
      </c>
    </row>
    <row r="21218" spans="1:2" x14ac:dyDescent="0.25">
      <c r="A21218" s="2">
        <v>21213</v>
      </c>
      <c r="B21218" s="11" t="str">
        <f>"00916553"</f>
        <v>00916553</v>
      </c>
    </row>
    <row r="21219" spans="1:2" x14ac:dyDescent="0.25">
      <c r="A21219" s="2">
        <v>21214</v>
      </c>
      <c r="B21219" s="11" t="str">
        <f>"00916562"</f>
        <v>00916562</v>
      </c>
    </row>
    <row r="21220" spans="1:2" x14ac:dyDescent="0.25">
      <c r="A21220" s="2">
        <v>21215</v>
      </c>
      <c r="B21220" s="11" t="str">
        <f>"00916659"</f>
        <v>00916659</v>
      </c>
    </row>
    <row r="21221" spans="1:2" x14ac:dyDescent="0.25">
      <c r="A21221" s="2">
        <v>21216</v>
      </c>
      <c r="B21221" s="11" t="str">
        <f>"00916707"</f>
        <v>00916707</v>
      </c>
    </row>
    <row r="21222" spans="1:2" x14ac:dyDescent="0.25">
      <c r="A21222" s="2">
        <v>21217</v>
      </c>
      <c r="B21222" s="11" t="str">
        <f>"00916754"</f>
        <v>00916754</v>
      </c>
    </row>
    <row r="21223" spans="1:2" x14ac:dyDescent="0.25">
      <c r="A21223" s="2">
        <v>21218</v>
      </c>
      <c r="B21223" s="11" t="str">
        <f>"00916803"</f>
        <v>00916803</v>
      </c>
    </row>
    <row r="21224" spans="1:2" x14ac:dyDescent="0.25">
      <c r="A21224" s="2">
        <v>21219</v>
      </c>
      <c r="B21224" s="11" t="str">
        <f>"00916809"</f>
        <v>00916809</v>
      </c>
    </row>
    <row r="21225" spans="1:2" x14ac:dyDescent="0.25">
      <c r="A21225" s="2">
        <v>21220</v>
      </c>
      <c r="B21225" s="11" t="str">
        <f>"00916900"</f>
        <v>00916900</v>
      </c>
    </row>
    <row r="21226" spans="1:2" x14ac:dyDescent="0.25">
      <c r="A21226" s="2">
        <v>21221</v>
      </c>
      <c r="B21226" s="11" t="str">
        <f>"00916903"</f>
        <v>00916903</v>
      </c>
    </row>
    <row r="21227" spans="1:2" x14ac:dyDescent="0.25">
      <c r="A21227" s="2">
        <v>21222</v>
      </c>
      <c r="B21227" s="11" t="str">
        <f>"00916963"</f>
        <v>00916963</v>
      </c>
    </row>
    <row r="21228" spans="1:2" x14ac:dyDescent="0.25">
      <c r="A21228" s="2">
        <v>21223</v>
      </c>
      <c r="B21228" s="11" t="str">
        <f>"00917002"</f>
        <v>00917002</v>
      </c>
    </row>
    <row r="21229" spans="1:2" x14ac:dyDescent="0.25">
      <c r="A21229" s="2">
        <v>21224</v>
      </c>
      <c r="B21229" s="11" t="str">
        <f>"00917019"</f>
        <v>00917019</v>
      </c>
    </row>
    <row r="21230" spans="1:2" x14ac:dyDescent="0.25">
      <c r="A21230" s="2">
        <v>21225</v>
      </c>
      <c r="B21230" s="11" t="str">
        <f>"00917034"</f>
        <v>00917034</v>
      </c>
    </row>
    <row r="21231" spans="1:2" x14ac:dyDescent="0.25">
      <c r="A21231" s="2">
        <v>21226</v>
      </c>
      <c r="B21231" s="11" t="str">
        <f>"00917049"</f>
        <v>00917049</v>
      </c>
    </row>
    <row r="21232" spans="1:2" x14ac:dyDescent="0.25">
      <c r="A21232" s="2">
        <v>21227</v>
      </c>
      <c r="B21232" s="11" t="str">
        <f>"00917072"</f>
        <v>00917072</v>
      </c>
    </row>
    <row r="21233" spans="1:2" x14ac:dyDescent="0.25">
      <c r="A21233" s="2">
        <v>21228</v>
      </c>
      <c r="B21233" s="11" t="str">
        <f>"00917112"</f>
        <v>00917112</v>
      </c>
    </row>
    <row r="21234" spans="1:2" x14ac:dyDescent="0.25">
      <c r="A21234" s="2">
        <v>21229</v>
      </c>
      <c r="B21234" s="11" t="str">
        <f>"00917114"</f>
        <v>00917114</v>
      </c>
    </row>
    <row r="21235" spans="1:2" x14ac:dyDescent="0.25">
      <c r="A21235" s="2">
        <v>21230</v>
      </c>
      <c r="B21235" s="11" t="str">
        <f>"00917118"</f>
        <v>00917118</v>
      </c>
    </row>
    <row r="21236" spans="1:2" x14ac:dyDescent="0.25">
      <c r="A21236" s="2">
        <v>21231</v>
      </c>
      <c r="B21236" s="11" t="str">
        <f>"00917130"</f>
        <v>00917130</v>
      </c>
    </row>
    <row r="21237" spans="1:2" x14ac:dyDescent="0.25">
      <c r="A21237" s="2">
        <v>21232</v>
      </c>
      <c r="B21237" s="11" t="str">
        <f>"00917131"</f>
        <v>00917131</v>
      </c>
    </row>
    <row r="21238" spans="1:2" x14ac:dyDescent="0.25">
      <c r="A21238" s="2">
        <v>21233</v>
      </c>
      <c r="B21238" s="11" t="str">
        <f>"00917208"</f>
        <v>00917208</v>
      </c>
    </row>
    <row r="21239" spans="1:2" x14ac:dyDescent="0.25">
      <c r="A21239" s="2">
        <v>21234</v>
      </c>
      <c r="B21239" s="11" t="str">
        <f>"00917230"</f>
        <v>00917230</v>
      </c>
    </row>
    <row r="21240" spans="1:2" x14ac:dyDescent="0.25">
      <c r="A21240" s="2">
        <v>21235</v>
      </c>
      <c r="B21240" s="11" t="str">
        <f>"00917275"</f>
        <v>00917275</v>
      </c>
    </row>
    <row r="21241" spans="1:2" x14ac:dyDescent="0.25">
      <c r="A21241" s="2">
        <v>21236</v>
      </c>
      <c r="B21241" s="11" t="str">
        <f>"00917331"</f>
        <v>00917331</v>
      </c>
    </row>
    <row r="21242" spans="1:2" x14ac:dyDescent="0.25">
      <c r="A21242" s="2">
        <v>21237</v>
      </c>
      <c r="B21242" s="11" t="str">
        <f>"00917340"</f>
        <v>00917340</v>
      </c>
    </row>
    <row r="21243" spans="1:2" x14ac:dyDescent="0.25">
      <c r="A21243" s="2">
        <v>21238</v>
      </c>
      <c r="B21243" s="11" t="str">
        <f>"00917373"</f>
        <v>00917373</v>
      </c>
    </row>
    <row r="21244" spans="1:2" x14ac:dyDescent="0.25">
      <c r="A21244" s="2">
        <v>21239</v>
      </c>
      <c r="B21244" s="11" t="str">
        <f>"00917377"</f>
        <v>00917377</v>
      </c>
    </row>
    <row r="21245" spans="1:2" x14ac:dyDescent="0.25">
      <c r="A21245" s="2">
        <v>21240</v>
      </c>
      <c r="B21245" s="11" t="str">
        <f>"00917478"</f>
        <v>00917478</v>
      </c>
    </row>
    <row r="21246" spans="1:2" x14ac:dyDescent="0.25">
      <c r="A21246" s="2">
        <v>21241</v>
      </c>
      <c r="B21246" s="11" t="str">
        <f>"00917528"</f>
        <v>00917528</v>
      </c>
    </row>
    <row r="21247" spans="1:2" x14ac:dyDescent="0.25">
      <c r="A21247" s="2">
        <v>21242</v>
      </c>
      <c r="B21247" s="11" t="str">
        <f>"00917555"</f>
        <v>00917555</v>
      </c>
    </row>
    <row r="21248" spans="1:2" x14ac:dyDescent="0.25">
      <c r="A21248" s="2">
        <v>21243</v>
      </c>
      <c r="B21248" s="11" t="str">
        <f>"00917622"</f>
        <v>00917622</v>
      </c>
    </row>
    <row r="21249" spans="1:2" x14ac:dyDescent="0.25">
      <c r="A21249" s="2">
        <v>21244</v>
      </c>
      <c r="B21249" s="11" t="str">
        <f>"00917722"</f>
        <v>00917722</v>
      </c>
    </row>
    <row r="21250" spans="1:2" x14ac:dyDescent="0.25">
      <c r="A21250" s="2">
        <v>21245</v>
      </c>
      <c r="B21250" s="11" t="str">
        <f>"00917739"</f>
        <v>00917739</v>
      </c>
    </row>
    <row r="21251" spans="1:2" x14ac:dyDescent="0.25">
      <c r="A21251" s="2">
        <v>21246</v>
      </c>
      <c r="B21251" s="11" t="str">
        <f>"00917776"</f>
        <v>00917776</v>
      </c>
    </row>
    <row r="21252" spans="1:2" x14ac:dyDescent="0.25">
      <c r="A21252" s="2">
        <v>21247</v>
      </c>
      <c r="B21252" s="11" t="str">
        <f>"00917806"</f>
        <v>00917806</v>
      </c>
    </row>
    <row r="21253" spans="1:2" x14ac:dyDescent="0.25">
      <c r="A21253" s="2">
        <v>21248</v>
      </c>
      <c r="B21253" s="11" t="str">
        <f>"00917820"</f>
        <v>00917820</v>
      </c>
    </row>
    <row r="21254" spans="1:2" x14ac:dyDescent="0.25">
      <c r="A21254" s="2">
        <v>21249</v>
      </c>
      <c r="B21254" s="11" t="str">
        <f>"00917885"</f>
        <v>00917885</v>
      </c>
    </row>
    <row r="21255" spans="1:2" x14ac:dyDescent="0.25">
      <c r="A21255" s="2">
        <v>21250</v>
      </c>
      <c r="B21255" s="11" t="str">
        <f>"00917927"</f>
        <v>00917927</v>
      </c>
    </row>
    <row r="21256" spans="1:2" x14ac:dyDescent="0.25">
      <c r="A21256" s="2">
        <v>21251</v>
      </c>
      <c r="B21256" s="11" t="str">
        <f>"00918040"</f>
        <v>00918040</v>
      </c>
    </row>
    <row r="21257" spans="1:2" x14ac:dyDescent="0.25">
      <c r="A21257" s="2">
        <v>21252</v>
      </c>
      <c r="B21257" s="11" t="str">
        <f>"00918089"</f>
        <v>00918089</v>
      </c>
    </row>
    <row r="21258" spans="1:2" x14ac:dyDescent="0.25">
      <c r="A21258" s="2">
        <v>21253</v>
      </c>
      <c r="B21258" s="11" t="str">
        <f>"00918120"</f>
        <v>00918120</v>
      </c>
    </row>
    <row r="21259" spans="1:2" x14ac:dyDescent="0.25">
      <c r="A21259" s="2">
        <v>21254</v>
      </c>
      <c r="B21259" s="11" t="str">
        <f>"00918148"</f>
        <v>00918148</v>
      </c>
    </row>
    <row r="21260" spans="1:2" x14ac:dyDescent="0.25">
      <c r="A21260" s="2">
        <v>21255</v>
      </c>
      <c r="B21260" s="11" t="str">
        <f>"00918249"</f>
        <v>00918249</v>
      </c>
    </row>
    <row r="21261" spans="1:2" x14ac:dyDescent="0.25">
      <c r="A21261" s="2">
        <v>21256</v>
      </c>
      <c r="B21261" s="11" t="str">
        <f>"00918266"</f>
        <v>00918266</v>
      </c>
    </row>
    <row r="21262" spans="1:2" x14ac:dyDescent="0.25">
      <c r="A21262" s="2">
        <v>21257</v>
      </c>
      <c r="B21262" s="11" t="str">
        <f>"00918288"</f>
        <v>00918288</v>
      </c>
    </row>
    <row r="21263" spans="1:2" x14ac:dyDescent="0.25">
      <c r="A21263" s="2">
        <v>21258</v>
      </c>
      <c r="B21263" s="11" t="str">
        <f>"00918305"</f>
        <v>00918305</v>
      </c>
    </row>
    <row r="21264" spans="1:2" x14ac:dyDescent="0.25">
      <c r="A21264" s="2">
        <v>21259</v>
      </c>
      <c r="B21264" s="11" t="str">
        <f>"00918353"</f>
        <v>00918353</v>
      </c>
    </row>
    <row r="21265" spans="1:2" x14ac:dyDescent="0.25">
      <c r="A21265" s="2">
        <v>21260</v>
      </c>
      <c r="B21265" s="11" t="str">
        <f>"00918369"</f>
        <v>00918369</v>
      </c>
    </row>
    <row r="21266" spans="1:2" x14ac:dyDescent="0.25">
      <c r="A21266" s="2">
        <v>21261</v>
      </c>
      <c r="B21266" s="11" t="str">
        <f>"00918419"</f>
        <v>00918419</v>
      </c>
    </row>
    <row r="21267" spans="1:2" x14ac:dyDescent="0.25">
      <c r="A21267" s="2">
        <v>21262</v>
      </c>
      <c r="B21267" s="11" t="str">
        <f>"00918433"</f>
        <v>00918433</v>
      </c>
    </row>
    <row r="21268" spans="1:2" x14ac:dyDescent="0.25">
      <c r="A21268" s="2">
        <v>21263</v>
      </c>
      <c r="B21268" s="11" t="str">
        <f>"00918470"</f>
        <v>00918470</v>
      </c>
    </row>
    <row r="21269" spans="1:2" x14ac:dyDescent="0.25">
      <c r="A21269" s="2">
        <v>21264</v>
      </c>
      <c r="B21269" s="11" t="str">
        <f>"00918553"</f>
        <v>00918553</v>
      </c>
    </row>
    <row r="21270" spans="1:2" x14ac:dyDescent="0.25">
      <c r="A21270" s="2">
        <v>21265</v>
      </c>
      <c r="B21270" s="11" t="str">
        <f>"00918579"</f>
        <v>00918579</v>
      </c>
    </row>
    <row r="21271" spans="1:2" x14ac:dyDescent="0.25">
      <c r="A21271" s="2">
        <v>21266</v>
      </c>
      <c r="B21271" s="11" t="str">
        <f>"00918638"</f>
        <v>00918638</v>
      </c>
    </row>
    <row r="21272" spans="1:2" x14ac:dyDescent="0.25">
      <c r="A21272" s="2">
        <v>21267</v>
      </c>
      <c r="B21272" s="11" t="str">
        <f>"00918652"</f>
        <v>00918652</v>
      </c>
    </row>
    <row r="21273" spans="1:2" x14ac:dyDescent="0.25">
      <c r="A21273" s="2">
        <v>21268</v>
      </c>
      <c r="B21273" s="11" t="str">
        <f>"00918661"</f>
        <v>00918661</v>
      </c>
    </row>
    <row r="21274" spans="1:2" x14ac:dyDescent="0.25">
      <c r="A21274" s="2">
        <v>21269</v>
      </c>
      <c r="B21274" s="11" t="str">
        <f>"00918707"</f>
        <v>00918707</v>
      </c>
    </row>
    <row r="21275" spans="1:2" x14ac:dyDescent="0.25">
      <c r="A21275" s="2">
        <v>21270</v>
      </c>
      <c r="B21275" s="11" t="str">
        <f>"00918739"</f>
        <v>00918739</v>
      </c>
    </row>
    <row r="21276" spans="1:2" x14ac:dyDescent="0.25">
      <c r="A21276" s="2">
        <v>21271</v>
      </c>
      <c r="B21276" s="11" t="str">
        <f>"00918817"</f>
        <v>00918817</v>
      </c>
    </row>
    <row r="21277" spans="1:2" x14ac:dyDescent="0.25">
      <c r="A21277" s="2">
        <v>21272</v>
      </c>
      <c r="B21277" s="11" t="str">
        <f>"00918854"</f>
        <v>00918854</v>
      </c>
    </row>
    <row r="21278" spans="1:2" x14ac:dyDescent="0.25">
      <c r="A21278" s="2">
        <v>21273</v>
      </c>
      <c r="B21278" s="11" t="str">
        <f>"00918864"</f>
        <v>00918864</v>
      </c>
    </row>
    <row r="21279" spans="1:2" x14ac:dyDescent="0.25">
      <c r="A21279" s="2">
        <v>21274</v>
      </c>
      <c r="B21279" s="11" t="str">
        <f>"00918871"</f>
        <v>00918871</v>
      </c>
    </row>
    <row r="21280" spans="1:2" x14ac:dyDescent="0.25">
      <c r="A21280" s="2">
        <v>21275</v>
      </c>
      <c r="B21280" s="11" t="str">
        <f>"00918881"</f>
        <v>00918881</v>
      </c>
    </row>
    <row r="21281" spans="1:2" x14ac:dyDescent="0.25">
      <c r="A21281" s="2">
        <v>21276</v>
      </c>
      <c r="B21281" s="11" t="str">
        <f>"00918903"</f>
        <v>00918903</v>
      </c>
    </row>
    <row r="21282" spans="1:2" x14ac:dyDescent="0.25">
      <c r="A21282" s="2">
        <v>21277</v>
      </c>
      <c r="B21282" s="11" t="str">
        <f>"00918951"</f>
        <v>00918951</v>
      </c>
    </row>
    <row r="21283" spans="1:2" x14ac:dyDescent="0.25">
      <c r="A21283" s="2">
        <v>21278</v>
      </c>
      <c r="B21283" s="11" t="str">
        <f>"00918966"</f>
        <v>00918966</v>
      </c>
    </row>
    <row r="21284" spans="1:2" x14ac:dyDescent="0.25">
      <c r="A21284" s="2">
        <v>21279</v>
      </c>
      <c r="B21284" s="11" t="str">
        <f>"00919145"</f>
        <v>00919145</v>
      </c>
    </row>
    <row r="21285" spans="1:2" x14ac:dyDescent="0.25">
      <c r="A21285" s="2">
        <v>21280</v>
      </c>
      <c r="B21285" s="11" t="str">
        <f>"00919164"</f>
        <v>00919164</v>
      </c>
    </row>
    <row r="21286" spans="1:2" x14ac:dyDescent="0.25">
      <c r="A21286" s="2">
        <v>21281</v>
      </c>
      <c r="B21286" s="11" t="str">
        <f>"00919190"</f>
        <v>00919190</v>
      </c>
    </row>
    <row r="21287" spans="1:2" x14ac:dyDescent="0.25">
      <c r="A21287" s="2">
        <v>21282</v>
      </c>
      <c r="B21287" s="11" t="str">
        <f>"00919191"</f>
        <v>00919191</v>
      </c>
    </row>
    <row r="21288" spans="1:2" x14ac:dyDescent="0.25">
      <c r="A21288" s="2">
        <v>21283</v>
      </c>
      <c r="B21288" s="11" t="str">
        <f>"00919339"</f>
        <v>00919339</v>
      </c>
    </row>
    <row r="21289" spans="1:2" x14ac:dyDescent="0.25">
      <c r="A21289" s="2">
        <v>21284</v>
      </c>
      <c r="B21289" s="11" t="str">
        <f>"00919400"</f>
        <v>00919400</v>
      </c>
    </row>
    <row r="21290" spans="1:2" x14ac:dyDescent="0.25">
      <c r="A21290" s="2">
        <v>21285</v>
      </c>
      <c r="B21290" s="11" t="str">
        <f>"00919477"</f>
        <v>00919477</v>
      </c>
    </row>
    <row r="21291" spans="1:2" x14ac:dyDescent="0.25">
      <c r="A21291" s="2">
        <v>21286</v>
      </c>
      <c r="B21291" s="11" t="str">
        <f>"00919636"</f>
        <v>00919636</v>
      </c>
    </row>
    <row r="21292" spans="1:2" x14ac:dyDescent="0.25">
      <c r="A21292" s="2">
        <v>21287</v>
      </c>
      <c r="B21292" s="11" t="str">
        <f>"00919698"</f>
        <v>00919698</v>
      </c>
    </row>
    <row r="21293" spans="1:2" x14ac:dyDescent="0.25">
      <c r="A21293" s="2">
        <v>21288</v>
      </c>
      <c r="B21293" s="11" t="str">
        <f>"00919716"</f>
        <v>00919716</v>
      </c>
    </row>
    <row r="21294" spans="1:2" x14ac:dyDescent="0.25">
      <c r="A21294" s="2">
        <v>21289</v>
      </c>
      <c r="B21294" s="11" t="str">
        <f>"00919730"</f>
        <v>00919730</v>
      </c>
    </row>
    <row r="21295" spans="1:2" x14ac:dyDescent="0.25">
      <c r="A21295" s="2">
        <v>21290</v>
      </c>
      <c r="B21295" s="11" t="str">
        <f>"00919735"</f>
        <v>00919735</v>
      </c>
    </row>
    <row r="21296" spans="1:2" x14ac:dyDescent="0.25">
      <c r="A21296" s="2">
        <v>21291</v>
      </c>
      <c r="B21296" s="11" t="str">
        <f>"00919870"</f>
        <v>00919870</v>
      </c>
    </row>
    <row r="21297" spans="1:2" x14ac:dyDescent="0.25">
      <c r="A21297" s="2">
        <v>21292</v>
      </c>
      <c r="B21297" s="11" t="str">
        <f>"00919875"</f>
        <v>00919875</v>
      </c>
    </row>
    <row r="21298" spans="1:2" x14ac:dyDescent="0.25">
      <c r="A21298" s="2">
        <v>21293</v>
      </c>
      <c r="B21298" s="11" t="str">
        <f>"00919892"</f>
        <v>00919892</v>
      </c>
    </row>
    <row r="21299" spans="1:2" x14ac:dyDescent="0.25">
      <c r="A21299" s="2">
        <v>21294</v>
      </c>
      <c r="B21299" s="11" t="str">
        <f>"00919893"</f>
        <v>00919893</v>
      </c>
    </row>
    <row r="21300" spans="1:2" x14ac:dyDescent="0.25">
      <c r="A21300" s="2">
        <v>21295</v>
      </c>
      <c r="B21300" s="11" t="str">
        <f>"00919896"</f>
        <v>00919896</v>
      </c>
    </row>
    <row r="21301" spans="1:2" x14ac:dyDescent="0.25">
      <c r="A21301" s="2">
        <v>21296</v>
      </c>
      <c r="B21301" s="11" t="str">
        <f>"00919987"</f>
        <v>00919987</v>
      </c>
    </row>
    <row r="21302" spans="1:2" x14ac:dyDescent="0.25">
      <c r="A21302" s="2">
        <v>21297</v>
      </c>
      <c r="B21302" s="11" t="str">
        <f>"00919995"</f>
        <v>00919995</v>
      </c>
    </row>
    <row r="21303" spans="1:2" x14ac:dyDescent="0.25">
      <c r="A21303" s="2">
        <v>21298</v>
      </c>
      <c r="B21303" s="11" t="str">
        <f>"00920037"</f>
        <v>00920037</v>
      </c>
    </row>
    <row r="21304" spans="1:2" x14ac:dyDescent="0.25">
      <c r="A21304" s="2">
        <v>21299</v>
      </c>
      <c r="B21304" s="11" t="str">
        <f>"00920057"</f>
        <v>00920057</v>
      </c>
    </row>
    <row r="21305" spans="1:2" x14ac:dyDescent="0.25">
      <c r="A21305" s="2">
        <v>21300</v>
      </c>
      <c r="B21305" s="11" t="str">
        <f>"00920116"</f>
        <v>00920116</v>
      </c>
    </row>
    <row r="21306" spans="1:2" x14ac:dyDescent="0.25">
      <c r="A21306" s="2">
        <v>21301</v>
      </c>
      <c r="B21306" s="11" t="str">
        <f>"00920155"</f>
        <v>00920155</v>
      </c>
    </row>
    <row r="21307" spans="1:2" x14ac:dyDescent="0.25">
      <c r="A21307" s="2">
        <v>21302</v>
      </c>
      <c r="B21307" s="11" t="str">
        <f>"00920168"</f>
        <v>00920168</v>
      </c>
    </row>
    <row r="21308" spans="1:2" x14ac:dyDescent="0.25">
      <c r="A21308" s="2">
        <v>21303</v>
      </c>
      <c r="B21308" s="11" t="str">
        <f>"00920304"</f>
        <v>00920304</v>
      </c>
    </row>
    <row r="21309" spans="1:2" x14ac:dyDescent="0.25">
      <c r="A21309" s="2">
        <v>21304</v>
      </c>
      <c r="B21309" s="11" t="str">
        <f>"00920319"</f>
        <v>00920319</v>
      </c>
    </row>
    <row r="21310" spans="1:2" x14ac:dyDescent="0.25">
      <c r="A21310" s="2">
        <v>21305</v>
      </c>
      <c r="B21310" s="11" t="str">
        <f>"00920332"</f>
        <v>00920332</v>
      </c>
    </row>
    <row r="21311" spans="1:2" x14ac:dyDescent="0.25">
      <c r="A21311" s="2">
        <v>21306</v>
      </c>
      <c r="B21311" s="11" t="str">
        <f>"00920401"</f>
        <v>00920401</v>
      </c>
    </row>
    <row r="21312" spans="1:2" x14ac:dyDescent="0.25">
      <c r="A21312" s="2">
        <v>21307</v>
      </c>
      <c r="B21312" s="11" t="str">
        <f>"00920446"</f>
        <v>00920446</v>
      </c>
    </row>
    <row r="21313" spans="1:2" x14ac:dyDescent="0.25">
      <c r="A21313" s="2">
        <v>21308</v>
      </c>
      <c r="B21313" s="11" t="str">
        <f>"00920470"</f>
        <v>00920470</v>
      </c>
    </row>
    <row r="21314" spans="1:2" x14ac:dyDescent="0.25">
      <c r="A21314" s="2">
        <v>21309</v>
      </c>
      <c r="B21314" s="11" t="str">
        <f>"00920558"</f>
        <v>00920558</v>
      </c>
    </row>
    <row r="21315" spans="1:2" x14ac:dyDescent="0.25">
      <c r="A21315" s="2">
        <v>21310</v>
      </c>
      <c r="B21315" s="11" t="str">
        <f>"00920584"</f>
        <v>00920584</v>
      </c>
    </row>
    <row r="21316" spans="1:2" x14ac:dyDescent="0.25">
      <c r="A21316" s="2">
        <v>21311</v>
      </c>
      <c r="B21316" s="11" t="str">
        <f>"00920597"</f>
        <v>00920597</v>
      </c>
    </row>
    <row r="21317" spans="1:2" x14ac:dyDescent="0.25">
      <c r="A21317" s="2">
        <v>21312</v>
      </c>
      <c r="B21317" s="11" t="str">
        <f>"00920690"</f>
        <v>00920690</v>
      </c>
    </row>
    <row r="21318" spans="1:2" x14ac:dyDescent="0.25">
      <c r="A21318" s="2">
        <v>21313</v>
      </c>
      <c r="B21318" s="11" t="str">
        <f>"00920756"</f>
        <v>00920756</v>
      </c>
    </row>
    <row r="21319" spans="1:2" x14ac:dyDescent="0.25">
      <c r="A21319" s="2">
        <v>21314</v>
      </c>
      <c r="B21319" s="11" t="str">
        <f>"00920845"</f>
        <v>00920845</v>
      </c>
    </row>
    <row r="21320" spans="1:2" x14ac:dyDescent="0.25">
      <c r="A21320" s="2">
        <v>21315</v>
      </c>
      <c r="B21320" s="11" t="str">
        <f>"00920847"</f>
        <v>00920847</v>
      </c>
    </row>
    <row r="21321" spans="1:2" x14ac:dyDescent="0.25">
      <c r="A21321" s="2">
        <v>21316</v>
      </c>
      <c r="B21321" s="11" t="str">
        <f>"00920878"</f>
        <v>00920878</v>
      </c>
    </row>
    <row r="21322" spans="1:2" x14ac:dyDescent="0.25">
      <c r="A21322" s="2">
        <v>21317</v>
      </c>
      <c r="B21322" s="11" t="str">
        <f>"00920882"</f>
        <v>00920882</v>
      </c>
    </row>
    <row r="21323" spans="1:2" x14ac:dyDescent="0.25">
      <c r="A21323" s="2">
        <v>21318</v>
      </c>
      <c r="B21323" s="11" t="str">
        <f>"00921068"</f>
        <v>00921068</v>
      </c>
    </row>
    <row r="21324" spans="1:2" x14ac:dyDescent="0.25">
      <c r="A21324" s="2">
        <v>21319</v>
      </c>
      <c r="B21324" s="11" t="str">
        <f>"00921116"</f>
        <v>00921116</v>
      </c>
    </row>
    <row r="21325" spans="1:2" x14ac:dyDescent="0.25">
      <c r="A21325" s="2">
        <v>21320</v>
      </c>
      <c r="B21325" s="11" t="str">
        <f>"00921145"</f>
        <v>00921145</v>
      </c>
    </row>
    <row r="21326" spans="1:2" x14ac:dyDescent="0.25">
      <c r="A21326" s="2">
        <v>21321</v>
      </c>
      <c r="B21326" s="11" t="str">
        <f>"00921164"</f>
        <v>00921164</v>
      </c>
    </row>
    <row r="21327" spans="1:2" x14ac:dyDescent="0.25">
      <c r="A21327" s="2">
        <v>21322</v>
      </c>
      <c r="B21327" s="11" t="str">
        <f>"00921176"</f>
        <v>00921176</v>
      </c>
    </row>
    <row r="21328" spans="1:2" x14ac:dyDescent="0.25">
      <c r="A21328" s="2">
        <v>21323</v>
      </c>
      <c r="B21328" s="11" t="str">
        <f>"00921222"</f>
        <v>00921222</v>
      </c>
    </row>
    <row r="21329" spans="1:2" x14ac:dyDescent="0.25">
      <c r="A21329" s="2">
        <v>21324</v>
      </c>
      <c r="B21329" s="11" t="str">
        <f>"00921240"</f>
        <v>00921240</v>
      </c>
    </row>
    <row r="21330" spans="1:2" x14ac:dyDescent="0.25">
      <c r="A21330" s="2">
        <v>21325</v>
      </c>
      <c r="B21330" s="11" t="str">
        <f>"00921299"</f>
        <v>00921299</v>
      </c>
    </row>
    <row r="21331" spans="1:2" x14ac:dyDescent="0.25">
      <c r="A21331" s="2">
        <v>21326</v>
      </c>
      <c r="B21331" s="11" t="str">
        <f>"00921340"</f>
        <v>00921340</v>
      </c>
    </row>
    <row r="21332" spans="1:2" x14ac:dyDescent="0.25">
      <c r="A21332" s="2">
        <v>21327</v>
      </c>
      <c r="B21332" s="11" t="str">
        <f>"00921415"</f>
        <v>00921415</v>
      </c>
    </row>
    <row r="21333" spans="1:2" x14ac:dyDescent="0.25">
      <c r="A21333" s="2">
        <v>21328</v>
      </c>
      <c r="B21333" s="11" t="str">
        <f>"00921456"</f>
        <v>00921456</v>
      </c>
    </row>
    <row r="21334" spans="1:2" x14ac:dyDescent="0.25">
      <c r="A21334" s="2">
        <v>21329</v>
      </c>
      <c r="B21334" s="11" t="str">
        <f>"00921461"</f>
        <v>00921461</v>
      </c>
    </row>
    <row r="21335" spans="1:2" x14ac:dyDescent="0.25">
      <c r="A21335" s="2">
        <v>21330</v>
      </c>
      <c r="B21335" s="11" t="str">
        <f>"00921529"</f>
        <v>00921529</v>
      </c>
    </row>
    <row r="21336" spans="1:2" x14ac:dyDescent="0.25">
      <c r="A21336" s="2">
        <v>21331</v>
      </c>
      <c r="B21336" s="11" t="str">
        <f>"00921544"</f>
        <v>00921544</v>
      </c>
    </row>
    <row r="21337" spans="1:2" x14ac:dyDescent="0.25">
      <c r="A21337" s="2">
        <v>21332</v>
      </c>
      <c r="B21337" s="11" t="str">
        <f>"00921692"</f>
        <v>00921692</v>
      </c>
    </row>
    <row r="21338" spans="1:2" x14ac:dyDescent="0.25">
      <c r="A21338" s="2">
        <v>21333</v>
      </c>
      <c r="B21338" s="11" t="str">
        <f>"00921783"</f>
        <v>00921783</v>
      </c>
    </row>
    <row r="21339" spans="1:2" x14ac:dyDescent="0.25">
      <c r="A21339" s="2">
        <v>21334</v>
      </c>
      <c r="B21339" s="11" t="str">
        <f>"00921822"</f>
        <v>00921822</v>
      </c>
    </row>
    <row r="21340" spans="1:2" x14ac:dyDescent="0.25">
      <c r="A21340" s="2">
        <v>21335</v>
      </c>
      <c r="B21340" s="11" t="str">
        <f>"00921872"</f>
        <v>00921872</v>
      </c>
    </row>
    <row r="21341" spans="1:2" x14ac:dyDescent="0.25">
      <c r="A21341" s="2">
        <v>21336</v>
      </c>
      <c r="B21341" s="11" t="str">
        <f>"00921885"</f>
        <v>00921885</v>
      </c>
    </row>
    <row r="21342" spans="1:2" x14ac:dyDescent="0.25">
      <c r="A21342" s="2">
        <v>21337</v>
      </c>
      <c r="B21342" s="11" t="str">
        <f>"00921983"</f>
        <v>00921983</v>
      </c>
    </row>
    <row r="21343" spans="1:2" x14ac:dyDescent="0.25">
      <c r="A21343" s="2">
        <v>21338</v>
      </c>
      <c r="B21343" s="11" t="str">
        <f>"00922112"</f>
        <v>00922112</v>
      </c>
    </row>
    <row r="21344" spans="1:2" x14ac:dyDescent="0.25">
      <c r="A21344" s="2">
        <v>21339</v>
      </c>
      <c r="B21344" s="11" t="str">
        <f>"00922120"</f>
        <v>00922120</v>
      </c>
    </row>
    <row r="21345" spans="1:2" x14ac:dyDescent="0.25">
      <c r="A21345" s="2">
        <v>21340</v>
      </c>
      <c r="B21345" s="11" t="str">
        <f>"00922145"</f>
        <v>00922145</v>
      </c>
    </row>
    <row r="21346" spans="1:2" x14ac:dyDescent="0.25">
      <c r="A21346" s="2">
        <v>21341</v>
      </c>
      <c r="B21346" s="11" t="str">
        <f>"00922533"</f>
        <v>00922533</v>
      </c>
    </row>
    <row r="21347" spans="1:2" x14ac:dyDescent="0.25">
      <c r="A21347" s="2">
        <v>21342</v>
      </c>
      <c r="B21347" s="11" t="str">
        <f>"00922554"</f>
        <v>00922554</v>
      </c>
    </row>
    <row r="21348" spans="1:2" x14ac:dyDescent="0.25">
      <c r="A21348" s="2">
        <v>21343</v>
      </c>
      <c r="B21348" s="11" t="str">
        <f>"00922589"</f>
        <v>00922589</v>
      </c>
    </row>
    <row r="21349" spans="1:2" x14ac:dyDescent="0.25">
      <c r="A21349" s="2">
        <v>21344</v>
      </c>
      <c r="B21349" s="11" t="str">
        <f>"00922651"</f>
        <v>00922651</v>
      </c>
    </row>
    <row r="21350" spans="1:2" x14ac:dyDescent="0.25">
      <c r="A21350" s="2">
        <v>21345</v>
      </c>
      <c r="B21350" s="11" t="str">
        <f>"00922686"</f>
        <v>00922686</v>
      </c>
    </row>
    <row r="21351" spans="1:2" x14ac:dyDescent="0.25">
      <c r="A21351" s="2">
        <v>21346</v>
      </c>
      <c r="B21351" s="11" t="str">
        <f>"00922867"</f>
        <v>00922867</v>
      </c>
    </row>
    <row r="21352" spans="1:2" x14ac:dyDescent="0.25">
      <c r="A21352" s="2">
        <v>21347</v>
      </c>
      <c r="B21352" s="11" t="str">
        <f>"00922925"</f>
        <v>00922925</v>
      </c>
    </row>
    <row r="21353" spans="1:2" x14ac:dyDescent="0.25">
      <c r="A21353" s="2">
        <v>21348</v>
      </c>
      <c r="B21353" s="11" t="str">
        <f>"00922929"</f>
        <v>00922929</v>
      </c>
    </row>
    <row r="21354" spans="1:2" x14ac:dyDescent="0.25">
      <c r="A21354" s="2">
        <v>21349</v>
      </c>
      <c r="B21354" s="11" t="str">
        <f>"00922981"</f>
        <v>00922981</v>
      </c>
    </row>
    <row r="21355" spans="1:2" x14ac:dyDescent="0.25">
      <c r="A21355" s="2">
        <v>21350</v>
      </c>
      <c r="B21355" s="11" t="str">
        <f>"00923017"</f>
        <v>00923017</v>
      </c>
    </row>
    <row r="21356" spans="1:2" x14ac:dyDescent="0.25">
      <c r="A21356" s="2">
        <v>21351</v>
      </c>
      <c r="B21356" s="11" t="str">
        <f>"00923067"</f>
        <v>00923067</v>
      </c>
    </row>
    <row r="21357" spans="1:2" x14ac:dyDescent="0.25">
      <c r="A21357" s="2">
        <v>21352</v>
      </c>
      <c r="B21357" s="11" t="str">
        <f>"00923174"</f>
        <v>00923174</v>
      </c>
    </row>
    <row r="21358" spans="1:2" x14ac:dyDescent="0.25">
      <c r="A21358" s="2">
        <v>21353</v>
      </c>
      <c r="B21358" s="11" t="str">
        <f>"00923216"</f>
        <v>00923216</v>
      </c>
    </row>
    <row r="21359" spans="1:2" x14ac:dyDescent="0.25">
      <c r="A21359" s="2">
        <v>21354</v>
      </c>
      <c r="B21359" s="11" t="str">
        <f>"00923308"</f>
        <v>00923308</v>
      </c>
    </row>
    <row r="21360" spans="1:2" x14ac:dyDescent="0.25">
      <c r="A21360" s="2">
        <v>21355</v>
      </c>
      <c r="B21360" s="11" t="str">
        <f>"00923577"</f>
        <v>00923577</v>
      </c>
    </row>
    <row r="21361" spans="1:2" x14ac:dyDescent="0.25">
      <c r="A21361" s="2">
        <v>21356</v>
      </c>
      <c r="B21361" s="11" t="str">
        <f>"00923578"</f>
        <v>00923578</v>
      </c>
    </row>
    <row r="21362" spans="1:2" x14ac:dyDescent="0.25">
      <c r="A21362" s="2">
        <v>21357</v>
      </c>
      <c r="B21362" s="11" t="str">
        <f>"00923611"</f>
        <v>00923611</v>
      </c>
    </row>
    <row r="21363" spans="1:2" x14ac:dyDescent="0.25">
      <c r="A21363" s="2">
        <v>21358</v>
      </c>
      <c r="B21363" s="11" t="str">
        <f>"00923652"</f>
        <v>00923652</v>
      </c>
    </row>
    <row r="21364" spans="1:2" x14ac:dyDescent="0.25">
      <c r="A21364" s="2">
        <v>21359</v>
      </c>
      <c r="B21364" s="11" t="str">
        <f>"00923667"</f>
        <v>00923667</v>
      </c>
    </row>
    <row r="21365" spans="1:2" x14ac:dyDescent="0.25">
      <c r="A21365" s="2">
        <v>21360</v>
      </c>
      <c r="B21365" s="11" t="str">
        <f>"00923677"</f>
        <v>00923677</v>
      </c>
    </row>
    <row r="21366" spans="1:2" x14ac:dyDescent="0.25">
      <c r="A21366" s="2">
        <v>21361</v>
      </c>
      <c r="B21366" s="11" t="str">
        <f>"00923723"</f>
        <v>00923723</v>
      </c>
    </row>
    <row r="21367" spans="1:2" x14ac:dyDescent="0.25">
      <c r="A21367" s="2">
        <v>21362</v>
      </c>
      <c r="B21367" s="11" t="str">
        <f>"00923756"</f>
        <v>00923756</v>
      </c>
    </row>
    <row r="21368" spans="1:2" x14ac:dyDescent="0.25">
      <c r="A21368" s="2">
        <v>21363</v>
      </c>
      <c r="B21368" s="11" t="str">
        <f>"00923829"</f>
        <v>00923829</v>
      </c>
    </row>
    <row r="21369" spans="1:2" x14ac:dyDescent="0.25">
      <c r="A21369" s="2">
        <v>21364</v>
      </c>
      <c r="B21369" s="11" t="str">
        <f>"00923863"</f>
        <v>00923863</v>
      </c>
    </row>
    <row r="21370" spans="1:2" x14ac:dyDescent="0.25">
      <c r="A21370" s="2">
        <v>21365</v>
      </c>
      <c r="B21370" s="11" t="str">
        <f>"00923908"</f>
        <v>00923908</v>
      </c>
    </row>
    <row r="21371" spans="1:2" x14ac:dyDescent="0.25">
      <c r="A21371" s="2">
        <v>21366</v>
      </c>
      <c r="B21371" s="11" t="str">
        <f>"00923919"</f>
        <v>00923919</v>
      </c>
    </row>
    <row r="21372" spans="1:2" x14ac:dyDescent="0.25">
      <c r="A21372" s="2">
        <v>21367</v>
      </c>
      <c r="B21372" s="11" t="str">
        <f>"00924014"</f>
        <v>00924014</v>
      </c>
    </row>
    <row r="21373" spans="1:2" x14ac:dyDescent="0.25">
      <c r="A21373" s="2">
        <v>21368</v>
      </c>
      <c r="B21373" s="11" t="str">
        <f>"00924079"</f>
        <v>00924079</v>
      </c>
    </row>
    <row r="21374" spans="1:2" x14ac:dyDescent="0.25">
      <c r="A21374" s="2">
        <v>21369</v>
      </c>
      <c r="B21374" s="11" t="str">
        <f>"00924110"</f>
        <v>00924110</v>
      </c>
    </row>
    <row r="21375" spans="1:2" x14ac:dyDescent="0.25">
      <c r="A21375" s="2">
        <v>21370</v>
      </c>
      <c r="B21375" s="11" t="str">
        <f>"00924123"</f>
        <v>00924123</v>
      </c>
    </row>
    <row r="21376" spans="1:2" x14ac:dyDescent="0.25">
      <c r="A21376" s="2">
        <v>21371</v>
      </c>
      <c r="B21376" s="11" t="str">
        <f>"00924147"</f>
        <v>00924147</v>
      </c>
    </row>
    <row r="21377" spans="1:2" x14ac:dyDescent="0.25">
      <c r="A21377" s="2">
        <v>21372</v>
      </c>
      <c r="B21377" s="11" t="str">
        <f>"00924233"</f>
        <v>00924233</v>
      </c>
    </row>
    <row r="21378" spans="1:2" x14ac:dyDescent="0.25">
      <c r="A21378" s="2">
        <v>21373</v>
      </c>
      <c r="B21378" s="11" t="str">
        <f>"00924262"</f>
        <v>00924262</v>
      </c>
    </row>
    <row r="21379" spans="1:2" x14ac:dyDescent="0.25">
      <c r="A21379" s="2">
        <v>21374</v>
      </c>
      <c r="B21379" s="11" t="str">
        <f>"00924312"</f>
        <v>00924312</v>
      </c>
    </row>
    <row r="21380" spans="1:2" x14ac:dyDescent="0.25">
      <c r="A21380" s="2">
        <v>21375</v>
      </c>
      <c r="B21380" s="11" t="str">
        <f>"00924350"</f>
        <v>00924350</v>
      </c>
    </row>
    <row r="21381" spans="1:2" x14ac:dyDescent="0.25">
      <c r="A21381" s="2">
        <v>21376</v>
      </c>
      <c r="B21381" s="11" t="str">
        <f>"00924356"</f>
        <v>00924356</v>
      </c>
    </row>
    <row r="21382" spans="1:2" x14ac:dyDescent="0.25">
      <c r="A21382" s="2">
        <v>21377</v>
      </c>
      <c r="B21382" s="11" t="str">
        <f>"00924379"</f>
        <v>00924379</v>
      </c>
    </row>
    <row r="21383" spans="1:2" x14ac:dyDescent="0.25">
      <c r="A21383" s="2">
        <v>21378</v>
      </c>
      <c r="B21383" s="11" t="str">
        <f>"00924403"</f>
        <v>00924403</v>
      </c>
    </row>
    <row r="21384" spans="1:2" x14ac:dyDescent="0.25">
      <c r="A21384" s="2">
        <v>21379</v>
      </c>
      <c r="B21384" s="11" t="str">
        <f>"00924556"</f>
        <v>00924556</v>
      </c>
    </row>
    <row r="21385" spans="1:2" x14ac:dyDescent="0.25">
      <c r="A21385" s="2">
        <v>21380</v>
      </c>
      <c r="B21385" s="11" t="str">
        <f>"00924578"</f>
        <v>00924578</v>
      </c>
    </row>
    <row r="21386" spans="1:2" x14ac:dyDescent="0.25">
      <c r="A21386" s="2">
        <v>21381</v>
      </c>
      <c r="B21386" s="11" t="str">
        <f>"00924583"</f>
        <v>00924583</v>
      </c>
    </row>
    <row r="21387" spans="1:2" x14ac:dyDescent="0.25">
      <c r="A21387" s="2">
        <v>21382</v>
      </c>
      <c r="B21387" s="11" t="str">
        <f>"00924605"</f>
        <v>00924605</v>
      </c>
    </row>
    <row r="21388" spans="1:2" x14ac:dyDescent="0.25">
      <c r="A21388" s="2">
        <v>21383</v>
      </c>
      <c r="B21388" s="11" t="str">
        <f>"00924625"</f>
        <v>00924625</v>
      </c>
    </row>
    <row r="21389" spans="1:2" x14ac:dyDescent="0.25">
      <c r="A21389" s="2">
        <v>21384</v>
      </c>
      <c r="B21389" s="11" t="str">
        <f>"00924655"</f>
        <v>00924655</v>
      </c>
    </row>
    <row r="21390" spans="1:2" x14ac:dyDescent="0.25">
      <c r="A21390" s="2">
        <v>21385</v>
      </c>
      <c r="B21390" s="11" t="str">
        <f>"00924914"</f>
        <v>00924914</v>
      </c>
    </row>
    <row r="21391" spans="1:2" x14ac:dyDescent="0.25">
      <c r="A21391" s="2">
        <v>21386</v>
      </c>
      <c r="B21391" s="11" t="str">
        <f>"00924918"</f>
        <v>00924918</v>
      </c>
    </row>
    <row r="21392" spans="1:2" x14ac:dyDescent="0.25">
      <c r="A21392" s="2">
        <v>21387</v>
      </c>
      <c r="B21392" s="11" t="str">
        <f>"00924969"</f>
        <v>00924969</v>
      </c>
    </row>
    <row r="21393" spans="1:2" x14ac:dyDescent="0.25">
      <c r="A21393" s="2">
        <v>21388</v>
      </c>
      <c r="B21393" s="11" t="str">
        <f>"00925052"</f>
        <v>00925052</v>
      </c>
    </row>
    <row r="21394" spans="1:2" x14ac:dyDescent="0.25">
      <c r="A21394" s="2">
        <v>21389</v>
      </c>
      <c r="B21394" s="11" t="str">
        <f>"00925138"</f>
        <v>00925138</v>
      </c>
    </row>
    <row r="21395" spans="1:2" x14ac:dyDescent="0.25">
      <c r="A21395" s="2">
        <v>21390</v>
      </c>
      <c r="B21395" s="11" t="str">
        <f>"00925164"</f>
        <v>00925164</v>
      </c>
    </row>
    <row r="21396" spans="1:2" x14ac:dyDescent="0.25">
      <c r="A21396" s="2">
        <v>21391</v>
      </c>
      <c r="B21396" s="11" t="str">
        <f>"00925217"</f>
        <v>00925217</v>
      </c>
    </row>
    <row r="21397" spans="1:2" x14ac:dyDescent="0.25">
      <c r="A21397" s="2">
        <v>21392</v>
      </c>
      <c r="B21397" s="11" t="str">
        <f>"00925246"</f>
        <v>00925246</v>
      </c>
    </row>
    <row r="21398" spans="1:2" x14ac:dyDescent="0.25">
      <c r="A21398" s="2">
        <v>21393</v>
      </c>
      <c r="B21398" s="11" t="str">
        <f>"00925249"</f>
        <v>00925249</v>
      </c>
    </row>
    <row r="21399" spans="1:2" x14ac:dyDescent="0.25">
      <c r="A21399" s="2">
        <v>21394</v>
      </c>
      <c r="B21399" s="11" t="str">
        <f>"00925334"</f>
        <v>00925334</v>
      </c>
    </row>
    <row r="21400" spans="1:2" x14ac:dyDescent="0.25">
      <c r="A21400" s="2">
        <v>21395</v>
      </c>
      <c r="B21400" s="11" t="str">
        <f>"00925395"</f>
        <v>00925395</v>
      </c>
    </row>
    <row r="21401" spans="1:2" x14ac:dyDescent="0.25">
      <c r="A21401" s="2">
        <v>21396</v>
      </c>
      <c r="B21401" s="11" t="str">
        <f>"00925406"</f>
        <v>00925406</v>
      </c>
    </row>
    <row r="21402" spans="1:2" x14ac:dyDescent="0.25">
      <c r="A21402" s="2">
        <v>21397</v>
      </c>
      <c r="B21402" s="11" t="str">
        <f>"00925417"</f>
        <v>00925417</v>
      </c>
    </row>
    <row r="21403" spans="1:2" x14ac:dyDescent="0.25">
      <c r="A21403" s="2">
        <v>21398</v>
      </c>
      <c r="B21403" s="11" t="str">
        <f>"00925439"</f>
        <v>00925439</v>
      </c>
    </row>
    <row r="21404" spans="1:2" x14ac:dyDescent="0.25">
      <c r="A21404" s="2">
        <v>21399</v>
      </c>
      <c r="B21404" s="11" t="str">
        <f>"00925456"</f>
        <v>00925456</v>
      </c>
    </row>
    <row r="21405" spans="1:2" x14ac:dyDescent="0.25">
      <c r="A21405" s="2">
        <v>21400</v>
      </c>
      <c r="B21405" s="11" t="str">
        <f>"00925464"</f>
        <v>00925464</v>
      </c>
    </row>
    <row r="21406" spans="1:2" x14ac:dyDescent="0.25">
      <c r="A21406" s="2">
        <v>21401</v>
      </c>
      <c r="B21406" s="11" t="str">
        <f>"00925466"</f>
        <v>00925466</v>
      </c>
    </row>
    <row r="21407" spans="1:2" x14ac:dyDescent="0.25">
      <c r="A21407" s="2">
        <v>21402</v>
      </c>
      <c r="B21407" s="11" t="str">
        <f>"00925493"</f>
        <v>00925493</v>
      </c>
    </row>
    <row r="21408" spans="1:2" x14ac:dyDescent="0.25">
      <c r="A21408" s="2">
        <v>21403</v>
      </c>
      <c r="B21408" s="11" t="str">
        <f>"00925495"</f>
        <v>00925495</v>
      </c>
    </row>
    <row r="21409" spans="1:2" x14ac:dyDescent="0.25">
      <c r="A21409" s="2">
        <v>21404</v>
      </c>
      <c r="B21409" s="11" t="str">
        <f>"00925562"</f>
        <v>00925562</v>
      </c>
    </row>
    <row r="21410" spans="1:2" x14ac:dyDescent="0.25">
      <c r="A21410" s="2">
        <v>21405</v>
      </c>
      <c r="B21410" s="11" t="str">
        <f>"00925627"</f>
        <v>00925627</v>
      </c>
    </row>
    <row r="21411" spans="1:2" x14ac:dyDescent="0.25">
      <c r="A21411" s="2">
        <v>21406</v>
      </c>
      <c r="B21411" s="11" t="str">
        <f>"00925688"</f>
        <v>00925688</v>
      </c>
    </row>
    <row r="21412" spans="1:2" x14ac:dyDescent="0.25">
      <c r="A21412" s="2">
        <v>21407</v>
      </c>
      <c r="B21412" s="11" t="str">
        <f>"00925824"</f>
        <v>00925824</v>
      </c>
    </row>
    <row r="21413" spans="1:2" x14ac:dyDescent="0.25">
      <c r="A21413" s="2">
        <v>21408</v>
      </c>
      <c r="B21413" s="11" t="str">
        <f>"00925848"</f>
        <v>00925848</v>
      </c>
    </row>
    <row r="21414" spans="1:2" x14ac:dyDescent="0.25">
      <c r="A21414" s="2">
        <v>21409</v>
      </c>
      <c r="B21414" s="11" t="str">
        <f>"00925868"</f>
        <v>00925868</v>
      </c>
    </row>
    <row r="21415" spans="1:2" x14ac:dyDescent="0.25">
      <c r="A21415" s="2">
        <v>21410</v>
      </c>
      <c r="B21415" s="11" t="str">
        <f>"00925915"</f>
        <v>00925915</v>
      </c>
    </row>
    <row r="21416" spans="1:2" x14ac:dyDescent="0.25">
      <c r="A21416" s="2">
        <v>21411</v>
      </c>
      <c r="B21416" s="11" t="str">
        <f>"00925926"</f>
        <v>00925926</v>
      </c>
    </row>
    <row r="21417" spans="1:2" x14ac:dyDescent="0.25">
      <c r="A21417" s="2">
        <v>21412</v>
      </c>
      <c r="B21417" s="11" t="str">
        <f>"00925960"</f>
        <v>00925960</v>
      </c>
    </row>
    <row r="21418" spans="1:2" x14ac:dyDescent="0.25">
      <c r="A21418" s="2">
        <v>21413</v>
      </c>
      <c r="B21418" s="11" t="str">
        <f>"00925976"</f>
        <v>00925976</v>
      </c>
    </row>
    <row r="21419" spans="1:2" x14ac:dyDescent="0.25">
      <c r="A21419" s="2">
        <v>21414</v>
      </c>
      <c r="B21419" s="11" t="str">
        <f>"00925993"</f>
        <v>00925993</v>
      </c>
    </row>
    <row r="21420" spans="1:2" x14ac:dyDescent="0.25">
      <c r="A21420" s="2">
        <v>21415</v>
      </c>
      <c r="B21420" s="11" t="str">
        <f>"00926028"</f>
        <v>00926028</v>
      </c>
    </row>
    <row r="21421" spans="1:2" x14ac:dyDescent="0.25">
      <c r="A21421" s="2">
        <v>21416</v>
      </c>
      <c r="B21421" s="11" t="str">
        <f>"00926032"</f>
        <v>00926032</v>
      </c>
    </row>
    <row r="21422" spans="1:2" x14ac:dyDescent="0.25">
      <c r="A21422" s="2">
        <v>21417</v>
      </c>
      <c r="B21422" s="11" t="str">
        <f>"00926036"</f>
        <v>00926036</v>
      </c>
    </row>
    <row r="21423" spans="1:2" x14ac:dyDescent="0.25">
      <c r="A21423" s="2">
        <v>21418</v>
      </c>
      <c r="B21423" s="11" t="str">
        <f>"00926039"</f>
        <v>00926039</v>
      </c>
    </row>
    <row r="21424" spans="1:2" x14ac:dyDescent="0.25">
      <c r="A21424" s="2">
        <v>21419</v>
      </c>
      <c r="B21424" s="11" t="str">
        <f>"00926103"</f>
        <v>00926103</v>
      </c>
    </row>
    <row r="21425" spans="1:2" x14ac:dyDescent="0.25">
      <c r="A21425" s="2">
        <v>21420</v>
      </c>
      <c r="B21425" s="11" t="str">
        <f>"00926108"</f>
        <v>00926108</v>
      </c>
    </row>
    <row r="21426" spans="1:2" x14ac:dyDescent="0.25">
      <c r="A21426" s="2">
        <v>21421</v>
      </c>
      <c r="B21426" s="11" t="str">
        <f>"00926209"</f>
        <v>00926209</v>
      </c>
    </row>
    <row r="21427" spans="1:2" x14ac:dyDescent="0.25">
      <c r="A21427" s="2">
        <v>21422</v>
      </c>
      <c r="B21427" s="11" t="str">
        <f>"00926228"</f>
        <v>00926228</v>
      </c>
    </row>
    <row r="21428" spans="1:2" x14ac:dyDescent="0.25">
      <c r="A21428" s="2">
        <v>21423</v>
      </c>
      <c r="B21428" s="11" t="str">
        <f>"00926265"</f>
        <v>00926265</v>
      </c>
    </row>
    <row r="21429" spans="1:2" x14ac:dyDescent="0.25">
      <c r="A21429" s="2">
        <v>21424</v>
      </c>
      <c r="B21429" s="11" t="str">
        <f>"00926266"</f>
        <v>00926266</v>
      </c>
    </row>
    <row r="21430" spans="1:2" x14ac:dyDescent="0.25">
      <c r="A21430" s="2">
        <v>21425</v>
      </c>
      <c r="B21430" s="11" t="str">
        <f>"00926301"</f>
        <v>00926301</v>
      </c>
    </row>
    <row r="21431" spans="1:2" x14ac:dyDescent="0.25">
      <c r="A21431" s="2">
        <v>21426</v>
      </c>
      <c r="B21431" s="11" t="str">
        <f>"00926305"</f>
        <v>00926305</v>
      </c>
    </row>
    <row r="21432" spans="1:2" x14ac:dyDescent="0.25">
      <c r="A21432" s="2">
        <v>21427</v>
      </c>
      <c r="B21432" s="11" t="str">
        <f>"00926310"</f>
        <v>00926310</v>
      </c>
    </row>
    <row r="21433" spans="1:2" x14ac:dyDescent="0.25">
      <c r="A21433" s="2">
        <v>21428</v>
      </c>
      <c r="B21433" s="11" t="str">
        <f>"00926364"</f>
        <v>00926364</v>
      </c>
    </row>
    <row r="21434" spans="1:2" x14ac:dyDescent="0.25">
      <c r="A21434" s="2">
        <v>21429</v>
      </c>
      <c r="B21434" s="11" t="str">
        <f>"00926393"</f>
        <v>00926393</v>
      </c>
    </row>
    <row r="21435" spans="1:2" x14ac:dyDescent="0.25">
      <c r="A21435" s="2">
        <v>21430</v>
      </c>
      <c r="B21435" s="11" t="str">
        <f>"00926462"</f>
        <v>00926462</v>
      </c>
    </row>
    <row r="21436" spans="1:2" x14ac:dyDescent="0.25">
      <c r="A21436" s="2">
        <v>21431</v>
      </c>
      <c r="B21436" s="11" t="str">
        <f>"00926470"</f>
        <v>00926470</v>
      </c>
    </row>
    <row r="21437" spans="1:2" x14ac:dyDescent="0.25">
      <c r="A21437" s="2">
        <v>21432</v>
      </c>
      <c r="B21437" s="11" t="str">
        <f>"00926477"</f>
        <v>00926477</v>
      </c>
    </row>
    <row r="21438" spans="1:2" x14ac:dyDescent="0.25">
      <c r="A21438" s="2">
        <v>21433</v>
      </c>
      <c r="B21438" s="11" t="str">
        <f>"00926488"</f>
        <v>00926488</v>
      </c>
    </row>
    <row r="21439" spans="1:2" x14ac:dyDescent="0.25">
      <c r="A21439" s="2">
        <v>21434</v>
      </c>
      <c r="B21439" s="11" t="str">
        <f>"00926502"</f>
        <v>00926502</v>
      </c>
    </row>
    <row r="21440" spans="1:2" x14ac:dyDescent="0.25">
      <c r="A21440" s="2">
        <v>21435</v>
      </c>
      <c r="B21440" s="11" t="str">
        <f>"00926504"</f>
        <v>00926504</v>
      </c>
    </row>
    <row r="21441" spans="1:2" x14ac:dyDescent="0.25">
      <c r="A21441" s="2">
        <v>21436</v>
      </c>
      <c r="B21441" s="11" t="str">
        <f>"00926519"</f>
        <v>00926519</v>
      </c>
    </row>
    <row r="21442" spans="1:2" x14ac:dyDescent="0.25">
      <c r="A21442" s="2">
        <v>21437</v>
      </c>
      <c r="B21442" s="11" t="str">
        <f>"00926565"</f>
        <v>00926565</v>
      </c>
    </row>
    <row r="21443" spans="1:2" x14ac:dyDescent="0.25">
      <c r="A21443" s="2">
        <v>21438</v>
      </c>
      <c r="B21443" s="11" t="str">
        <f>"00926599"</f>
        <v>00926599</v>
      </c>
    </row>
    <row r="21444" spans="1:2" x14ac:dyDescent="0.25">
      <c r="A21444" s="2">
        <v>21439</v>
      </c>
      <c r="B21444" s="11" t="str">
        <f>"00926612"</f>
        <v>00926612</v>
      </c>
    </row>
    <row r="21445" spans="1:2" x14ac:dyDescent="0.25">
      <c r="A21445" s="2">
        <v>21440</v>
      </c>
      <c r="B21445" s="11" t="str">
        <f>"00926633"</f>
        <v>00926633</v>
      </c>
    </row>
    <row r="21446" spans="1:2" x14ac:dyDescent="0.25">
      <c r="A21446" s="2">
        <v>21441</v>
      </c>
      <c r="B21446" s="11" t="str">
        <f>"00926636"</f>
        <v>00926636</v>
      </c>
    </row>
    <row r="21447" spans="1:2" x14ac:dyDescent="0.25">
      <c r="A21447" s="2">
        <v>21442</v>
      </c>
      <c r="B21447" s="11" t="str">
        <f>"00926648"</f>
        <v>00926648</v>
      </c>
    </row>
    <row r="21448" spans="1:2" x14ac:dyDescent="0.25">
      <c r="A21448" s="2">
        <v>21443</v>
      </c>
      <c r="B21448" s="11" t="str">
        <f>"00926661"</f>
        <v>00926661</v>
      </c>
    </row>
    <row r="21449" spans="1:2" x14ac:dyDescent="0.25">
      <c r="A21449" s="2">
        <v>21444</v>
      </c>
      <c r="B21449" s="11" t="str">
        <f>"00926734"</f>
        <v>00926734</v>
      </c>
    </row>
    <row r="21450" spans="1:2" x14ac:dyDescent="0.25">
      <c r="A21450" s="2">
        <v>21445</v>
      </c>
      <c r="B21450" s="11" t="str">
        <f>"00926796"</f>
        <v>00926796</v>
      </c>
    </row>
    <row r="21451" spans="1:2" x14ac:dyDescent="0.25">
      <c r="A21451" s="2">
        <v>21446</v>
      </c>
      <c r="B21451" s="11" t="str">
        <f>"00926810"</f>
        <v>00926810</v>
      </c>
    </row>
    <row r="21452" spans="1:2" x14ac:dyDescent="0.25">
      <c r="A21452" s="2">
        <v>21447</v>
      </c>
      <c r="B21452" s="11" t="str">
        <f>"00926844"</f>
        <v>00926844</v>
      </c>
    </row>
    <row r="21453" spans="1:2" x14ac:dyDescent="0.25">
      <c r="A21453" s="2">
        <v>21448</v>
      </c>
      <c r="B21453" s="11" t="str">
        <f>"00926879"</f>
        <v>00926879</v>
      </c>
    </row>
    <row r="21454" spans="1:2" x14ac:dyDescent="0.25">
      <c r="A21454" s="2">
        <v>21449</v>
      </c>
      <c r="B21454" s="11" t="str">
        <f>"00926881"</f>
        <v>00926881</v>
      </c>
    </row>
    <row r="21455" spans="1:2" x14ac:dyDescent="0.25">
      <c r="A21455" s="2">
        <v>21450</v>
      </c>
      <c r="B21455" s="11" t="str">
        <f>"00926887"</f>
        <v>00926887</v>
      </c>
    </row>
    <row r="21456" spans="1:2" x14ac:dyDescent="0.25">
      <c r="A21456" s="2">
        <v>21451</v>
      </c>
      <c r="B21456" s="11" t="str">
        <f>"00926892"</f>
        <v>00926892</v>
      </c>
    </row>
    <row r="21457" spans="1:2" x14ac:dyDescent="0.25">
      <c r="A21457" s="2">
        <v>21452</v>
      </c>
      <c r="B21457" s="11" t="str">
        <f>"00926896"</f>
        <v>00926896</v>
      </c>
    </row>
    <row r="21458" spans="1:2" x14ac:dyDescent="0.25">
      <c r="A21458" s="2">
        <v>21453</v>
      </c>
      <c r="B21458" s="11" t="str">
        <f>"00926907"</f>
        <v>00926907</v>
      </c>
    </row>
    <row r="21459" spans="1:2" x14ac:dyDescent="0.25">
      <c r="A21459" s="2">
        <v>21454</v>
      </c>
      <c r="B21459" s="11" t="str">
        <f>"00926915"</f>
        <v>00926915</v>
      </c>
    </row>
    <row r="21460" spans="1:2" x14ac:dyDescent="0.25">
      <c r="A21460" s="2">
        <v>21455</v>
      </c>
      <c r="B21460" s="11" t="str">
        <f>"00926916"</f>
        <v>00926916</v>
      </c>
    </row>
    <row r="21461" spans="1:2" x14ac:dyDescent="0.25">
      <c r="A21461" s="2">
        <v>21456</v>
      </c>
      <c r="B21461" s="11" t="str">
        <f>"00926917"</f>
        <v>00926917</v>
      </c>
    </row>
    <row r="21462" spans="1:2" x14ac:dyDescent="0.25">
      <c r="A21462" s="2">
        <v>21457</v>
      </c>
      <c r="B21462" s="11" t="str">
        <f>"00926927"</f>
        <v>00926927</v>
      </c>
    </row>
    <row r="21463" spans="1:2" x14ac:dyDescent="0.25">
      <c r="A21463" s="2">
        <v>21458</v>
      </c>
      <c r="B21463" s="11" t="str">
        <f>"00926933"</f>
        <v>00926933</v>
      </c>
    </row>
    <row r="21464" spans="1:2" x14ac:dyDescent="0.25">
      <c r="A21464" s="2">
        <v>21459</v>
      </c>
      <c r="B21464" s="11" t="str">
        <f>"00926959"</f>
        <v>00926959</v>
      </c>
    </row>
    <row r="21465" spans="1:2" x14ac:dyDescent="0.25">
      <c r="A21465" s="2">
        <v>21460</v>
      </c>
      <c r="B21465" s="11" t="str">
        <f>"00926964"</f>
        <v>00926964</v>
      </c>
    </row>
    <row r="21466" spans="1:2" x14ac:dyDescent="0.25">
      <c r="A21466" s="2">
        <v>21461</v>
      </c>
      <c r="B21466" s="11" t="str">
        <f>"00927038"</f>
        <v>00927038</v>
      </c>
    </row>
    <row r="21467" spans="1:2" x14ac:dyDescent="0.25">
      <c r="A21467" s="2">
        <v>21462</v>
      </c>
      <c r="B21467" s="11" t="str">
        <f>"00927043"</f>
        <v>00927043</v>
      </c>
    </row>
    <row r="21468" spans="1:2" x14ac:dyDescent="0.25">
      <c r="A21468" s="2">
        <v>21463</v>
      </c>
      <c r="B21468" s="11" t="str">
        <f>"00927104"</f>
        <v>00927104</v>
      </c>
    </row>
    <row r="21469" spans="1:2" x14ac:dyDescent="0.25">
      <c r="A21469" s="2">
        <v>21464</v>
      </c>
      <c r="B21469" s="11" t="str">
        <f>"00927110"</f>
        <v>00927110</v>
      </c>
    </row>
    <row r="21470" spans="1:2" x14ac:dyDescent="0.25">
      <c r="A21470" s="2">
        <v>21465</v>
      </c>
      <c r="B21470" s="11" t="str">
        <f>"00927134"</f>
        <v>00927134</v>
      </c>
    </row>
    <row r="21471" spans="1:2" x14ac:dyDescent="0.25">
      <c r="A21471" s="2">
        <v>21466</v>
      </c>
      <c r="B21471" s="11" t="str">
        <f>"00927162"</f>
        <v>00927162</v>
      </c>
    </row>
    <row r="21472" spans="1:2" x14ac:dyDescent="0.25">
      <c r="A21472" s="2">
        <v>21467</v>
      </c>
      <c r="B21472" s="11" t="str">
        <f>"00927199"</f>
        <v>00927199</v>
      </c>
    </row>
    <row r="21473" spans="1:2" x14ac:dyDescent="0.25">
      <c r="A21473" s="2">
        <v>21468</v>
      </c>
      <c r="B21473" s="11" t="str">
        <f>"00927247"</f>
        <v>00927247</v>
      </c>
    </row>
    <row r="21474" spans="1:2" x14ac:dyDescent="0.25">
      <c r="A21474" s="2">
        <v>21469</v>
      </c>
      <c r="B21474" s="11" t="str">
        <f>"00927278"</f>
        <v>00927278</v>
      </c>
    </row>
    <row r="21475" spans="1:2" x14ac:dyDescent="0.25">
      <c r="A21475" s="2">
        <v>21470</v>
      </c>
      <c r="B21475" s="11" t="str">
        <f>"00927287"</f>
        <v>00927287</v>
      </c>
    </row>
    <row r="21476" spans="1:2" x14ac:dyDescent="0.25">
      <c r="A21476" s="2">
        <v>21471</v>
      </c>
      <c r="B21476" s="11" t="str">
        <f>"00927305"</f>
        <v>00927305</v>
      </c>
    </row>
    <row r="21477" spans="1:2" x14ac:dyDescent="0.25">
      <c r="A21477" s="2">
        <v>21472</v>
      </c>
      <c r="B21477" s="11" t="str">
        <f>"00927322"</f>
        <v>00927322</v>
      </c>
    </row>
    <row r="21478" spans="1:2" x14ac:dyDescent="0.25">
      <c r="A21478" s="2">
        <v>21473</v>
      </c>
      <c r="B21478" s="11" t="str">
        <f>"00927362"</f>
        <v>00927362</v>
      </c>
    </row>
    <row r="21479" spans="1:2" x14ac:dyDescent="0.25">
      <c r="A21479" s="2">
        <v>21474</v>
      </c>
      <c r="B21479" s="11" t="str">
        <f>"00927386"</f>
        <v>00927386</v>
      </c>
    </row>
    <row r="21480" spans="1:2" x14ac:dyDescent="0.25">
      <c r="A21480" s="2">
        <v>21475</v>
      </c>
      <c r="B21480" s="11" t="str">
        <f>"00927408"</f>
        <v>00927408</v>
      </c>
    </row>
    <row r="21481" spans="1:2" x14ac:dyDescent="0.25">
      <c r="A21481" s="2">
        <v>21476</v>
      </c>
      <c r="B21481" s="11" t="str">
        <f>"00927420"</f>
        <v>00927420</v>
      </c>
    </row>
    <row r="21482" spans="1:2" x14ac:dyDescent="0.25">
      <c r="A21482" s="2">
        <v>21477</v>
      </c>
      <c r="B21482" s="11" t="str">
        <f>"00927458"</f>
        <v>00927458</v>
      </c>
    </row>
    <row r="21483" spans="1:2" x14ac:dyDescent="0.25">
      <c r="A21483" s="2">
        <v>21478</v>
      </c>
      <c r="B21483" s="11" t="str">
        <f>"00927481"</f>
        <v>00927481</v>
      </c>
    </row>
    <row r="21484" spans="1:2" x14ac:dyDescent="0.25">
      <c r="A21484" s="2">
        <v>21479</v>
      </c>
      <c r="B21484" s="11" t="str">
        <f>"00927504"</f>
        <v>00927504</v>
      </c>
    </row>
    <row r="21485" spans="1:2" x14ac:dyDescent="0.25">
      <c r="A21485" s="2">
        <v>21480</v>
      </c>
      <c r="B21485" s="11" t="str">
        <f>"00927510"</f>
        <v>00927510</v>
      </c>
    </row>
    <row r="21486" spans="1:2" x14ac:dyDescent="0.25">
      <c r="A21486" s="2">
        <v>21481</v>
      </c>
      <c r="B21486" s="11" t="str">
        <f>"00927511"</f>
        <v>00927511</v>
      </c>
    </row>
    <row r="21487" spans="1:2" x14ac:dyDescent="0.25">
      <c r="A21487" s="2">
        <v>21482</v>
      </c>
      <c r="B21487" s="11" t="str">
        <f>"00927525"</f>
        <v>00927525</v>
      </c>
    </row>
    <row r="21488" spans="1:2" x14ac:dyDescent="0.25">
      <c r="A21488" s="2">
        <v>21483</v>
      </c>
      <c r="B21488" s="11" t="str">
        <f>"00927538"</f>
        <v>00927538</v>
      </c>
    </row>
    <row r="21489" spans="1:2" x14ac:dyDescent="0.25">
      <c r="A21489" s="2">
        <v>21484</v>
      </c>
      <c r="B21489" s="11" t="str">
        <f>"00927542"</f>
        <v>00927542</v>
      </c>
    </row>
    <row r="21490" spans="1:2" x14ac:dyDescent="0.25">
      <c r="A21490" s="2">
        <v>21485</v>
      </c>
      <c r="B21490" s="11" t="str">
        <f>"00927566"</f>
        <v>00927566</v>
      </c>
    </row>
    <row r="21491" spans="1:2" x14ac:dyDescent="0.25">
      <c r="A21491" s="2">
        <v>21486</v>
      </c>
      <c r="B21491" s="11" t="str">
        <f>"00927635"</f>
        <v>00927635</v>
      </c>
    </row>
    <row r="21492" spans="1:2" x14ac:dyDescent="0.25">
      <c r="A21492" s="2">
        <v>21487</v>
      </c>
      <c r="B21492" s="11" t="str">
        <f>"00927665"</f>
        <v>00927665</v>
      </c>
    </row>
    <row r="21493" spans="1:2" x14ac:dyDescent="0.25">
      <c r="A21493" s="2">
        <v>21488</v>
      </c>
      <c r="B21493" s="11" t="str">
        <f>"00927692"</f>
        <v>00927692</v>
      </c>
    </row>
    <row r="21494" spans="1:2" x14ac:dyDescent="0.25">
      <c r="A21494" s="2">
        <v>21489</v>
      </c>
      <c r="B21494" s="11" t="str">
        <f>"00927699"</f>
        <v>00927699</v>
      </c>
    </row>
    <row r="21495" spans="1:2" x14ac:dyDescent="0.25">
      <c r="A21495" s="2">
        <v>21490</v>
      </c>
      <c r="B21495" s="11" t="str">
        <f>"00927706"</f>
        <v>00927706</v>
      </c>
    </row>
    <row r="21496" spans="1:2" x14ac:dyDescent="0.25">
      <c r="A21496" s="2">
        <v>21491</v>
      </c>
      <c r="B21496" s="11" t="str">
        <f>"00927718"</f>
        <v>00927718</v>
      </c>
    </row>
    <row r="21497" spans="1:2" x14ac:dyDescent="0.25">
      <c r="A21497" s="2">
        <v>21492</v>
      </c>
      <c r="B21497" s="11" t="str">
        <f>"00927748"</f>
        <v>00927748</v>
      </c>
    </row>
    <row r="21498" spans="1:2" x14ac:dyDescent="0.25">
      <c r="A21498" s="2">
        <v>21493</v>
      </c>
      <c r="B21498" s="11" t="str">
        <f>"00927773"</f>
        <v>00927773</v>
      </c>
    </row>
    <row r="21499" spans="1:2" x14ac:dyDescent="0.25">
      <c r="A21499" s="2">
        <v>21494</v>
      </c>
      <c r="B21499" s="11" t="str">
        <f>"00927780"</f>
        <v>00927780</v>
      </c>
    </row>
    <row r="21500" spans="1:2" x14ac:dyDescent="0.25">
      <c r="A21500" s="2">
        <v>21495</v>
      </c>
      <c r="B21500" s="11" t="str">
        <f>"00927806"</f>
        <v>00927806</v>
      </c>
    </row>
    <row r="21501" spans="1:2" x14ac:dyDescent="0.25">
      <c r="A21501" s="2">
        <v>21496</v>
      </c>
      <c r="B21501" s="11" t="str">
        <f>"00927833"</f>
        <v>00927833</v>
      </c>
    </row>
    <row r="21502" spans="1:2" x14ac:dyDescent="0.25">
      <c r="A21502" s="2">
        <v>21497</v>
      </c>
      <c r="B21502" s="11" t="str">
        <f>"00927837"</f>
        <v>00927837</v>
      </c>
    </row>
    <row r="21503" spans="1:2" x14ac:dyDescent="0.25">
      <c r="A21503" s="2">
        <v>21498</v>
      </c>
      <c r="B21503" s="11" t="str">
        <f>"00927854"</f>
        <v>00927854</v>
      </c>
    </row>
    <row r="21504" spans="1:2" x14ac:dyDescent="0.25">
      <c r="A21504" s="2">
        <v>21499</v>
      </c>
      <c r="B21504" s="11" t="str">
        <f>"00927861"</f>
        <v>00927861</v>
      </c>
    </row>
    <row r="21505" spans="1:2" x14ac:dyDescent="0.25">
      <c r="A21505" s="2">
        <v>21500</v>
      </c>
      <c r="B21505" s="11" t="str">
        <f>"00927875"</f>
        <v>00927875</v>
      </c>
    </row>
    <row r="21506" spans="1:2" x14ac:dyDescent="0.25">
      <c r="A21506" s="2">
        <v>21501</v>
      </c>
      <c r="B21506" s="11" t="str">
        <f>"00927895"</f>
        <v>00927895</v>
      </c>
    </row>
    <row r="21507" spans="1:2" x14ac:dyDescent="0.25">
      <c r="A21507" s="2">
        <v>21502</v>
      </c>
      <c r="B21507" s="11" t="str">
        <f>"00927938"</f>
        <v>00927938</v>
      </c>
    </row>
    <row r="21508" spans="1:2" x14ac:dyDescent="0.25">
      <c r="A21508" s="2">
        <v>21503</v>
      </c>
      <c r="B21508" s="11" t="str">
        <f>"00927944"</f>
        <v>00927944</v>
      </c>
    </row>
    <row r="21509" spans="1:2" x14ac:dyDescent="0.25">
      <c r="A21509" s="2">
        <v>21504</v>
      </c>
      <c r="B21509" s="11" t="str">
        <f>"00927975"</f>
        <v>00927975</v>
      </c>
    </row>
    <row r="21510" spans="1:2" x14ac:dyDescent="0.25">
      <c r="A21510" s="2">
        <v>21505</v>
      </c>
      <c r="B21510" s="11" t="str">
        <f>"00928010"</f>
        <v>00928010</v>
      </c>
    </row>
    <row r="21511" spans="1:2" x14ac:dyDescent="0.25">
      <c r="A21511" s="2">
        <v>21506</v>
      </c>
      <c r="B21511" s="11" t="str">
        <f>"00928028"</f>
        <v>00928028</v>
      </c>
    </row>
    <row r="21512" spans="1:2" x14ac:dyDescent="0.25">
      <c r="A21512" s="2">
        <v>21507</v>
      </c>
      <c r="B21512" s="11" t="str">
        <f>"00928029"</f>
        <v>00928029</v>
      </c>
    </row>
    <row r="21513" spans="1:2" x14ac:dyDescent="0.25">
      <c r="A21513" s="2">
        <v>21508</v>
      </c>
      <c r="B21513" s="11" t="str">
        <f>"00928034"</f>
        <v>00928034</v>
      </c>
    </row>
    <row r="21514" spans="1:2" x14ac:dyDescent="0.25">
      <c r="A21514" s="2">
        <v>21509</v>
      </c>
      <c r="B21514" s="11" t="str">
        <f>"00928044"</f>
        <v>00928044</v>
      </c>
    </row>
    <row r="21515" spans="1:2" x14ac:dyDescent="0.25">
      <c r="A21515" s="2">
        <v>21510</v>
      </c>
      <c r="B21515" s="11" t="str">
        <f>"00928049"</f>
        <v>00928049</v>
      </c>
    </row>
    <row r="21516" spans="1:2" x14ac:dyDescent="0.25">
      <c r="A21516" s="2">
        <v>21511</v>
      </c>
      <c r="B21516" s="11" t="str">
        <f>"00928054"</f>
        <v>00928054</v>
      </c>
    </row>
    <row r="21517" spans="1:2" x14ac:dyDescent="0.25">
      <c r="A21517" s="2">
        <v>21512</v>
      </c>
      <c r="B21517" s="11" t="str">
        <f>"00928081"</f>
        <v>00928081</v>
      </c>
    </row>
    <row r="21518" spans="1:2" x14ac:dyDescent="0.25">
      <c r="A21518" s="2">
        <v>21513</v>
      </c>
      <c r="B21518" s="11" t="str">
        <f>"00928086"</f>
        <v>00928086</v>
      </c>
    </row>
    <row r="21519" spans="1:2" x14ac:dyDescent="0.25">
      <c r="A21519" s="2">
        <v>21514</v>
      </c>
      <c r="B21519" s="11" t="str">
        <f>"00928091"</f>
        <v>00928091</v>
      </c>
    </row>
    <row r="21520" spans="1:2" x14ac:dyDescent="0.25">
      <c r="A21520" s="2">
        <v>21515</v>
      </c>
      <c r="B21520" s="11" t="str">
        <f>"00928116"</f>
        <v>00928116</v>
      </c>
    </row>
    <row r="21521" spans="1:2" x14ac:dyDescent="0.25">
      <c r="A21521" s="2">
        <v>21516</v>
      </c>
      <c r="B21521" s="11" t="str">
        <f>"00928161"</f>
        <v>00928161</v>
      </c>
    </row>
    <row r="21522" spans="1:2" x14ac:dyDescent="0.25">
      <c r="A21522" s="2">
        <v>21517</v>
      </c>
      <c r="B21522" s="11" t="str">
        <f>"00928213"</f>
        <v>00928213</v>
      </c>
    </row>
    <row r="21523" spans="1:2" x14ac:dyDescent="0.25">
      <c r="A21523" s="2">
        <v>21518</v>
      </c>
      <c r="B21523" s="11" t="str">
        <f>"00928250"</f>
        <v>00928250</v>
      </c>
    </row>
    <row r="21524" spans="1:2" x14ac:dyDescent="0.25">
      <c r="A21524" s="2">
        <v>21519</v>
      </c>
      <c r="B21524" s="11" t="str">
        <f>"00928294"</f>
        <v>00928294</v>
      </c>
    </row>
    <row r="21525" spans="1:2" x14ac:dyDescent="0.25">
      <c r="A21525" s="2">
        <v>21520</v>
      </c>
      <c r="B21525" s="11" t="str">
        <f>"00928295"</f>
        <v>00928295</v>
      </c>
    </row>
    <row r="21526" spans="1:2" x14ac:dyDescent="0.25">
      <c r="A21526" s="2">
        <v>21521</v>
      </c>
      <c r="B21526" s="11" t="str">
        <f>"00928299"</f>
        <v>00928299</v>
      </c>
    </row>
    <row r="21527" spans="1:2" x14ac:dyDescent="0.25">
      <c r="A21527" s="2">
        <v>21522</v>
      </c>
      <c r="B21527" s="11" t="str">
        <f>"00928307"</f>
        <v>00928307</v>
      </c>
    </row>
    <row r="21528" spans="1:2" x14ac:dyDescent="0.25">
      <c r="A21528" s="2">
        <v>21523</v>
      </c>
      <c r="B21528" s="11" t="str">
        <f>"00928312"</f>
        <v>00928312</v>
      </c>
    </row>
    <row r="21529" spans="1:2" x14ac:dyDescent="0.25">
      <c r="A21529" s="2">
        <v>21524</v>
      </c>
      <c r="B21529" s="11" t="str">
        <f>"00928320"</f>
        <v>00928320</v>
      </c>
    </row>
    <row r="21530" spans="1:2" x14ac:dyDescent="0.25">
      <c r="A21530" s="2">
        <v>21525</v>
      </c>
      <c r="B21530" s="11" t="str">
        <f>"00928322"</f>
        <v>00928322</v>
      </c>
    </row>
    <row r="21531" spans="1:2" x14ac:dyDescent="0.25">
      <c r="A21531" s="2">
        <v>21526</v>
      </c>
      <c r="B21531" s="11" t="str">
        <f>"00928367"</f>
        <v>00928367</v>
      </c>
    </row>
    <row r="21532" spans="1:2" x14ac:dyDescent="0.25">
      <c r="A21532" s="2">
        <v>21527</v>
      </c>
      <c r="B21532" s="11" t="str">
        <f>"00928407"</f>
        <v>00928407</v>
      </c>
    </row>
    <row r="21533" spans="1:2" x14ac:dyDescent="0.25">
      <c r="A21533" s="2">
        <v>21528</v>
      </c>
      <c r="B21533" s="11" t="str">
        <f>"00928437"</f>
        <v>00928437</v>
      </c>
    </row>
    <row r="21534" spans="1:2" x14ac:dyDescent="0.25">
      <c r="A21534" s="2">
        <v>21529</v>
      </c>
      <c r="B21534" s="11" t="str">
        <f>"00928458"</f>
        <v>00928458</v>
      </c>
    </row>
    <row r="21535" spans="1:2" x14ac:dyDescent="0.25">
      <c r="A21535" s="2">
        <v>21530</v>
      </c>
      <c r="B21535" s="11" t="str">
        <f>"00928462"</f>
        <v>00928462</v>
      </c>
    </row>
    <row r="21536" spans="1:2" x14ac:dyDescent="0.25">
      <c r="A21536" s="2">
        <v>21531</v>
      </c>
      <c r="B21536" s="11" t="str">
        <f>"00928470"</f>
        <v>00928470</v>
      </c>
    </row>
    <row r="21537" spans="1:2" x14ac:dyDescent="0.25">
      <c r="A21537" s="2">
        <v>21532</v>
      </c>
      <c r="B21537" s="11" t="str">
        <f>"00928477"</f>
        <v>00928477</v>
      </c>
    </row>
    <row r="21538" spans="1:2" x14ac:dyDescent="0.25">
      <c r="A21538" s="2">
        <v>21533</v>
      </c>
      <c r="B21538" s="11" t="str">
        <f>"00928485"</f>
        <v>00928485</v>
      </c>
    </row>
    <row r="21539" spans="1:2" x14ac:dyDescent="0.25">
      <c r="A21539" s="2">
        <v>21534</v>
      </c>
      <c r="B21539" s="11" t="str">
        <f>"00928502"</f>
        <v>00928502</v>
      </c>
    </row>
    <row r="21540" spans="1:2" x14ac:dyDescent="0.25">
      <c r="A21540" s="2">
        <v>21535</v>
      </c>
      <c r="B21540" s="11" t="str">
        <f>"00928512"</f>
        <v>00928512</v>
      </c>
    </row>
    <row r="21541" spans="1:2" x14ac:dyDescent="0.25">
      <c r="A21541" s="2">
        <v>21536</v>
      </c>
      <c r="B21541" s="11" t="str">
        <f>"00928516"</f>
        <v>00928516</v>
      </c>
    </row>
    <row r="21542" spans="1:2" x14ac:dyDescent="0.25">
      <c r="A21542" s="2">
        <v>21537</v>
      </c>
      <c r="B21542" s="11" t="str">
        <f>"00928528"</f>
        <v>00928528</v>
      </c>
    </row>
    <row r="21543" spans="1:2" x14ac:dyDescent="0.25">
      <c r="A21543" s="2">
        <v>21538</v>
      </c>
      <c r="B21543" s="11" t="str">
        <f>"00928529"</f>
        <v>00928529</v>
      </c>
    </row>
    <row r="21544" spans="1:2" x14ac:dyDescent="0.25">
      <c r="A21544" s="2">
        <v>21539</v>
      </c>
      <c r="B21544" s="11" t="str">
        <f>"00928597"</f>
        <v>00928597</v>
      </c>
    </row>
    <row r="21545" spans="1:2" x14ac:dyDescent="0.25">
      <c r="A21545" s="2">
        <v>21540</v>
      </c>
      <c r="B21545" s="11" t="str">
        <f>"00928611"</f>
        <v>00928611</v>
      </c>
    </row>
    <row r="21546" spans="1:2" x14ac:dyDescent="0.25">
      <c r="A21546" s="2">
        <v>21541</v>
      </c>
      <c r="B21546" s="11" t="str">
        <f>"00928612"</f>
        <v>00928612</v>
      </c>
    </row>
    <row r="21547" spans="1:2" x14ac:dyDescent="0.25">
      <c r="A21547" s="2">
        <v>21542</v>
      </c>
      <c r="B21547" s="11" t="str">
        <f>"00928624"</f>
        <v>00928624</v>
      </c>
    </row>
    <row r="21548" spans="1:2" x14ac:dyDescent="0.25">
      <c r="A21548" s="2">
        <v>21543</v>
      </c>
      <c r="B21548" s="11" t="str">
        <f>"00928646"</f>
        <v>00928646</v>
      </c>
    </row>
    <row r="21549" spans="1:2" x14ac:dyDescent="0.25">
      <c r="A21549" s="2">
        <v>21544</v>
      </c>
      <c r="B21549" s="11" t="str">
        <f>"00928670"</f>
        <v>00928670</v>
      </c>
    </row>
    <row r="21550" spans="1:2" x14ac:dyDescent="0.25">
      <c r="A21550" s="2">
        <v>21545</v>
      </c>
      <c r="B21550" s="11" t="str">
        <f>"00928680"</f>
        <v>00928680</v>
      </c>
    </row>
    <row r="21551" spans="1:2" x14ac:dyDescent="0.25">
      <c r="A21551" s="2">
        <v>21546</v>
      </c>
      <c r="B21551" s="11" t="str">
        <f>"00928693"</f>
        <v>00928693</v>
      </c>
    </row>
    <row r="21552" spans="1:2" x14ac:dyDescent="0.25">
      <c r="A21552" s="2">
        <v>21547</v>
      </c>
      <c r="B21552" s="11" t="str">
        <f>"00928694"</f>
        <v>00928694</v>
      </c>
    </row>
    <row r="21553" spans="1:2" x14ac:dyDescent="0.25">
      <c r="A21553" s="2">
        <v>21548</v>
      </c>
      <c r="B21553" s="11" t="str">
        <f>"00928743"</f>
        <v>00928743</v>
      </c>
    </row>
    <row r="21554" spans="1:2" x14ac:dyDescent="0.25">
      <c r="A21554" s="2">
        <v>21549</v>
      </c>
      <c r="B21554" s="11" t="str">
        <f>"00928773"</f>
        <v>00928773</v>
      </c>
    </row>
    <row r="21555" spans="1:2" x14ac:dyDescent="0.25">
      <c r="A21555" s="2">
        <v>21550</v>
      </c>
      <c r="B21555" s="11" t="str">
        <f>"00928782"</f>
        <v>00928782</v>
      </c>
    </row>
    <row r="21556" spans="1:2" x14ac:dyDescent="0.25">
      <c r="A21556" s="2">
        <v>21551</v>
      </c>
      <c r="B21556" s="11" t="str">
        <f>"00928807"</f>
        <v>00928807</v>
      </c>
    </row>
    <row r="21557" spans="1:2" x14ac:dyDescent="0.25">
      <c r="A21557" s="2">
        <v>21552</v>
      </c>
      <c r="B21557" s="11" t="str">
        <f>"00928835"</f>
        <v>00928835</v>
      </c>
    </row>
    <row r="21558" spans="1:2" x14ac:dyDescent="0.25">
      <c r="A21558" s="2">
        <v>21553</v>
      </c>
      <c r="B21558" s="11" t="str">
        <f>"00928865"</f>
        <v>00928865</v>
      </c>
    </row>
    <row r="21559" spans="1:2" x14ac:dyDescent="0.25">
      <c r="A21559" s="2">
        <v>21554</v>
      </c>
      <c r="B21559" s="11" t="str">
        <f>"00928876"</f>
        <v>00928876</v>
      </c>
    </row>
    <row r="21560" spans="1:2" x14ac:dyDescent="0.25">
      <c r="A21560" s="2">
        <v>21555</v>
      </c>
      <c r="B21560" s="11" t="str">
        <f>"00928878"</f>
        <v>00928878</v>
      </c>
    </row>
    <row r="21561" spans="1:2" x14ac:dyDescent="0.25">
      <c r="A21561" s="2">
        <v>21556</v>
      </c>
      <c r="B21561" s="11" t="str">
        <f>"00928899"</f>
        <v>00928899</v>
      </c>
    </row>
    <row r="21562" spans="1:2" x14ac:dyDescent="0.25">
      <c r="A21562" s="2">
        <v>21557</v>
      </c>
      <c r="B21562" s="11" t="str">
        <f>"00928927"</f>
        <v>00928927</v>
      </c>
    </row>
    <row r="21563" spans="1:2" x14ac:dyDescent="0.25">
      <c r="A21563" s="2">
        <v>21558</v>
      </c>
      <c r="B21563" s="11" t="str">
        <f>"00928932"</f>
        <v>00928932</v>
      </c>
    </row>
    <row r="21564" spans="1:2" x14ac:dyDescent="0.25">
      <c r="A21564" s="2">
        <v>21559</v>
      </c>
      <c r="B21564" s="11" t="str">
        <f>"00928972"</f>
        <v>00928972</v>
      </c>
    </row>
    <row r="21565" spans="1:2" x14ac:dyDescent="0.25">
      <c r="A21565" s="2">
        <v>21560</v>
      </c>
      <c r="B21565" s="11" t="str">
        <f>"00928989"</f>
        <v>00928989</v>
      </c>
    </row>
    <row r="21566" spans="1:2" x14ac:dyDescent="0.25">
      <c r="A21566" s="2">
        <v>21561</v>
      </c>
      <c r="B21566" s="11" t="str">
        <f>"00929014"</f>
        <v>00929014</v>
      </c>
    </row>
    <row r="21567" spans="1:2" x14ac:dyDescent="0.25">
      <c r="A21567" s="2">
        <v>21562</v>
      </c>
      <c r="B21567" s="11" t="str">
        <f>"00929158"</f>
        <v>00929158</v>
      </c>
    </row>
    <row r="21568" spans="1:2" x14ac:dyDescent="0.25">
      <c r="A21568" s="2">
        <v>21563</v>
      </c>
      <c r="B21568" s="11" t="str">
        <f>"00929159"</f>
        <v>00929159</v>
      </c>
    </row>
    <row r="21569" spans="1:2" x14ac:dyDescent="0.25">
      <c r="A21569" s="2">
        <v>21564</v>
      </c>
      <c r="B21569" s="11" t="str">
        <f>"00929183"</f>
        <v>00929183</v>
      </c>
    </row>
    <row r="21570" spans="1:2" x14ac:dyDescent="0.25">
      <c r="A21570" s="2">
        <v>21565</v>
      </c>
      <c r="B21570" s="11" t="str">
        <f>"00929204"</f>
        <v>00929204</v>
      </c>
    </row>
    <row r="21571" spans="1:2" x14ac:dyDescent="0.25">
      <c r="A21571" s="2">
        <v>21566</v>
      </c>
      <c r="B21571" s="11" t="str">
        <f>"00929211"</f>
        <v>00929211</v>
      </c>
    </row>
    <row r="21572" spans="1:2" x14ac:dyDescent="0.25">
      <c r="A21572" s="2">
        <v>21567</v>
      </c>
      <c r="B21572" s="11" t="str">
        <f>"00929213"</f>
        <v>00929213</v>
      </c>
    </row>
    <row r="21573" spans="1:2" x14ac:dyDescent="0.25">
      <c r="A21573" s="2">
        <v>21568</v>
      </c>
      <c r="B21573" s="11" t="str">
        <f>"00929231"</f>
        <v>00929231</v>
      </c>
    </row>
    <row r="21574" spans="1:2" x14ac:dyDescent="0.25">
      <c r="A21574" s="2">
        <v>21569</v>
      </c>
      <c r="B21574" s="11" t="str">
        <f>"00929253"</f>
        <v>00929253</v>
      </c>
    </row>
    <row r="21575" spans="1:2" x14ac:dyDescent="0.25">
      <c r="A21575" s="2">
        <v>21570</v>
      </c>
      <c r="B21575" s="11" t="str">
        <f>"00929311"</f>
        <v>00929311</v>
      </c>
    </row>
    <row r="21576" spans="1:2" x14ac:dyDescent="0.25">
      <c r="A21576" s="2">
        <v>21571</v>
      </c>
      <c r="B21576" s="11" t="str">
        <f>"00929343"</f>
        <v>00929343</v>
      </c>
    </row>
    <row r="21577" spans="1:2" x14ac:dyDescent="0.25">
      <c r="A21577" s="2">
        <v>21572</v>
      </c>
      <c r="B21577" s="11" t="str">
        <f>"00929407"</f>
        <v>00929407</v>
      </c>
    </row>
    <row r="21578" spans="1:2" x14ac:dyDescent="0.25">
      <c r="A21578" s="2">
        <v>21573</v>
      </c>
      <c r="B21578" s="11" t="str">
        <f>"00929410"</f>
        <v>00929410</v>
      </c>
    </row>
    <row r="21579" spans="1:2" x14ac:dyDescent="0.25">
      <c r="A21579" s="2">
        <v>21574</v>
      </c>
      <c r="B21579" s="11" t="str">
        <f>"00929416"</f>
        <v>00929416</v>
      </c>
    </row>
    <row r="21580" spans="1:2" x14ac:dyDescent="0.25">
      <c r="A21580" s="2">
        <v>21575</v>
      </c>
      <c r="B21580" s="11" t="str">
        <f>"00929421"</f>
        <v>00929421</v>
      </c>
    </row>
    <row r="21581" spans="1:2" x14ac:dyDescent="0.25">
      <c r="A21581" s="2">
        <v>21576</v>
      </c>
      <c r="B21581" s="11" t="str">
        <f>"00929435"</f>
        <v>00929435</v>
      </c>
    </row>
    <row r="21582" spans="1:2" x14ac:dyDescent="0.25">
      <c r="A21582" s="2">
        <v>21577</v>
      </c>
      <c r="B21582" s="11" t="str">
        <f>"00929443"</f>
        <v>00929443</v>
      </c>
    </row>
    <row r="21583" spans="1:2" x14ac:dyDescent="0.25">
      <c r="A21583" s="2">
        <v>21578</v>
      </c>
      <c r="B21583" s="11" t="str">
        <f>"00929489"</f>
        <v>00929489</v>
      </c>
    </row>
    <row r="21584" spans="1:2" x14ac:dyDescent="0.25">
      <c r="A21584" s="2">
        <v>21579</v>
      </c>
      <c r="B21584" s="11" t="str">
        <f>"00929503"</f>
        <v>00929503</v>
      </c>
    </row>
    <row r="21585" spans="1:2" x14ac:dyDescent="0.25">
      <c r="A21585" s="2">
        <v>21580</v>
      </c>
      <c r="B21585" s="11" t="str">
        <f>"00929504"</f>
        <v>00929504</v>
      </c>
    </row>
    <row r="21586" spans="1:2" x14ac:dyDescent="0.25">
      <c r="A21586" s="2">
        <v>21581</v>
      </c>
      <c r="B21586" s="11" t="str">
        <f>"00929512"</f>
        <v>00929512</v>
      </c>
    </row>
    <row r="21587" spans="1:2" x14ac:dyDescent="0.25">
      <c r="A21587" s="2">
        <v>21582</v>
      </c>
      <c r="B21587" s="11" t="str">
        <f>"00929550"</f>
        <v>00929550</v>
      </c>
    </row>
    <row r="21588" spans="1:2" x14ac:dyDescent="0.25">
      <c r="A21588" s="2">
        <v>21583</v>
      </c>
      <c r="B21588" s="11" t="str">
        <f>"00929558"</f>
        <v>00929558</v>
      </c>
    </row>
    <row r="21589" spans="1:2" x14ac:dyDescent="0.25">
      <c r="A21589" s="2">
        <v>21584</v>
      </c>
      <c r="B21589" s="11" t="str">
        <f>"00929560"</f>
        <v>00929560</v>
      </c>
    </row>
    <row r="21590" spans="1:2" x14ac:dyDescent="0.25">
      <c r="A21590" s="2">
        <v>21585</v>
      </c>
      <c r="B21590" s="11" t="str">
        <f>"00929574"</f>
        <v>00929574</v>
      </c>
    </row>
    <row r="21591" spans="1:2" x14ac:dyDescent="0.25">
      <c r="A21591" s="2">
        <v>21586</v>
      </c>
      <c r="B21591" s="11" t="str">
        <f>"00929615"</f>
        <v>00929615</v>
      </c>
    </row>
    <row r="21592" spans="1:2" x14ac:dyDescent="0.25">
      <c r="A21592" s="2">
        <v>21587</v>
      </c>
      <c r="B21592" s="11" t="str">
        <f>"00929646"</f>
        <v>00929646</v>
      </c>
    </row>
    <row r="21593" spans="1:2" x14ac:dyDescent="0.25">
      <c r="A21593" s="2">
        <v>21588</v>
      </c>
      <c r="B21593" s="11" t="str">
        <f>"00929663"</f>
        <v>00929663</v>
      </c>
    </row>
    <row r="21594" spans="1:2" x14ac:dyDescent="0.25">
      <c r="A21594" s="2">
        <v>21589</v>
      </c>
      <c r="B21594" s="11" t="str">
        <f>"00929686"</f>
        <v>00929686</v>
      </c>
    </row>
    <row r="21595" spans="1:2" x14ac:dyDescent="0.25">
      <c r="A21595" s="2">
        <v>21590</v>
      </c>
      <c r="B21595" s="11" t="str">
        <f>"00929724"</f>
        <v>00929724</v>
      </c>
    </row>
    <row r="21596" spans="1:2" x14ac:dyDescent="0.25">
      <c r="A21596" s="2">
        <v>21591</v>
      </c>
      <c r="B21596" s="11" t="str">
        <f>"00929808"</f>
        <v>00929808</v>
      </c>
    </row>
    <row r="21597" spans="1:2" x14ac:dyDescent="0.25">
      <c r="A21597" s="2">
        <v>21592</v>
      </c>
      <c r="B21597" s="11" t="str">
        <f>"00929855"</f>
        <v>00929855</v>
      </c>
    </row>
    <row r="21598" spans="1:2" x14ac:dyDescent="0.25">
      <c r="A21598" s="2">
        <v>21593</v>
      </c>
      <c r="B21598" s="11" t="str">
        <f>"00929913"</f>
        <v>00929913</v>
      </c>
    </row>
    <row r="21599" spans="1:2" x14ac:dyDescent="0.25">
      <c r="A21599" s="2">
        <v>21594</v>
      </c>
      <c r="B21599" s="11" t="str">
        <f>"00929937"</f>
        <v>00929937</v>
      </c>
    </row>
    <row r="21600" spans="1:2" x14ac:dyDescent="0.25">
      <c r="A21600" s="2">
        <v>21595</v>
      </c>
      <c r="B21600" s="11" t="str">
        <f>"00929993"</f>
        <v>00929993</v>
      </c>
    </row>
    <row r="21601" spans="1:2" x14ac:dyDescent="0.25">
      <c r="A21601" s="2">
        <v>21596</v>
      </c>
      <c r="B21601" s="11" t="str">
        <f>"00930023"</f>
        <v>00930023</v>
      </c>
    </row>
    <row r="21602" spans="1:2" x14ac:dyDescent="0.25">
      <c r="A21602" s="2">
        <v>21597</v>
      </c>
      <c r="B21602" s="11" t="str">
        <f>"00930063"</f>
        <v>00930063</v>
      </c>
    </row>
    <row r="21603" spans="1:2" x14ac:dyDescent="0.25">
      <c r="A21603" s="2">
        <v>21598</v>
      </c>
      <c r="B21603" s="11" t="str">
        <f>"00930122"</f>
        <v>00930122</v>
      </c>
    </row>
    <row r="21604" spans="1:2" x14ac:dyDescent="0.25">
      <c r="A21604" s="2">
        <v>21599</v>
      </c>
      <c r="B21604" s="11" t="str">
        <f>"00930126"</f>
        <v>00930126</v>
      </c>
    </row>
    <row r="21605" spans="1:2" x14ac:dyDescent="0.25">
      <c r="A21605" s="2">
        <v>21600</v>
      </c>
      <c r="B21605" s="11" t="str">
        <f>"00930173"</f>
        <v>00930173</v>
      </c>
    </row>
    <row r="21606" spans="1:2" x14ac:dyDescent="0.25">
      <c r="A21606" s="2">
        <v>21601</v>
      </c>
      <c r="B21606" s="11" t="str">
        <f>"00930177"</f>
        <v>00930177</v>
      </c>
    </row>
    <row r="21607" spans="1:2" x14ac:dyDescent="0.25">
      <c r="A21607" s="2">
        <v>21602</v>
      </c>
      <c r="B21607" s="11" t="str">
        <f>"00930185"</f>
        <v>00930185</v>
      </c>
    </row>
    <row r="21608" spans="1:2" x14ac:dyDescent="0.25">
      <c r="A21608" s="2">
        <v>21603</v>
      </c>
      <c r="B21608" s="11" t="str">
        <f>"00930197"</f>
        <v>00930197</v>
      </c>
    </row>
    <row r="21609" spans="1:2" x14ac:dyDescent="0.25">
      <c r="A21609" s="2">
        <v>21604</v>
      </c>
      <c r="B21609" s="11" t="str">
        <f>"00930212"</f>
        <v>00930212</v>
      </c>
    </row>
    <row r="21610" spans="1:2" x14ac:dyDescent="0.25">
      <c r="A21610" s="2">
        <v>21605</v>
      </c>
      <c r="B21610" s="11" t="str">
        <f>"00930295"</f>
        <v>00930295</v>
      </c>
    </row>
    <row r="21611" spans="1:2" x14ac:dyDescent="0.25">
      <c r="A21611" s="2">
        <v>21606</v>
      </c>
      <c r="B21611" s="11" t="str">
        <f>"00930314"</f>
        <v>00930314</v>
      </c>
    </row>
    <row r="21612" spans="1:2" x14ac:dyDescent="0.25">
      <c r="A21612" s="2">
        <v>21607</v>
      </c>
      <c r="B21612" s="11" t="str">
        <f>"00930354"</f>
        <v>00930354</v>
      </c>
    </row>
    <row r="21613" spans="1:2" x14ac:dyDescent="0.25">
      <c r="A21613" s="2">
        <v>21608</v>
      </c>
      <c r="B21613" s="11" t="str">
        <f>"00930374"</f>
        <v>00930374</v>
      </c>
    </row>
    <row r="21614" spans="1:2" x14ac:dyDescent="0.25">
      <c r="A21614" s="2">
        <v>21609</v>
      </c>
      <c r="B21614" s="11" t="str">
        <f>"00930380"</f>
        <v>00930380</v>
      </c>
    </row>
    <row r="21615" spans="1:2" x14ac:dyDescent="0.25">
      <c r="A21615" s="2">
        <v>21610</v>
      </c>
      <c r="B21615" s="11" t="str">
        <f>"00930428"</f>
        <v>00930428</v>
      </c>
    </row>
    <row r="21616" spans="1:2" x14ac:dyDescent="0.25">
      <c r="A21616" s="2">
        <v>21611</v>
      </c>
      <c r="B21616" s="11" t="str">
        <f>"00930452"</f>
        <v>00930452</v>
      </c>
    </row>
    <row r="21617" spans="1:2" x14ac:dyDescent="0.25">
      <c r="A21617" s="2">
        <v>21612</v>
      </c>
      <c r="B21617" s="11" t="str">
        <f>"00930454"</f>
        <v>00930454</v>
      </c>
    </row>
    <row r="21618" spans="1:2" x14ac:dyDescent="0.25">
      <c r="A21618" s="2">
        <v>21613</v>
      </c>
      <c r="B21618" s="11" t="str">
        <f>"00930527"</f>
        <v>00930527</v>
      </c>
    </row>
    <row r="21619" spans="1:2" x14ac:dyDescent="0.25">
      <c r="A21619" s="2">
        <v>21614</v>
      </c>
      <c r="B21619" s="11" t="str">
        <f>"00930556"</f>
        <v>00930556</v>
      </c>
    </row>
    <row r="21620" spans="1:2" x14ac:dyDescent="0.25">
      <c r="A21620" s="2">
        <v>21615</v>
      </c>
      <c r="B21620" s="11" t="str">
        <f>"00930571"</f>
        <v>00930571</v>
      </c>
    </row>
    <row r="21621" spans="1:2" x14ac:dyDescent="0.25">
      <c r="A21621" s="2">
        <v>21616</v>
      </c>
      <c r="B21621" s="11" t="str">
        <f>"00930589"</f>
        <v>00930589</v>
      </c>
    </row>
    <row r="21622" spans="1:2" x14ac:dyDescent="0.25">
      <c r="A21622" s="2">
        <v>21617</v>
      </c>
      <c r="B21622" s="11" t="str">
        <f>"00930606"</f>
        <v>00930606</v>
      </c>
    </row>
    <row r="21623" spans="1:2" x14ac:dyDescent="0.25">
      <c r="A21623" s="2">
        <v>21618</v>
      </c>
      <c r="B21623" s="11" t="str">
        <f>"00930620"</f>
        <v>00930620</v>
      </c>
    </row>
    <row r="21624" spans="1:2" x14ac:dyDescent="0.25">
      <c r="A21624" s="2">
        <v>21619</v>
      </c>
      <c r="B21624" s="11" t="str">
        <f>"00930694"</f>
        <v>00930694</v>
      </c>
    </row>
    <row r="21625" spans="1:2" x14ac:dyDescent="0.25">
      <c r="A21625" s="2">
        <v>21620</v>
      </c>
      <c r="B21625" s="11" t="str">
        <f>"00930702"</f>
        <v>00930702</v>
      </c>
    </row>
    <row r="21626" spans="1:2" x14ac:dyDescent="0.25">
      <c r="A21626" s="2">
        <v>21621</v>
      </c>
      <c r="B21626" s="11" t="str">
        <f>"00930726"</f>
        <v>00930726</v>
      </c>
    </row>
    <row r="21627" spans="1:2" x14ac:dyDescent="0.25">
      <c r="A21627" s="2">
        <v>21622</v>
      </c>
      <c r="B21627" s="11" t="str">
        <f>"00930773"</f>
        <v>00930773</v>
      </c>
    </row>
    <row r="21628" spans="1:2" x14ac:dyDescent="0.25">
      <c r="A21628" s="2">
        <v>21623</v>
      </c>
      <c r="B21628" s="11" t="str">
        <f>"00930775"</f>
        <v>00930775</v>
      </c>
    </row>
    <row r="21629" spans="1:2" x14ac:dyDescent="0.25">
      <c r="A21629" s="2">
        <v>21624</v>
      </c>
      <c r="B21629" s="11" t="str">
        <f>"00930779"</f>
        <v>00930779</v>
      </c>
    </row>
    <row r="21630" spans="1:2" x14ac:dyDescent="0.25">
      <c r="A21630" s="2">
        <v>21625</v>
      </c>
      <c r="B21630" s="11" t="str">
        <f>"00930804"</f>
        <v>00930804</v>
      </c>
    </row>
    <row r="21631" spans="1:2" x14ac:dyDescent="0.25">
      <c r="A21631" s="2">
        <v>21626</v>
      </c>
      <c r="B21631" s="11" t="str">
        <f>"00930810"</f>
        <v>00930810</v>
      </c>
    </row>
    <row r="21632" spans="1:2" x14ac:dyDescent="0.25">
      <c r="A21632" s="2">
        <v>21627</v>
      </c>
      <c r="B21632" s="11" t="str">
        <f>"00930814"</f>
        <v>00930814</v>
      </c>
    </row>
    <row r="21633" spans="1:2" x14ac:dyDescent="0.25">
      <c r="A21633" s="2">
        <v>21628</v>
      </c>
      <c r="B21633" s="11" t="str">
        <f>"00930850"</f>
        <v>00930850</v>
      </c>
    </row>
    <row r="21634" spans="1:2" x14ac:dyDescent="0.25">
      <c r="A21634" s="2">
        <v>21629</v>
      </c>
      <c r="B21634" s="11" t="str">
        <f>"00930852"</f>
        <v>00930852</v>
      </c>
    </row>
    <row r="21635" spans="1:2" x14ac:dyDescent="0.25">
      <c r="A21635" s="2">
        <v>21630</v>
      </c>
      <c r="B21635" s="11" t="str">
        <f>"00930868"</f>
        <v>00930868</v>
      </c>
    </row>
    <row r="21636" spans="1:2" x14ac:dyDescent="0.25">
      <c r="A21636" s="2">
        <v>21631</v>
      </c>
      <c r="B21636" s="11" t="str">
        <f>"00930878"</f>
        <v>00930878</v>
      </c>
    </row>
    <row r="21637" spans="1:2" x14ac:dyDescent="0.25">
      <c r="A21637" s="2">
        <v>21632</v>
      </c>
      <c r="B21637" s="11" t="str">
        <f>"00930893"</f>
        <v>00930893</v>
      </c>
    </row>
    <row r="21638" spans="1:2" x14ac:dyDescent="0.25">
      <c r="A21638" s="2">
        <v>21633</v>
      </c>
      <c r="B21638" s="11" t="str">
        <f>"00930895"</f>
        <v>00930895</v>
      </c>
    </row>
    <row r="21639" spans="1:2" x14ac:dyDescent="0.25">
      <c r="A21639" s="2">
        <v>21634</v>
      </c>
      <c r="B21639" s="11" t="str">
        <f>"00930943"</f>
        <v>00930943</v>
      </c>
    </row>
    <row r="21640" spans="1:2" x14ac:dyDescent="0.25">
      <c r="A21640" s="2">
        <v>21635</v>
      </c>
      <c r="B21640" s="11" t="str">
        <f>"00930956"</f>
        <v>00930956</v>
      </c>
    </row>
    <row r="21641" spans="1:2" x14ac:dyDescent="0.25">
      <c r="A21641" s="2">
        <v>21636</v>
      </c>
      <c r="B21641" s="11" t="str">
        <f>"00931019"</f>
        <v>00931019</v>
      </c>
    </row>
    <row r="21642" spans="1:2" x14ac:dyDescent="0.25">
      <c r="A21642" s="2">
        <v>21637</v>
      </c>
      <c r="B21642" s="11" t="str">
        <f>"00931034"</f>
        <v>00931034</v>
      </c>
    </row>
    <row r="21643" spans="1:2" x14ac:dyDescent="0.25">
      <c r="A21643" s="2">
        <v>21638</v>
      </c>
      <c r="B21643" s="11" t="str">
        <f>"00931040"</f>
        <v>00931040</v>
      </c>
    </row>
    <row r="21644" spans="1:2" x14ac:dyDescent="0.25">
      <c r="A21644" s="2">
        <v>21639</v>
      </c>
      <c r="B21644" s="11" t="str">
        <f>"00931041"</f>
        <v>00931041</v>
      </c>
    </row>
    <row r="21645" spans="1:2" x14ac:dyDescent="0.25">
      <c r="A21645" s="2">
        <v>21640</v>
      </c>
      <c r="B21645" s="11" t="str">
        <f>"00931082"</f>
        <v>00931082</v>
      </c>
    </row>
    <row r="21646" spans="1:2" x14ac:dyDescent="0.25">
      <c r="A21646" s="2">
        <v>21641</v>
      </c>
      <c r="B21646" s="11" t="str">
        <f>"00931137"</f>
        <v>00931137</v>
      </c>
    </row>
    <row r="21647" spans="1:2" x14ac:dyDescent="0.25">
      <c r="A21647" s="2">
        <v>21642</v>
      </c>
      <c r="B21647" s="11" t="str">
        <f>"00931144"</f>
        <v>00931144</v>
      </c>
    </row>
    <row r="21648" spans="1:2" x14ac:dyDescent="0.25">
      <c r="A21648" s="2">
        <v>21643</v>
      </c>
      <c r="B21648" s="11" t="str">
        <f>"00931201"</f>
        <v>00931201</v>
      </c>
    </row>
    <row r="21649" spans="1:2" x14ac:dyDescent="0.25">
      <c r="A21649" s="2">
        <v>21644</v>
      </c>
      <c r="B21649" s="11" t="str">
        <f>"00931205"</f>
        <v>00931205</v>
      </c>
    </row>
    <row r="21650" spans="1:2" x14ac:dyDescent="0.25">
      <c r="A21650" s="2">
        <v>21645</v>
      </c>
      <c r="B21650" s="11" t="str">
        <f>"00931253"</f>
        <v>00931253</v>
      </c>
    </row>
    <row r="21651" spans="1:2" x14ac:dyDescent="0.25">
      <c r="A21651" s="2">
        <v>21646</v>
      </c>
      <c r="B21651" s="11" t="str">
        <f>"00931325"</f>
        <v>00931325</v>
      </c>
    </row>
    <row r="21652" spans="1:2" x14ac:dyDescent="0.25">
      <c r="A21652" s="2">
        <v>21647</v>
      </c>
      <c r="B21652" s="11" t="str">
        <f>"00931330"</f>
        <v>00931330</v>
      </c>
    </row>
    <row r="21653" spans="1:2" x14ac:dyDescent="0.25">
      <c r="A21653" s="2">
        <v>21648</v>
      </c>
      <c r="B21653" s="11" t="str">
        <f>"00931354"</f>
        <v>00931354</v>
      </c>
    </row>
    <row r="21654" spans="1:2" x14ac:dyDescent="0.25">
      <c r="A21654" s="2">
        <v>21649</v>
      </c>
      <c r="B21654" s="11" t="str">
        <f>"00931361"</f>
        <v>00931361</v>
      </c>
    </row>
    <row r="21655" spans="1:2" x14ac:dyDescent="0.25">
      <c r="A21655" s="2">
        <v>21650</v>
      </c>
      <c r="B21655" s="11" t="str">
        <f>"00931362"</f>
        <v>00931362</v>
      </c>
    </row>
    <row r="21656" spans="1:2" x14ac:dyDescent="0.25">
      <c r="A21656" s="2">
        <v>21651</v>
      </c>
      <c r="B21656" s="11" t="str">
        <f>"00931391"</f>
        <v>00931391</v>
      </c>
    </row>
    <row r="21657" spans="1:2" x14ac:dyDescent="0.25">
      <c r="A21657" s="2">
        <v>21652</v>
      </c>
      <c r="B21657" s="11" t="str">
        <f>"00931417"</f>
        <v>00931417</v>
      </c>
    </row>
    <row r="21658" spans="1:2" x14ac:dyDescent="0.25">
      <c r="A21658" s="2">
        <v>21653</v>
      </c>
      <c r="B21658" s="11" t="str">
        <f>"00931474"</f>
        <v>00931474</v>
      </c>
    </row>
    <row r="21659" spans="1:2" x14ac:dyDescent="0.25">
      <c r="A21659" s="2">
        <v>21654</v>
      </c>
      <c r="B21659" s="11" t="str">
        <f>"00931478"</f>
        <v>00931478</v>
      </c>
    </row>
    <row r="21660" spans="1:2" x14ac:dyDescent="0.25">
      <c r="A21660" s="2">
        <v>21655</v>
      </c>
      <c r="B21660" s="11" t="str">
        <f>"00931488"</f>
        <v>00931488</v>
      </c>
    </row>
    <row r="21661" spans="1:2" x14ac:dyDescent="0.25">
      <c r="A21661" s="2">
        <v>21656</v>
      </c>
      <c r="B21661" s="11" t="str">
        <f>"00931494"</f>
        <v>00931494</v>
      </c>
    </row>
    <row r="21662" spans="1:2" x14ac:dyDescent="0.25">
      <c r="A21662" s="2">
        <v>21657</v>
      </c>
      <c r="B21662" s="11" t="str">
        <f>"00931497"</f>
        <v>00931497</v>
      </c>
    </row>
    <row r="21663" spans="1:2" x14ac:dyDescent="0.25">
      <c r="A21663" s="2">
        <v>21658</v>
      </c>
      <c r="B21663" s="11" t="str">
        <f>"00931543"</f>
        <v>00931543</v>
      </c>
    </row>
    <row r="21664" spans="1:2" x14ac:dyDescent="0.25">
      <c r="A21664" s="2">
        <v>21659</v>
      </c>
      <c r="B21664" s="11" t="str">
        <f>"00931588"</f>
        <v>00931588</v>
      </c>
    </row>
    <row r="21665" spans="1:2" x14ac:dyDescent="0.25">
      <c r="A21665" s="2">
        <v>21660</v>
      </c>
      <c r="B21665" s="11" t="str">
        <f>"00931604"</f>
        <v>00931604</v>
      </c>
    </row>
    <row r="21666" spans="1:2" x14ac:dyDescent="0.25">
      <c r="A21666" s="2">
        <v>21661</v>
      </c>
      <c r="B21666" s="11" t="str">
        <f>"00931605"</f>
        <v>00931605</v>
      </c>
    </row>
    <row r="21667" spans="1:2" x14ac:dyDescent="0.25">
      <c r="A21667" s="2">
        <v>21662</v>
      </c>
      <c r="B21667" s="11" t="str">
        <f>"00931616"</f>
        <v>00931616</v>
      </c>
    </row>
    <row r="21668" spans="1:2" x14ac:dyDescent="0.25">
      <c r="A21668" s="2">
        <v>21663</v>
      </c>
      <c r="B21668" s="11" t="str">
        <f>"00931626"</f>
        <v>00931626</v>
      </c>
    </row>
    <row r="21669" spans="1:2" x14ac:dyDescent="0.25">
      <c r="A21669" s="2">
        <v>21664</v>
      </c>
      <c r="B21669" s="11" t="str">
        <f>"00931638"</f>
        <v>00931638</v>
      </c>
    </row>
    <row r="21670" spans="1:2" x14ac:dyDescent="0.25">
      <c r="A21670" s="2">
        <v>21665</v>
      </c>
      <c r="B21670" s="11" t="str">
        <f>"00931680"</f>
        <v>00931680</v>
      </c>
    </row>
    <row r="21671" spans="1:2" x14ac:dyDescent="0.25">
      <c r="A21671" s="2">
        <v>21666</v>
      </c>
      <c r="B21671" s="11" t="str">
        <f>"00931691"</f>
        <v>00931691</v>
      </c>
    </row>
    <row r="21672" spans="1:2" x14ac:dyDescent="0.25">
      <c r="A21672" s="2">
        <v>21667</v>
      </c>
      <c r="B21672" s="11" t="str">
        <f>"00931712"</f>
        <v>00931712</v>
      </c>
    </row>
    <row r="21673" spans="1:2" x14ac:dyDescent="0.25">
      <c r="A21673" s="2">
        <v>21668</v>
      </c>
      <c r="B21673" s="11" t="str">
        <f>"00931747"</f>
        <v>00931747</v>
      </c>
    </row>
    <row r="21674" spans="1:2" x14ac:dyDescent="0.25">
      <c r="A21674" s="2">
        <v>21669</v>
      </c>
      <c r="B21674" s="11" t="str">
        <f>"00931829"</f>
        <v>00931829</v>
      </c>
    </row>
    <row r="21675" spans="1:2" x14ac:dyDescent="0.25">
      <c r="A21675" s="2">
        <v>21670</v>
      </c>
      <c r="B21675" s="11" t="str">
        <f>"00931897"</f>
        <v>00931897</v>
      </c>
    </row>
    <row r="21676" spans="1:2" x14ac:dyDescent="0.25">
      <c r="A21676" s="2">
        <v>21671</v>
      </c>
      <c r="B21676" s="11" t="str">
        <f>"00931901"</f>
        <v>00931901</v>
      </c>
    </row>
    <row r="21677" spans="1:2" x14ac:dyDescent="0.25">
      <c r="A21677" s="2">
        <v>21672</v>
      </c>
      <c r="B21677" s="11" t="str">
        <f>"00931909"</f>
        <v>00931909</v>
      </c>
    </row>
    <row r="21678" spans="1:2" x14ac:dyDescent="0.25">
      <c r="A21678" s="2">
        <v>21673</v>
      </c>
      <c r="B21678" s="11" t="str">
        <f>"00931913"</f>
        <v>00931913</v>
      </c>
    </row>
    <row r="21679" spans="1:2" x14ac:dyDescent="0.25">
      <c r="A21679" s="2">
        <v>21674</v>
      </c>
      <c r="B21679" s="11" t="str">
        <f>"00931952"</f>
        <v>00931952</v>
      </c>
    </row>
    <row r="21680" spans="1:2" x14ac:dyDescent="0.25">
      <c r="A21680" s="2">
        <v>21675</v>
      </c>
      <c r="B21680" s="11" t="str">
        <f>"00931974"</f>
        <v>00931974</v>
      </c>
    </row>
    <row r="21681" spans="1:2" x14ac:dyDescent="0.25">
      <c r="A21681" s="2">
        <v>21676</v>
      </c>
      <c r="B21681" s="11" t="str">
        <f>"00931988"</f>
        <v>00931988</v>
      </c>
    </row>
    <row r="21682" spans="1:2" x14ac:dyDescent="0.25">
      <c r="A21682" s="2">
        <v>21677</v>
      </c>
      <c r="B21682" s="11" t="str">
        <f>"00932006"</f>
        <v>00932006</v>
      </c>
    </row>
    <row r="21683" spans="1:2" x14ac:dyDescent="0.25">
      <c r="A21683" s="2">
        <v>21678</v>
      </c>
      <c r="B21683" s="11" t="str">
        <f>"00932069"</f>
        <v>00932069</v>
      </c>
    </row>
    <row r="21684" spans="1:2" x14ac:dyDescent="0.25">
      <c r="A21684" s="2">
        <v>21679</v>
      </c>
      <c r="B21684" s="11" t="str">
        <f>"00932073"</f>
        <v>00932073</v>
      </c>
    </row>
    <row r="21685" spans="1:2" x14ac:dyDescent="0.25">
      <c r="A21685" s="2">
        <v>21680</v>
      </c>
      <c r="B21685" s="11" t="str">
        <f>"00932076"</f>
        <v>00932076</v>
      </c>
    </row>
    <row r="21686" spans="1:2" x14ac:dyDescent="0.25">
      <c r="A21686" s="2">
        <v>21681</v>
      </c>
      <c r="B21686" s="11" t="str">
        <f>"00932095"</f>
        <v>00932095</v>
      </c>
    </row>
    <row r="21687" spans="1:2" x14ac:dyDescent="0.25">
      <c r="A21687" s="2">
        <v>21682</v>
      </c>
      <c r="B21687" s="11" t="str">
        <f>"00932107"</f>
        <v>00932107</v>
      </c>
    </row>
    <row r="21688" spans="1:2" x14ac:dyDescent="0.25">
      <c r="A21688" s="2">
        <v>21683</v>
      </c>
      <c r="B21688" s="11" t="str">
        <f>"00932117"</f>
        <v>00932117</v>
      </c>
    </row>
    <row r="21689" spans="1:2" x14ac:dyDescent="0.25">
      <c r="A21689" s="2">
        <v>21684</v>
      </c>
      <c r="B21689" s="11" t="str">
        <f>"00932127"</f>
        <v>00932127</v>
      </c>
    </row>
    <row r="21690" spans="1:2" x14ac:dyDescent="0.25">
      <c r="A21690" s="2">
        <v>21685</v>
      </c>
      <c r="B21690" s="11" t="str">
        <f>"00932135"</f>
        <v>00932135</v>
      </c>
    </row>
    <row r="21691" spans="1:2" x14ac:dyDescent="0.25">
      <c r="A21691" s="2">
        <v>21686</v>
      </c>
      <c r="B21691" s="11" t="str">
        <f>"00932140"</f>
        <v>00932140</v>
      </c>
    </row>
    <row r="21692" spans="1:2" x14ac:dyDescent="0.25">
      <c r="A21692" s="2">
        <v>21687</v>
      </c>
      <c r="B21692" s="11" t="str">
        <f>"00932142"</f>
        <v>00932142</v>
      </c>
    </row>
    <row r="21693" spans="1:2" x14ac:dyDescent="0.25">
      <c r="A21693" s="2">
        <v>21688</v>
      </c>
      <c r="B21693" s="11" t="str">
        <f>"00932171"</f>
        <v>00932171</v>
      </c>
    </row>
    <row r="21694" spans="1:2" x14ac:dyDescent="0.25">
      <c r="A21694" s="2">
        <v>21689</v>
      </c>
      <c r="B21694" s="11" t="str">
        <f>"00932196"</f>
        <v>00932196</v>
      </c>
    </row>
    <row r="21695" spans="1:2" x14ac:dyDescent="0.25">
      <c r="A21695" s="2">
        <v>21690</v>
      </c>
      <c r="B21695" s="11" t="str">
        <f>"00932199"</f>
        <v>00932199</v>
      </c>
    </row>
    <row r="21696" spans="1:2" x14ac:dyDescent="0.25">
      <c r="A21696" s="2">
        <v>21691</v>
      </c>
      <c r="B21696" s="11" t="str">
        <f>"00932251"</f>
        <v>00932251</v>
      </c>
    </row>
    <row r="21697" spans="1:2" x14ac:dyDescent="0.25">
      <c r="A21697" s="2">
        <v>21692</v>
      </c>
      <c r="B21697" s="11" t="str">
        <f>"00932257"</f>
        <v>00932257</v>
      </c>
    </row>
    <row r="21698" spans="1:2" x14ac:dyDescent="0.25">
      <c r="A21698" s="2">
        <v>21693</v>
      </c>
      <c r="B21698" s="11" t="str">
        <f>"00932258"</f>
        <v>00932258</v>
      </c>
    </row>
    <row r="21699" spans="1:2" x14ac:dyDescent="0.25">
      <c r="A21699" s="2">
        <v>21694</v>
      </c>
      <c r="B21699" s="11" t="str">
        <f>"00932285"</f>
        <v>00932285</v>
      </c>
    </row>
    <row r="21700" spans="1:2" x14ac:dyDescent="0.25">
      <c r="A21700" s="2">
        <v>21695</v>
      </c>
      <c r="B21700" s="11" t="str">
        <f>"00932324"</f>
        <v>00932324</v>
      </c>
    </row>
    <row r="21701" spans="1:2" x14ac:dyDescent="0.25">
      <c r="A21701" s="2">
        <v>21696</v>
      </c>
      <c r="B21701" s="11" t="str">
        <f>"00932331"</f>
        <v>00932331</v>
      </c>
    </row>
    <row r="21702" spans="1:2" x14ac:dyDescent="0.25">
      <c r="A21702" s="2">
        <v>21697</v>
      </c>
      <c r="B21702" s="11" t="str">
        <f>"00932344"</f>
        <v>00932344</v>
      </c>
    </row>
    <row r="21703" spans="1:2" x14ac:dyDescent="0.25">
      <c r="A21703" s="2">
        <v>21698</v>
      </c>
      <c r="B21703" s="11" t="str">
        <f>"00932358"</f>
        <v>00932358</v>
      </c>
    </row>
    <row r="21704" spans="1:2" x14ac:dyDescent="0.25">
      <c r="A21704" s="2">
        <v>21699</v>
      </c>
      <c r="B21704" s="11" t="str">
        <f>"00932379"</f>
        <v>00932379</v>
      </c>
    </row>
    <row r="21705" spans="1:2" x14ac:dyDescent="0.25">
      <c r="A21705" s="2">
        <v>21700</v>
      </c>
      <c r="B21705" s="11" t="str">
        <f>"00932384"</f>
        <v>00932384</v>
      </c>
    </row>
    <row r="21706" spans="1:2" x14ac:dyDescent="0.25">
      <c r="A21706" s="2">
        <v>21701</v>
      </c>
      <c r="B21706" s="11" t="str">
        <f>"00932418"</f>
        <v>00932418</v>
      </c>
    </row>
    <row r="21707" spans="1:2" x14ac:dyDescent="0.25">
      <c r="A21707" s="2">
        <v>21702</v>
      </c>
      <c r="B21707" s="11" t="str">
        <f>"00932433"</f>
        <v>00932433</v>
      </c>
    </row>
    <row r="21708" spans="1:2" x14ac:dyDescent="0.25">
      <c r="A21708" s="2">
        <v>21703</v>
      </c>
      <c r="B21708" s="11" t="str">
        <f>"00932441"</f>
        <v>00932441</v>
      </c>
    </row>
    <row r="21709" spans="1:2" x14ac:dyDescent="0.25">
      <c r="A21709" s="2">
        <v>21704</v>
      </c>
      <c r="B21709" s="11" t="str">
        <f>"00932450"</f>
        <v>00932450</v>
      </c>
    </row>
    <row r="21710" spans="1:2" x14ac:dyDescent="0.25">
      <c r="A21710" s="2">
        <v>21705</v>
      </c>
      <c r="B21710" s="11" t="str">
        <f>"00932460"</f>
        <v>00932460</v>
      </c>
    </row>
    <row r="21711" spans="1:2" x14ac:dyDescent="0.25">
      <c r="A21711" s="2">
        <v>21706</v>
      </c>
      <c r="B21711" s="11" t="str">
        <f>"00932500"</f>
        <v>00932500</v>
      </c>
    </row>
    <row r="21712" spans="1:2" x14ac:dyDescent="0.25">
      <c r="A21712" s="2">
        <v>21707</v>
      </c>
      <c r="B21712" s="11" t="str">
        <f>"00932515"</f>
        <v>00932515</v>
      </c>
    </row>
    <row r="21713" spans="1:2" x14ac:dyDescent="0.25">
      <c r="A21713" s="2">
        <v>21708</v>
      </c>
      <c r="B21713" s="11" t="str">
        <f>"00932574"</f>
        <v>00932574</v>
      </c>
    </row>
    <row r="21714" spans="1:2" x14ac:dyDescent="0.25">
      <c r="A21714" s="2">
        <v>21709</v>
      </c>
      <c r="B21714" s="11" t="str">
        <f>"00932618"</f>
        <v>00932618</v>
      </c>
    </row>
    <row r="21715" spans="1:2" x14ac:dyDescent="0.25">
      <c r="A21715" s="2">
        <v>21710</v>
      </c>
      <c r="B21715" s="11" t="str">
        <f>"00932633"</f>
        <v>00932633</v>
      </c>
    </row>
    <row r="21716" spans="1:2" x14ac:dyDescent="0.25">
      <c r="A21716" s="2">
        <v>21711</v>
      </c>
      <c r="B21716" s="11" t="str">
        <f>"00932641"</f>
        <v>00932641</v>
      </c>
    </row>
    <row r="21717" spans="1:2" x14ac:dyDescent="0.25">
      <c r="A21717" s="2">
        <v>21712</v>
      </c>
      <c r="B21717" s="11" t="str">
        <f>"00932651"</f>
        <v>00932651</v>
      </c>
    </row>
    <row r="21718" spans="1:2" x14ac:dyDescent="0.25">
      <c r="A21718" s="2">
        <v>21713</v>
      </c>
      <c r="B21718" s="11" t="str">
        <f>"00932666"</f>
        <v>00932666</v>
      </c>
    </row>
    <row r="21719" spans="1:2" x14ac:dyDescent="0.25">
      <c r="A21719" s="2">
        <v>21714</v>
      </c>
      <c r="B21719" s="11" t="str">
        <f>"00932687"</f>
        <v>00932687</v>
      </c>
    </row>
    <row r="21720" spans="1:2" x14ac:dyDescent="0.25">
      <c r="A21720" s="2">
        <v>21715</v>
      </c>
      <c r="B21720" s="11" t="str">
        <f>"00932707"</f>
        <v>00932707</v>
      </c>
    </row>
    <row r="21721" spans="1:2" x14ac:dyDescent="0.25">
      <c r="A21721" s="2">
        <v>21716</v>
      </c>
      <c r="B21721" s="11" t="str">
        <f>"00932722"</f>
        <v>00932722</v>
      </c>
    </row>
    <row r="21722" spans="1:2" x14ac:dyDescent="0.25">
      <c r="A21722" s="2">
        <v>21717</v>
      </c>
      <c r="B21722" s="11" t="str">
        <f>"00932739"</f>
        <v>00932739</v>
      </c>
    </row>
    <row r="21723" spans="1:2" x14ac:dyDescent="0.25">
      <c r="A21723" s="2">
        <v>21718</v>
      </c>
      <c r="B21723" s="11" t="str">
        <f>"00932747"</f>
        <v>00932747</v>
      </c>
    </row>
    <row r="21724" spans="1:2" x14ac:dyDescent="0.25">
      <c r="A21724" s="2">
        <v>21719</v>
      </c>
      <c r="B21724" s="11" t="str">
        <f>"00932751"</f>
        <v>00932751</v>
      </c>
    </row>
    <row r="21725" spans="1:2" x14ac:dyDescent="0.25">
      <c r="A21725" s="2">
        <v>21720</v>
      </c>
      <c r="B21725" s="11" t="str">
        <f>"00932767"</f>
        <v>00932767</v>
      </c>
    </row>
    <row r="21726" spans="1:2" x14ac:dyDescent="0.25">
      <c r="A21726" s="2">
        <v>21721</v>
      </c>
      <c r="B21726" s="11" t="str">
        <f>"00932795"</f>
        <v>00932795</v>
      </c>
    </row>
    <row r="21727" spans="1:2" x14ac:dyDescent="0.25">
      <c r="A21727" s="2">
        <v>21722</v>
      </c>
      <c r="B21727" s="11" t="str">
        <f>"00932798"</f>
        <v>00932798</v>
      </c>
    </row>
    <row r="21728" spans="1:2" x14ac:dyDescent="0.25">
      <c r="A21728" s="2">
        <v>21723</v>
      </c>
      <c r="B21728" s="11" t="str">
        <f>"00932805"</f>
        <v>00932805</v>
      </c>
    </row>
    <row r="21729" spans="1:2" x14ac:dyDescent="0.25">
      <c r="A21729" s="2">
        <v>21724</v>
      </c>
      <c r="B21729" s="11" t="str">
        <f>"00932816"</f>
        <v>00932816</v>
      </c>
    </row>
    <row r="21730" spans="1:2" x14ac:dyDescent="0.25">
      <c r="A21730" s="2">
        <v>21725</v>
      </c>
      <c r="B21730" s="11" t="str">
        <f>"00932872"</f>
        <v>00932872</v>
      </c>
    </row>
    <row r="21731" spans="1:2" x14ac:dyDescent="0.25">
      <c r="A21731" s="2">
        <v>21726</v>
      </c>
      <c r="B21731" s="11" t="str">
        <f>"00932919"</f>
        <v>00932919</v>
      </c>
    </row>
    <row r="21732" spans="1:2" x14ac:dyDescent="0.25">
      <c r="A21732" s="2">
        <v>21727</v>
      </c>
      <c r="B21732" s="11" t="str">
        <f>"00932920"</f>
        <v>00932920</v>
      </c>
    </row>
    <row r="21733" spans="1:2" x14ac:dyDescent="0.25">
      <c r="A21733" s="2">
        <v>21728</v>
      </c>
      <c r="B21733" s="11" t="str">
        <f>"00932950"</f>
        <v>00932950</v>
      </c>
    </row>
    <row r="21734" spans="1:2" x14ac:dyDescent="0.25">
      <c r="A21734" s="2">
        <v>21729</v>
      </c>
      <c r="B21734" s="11" t="str">
        <f>"00932953"</f>
        <v>00932953</v>
      </c>
    </row>
    <row r="21735" spans="1:2" x14ac:dyDescent="0.25">
      <c r="A21735" s="2">
        <v>21730</v>
      </c>
      <c r="B21735" s="11" t="str">
        <f>"00932986"</f>
        <v>00932986</v>
      </c>
    </row>
    <row r="21736" spans="1:2" x14ac:dyDescent="0.25">
      <c r="A21736" s="2">
        <v>21731</v>
      </c>
      <c r="B21736" s="11" t="str">
        <f>"00932987"</f>
        <v>00932987</v>
      </c>
    </row>
    <row r="21737" spans="1:2" x14ac:dyDescent="0.25">
      <c r="A21737" s="2">
        <v>21732</v>
      </c>
      <c r="B21737" s="11" t="str">
        <f>"00933001"</f>
        <v>00933001</v>
      </c>
    </row>
    <row r="21738" spans="1:2" x14ac:dyDescent="0.25">
      <c r="A21738" s="2">
        <v>21733</v>
      </c>
      <c r="B21738" s="11" t="str">
        <f>"00933008"</f>
        <v>00933008</v>
      </c>
    </row>
    <row r="21739" spans="1:2" x14ac:dyDescent="0.25">
      <c r="A21739" s="2">
        <v>21734</v>
      </c>
      <c r="B21739" s="11" t="str">
        <f>"00933018"</f>
        <v>00933018</v>
      </c>
    </row>
    <row r="21740" spans="1:2" x14ac:dyDescent="0.25">
      <c r="A21740" s="2">
        <v>21735</v>
      </c>
      <c r="B21740" s="11" t="str">
        <f>"00933060"</f>
        <v>00933060</v>
      </c>
    </row>
    <row r="21741" spans="1:2" x14ac:dyDescent="0.25">
      <c r="A21741" s="2">
        <v>21736</v>
      </c>
      <c r="B21741" s="11" t="str">
        <f>"00933078"</f>
        <v>00933078</v>
      </c>
    </row>
    <row r="21742" spans="1:2" x14ac:dyDescent="0.25">
      <c r="A21742" s="2">
        <v>21737</v>
      </c>
      <c r="B21742" s="11" t="str">
        <f>"00933085"</f>
        <v>00933085</v>
      </c>
    </row>
    <row r="21743" spans="1:2" x14ac:dyDescent="0.25">
      <c r="A21743" s="2">
        <v>21738</v>
      </c>
      <c r="B21743" s="11" t="str">
        <f>"00933155"</f>
        <v>00933155</v>
      </c>
    </row>
    <row r="21744" spans="1:2" x14ac:dyDescent="0.25">
      <c r="A21744" s="2">
        <v>21739</v>
      </c>
      <c r="B21744" s="11" t="str">
        <f>"00933163"</f>
        <v>00933163</v>
      </c>
    </row>
    <row r="21745" spans="1:2" x14ac:dyDescent="0.25">
      <c r="A21745" s="2">
        <v>21740</v>
      </c>
      <c r="B21745" s="11" t="str">
        <f>"00933187"</f>
        <v>00933187</v>
      </c>
    </row>
    <row r="21746" spans="1:2" x14ac:dyDescent="0.25">
      <c r="A21746" s="2">
        <v>21741</v>
      </c>
      <c r="B21746" s="11" t="str">
        <f>"00933192"</f>
        <v>00933192</v>
      </c>
    </row>
    <row r="21747" spans="1:2" x14ac:dyDescent="0.25">
      <c r="A21747" s="2">
        <v>21742</v>
      </c>
      <c r="B21747" s="11" t="str">
        <f>"00933195"</f>
        <v>00933195</v>
      </c>
    </row>
    <row r="21748" spans="1:2" x14ac:dyDescent="0.25">
      <c r="A21748" s="2">
        <v>21743</v>
      </c>
      <c r="B21748" s="11" t="str">
        <f>"00933234"</f>
        <v>00933234</v>
      </c>
    </row>
    <row r="21749" spans="1:2" x14ac:dyDescent="0.25">
      <c r="A21749" s="2">
        <v>21744</v>
      </c>
      <c r="B21749" s="11" t="str">
        <f>"00933287"</f>
        <v>00933287</v>
      </c>
    </row>
    <row r="21750" spans="1:2" x14ac:dyDescent="0.25">
      <c r="A21750" s="2">
        <v>21745</v>
      </c>
      <c r="B21750" s="11" t="str">
        <f>"00933309"</f>
        <v>00933309</v>
      </c>
    </row>
    <row r="21751" spans="1:2" x14ac:dyDescent="0.25">
      <c r="A21751" s="2">
        <v>21746</v>
      </c>
      <c r="B21751" s="11" t="str">
        <f>"00933357"</f>
        <v>00933357</v>
      </c>
    </row>
    <row r="21752" spans="1:2" x14ac:dyDescent="0.25">
      <c r="A21752" s="2">
        <v>21747</v>
      </c>
      <c r="B21752" s="11" t="str">
        <f>"00933359"</f>
        <v>00933359</v>
      </c>
    </row>
    <row r="21753" spans="1:2" x14ac:dyDescent="0.25">
      <c r="A21753" s="2">
        <v>21748</v>
      </c>
      <c r="B21753" s="11" t="str">
        <f>"00933360"</f>
        <v>00933360</v>
      </c>
    </row>
    <row r="21754" spans="1:2" x14ac:dyDescent="0.25">
      <c r="A21754" s="2">
        <v>21749</v>
      </c>
      <c r="B21754" s="11" t="str">
        <f>"00933370"</f>
        <v>00933370</v>
      </c>
    </row>
    <row r="21755" spans="1:2" x14ac:dyDescent="0.25">
      <c r="A21755" s="2">
        <v>21750</v>
      </c>
      <c r="B21755" s="11" t="str">
        <f>"00933377"</f>
        <v>00933377</v>
      </c>
    </row>
    <row r="21756" spans="1:2" x14ac:dyDescent="0.25">
      <c r="A21756" s="2">
        <v>21751</v>
      </c>
      <c r="B21756" s="11" t="str">
        <f>"00933379"</f>
        <v>00933379</v>
      </c>
    </row>
    <row r="21757" spans="1:2" x14ac:dyDescent="0.25">
      <c r="A21757" s="2">
        <v>21752</v>
      </c>
      <c r="B21757" s="11" t="str">
        <f>"00933382"</f>
        <v>00933382</v>
      </c>
    </row>
    <row r="21758" spans="1:2" x14ac:dyDescent="0.25">
      <c r="A21758" s="2">
        <v>21753</v>
      </c>
      <c r="B21758" s="11" t="str">
        <f>"00933392"</f>
        <v>00933392</v>
      </c>
    </row>
    <row r="21759" spans="1:2" x14ac:dyDescent="0.25">
      <c r="A21759" s="2">
        <v>21754</v>
      </c>
      <c r="B21759" s="11" t="str">
        <f>"00933422"</f>
        <v>00933422</v>
      </c>
    </row>
    <row r="21760" spans="1:2" x14ac:dyDescent="0.25">
      <c r="A21760" s="2">
        <v>21755</v>
      </c>
      <c r="B21760" s="11" t="str">
        <f>"00933444"</f>
        <v>00933444</v>
      </c>
    </row>
    <row r="21761" spans="1:2" x14ac:dyDescent="0.25">
      <c r="A21761" s="2">
        <v>21756</v>
      </c>
      <c r="B21761" s="11" t="str">
        <f>"00933451"</f>
        <v>00933451</v>
      </c>
    </row>
    <row r="21762" spans="1:2" x14ac:dyDescent="0.25">
      <c r="A21762" s="2">
        <v>21757</v>
      </c>
      <c r="B21762" s="11" t="str">
        <f>"00933538"</f>
        <v>00933538</v>
      </c>
    </row>
    <row r="21763" spans="1:2" x14ac:dyDescent="0.25">
      <c r="A21763" s="2">
        <v>21758</v>
      </c>
      <c r="B21763" s="11" t="str">
        <f>"00933553"</f>
        <v>00933553</v>
      </c>
    </row>
    <row r="21764" spans="1:2" x14ac:dyDescent="0.25">
      <c r="A21764" s="2">
        <v>21759</v>
      </c>
      <c r="B21764" s="11" t="str">
        <f>"00933557"</f>
        <v>00933557</v>
      </c>
    </row>
    <row r="21765" spans="1:2" x14ac:dyDescent="0.25">
      <c r="A21765" s="2">
        <v>21760</v>
      </c>
      <c r="B21765" s="11" t="str">
        <f>"00933622"</f>
        <v>00933622</v>
      </c>
    </row>
    <row r="21766" spans="1:2" x14ac:dyDescent="0.25">
      <c r="A21766" s="2">
        <v>21761</v>
      </c>
      <c r="B21766" s="11" t="str">
        <f>"00933649"</f>
        <v>00933649</v>
      </c>
    </row>
    <row r="21767" spans="1:2" x14ac:dyDescent="0.25">
      <c r="A21767" s="2">
        <v>21762</v>
      </c>
      <c r="B21767" s="11" t="str">
        <f>"00933706"</f>
        <v>00933706</v>
      </c>
    </row>
    <row r="21768" spans="1:2" x14ac:dyDescent="0.25">
      <c r="A21768" s="2">
        <v>21763</v>
      </c>
      <c r="B21768" s="11" t="str">
        <f>"00933718"</f>
        <v>00933718</v>
      </c>
    </row>
    <row r="21769" spans="1:2" x14ac:dyDescent="0.25">
      <c r="A21769" s="2">
        <v>21764</v>
      </c>
      <c r="B21769" s="11" t="str">
        <f>"00933726"</f>
        <v>00933726</v>
      </c>
    </row>
    <row r="21770" spans="1:2" x14ac:dyDescent="0.25">
      <c r="A21770" s="2">
        <v>21765</v>
      </c>
      <c r="B21770" s="11" t="str">
        <f>"00933741"</f>
        <v>00933741</v>
      </c>
    </row>
    <row r="21771" spans="1:2" x14ac:dyDescent="0.25">
      <c r="A21771" s="2">
        <v>21766</v>
      </c>
      <c r="B21771" s="11" t="str">
        <f>"00933744"</f>
        <v>00933744</v>
      </c>
    </row>
    <row r="21772" spans="1:2" x14ac:dyDescent="0.25">
      <c r="A21772" s="2">
        <v>21767</v>
      </c>
      <c r="B21772" s="11" t="str">
        <f>"00933758"</f>
        <v>00933758</v>
      </c>
    </row>
    <row r="21773" spans="1:2" x14ac:dyDescent="0.25">
      <c r="A21773" s="2">
        <v>21768</v>
      </c>
      <c r="B21773" s="11" t="str">
        <f>"00933781"</f>
        <v>00933781</v>
      </c>
    </row>
    <row r="21774" spans="1:2" x14ac:dyDescent="0.25">
      <c r="A21774" s="2">
        <v>21769</v>
      </c>
      <c r="B21774" s="11" t="str">
        <f>"00933827"</f>
        <v>00933827</v>
      </c>
    </row>
    <row r="21775" spans="1:2" x14ac:dyDescent="0.25">
      <c r="A21775" s="2">
        <v>21770</v>
      </c>
      <c r="B21775" s="11" t="str">
        <f>"00933833"</f>
        <v>00933833</v>
      </c>
    </row>
    <row r="21776" spans="1:2" x14ac:dyDescent="0.25">
      <c r="A21776" s="2">
        <v>21771</v>
      </c>
      <c r="B21776" s="11" t="str">
        <f>"00933835"</f>
        <v>00933835</v>
      </c>
    </row>
    <row r="21777" spans="1:2" x14ac:dyDescent="0.25">
      <c r="A21777" s="2">
        <v>21772</v>
      </c>
      <c r="B21777" s="11" t="str">
        <f>"00933841"</f>
        <v>00933841</v>
      </c>
    </row>
    <row r="21778" spans="1:2" x14ac:dyDescent="0.25">
      <c r="A21778" s="2">
        <v>21773</v>
      </c>
      <c r="B21778" s="11" t="str">
        <f>"00933849"</f>
        <v>00933849</v>
      </c>
    </row>
    <row r="21779" spans="1:2" x14ac:dyDescent="0.25">
      <c r="A21779" s="2">
        <v>21774</v>
      </c>
      <c r="B21779" s="11" t="str">
        <f>"00933882"</f>
        <v>00933882</v>
      </c>
    </row>
    <row r="21780" spans="1:2" x14ac:dyDescent="0.25">
      <c r="A21780" s="2">
        <v>21775</v>
      </c>
      <c r="B21780" s="11" t="str">
        <f>"00933910"</f>
        <v>00933910</v>
      </c>
    </row>
    <row r="21781" spans="1:2" x14ac:dyDescent="0.25">
      <c r="A21781" s="2">
        <v>21776</v>
      </c>
      <c r="B21781" s="11" t="str">
        <f>"00933918"</f>
        <v>00933918</v>
      </c>
    </row>
    <row r="21782" spans="1:2" x14ac:dyDescent="0.25">
      <c r="A21782" s="2">
        <v>21777</v>
      </c>
      <c r="B21782" s="11" t="str">
        <f>"00933937"</f>
        <v>00933937</v>
      </c>
    </row>
    <row r="21783" spans="1:2" x14ac:dyDescent="0.25">
      <c r="A21783" s="2">
        <v>21778</v>
      </c>
      <c r="B21783" s="11" t="str">
        <f>"00933939"</f>
        <v>00933939</v>
      </c>
    </row>
    <row r="21784" spans="1:2" x14ac:dyDescent="0.25">
      <c r="A21784" s="2">
        <v>21779</v>
      </c>
      <c r="B21784" s="11" t="str">
        <f>"00933941"</f>
        <v>00933941</v>
      </c>
    </row>
    <row r="21785" spans="1:2" x14ac:dyDescent="0.25">
      <c r="A21785" s="2">
        <v>21780</v>
      </c>
      <c r="B21785" s="11" t="str">
        <f>"00933948"</f>
        <v>00933948</v>
      </c>
    </row>
    <row r="21786" spans="1:2" x14ac:dyDescent="0.25">
      <c r="A21786" s="2">
        <v>21781</v>
      </c>
      <c r="B21786" s="11" t="str">
        <f>"00933958"</f>
        <v>00933958</v>
      </c>
    </row>
    <row r="21787" spans="1:2" x14ac:dyDescent="0.25">
      <c r="A21787" s="2">
        <v>21782</v>
      </c>
      <c r="B21787" s="11" t="str">
        <f>"00933964"</f>
        <v>00933964</v>
      </c>
    </row>
    <row r="21788" spans="1:2" x14ac:dyDescent="0.25">
      <c r="A21788" s="2">
        <v>21783</v>
      </c>
      <c r="B21788" s="11" t="str">
        <f>"00933974"</f>
        <v>00933974</v>
      </c>
    </row>
    <row r="21789" spans="1:2" x14ac:dyDescent="0.25">
      <c r="A21789" s="2">
        <v>21784</v>
      </c>
      <c r="B21789" s="11" t="str">
        <f>"00933983"</f>
        <v>00933983</v>
      </c>
    </row>
    <row r="21790" spans="1:2" x14ac:dyDescent="0.25">
      <c r="A21790" s="2">
        <v>21785</v>
      </c>
      <c r="B21790" s="11" t="str">
        <f>"00933985"</f>
        <v>00933985</v>
      </c>
    </row>
    <row r="21791" spans="1:2" x14ac:dyDescent="0.25">
      <c r="A21791" s="2">
        <v>21786</v>
      </c>
      <c r="B21791" s="11" t="str">
        <f>"00934007"</f>
        <v>00934007</v>
      </c>
    </row>
    <row r="21792" spans="1:2" x14ac:dyDescent="0.25">
      <c r="A21792" s="2">
        <v>21787</v>
      </c>
      <c r="B21792" s="11" t="str">
        <f>"00934011"</f>
        <v>00934011</v>
      </c>
    </row>
    <row r="21793" spans="1:2" x14ac:dyDescent="0.25">
      <c r="A21793" s="2">
        <v>21788</v>
      </c>
      <c r="B21793" s="11" t="str">
        <f>"00934020"</f>
        <v>00934020</v>
      </c>
    </row>
    <row r="21794" spans="1:2" x14ac:dyDescent="0.25">
      <c r="A21794" s="2">
        <v>21789</v>
      </c>
      <c r="B21794" s="11" t="str">
        <f>"00934051"</f>
        <v>00934051</v>
      </c>
    </row>
    <row r="21795" spans="1:2" x14ac:dyDescent="0.25">
      <c r="A21795" s="2">
        <v>21790</v>
      </c>
      <c r="B21795" s="11" t="str">
        <f>"00934108"</f>
        <v>00934108</v>
      </c>
    </row>
    <row r="21796" spans="1:2" x14ac:dyDescent="0.25">
      <c r="A21796" s="2">
        <v>21791</v>
      </c>
      <c r="B21796" s="11" t="str">
        <f>"00934109"</f>
        <v>00934109</v>
      </c>
    </row>
    <row r="21797" spans="1:2" x14ac:dyDescent="0.25">
      <c r="A21797" s="2">
        <v>21792</v>
      </c>
      <c r="B21797" s="11" t="str">
        <f>"00934126"</f>
        <v>00934126</v>
      </c>
    </row>
    <row r="21798" spans="1:2" x14ac:dyDescent="0.25">
      <c r="A21798" s="2">
        <v>21793</v>
      </c>
      <c r="B21798" s="11" t="str">
        <f>"00934127"</f>
        <v>00934127</v>
      </c>
    </row>
    <row r="21799" spans="1:2" x14ac:dyDescent="0.25">
      <c r="A21799" s="2">
        <v>21794</v>
      </c>
      <c r="B21799" s="11" t="str">
        <f>"00934164"</f>
        <v>00934164</v>
      </c>
    </row>
    <row r="21800" spans="1:2" x14ac:dyDescent="0.25">
      <c r="A21800" s="2">
        <v>21795</v>
      </c>
      <c r="B21800" s="11" t="str">
        <f>"00934176"</f>
        <v>00934176</v>
      </c>
    </row>
    <row r="21801" spans="1:2" x14ac:dyDescent="0.25">
      <c r="A21801" s="2">
        <v>21796</v>
      </c>
      <c r="B21801" s="11" t="str">
        <f>"00934181"</f>
        <v>00934181</v>
      </c>
    </row>
    <row r="21802" spans="1:2" x14ac:dyDescent="0.25">
      <c r="A21802" s="2">
        <v>21797</v>
      </c>
      <c r="B21802" s="11" t="str">
        <f>"00934192"</f>
        <v>00934192</v>
      </c>
    </row>
    <row r="21803" spans="1:2" x14ac:dyDescent="0.25">
      <c r="A21803" s="2">
        <v>21798</v>
      </c>
      <c r="B21803" s="11" t="str">
        <f>"00934215"</f>
        <v>00934215</v>
      </c>
    </row>
    <row r="21804" spans="1:2" x14ac:dyDescent="0.25">
      <c r="A21804" s="2">
        <v>21799</v>
      </c>
      <c r="B21804" s="11" t="str">
        <f>"00934221"</f>
        <v>00934221</v>
      </c>
    </row>
    <row r="21805" spans="1:2" x14ac:dyDescent="0.25">
      <c r="A21805" s="2">
        <v>21800</v>
      </c>
      <c r="B21805" s="11" t="str">
        <f>"00934244"</f>
        <v>00934244</v>
      </c>
    </row>
    <row r="21806" spans="1:2" x14ac:dyDescent="0.25">
      <c r="A21806" s="2">
        <v>21801</v>
      </c>
      <c r="B21806" s="11" t="str">
        <f>"00934273"</f>
        <v>00934273</v>
      </c>
    </row>
    <row r="21807" spans="1:2" x14ac:dyDescent="0.25">
      <c r="A21807" s="2">
        <v>21802</v>
      </c>
      <c r="B21807" s="11" t="str">
        <f>"00934298"</f>
        <v>00934298</v>
      </c>
    </row>
    <row r="21808" spans="1:2" x14ac:dyDescent="0.25">
      <c r="A21808" s="2">
        <v>21803</v>
      </c>
      <c r="B21808" s="11" t="str">
        <f>"00934316"</f>
        <v>00934316</v>
      </c>
    </row>
    <row r="21809" spans="1:2" x14ac:dyDescent="0.25">
      <c r="A21809" s="2">
        <v>21804</v>
      </c>
      <c r="B21809" s="11" t="str">
        <f>"00934325"</f>
        <v>00934325</v>
      </c>
    </row>
    <row r="21810" spans="1:2" x14ac:dyDescent="0.25">
      <c r="A21810" s="2">
        <v>21805</v>
      </c>
      <c r="B21810" s="11" t="str">
        <f>"00934407"</f>
        <v>00934407</v>
      </c>
    </row>
    <row r="21811" spans="1:2" x14ac:dyDescent="0.25">
      <c r="A21811" s="2">
        <v>21806</v>
      </c>
      <c r="B21811" s="11" t="str">
        <f>"00934429"</f>
        <v>00934429</v>
      </c>
    </row>
    <row r="21812" spans="1:2" x14ac:dyDescent="0.25">
      <c r="A21812" s="2">
        <v>21807</v>
      </c>
      <c r="B21812" s="11" t="str">
        <f>"00934432"</f>
        <v>00934432</v>
      </c>
    </row>
    <row r="21813" spans="1:2" x14ac:dyDescent="0.25">
      <c r="A21813" s="2">
        <v>21808</v>
      </c>
      <c r="B21813" s="11" t="str">
        <f>"00934471"</f>
        <v>00934471</v>
      </c>
    </row>
    <row r="21814" spans="1:2" x14ac:dyDescent="0.25">
      <c r="A21814" s="2">
        <v>21809</v>
      </c>
      <c r="B21814" s="11" t="str">
        <f>"00934476"</f>
        <v>00934476</v>
      </c>
    </row>
    <row r="21815" spans="1:2" x14ac:dyDescent="0.25">
      <c r="A21815" s="2">
        <v>21810</v>
      </c>
      <c r="B21815" s="11" t="str">
        <f>"00934545"</f>
        <v>00934545</v>
      </c>
    </row>
    <row r="21816" spans="1:2" x14ac:dyDescent="0.25">
      <c r="A21816" s="2">
        <v>21811</v>
      </c>
      <c r="B21816" s="11" t="str">
        <f>"00934554"</f>
        <v>00934554</v>
      </c>
    </row>
    <row r="21817" spans="1:2" x14ac:dyDescent="0.25">
      <c r="A21817" s="2">
        <v>21812</v>
      </c>
      <c r="B21817" s="11" t="str">
        <f>"00934582"</f>
        <v>00934582</v>
      </c>
    </row>
    <row r="21818" spans="1:2" x14ac:dyDescent="0.25">
      <c r="A21818" s="2">
        <v>21813</v>
      </c>
      <c r="B21818" s="11" t="str">
        <f>"00934610"</f>
        <v>00934610</v>
      </c>
    </row>
    <row r="21819" spans="1:2" x14ac:dyDescent="0.25">
      <c r="A21819" s="2">
        <v>21814</v>
      </c>
      <c r="B21819" s="11" t="str">
        <f>"00934621"</f>
        <v>00934621</v>
      </c>
    </row>
    <row r="21820" spans="1:2" x14ac:dyDescent="0.25">
      <c r="A21820" s="2">
        <v>21815</v>
      </c>
      <c r="B21820" s="11" t="str">
        <f>"00934632"</f>
        <v>00934632</v>
      </c>
    </row>
    <row r="21821" spans="1:2" x14ac:dyDescent="0.25">
      <c r="A21821" s="2">
        <v>21816</v>
      </c>
      <c r="B21821" s="11" t="str">
        <f>"00934635"</f>
        <v>00934635</v>
      </c>
    </row>
    <row r="21822" spans="1:2" x14ac:dyDescent="0.25">
      <c r="A21822" s="2">
        <v>21817</v>
      </c>
      <c r="B21822" s="11" t="str">
        <f>"00934690"</f>
        <v>00934690</v>
      </c>
    </row>
    <row r="21823" spans="1:2" x14ac:dyDescent="0.25">
      <c r="A21823" s="2">
        <v>21818</v>
      </c>
      <c r="B21823" s="11" t="str">
        <f>"00934695"</f>
        <v>00934695</v>
      </c>
    </row>
    <row r="21824" spans="1:2" x14ac:dyDescent="0.25">
      <c r="A21824" s="2">
        <v>21819</v>
      </c>
      <c r="B21824" s="11" t="str">
        <f>"00934696"</f>
        <v>00934696</v>
      </c>
    </row>
    <row r="21825" spans="1:2" x14ac:dyDescent="0.25">
      <c r="A21825" s="2">
        <v>21820</v>
      </c>
      <c r="B21825" s="11" t="str">
        <f>"00934779"</f>
        <v>00934779</v>
      </c>
    </row>
    <row r="21826" spans="1:2" x14ac:dyDescent="0.25">
      <c r="A21826" s="2">
        <v>21821</v>
      </c>
      <c r="B21826" s="11" t="str">
        <f>"00934783"</f>
        <v>00934783</v>
      </c>
    </row>
    <row r="21827" spans="1:2" x14ac:dyDescent="0.25">
      <c r="A21827" s="2">
        <v>21822</v>
      </c>
      <c r="B21827" s="11" t="str">
        <f>"00934810"</f>
        <v>00934810</v>
      </c>
    </row>
    <row r="21828" spans="1:2" x14ac:dyDescent="0.25">
      <c r="A21828" s="2">
        <v>21823</v>
      </c>
      <c r="B21828" s="11" t="str">
        <f>"00935106"</f>
        <v>00935106</v>
      </c>
    </row>
    <row r="21829" spans="1:2" x14ac:dyDescent="0.25">
      <c r="A21829" s="2">
        <v>21824</v>
      </c>
      <c r="B21829" s="11" t="str">
        <f>"00935115"</f>
        <v>00935115</v>
      </c>
    </row>
    <row r="21830" spans="1:2" x14ac:dyDescent="0.25">
      <c r="A21830" s="2">
        <v>21825</v>
      </c>
      <c r="B21830" s="11" t="str">
        <f>"00935118"</f>
        <v>00935118</v>
      </c>
    </row>
    <row r="21831" spans="1:2" x14ac:dyDescent="0.25">
      <c r="A21831" s="2">
        <v>21826</v>
      </c>
      <c r="B21831" s="11" t="str">
        <f>"00935119"</f>
        <v>00935119</v>
      </c>
    </row>
    <row r="21832" spans="1:2" x14ac:dyDescent="0.25">
      <c r="A21832" s="2">
        <v>21827</v>
      </c>
      <c r="B21832" s="11" t="str">
        <f>"00935224"</f>
        <v>00935224</v>
      </c>
    </row>
    <row r="21833" spans="1:2" x14ac:dyDescent="0.25">
      <c r="A21833" s="2">
        <v>21828</v>
      </c>
      <c r="B21833" s="11" t="str">
        <f>"00935235"</f>
        <v>00935235</v>
      </c>
    </row>
    <row r="21834" spans="1:2" x14ac:dyDescent="0.25">
      <c r="A21834" s="2">
        <v>21829</v>
      </c>
      <c r="B21834" s="11" t="str">
        <f>"00935243"</f>
        <v>00935243</v>
      </c>
    </row>
    <row r="21835" spans="1:2" x14ac:dyDescent="0.25">
      <c r="A21835" s="2">
        <v>21830</v>
      </c>
      <c r="B21835" s="11" t="str">
        <f>"00935261"</f>
        <v>00935261</v>
      </c>
    </row>
    <row r="21836" spans="1:2" x14ac:dyDescent="0.25">
      <c r="A21836" s="2">
        <v>21831</v>
      </c>
      <c r="B21836" s="11" t="str">
        <f>"00935299"</f>
        <v>00935299</v>
      </c>
    </row>
    <row r="21837" spans="1:2" x14ac:dyDescent="0.25">
      <c r="A21837" s="2">
        <v>21832</v>
      </c>
      <c r="B21837" s="11" t="str">
        <f>"00935316"</f>
        <v>00935316</v>
      </c>
    </row>
    <row r="21838" spans="1:2" x14ac:dyDescent="0.25">
      <c r="A21838" s="2">
        <v>21833</v>
      </c>
      <c r="B21838" s="11" t="str">
        <f>"00935345"</f>
        <v>00935345</v>
      </c>
    </row>
    <row r="21839" spans="1:2" x14ac:dyDescent="0.25">
      <c r="A21839" s="2">
        <v>21834</v>
      </c>
      <c r="B21839" s="11" t="str">
        <f>"00935394"</f>
        <v>00935394</v>
      </c>
    </row>
    <row r="21840" spans="1:2" x14ac:dyDescent="0.25">
      <c r="A21840" s="2">
        <v>21835</v>
      </c>
      <c r="B21840" s="11" t="str">
        <f>"00935440"</f>
        <v>00935440</v>
      </c>
    </row>
    <row r="21841" spans="1:2" x14ac:dyDescent="0.25">
      <c r="A21841" s="2">
        <v>21836</v>
      </c>
      <c r="B21841" s="11" t="str">
        <f>"00935480"</f>
        <v>00935480</v>
      </c>
    </row>
    <row r="21842" spans="1:2" x14ac:dyDescent="0.25">
      <c r="A21842" s="2">
        <v>21837</v>
      </c>
      <c r="B21842" s="11" t="str">
        <f>"00935521"</f>
        <v>00935521</v>
      </c>
    </row>
    <row r="21843" spans="1:2" x14ac:dyDescent="0.25">
      <c r="A21843" s="2">
        <v>21838</v>
      </c>
      <c r="B21843" s="11" t="str">
        <f>"00935572"</f>
        <v>00935572</v>
      </c>
    </row>
    <row r="21844" spans="1:2" x14ac:dyDescent="0.25">
      <c r="A21844" s="2">
        <v>21839</v>
      </c>
      <c r="B21844" s="11" t="str">
        <f>"00935608"</f>
        <v>00935608</v>
      </c>
    </row>
    <row r="21845" spans="1:2" x14ac:dyDescent="0.25">
      <c r="A21845" s="2">
        <v>21840</v>
      </c>
      <c r="B21845" s="11" t="str">
        <f>"00935657"</f>
        <v>00935657</v>
      </c>
    </row>
    <row r="21846" spans="1:2" x14ac:dyDescent="0.25">
      <c r="A21846" s="2">
        <v>21841</v>
      </c>
      <c r="B21846" s="11" t="str">
        <f>"00935716"</f>
        <v>00935716</v>
      </c>
    </row>
    <row r="21847" spans="1:2" x14ac:dyDescent="0.25">
      <c r="A21847" s="2">
        <v>21842</v>
      </c>
      <c r="B21847" s="11" t="str">
        <f>"00935722"</f>
        <v>00935722</v>
      </c>
    </row>
    <row r="21848" spans="1:2" x14ac:dyDescent="0.25">
      <c r="A21848" s="2">
        <v>21843</v>
      </c>
      <c r="B21848" s="11" t="str">
        <f>"00935739"</f>
        <v>00935739</v>
      </c>
    </row>
    <row r="21849" spans="1:2" x14ac:dyDescent="0.25">
      <c r="A21849" s="2">
        <v>21844</v>
      </c>
      <c r="B21849" s="11" t="str">
        <f>"00935777"</f>
        <v>00935777</v>
      </c>
    </row>
    <row r="21850" spans="1:2" x14ac:dyDescent="0.25">
      <c r="A21850" s="2">
        <v>21845</v>
      </c>
      <c r="B21850" s="11" t="str">
        <f>"00935795"</f>
        <v>00935795</v>
      </c>
    </row>
    <row r="21851" spans="1:2" x14ac:dyDescent="0.25">
      <c r="A21851" s="2">
        <v>21846</v>
      </c>
      <c r="B21851" s="11" t="str">
        <f>"00935806"</f>
        <v>00935806</v>
      </c>
    </row>
    <row r="21852" spans="1:2" x14ac:dyDescent="0.25">
      <c r="A21852" s="2">
        <v>21847</v>
      </c>
      <c r="B21852" s="11" t="str">
        <f>"00935885"</f>
        <v>00935885</v>
      </c>
    </row>
    <row r="21853" spans="1:2" x14ac:dyDescent="0.25">
      <c r="A21853" s="2">
        <v>21848</v>
      </c>
      <c r="B21853" s="11" t="str">
        <f>"00935930"</f>
        <v>00935930</v>
      </c>
    </row>
    <row r="21854" spans="1:2" x14ac:dyDescent="0.25">
      <c r="A21854" s="2">
        <v>21849</v>
      </c>
      <c r="B21854" s="11" t="str">
        <f>"00935991"</f>
        <v>00935991</v>
      </c>
    </row>
    <row r="21855" spans="1:2" x14ac:dyDescent="0.25">
      <c r="A21855" s="2">
        <v>21850</v>
      </c>
      <c r="B21855" s="11" t="str">
        <f>"00936147"</f>
        <v>00936147</v>
      </c>
    </row>
    <row r="21856" spans="1:2" x14ac:dyDescent="0.25">
      <c r="A21856" s="2">
        <v>21851</v>
      </c>
      <c r="B21856" s="11" t="str">
        <f>"00936218"</f>
        <v>00936218</v>
      </c>
    </row>
    <row r="21857" spans="1:2" x14ac:dyDescent="0.25">
      <c r="A21857" s="2">
        <v>21852</v>
      </c>
      <c r="B21857" s="11" t="str">
        <f>"00936230"</f>
        <v>00936230</v>
      </c>
    </row>
    <row r="21858" spans="1:2" x14ac:dyDescent="0.25">
      <c r="A21858" s="2">
        <v>21853</v>
      </c>
      <c r="B21858" s="11" t="str">
        <f>"00936304"</f>
        <v>00936304</v>
      </c>
    </row>
    <row r="21859" spans="1:2" x14ac:dyDescent="0.25">
      <c r="A21859" s="2">
        <v>21854</v>
      </c>
      <c r="B21859" s="11" t="str">
        <f>"00936319"</f>
        <v>00936319</v>
      </c>
    </row>
    <row r="21860" spans="1:2" x14ac:dyDescent="0.25">
      <c r="A21860" s="2">
        <v>21855</v>
      </c>
      <c r="B21860" s="11" t="str">
        <f>"00936333"</f>
        <v>00936333</v>
      </c>
    </row>
    <row r="21861" spans="1:2" x14ac:dyDescent="0.25">
      <c r="A21861" s="2">
        <v>21856</v>
      </c>
      <c r="B21861" s="11" t="str">
        <f>"00936354"</f>
        <v>00936354</v>
      </c>
    </row>
    <row r="21862" spans="1:2" x14ac:dyDescent="0.25">
      <c r="A21862" s="2">
        <v>21857</v>
      </c>
      <c r="B21862" s="11" t="str">
        <f>"00936416"</f>
        <v>00936416</v>
      </c>
    </row>
    <row r="21863" spans="1:2" x14ac:dyDescent="0.25">
      <c r="A21863" s="2">
        <v>21858</v>
      </c>
      <c r="B21863" s="11" t="str">
        <f>"00936431"</f>
        <v>00936431</v>
      </c>
    </row>
    <row r="21864" spans="1:2" x14ac:dyDescent="0.25">
      <c r="A21864" s="2">
        <v>21859</v>
      </c>
      <c r="B21864" s="11" t="str">
        <f>"00936451"</f>
        <v>00936451</v>
      </c>
    </row>
    <row r="21865" spans="1:2" x14ac:dyDescent="0.25">
      <c r="A21865" s="2">
        <v>21860</v>
      </c>
      <c r="B21865" s="11" t="str">
        <f>"00936488"</f>
        <v>00936488</v>
      </c>
    </row>
    <row r="21866" spans="1:2" x14ac:dyDescent="0.25">
      <c r="A21866" s="2">
        <v>21861</v>
      </c>
      <c r="B21866" s="11" t="str">
        <f>"00936492"</f>
        <v>00936492</v>
      </c>
    </row>
    <row r="21867" spans="1:2" x14ac:dyDescent="0.25">
      <c r="A21867" s="2">
        <v>21862</v>
      </c>
      <c r="B21867" s="11" t="str">
        <f>"00936507"</f>
        <v>00936507</v>
      </c>
    </row>
    <row r="21868" spans="1:2" x14ac:dyDescent="0.25">
      <c r="A21868" s="2">
        <v>21863</v>
      </c>
      <c r="B21868" s="11" t="str">
        <f>"00936567"</f>
        <v>00936567</v>
      </c>
    </row>
    <row r="21869" spans="1:2" x14ac:dyDescent="0.25">
      <c r="A21869" s="2">
        <v>21864</v>
      </c>
      <c r="B21869" s="11" t="str">
        <f>"00936590"</f>
        <v>00936590</v>
      </c>
    </row>
    <row r="21870" spans="1:2" x14ac:dyDescent="0.25">
      <c r="A21870" s="2">
        <v>21865</v>
      </c>
      <c r="B21870" s="11" t="str">
        <f>"00936612"</f>
        <v>00936612</v>
      </c>
    </row>
    <row r="21871" spans="1:2" x14ac:dyDescent="0.25">
      <c r="A21871" s="2">
        <v>21866</v>
      </c>
      <c r="B21871" s="11" t="str">
        <f>"00936691"</f>
        <v>00936691</v>
      </c>
    </row>
    <row r="21872" spans="1:2" x14ac:dyDescent="0.25">
      <c r="A21872" s="2">
        <v>21867</v>
      </c>
      <c r="B21872" s="11" t="str">
        <f>"00936699"</f>
        <v>00936699</v>
      </c>
    </row>
    <row r="21873" spans="1:2" x14ac:dyDescent="0.25">
      <c r="A21873" s="2">
        <v>21868</v>
      </c>
      <c r="B21873" s="11" t="str">
        <f>"00936742"</f>
        <v>00936742</v>
      </c>
    </row>
    <row r="21874" spans="1:2" x14ac:dyDescent="0.25">
      <c r="A21874" s="2">
        <v>21869</v>
      </c>
      <c r="B21874" s="11" t="str">
        <f>"00936749"</f>
        <v>00936749</v>
      </c>
    </row>
    <row r="21875" spans="1:2" x14ac:dyDescent="0.25">
      <c r="A21875" s="2">
        <v>21870</v>
      </c>
      <c r="B21875" s="11" t="str">
        <f>"00936757"</f>
        <v>00936757</v>
      </c>
    </row>
    <row r="21876" spans="1:2" x14ac:dyDescent="0.25">
      <c r="A21876" s="2">
        <v>21871</v>
      </c>
      <c r="B21876" s="11" t="str">
        <f>"00936775"</f>
        <v>00936775</v>
      </c>
    </row>
    <row r="21877" spans="1:2" x14ac:dyDescent="0.25">
      <c r="A21877" s="2">
        <v>21872</v>
      </c>
      <c r="B21877" s="11" t="str">
        <f>"00936782"</f>
        <v>00936782</v>
      </c>
    </row>
    <row r="21878" spans="1:2" x14ac:dyDescent="0.25">
      <c r="A21878" s="2">
        <v>21873</v>
      </c>
      <c r="B21878" s="11" t="str">
        <f>"00936845"</f>
        <v>00936845</v>
      </c>
    </row>
    <row r="21879" spans="1:2" x14ac:dyDescent="0.25">
      <c r="A21879" s="2">
        <v>21874</v>
      </c>
      <c r="B21879" s="11" t="str">
        <f>"00936855"</f>
        <v>00936855</v>
      </c>
    </row>
    <row r="21880" spans="1:2" x14ac:dyDescent="0.25">
      <c r="A21880" s="2">
        <v>21875</v>
      </c>
      <c r="B21880" s="11" t="str">
        <f>"00936885"</f>
        <v>00936885</v>
      </c>
    </row>
    <row r="21881" spans="1:2" x14ac:dyDescent="0.25">
      <c r="A21881" s="2">
        <v>21876</v>
      </c>
      <c r="B21881" s="11" t="str">
        <f>"00936916"</f>
        <v>00936916</v>
      </c>
    </row>
    <row r="21882" spans="1:2" x14ac:dyDescent="0.25">
      <c r="A21882" s="2">
        <v>21877</v>
      </c>
      <c r="B21882" s="11" t="str">
        <f>"00936979"</f>
        <v>00936979</v>
      </c>
    </row>
    <row r="21883" spans="1:2" x14ac:dyDescent="0.25">
      <c r="A21883" s="2">
        <v>21878</v>
      </c>
      <c r="B21883" s="11" t="str">
        <f>"00936997"</f>
        <v>00936997</v>
      </c>
    </row>
    <row r="21884" spans="1:2" x14ac:dyDescent="0.25">
      <c r="A21884" s="2">
        <v>21879</v>
      </c>
      <c r="B21884" s="11" t="str">
        <f>"00937005"</f>
        <v>00937005</v>
      </c>
    </row>
    <row r="21885" spans="1:2" x14ac:dyDescent="0.25">
      <c r="A21885" s="2">
        <v>21880</v>
      </c>
      <c r="B21885" s="11" t="str">
        <f>"00937060"</f>
        <v>00937060</v>
      </c>
    </row>
    <row r="21886" spans="1:2" x14ac:dyDescent="0.25">
      <c r="A21886" s="2">
        <v>21881</v>
      </c>
      <c r="B21886" s="11" t="str">
        <f>"00937252"</f>
        <v>00937252</v>
      </c>
    </row>
    <row r="21887" spans="1:2" x14ac:dyDescent="0.25">
      <c r="A21887" s="2">
        <v>21882</v>
      </c>
      <c r="B21887" s="11" t="str">
        <f>"00937330"</f>
        <v>00937330</v>
      </c>
    </row>
    <row r="21888" spans="1:2" x14ac:dyDescent="0.25">
      <c r="A21888" s="2">
        <v>21883</v>
      </c>
      <c r="B21888" s="11" t="str">
        <f>"00937509"</f>
        <v>00937509</v>
      </c>
    </row>
    <row r="21889" spans="1:2" x14ac:dyDescent="0.25">
      <c r="A21889" s="2">
        <v>21884</v>
      </c>
      <c r="B21889" s="11" t="str">
        <f>"00937563"</f>
        <v>00937563</v>
      </c>
    </row>
    <row r="21890" spans="1:2" x14ac:dyDescent="0.25">
      <c r="A21890" s="2">
        <v>21885</v>
      </c>
      <c r="B21890" s="11" t="str">
        <f>"00937748"</f>
        <v>00937748</v>
      </c>
    </row>
    <row r="21891" spans="1:2" x14ac:dyDescent="0.25">
      <c r="A21891" s="2">
        <v>21886</v>
      </c>
      <c r="B21891" s="11" t="str">
        <f>"00937759"</f>
        <v>00937759</v>
      </c>
    </row>
    <row r="21892" spans="1:2" x14ac:dyDescent="0.25">
      <c r="A21892" s="2">
        <v>21887</v>
      </c>
      <c r="B21892" s="11" t="str">
        <f>"00937772"</f>
        <v>00937772</v>
      </c>
    </row>
    <row r="21893" spans="1:2" x14ac:dyDescent="0.25">
      <c r="A21893" s="2">
        <v>21888</v>
      </c>
      <c r="B21893" s="11" t="str">
        <f>"00937876"</f>
        <v>00937876</v>
      </c>
    </row>
    <row r="21894" spans="1:2" x14ac:dyDescent="0.25">
      <c r="A21894" s="2">
        <v>21889</v>
      </c>
      <c r="B21894" s="11" t="str">
        <f>"00937917"</f>
        <v>00937917</v>
      </c>
    </row>
    <row r="21895" spans="1:2" x14ac:dyDescent="0.25">
      <c r="A21895" s="2">
        <v>21890</v>
      </c>
      <c r="B21895" s="11" t="str">
        <f>"00938112"</f>
        <v>00938112</v>
      </c>
    </row>
    <row r="21896" spans="1:2" x14ac:dyDescent="0.25">
      <c r="A21896" s="2">
        <v>21891</v>
      </c>
      <c r="B21896" s="11" t="str">
        <f>"00938117"</f>
        <v>00938117</v>
      </c>
    </row>
    <row r="21897" spans="1:2" x14ac:dyDescent="0.25">
      <c r="A21897" s="2">
        <v>21892</v>
      </c>
      <c r="B21897" s="11" t="str">
        <f>"00938196"</f>
        <v>00938196</v>
      </c>
    </row>
    <row r="21898" spans="1:2" x14ac:dyDescent="0.25">
      <c r="A21898" s="2">
        <v>21893</v>
      </c>
      <c r="B21898" s="11" t="str">
        <f>"00938241"</f>
        <v>00938241</v>
      </c>
    </row>
    <row r="21899" spans="1:2" x14ac:dyDescent="0.25">
      <c r="A21899" s="2">
        <v>21894</v>
      </c>
      <c r="B21899" s="11" t="str">
        <f>"00938277"</f>
        <v>00938277</v>
      </c>
    </row>
    <row r="21900" spans="1:2" x14ac:dyDescent="0.25">
      <c r="A21900" s="2">
        <v>21895</v>
      </c>
      <c r="B21900" s="11" t="str">
        <f>"00938363"</f>
        <v>00938363</v>
      </c>
    </row>
    <row r="21901" spans="1:2" x14ac:dyDescent="0.25">
      <c r="A21901" s="2">
        <v>21896</v>
      </c>
      <c r="B21901" s="11" t="str">
        <f>"00938447"</f>
        <v>00938447</v>
      </c>
    </row>
    <row r="21902" spans="1:2" x14ac:dyDescent="0.25">
      <c r="A21902" s="2">
        <v>21897</v>
      </c>
      <c r="B21902" s="11" t="str">
        <f>"00938492"</f>
        <v>00938492</v>
      </c>
    </row>
    <row r="21903" spans="1:2" x14ac:dyDescent="0.25">
      <c r="A21903" s="2">
        <v>21898</v>
      </c>
      <c r="B21903" s="11" t="str">
        <f>"00938619"</f>
        <v>00938619</v>
      </c>
    </row>
    <row r="21904" spans="1:2" x14ac:dyDescent="0.25">
      <c r="A21904" s="2">
        <v>21899</v>
      </c>
      <c r="B21904" s="11" t="str">
        <f>"00938710"</f>
        <v>00938710</v>
      </c>
    </row>
    <row r="21905" spans="1:2" x14ac:dyDescent="0.25">
      <c r="A21905" s="2">
        <v>21900</v>
      </c>
      <c r="B21905" s="11" t="str">
        <f>"00938731"</f>
        <v>00938731</v>
      </c>
    </row>
    <row r="21906" spans="1:2" x14ac:dyDescent="0.25">
      <c r="A21906" s="2">
        <v>21901</v>
      </c>
      <c r="B21906" s="11" t="str">
        <f>"00938864"</f>
        <v>00938864</v>
      </c>
    </row>
    <row r="21907" spans="1:2" x14ac:dyDescent="0.25">
      <c r="A21907" s="2">
        <v>21902</v>
      </c>
      <c r="B21907" s="11" t="str">
        <f>"00938907"</f>
        <v>00938907</v>
      </c>
    </row>
    <row r="21908" spans="1:2" x14ac:dyDescent="0.25">
      <c r="A21908" s="2">
        <v>21903</v>
      </c>
      <c r="B21908" s="11" t="str">
        <f>"00938947"</f>
        <v>00938947</v>
      </c>
    </row>
    <row r="21909" spans="1:2" x14ac:dyDescent="0.25">
      <c r="A21909" s="2">
        <v>21904</v>
      </c>
      <c r="B21909" s="11" t="str">
        <f>"00939014"</f>
        <v>00939014</v>
      </c>
    </row>
    <row r="21910" spans="1:2" x14ac:dyDescent="0.25">
      <c r="A21910" s="2">
        <v>21905</v>
      </c>
      <c r="B21910" s="11" t="str">
        <f>"00939056"</f>
        <v>00939056</v>
      </c>
    </row>
    <row r="21911" spans="1:2" x14ac:dyDescent="0.25">
      <c r="A21911" s="2">
        <v>21906</v>
      </c>
      <c r="B21911" s="11" t="str">
        <f>"00939135"</f>
        <v>00939135</v>
      </c>
    </row>
    <row r="21912" spans="1:2" x14ac:dyDescent="0.25">
      <c r="A21912" s="2">
        <v>21907</v>
      </c>
      <c r="B21912" s="11" t="str">
        <f>"00939284"</f>
        <v>00939284</v>
      </c>
    </row>
    <row r="21913" spans="1:2" x14ac:dyDescent="0.25">
      <c r="A21913" s="2">
        <v>21908</v>
      </c>
      <c r="B21913" s="11" t="str">
        <f>"00939287"</f>
        <v>00939287</v>
      </c>
    </row>
    <row r="21914" spans="1:2" x14ac:dyDescent="0.25">
      <c r="A21914" s="2">
        <v>21909</v>
      </c>
      <c r="B21914" s="11" t="str">
        <f>"00939368"</f>
        <v>00939368</v>
      </c>
    </row>
    <row r="21915" spans="1:2" x14ac:dyDescent="0.25">
      <c r="A21915" s="2">
        <v>21910</v>
      </c>
      <c r="B21915" s="11" t="str">
        <f>"00939566"</f>
        <v>00939566</v>
      </c>
    </row>
    <row r="21916" spans="1:2" x14ac:dyDescent="0.25">
      <c r="A21916" s="2">
        <v>21911</v>
      </c>
      <c r="B21916" s="11" t="str">
        <f>"00939640"</f>
        <v>00939640</v>
      </c>
    </row>
    <row r="21917" spans="1:2" x14ac:dyDescent="0.25">
      <c r="A21917" s="2">
        <v>21912</v>
      </c>
      <c r="B21917" s="11" t="str">
        <f>"00939714"</f>
        <v>00939714</v>
      </c>
    </row>
    <row r="21918" spans="1:2" x14ac:dyDescent="0.25">
      <c r="A21918" s="2">
        <v>21913</v>
      </c>
      <c r="B21918" s="11" t="str">
        <f>"00939822"</f>
        <v>00939822</v>
      </c>
    </row>
    <row r="21919" spans="1:2" x14ac:dyDescent="0.25">
      <c r="A21919" s="2">
        <v>21914</v>
      </c>
      <c r="B21919" s="11" t="str">
        <f>"00939825"</f>
        <v>00939825</v>
      </c>
    </row>
    <row r="21920" spans="1:2" x14ac:dyDescent="0.25">
      <c r="A21920" s="2">
        <v>21915</v>
      </c>
      <c r="B21920" s="11" t="str">
        <f>"00939932"</f>
        <v>00939932</v>
      </c>
    </row>
    <row r="21921" spans="1:2" x14ac:dyDescent="0.25">
      <c r="A21921" s="2">
        <v>21916</v>
      </c>
      <c r="B21921" s="11" t="str">
        <f>"00940237"</f>
        <v>00940237</v>
      </c>
    </row>
    <row r="21922" spans="1:2" x14ac:dyDescent="0.25">
      <c r="A21922" s="2">
        <v>21917</v>
      </c>
      <c r="B21922" s="11" t="str">
        <f>"00940347"</f>
        <v>00940347</v>
      </c>
    </row>
    <row r="21923" spans="1:2" x14ac:dyDescent="0.25">
      <c r="A21923" s="2">
        <v>21918</v>
      </c>
      <c r="B21923" s="11" t="str">
        <f>"00940464"</f>
        <v>00940464</v>
      </c>
    </row>
    <row r="21924" spans="1:2" x14ac:dyDescent="0.25">
      <c r="A21924" s="2">
        <v>21919</v>
      </c>
      <c r="B21924" s="11" t="str">
        <f>"00940686"</f>
        <v>00940686</v>
      </c>
    </row>
    <row r="21925" spans="1:2" x14ac:dyDescent="0.25">
      <c r="A21925" s="2">
        <v>21920</v>
      </c>
      <c r="B21925" s="11" t="str">
        <f>"00940757"</f>
        <v>00940757</v>
      </c>
    </row>
    <row r="21926" spans="1:2" x14ac:dyDescent="0.25">
      <c r="A21926" s="2">
        <v>21921</v>
      </c>
      <c r="B21926" s="11" t="str">
        <f>"00940799"</f>
        <v>00940799</v>
      </c>
    </row>
    <row r="21927" spans="1:2" x14ac:dyDescent="0.25">
      <c r="A21927" s="2">
        <v>21922</v>
      </c>
      <c r="B21927" s="11" t="str">
        <f>"00940836"</f>
        <v>00940836</v>
      </c>
    </row>
    <row r="21928" spans="1:2" x14ac:dyDescent="0.25">
      <c r="A21928" s="2">
        <v>21923</v>
      </c>
      <c r="B21928" s="11" t="str">
        <f>"00940889"</f>
        <v>00940889</v>
      </c>
    </row>
    <row r="21929" spans="1:2" x14ac:dyDescent="0.25">
      <c r="A21929" s="2">
        <v>21924</v>
      </c>
      <c r="B21929" s="11" t="str">
        <f>"00940920"</f>
        <v>00940920</v>
      </c>
    </row>
    <row r="21930" spans="1:2" x14ac:dyDescent="0.25">
      <c r="A21930" s="2">
        <v>21925</v>
      </c>
      <c r="B21930" s="11" t="str">
        <f>"00940967"</f>
        <v>00940967</v>
      </c>
    </row>
    <row r="21931" spans="1:2" x14ac:dyDescent="0.25">
      <c r="A21931" s="2">
        <v>21926</v>
      </c>
      <c r="B21931" s="11" t="str">
        <f>"00941045"</f>
        <v>00941045</v>
      </c>
    </row>
    <row r="21932" spans="1:2" x14ac:dyDescent="0.25">
      <c r="A21932" s="2">
        <v>21927</v>
      </c>
      <c r="B21932" s="11" t="str">
        <f>"00941279"</f>
        <v>00941279</v>
      </c>
    </row>
    <row r="21933" spans="1:2" x14ac:dyDescent="0.25">
      <c r="A21933" s="2">
        <v>21928</v>
      </c>
      <c r="B21933" s="11" t="str">
        <f>"00941537"</f>
        <v>00941537</v>
      </c>
    </row>
    <row r="21934" spans="1:2" x14ac:dyDescent="0.25">
      <c r="A21934" s="2">
        <v>21929</v>
      </c>
      <c r="B21934" s="11" t="str">
        <f>"00941744"</f>
        <v>00941744</v>
      </c>
    </row>
    <row r="21935" spans="1:2" x14ac:dyDescent="0.25">
      <c r="A21935" s="2">
        <v>21930</v>
      </c>
      <c r="B21935" s="11" t="str">
        <f>"00941764"</f>
        <v>00941764</v>
      </c>
    </row>
    <row r="21936" spans="1:2" x14ac:dyDescent="0.25">
      <c r="A21936" s="2">
        <v>21931</v>
      </c>
      <c r="B21936" s="11" t="str">
        <f>"00941825"</f>
        <v>00941825</v>
      </c>
    </row>
    <row r="21937" spans="1:2" x14ac:dyDescent="0.25">
      <c r="A21937" s="2">
        <v>21932</v>
      </c>
      <c r="B21937" s="11" t="str">
        <f>"00941902"</f>
        <v>00941902</v>
      </c>
    </row>
    <row r="21938" spans="1:2" x14ac:dyDescent="0.25">
      <c r="A21938" s="2">
        <v>21933</v>
      </c>
      <c r="B21938" s="11" t="str">
        <f>"00941925"</f>
        <v>00941925</v>
      </c>
    </row>
    <row r="21939" spans="1:2" x14ac:dyDescent="0.25">
      <c r="A21939" s="2">
        <v>21934</v>
      </c>
      <c r="B21939" s="11" t="str">
        <f>"00942000"</f>
        <v>00942000</v>
      </c>
    </row>
    <row r="21940" spans="1:2" x14ac:dyDescent="0.25">
      <c r="A21940" s="2">
        <v>21935</v>
      </c>
      <c r="B21940" s="11" t="str">
        <f>"00942043"</f>
        <v>00942043</v>
      </c>
    </row>
    <row r="21941" spans="1:2" x14ac:dyDescent="0.25">
      <c r="A21941" s="2">
        <v>21936</v>
      </c>
      <c r="B21941" s="11" t="str">
        <f>"00942064"</f>
        <v>00942064</v>
      </c>
    </row>
    <row r="21942" spans="1:2" x14ac:dyDescent="0.25">
      <c r="A21942" s="2">
        <v>21937</v>
      </c>
      <c r="B21942" s="11" t="str">
        <f>"00942167"</f>
        <v>00942167</v>
      </c>
    </row>
    <row r="21943" spans="1:2" x14ac:dyDescent="0.25">
      <c r="A21943" s="2">
        <v>21938</v>
      </c>
      <c r="B21943" s="11" t="str">
        <f>"00942448"</f>
        <v>00942448</v>
      </c>
    </row>
    <row r="21944" spans="1:2" x14ac:dyDescent="0.25">
      <c r="A21944" s="2">
        <v>21939</v>
      </c>
      <c r="B21944" s="11" t="str">
        <f>"00942591"</f>
        <v>00942591</v>
      </c>
    </row>
    <row r="21945" spans="1:2" x14ac:dyDescent="0.25">
      <c r="A21945" s="2">
        <v>21940</v>
      </c>
      <c r="B21945" s="11" t="str">
        <f>"00942832"</f>
        <v>00942832</v>
      </c>
    </row>
    <row r="21946" spans="1:2" x14ac:dyDescent="0.25">
      <c r="A21946" s="2">
        <v>21941</v>
      </c>
      <c r="B21946" s="11" t="str">
        <f>"00943204"</f>
        <v>00943204</v>
      </c>
    </row>
    <row r="21947" spans="1:2" x14ac:dyDescent="0.25">
      <c r="A21947" s="2">
        <v>21942</v>
      </c>
      <c r="B21947" s="11" t="str">
        <f>"00943286"</f>
        <v>00943286</v>
      </c>
    </row>
    <row r="21948" spans="1:2" x14ac:dyDescent="0.25">
      <c r="A21948" s="2">
        <v>21943</v>
      </c>
      <c r="B21948" s="11" t="str">
        <f>"00943414"</f>
        <v>00943414</v>
      </c>
    </row>
    <row r="21949" spans="1:2" x14ac:dyDescent="0.25">
      <c r="A21949" s="2">
        <v>21944</v>
      </c>
      <c r="B21949" s="11" t="str">
        <f>"00943431"</f>
        <v>00943431</v>
      </c>
    </row>
    <row r="21950" spans="1:2" x14ac:dyDescent="0.25">
      <c r="A21950" s="2">
        <v>21945</v>
      </c>
      <c r="B21950" s="11" t="str">
        <f>"00943437"</f>
        <v>00943437</v>
      </c>
    </row>
    <row r="21951" spans="1:2" x14ac:dyDescent="0.25">
      <c r="A21951" s="2">
        <v>21946</v>
      </c>
      <c r="B21951" s="11" t="str">
        <f>"00943655"</f>
        <v>00943655</v>
      </c>
    </row>
    <row r="21952" spans="1:2" x14ac:dyDescent="0.25">
      <c r="A21952" s="2">
        <v>21947</v>
      </c>
      <c r="B21952" s="11" t="str">
        <f>"00943675"</f>
        <v>00943675</v>
      </c>
    </row>
    <row r="21953" spans="1:2" x14ac:dyDescent="0.25">
      <c r="A21953" s="2">
        <v>21948</v>
      </c>
      <c r="B21953" s="11" t="str">
        <f>"00943841"</f>
        <v>00943841</v>
      </c>
    </row>
    <row r="21954" spans="1:2" x14ac:dyDescent="0.25">
      <c r="A21954" s="2">
        <v>21949</v>
      </c>
      <c r="B21954" s="11" t="str">
        <f>"00943925"</f>
        <v>00943925</v>
      </c>
    </row>
    <row r="21955" spans="1:2" x14ac:dyDescent="0.25">
      <c r="A21955" s="2">
        <v>21950</v>
      </c>
      <c r="B21955" s="11" t="str">
        <f>"00943928"</f>
        <v>00943928</v>
      </c>
    </row>
    <row r="21956" spans="1:2" x14ac:dyDescent="0.25">
      <c r="A21956" s="2">
        <v>21951</v>
      </c>
      <c r="B21956" s="11" t="str">
        <f>"00943969"</f>
        <v>00943969</v>
      </c>
    </row>
    <row r="21957" spans="1:2" x14ac:dyDescent="0.25">
      <c r="A21957" s="2">
        <v>21952</v>
      </c>
      <c r="B21957" s="11" t="str">
        <f>"00943975"</f>
        <v>00943975</v>
      </c>
    </row>
    <row r="21958" spans="1:2" x14ac:dyDescent="0.25">
      <c r="A21958" s="2">
        <v>21953</v>
      </c>
      <c r="B21958" s="11" t="str">
        <f>"00944253"</f>
        <v>00944253</v>
      </c>
    </row>
    <row r="21959" spans="1:2" x14ac:dyDescent="0.25">
      <c r="A21959" s="2">
        <v>21954</v>
      </c>
      <c r="B21959" s="11" t="str">
        <f>"00944353"</f>
        <v>00944353</v>
      </c>
    </row>
    <row r="21960" spans="1:2" x14ac:dyDescent="0.25">
      <c r="A21960" s="2">
        <v>21955</v>
      </c>
      <c r="B21960" s="11" t="str">
        <f>"00944695"</f>
        <v>00944695</v>
      </c>
    </row>
    <row r="21961" spans="1:2" x14ac:dyDescent="0.25">
      <c r="A21961" s="2">
        <v>21956</v>
      </c>
      <c r="B21961" s="11" t="str">
        <f>"00944883"</f>
        <v>00944883</v>
      </c>
    </row>
    <row r="21962" spans="1:2" x14ac:dyDescent="0.25">
      <c r="A21962" s="2">
        <v>21957</v>
      </c>
      <c r="B21962" s="11" t="str">
        <f>"00944961"</f>
        <v>00944961</v>
      </c>
    </row>
    <row r="21963" spans="1:2" x14ac:dyDescent="0.25">
      <c r="A21963" s="2">
        <v>21958</v>
      </c>
      <c r="B21963" s="11" t="str">
        <f>"00944968"</f>
        <v>00944968</v>
      </c>
    </row>
    <row r="21964" spans="1:2" x14ac:dyDescent="0.25">
      <c r="A21964" s="2">
        <v>21959</v>
      </c>
      <c r="B21964" s="11" t="str">
        <f>"00944994"</f>
        <v>00944994</v>
      </c>
    </row>
    <row r="21965" spans="1:2" x14ac:dyDescent="0.25">
      <c r="A21965" s="2">
        <v>21960</v>
      </c>
      <c r="B21965" s="11" t="str">
        <f>"00945184"</f>
        <v>00945184</v>
      </c>
    </row>
    <row r="21966" spans="1:2" x14ac:dyDescent="0.25">
      <c r="A21966" s="2">
        <v>21961</v>
      </c>
      <c r="B21966" s="11" t="str">
        <f>"00945220"</f>
        <v>00945220</v>
      </c>
    </row>
    <row r="21967" spans="1:2" x14ac:dyDescent="0.25">
      <c r="A21967" s="2">
        <v>21962</v>
      </c>
      <c r="B21967" s="11" t="str">
        <f>"00945293"</f>
        <v>00945293</v>
      </c>
    </row>
    <row r="21968" spans="1:2" x14ac:dyDescent="0.25">
      <c r="A21968" s="2">
        <v>21963</v>
      </c>
      <c r="B21968" s="11" t="str">
        <f>"00945312"</f>
        <v>00945312</v>
      </c>
    </row>
    <row r="21969" spans="1:2" x14ac:dyDescent="0.25">
      <c r="A21969" s="2">
        <v>21964</v>
      </c>
      <c r="B21969" s="11" t="str">
        <f>"00945387"</f>
        <v>00945387</v>
      </c>
    </row>
    <row r="21970" spans="1:2" x14ac:dyDescent="0.25">
      <c r="A21970" s="2">
        <v>21965</v>
      </c>
      <c r="B21970" s="11" t="str">
        <f>"00945441"</f>
        <v>00945441</v>
      </c>
    </row>
    <row r="21971" spans="1:2" x14ac:dyDescent="0.25">
      <c r="A21971" s="2">
        <v>21966</v>
      </c>
      <c r="B21971" s="11" t="str">
        <f>"00945523"</f>
        <v>00945523</v>
      </c>
    </row>
    <row r="21972" spans="1:2" x14ac:dyDescent="0.25">
      <c r="A21972" s="2">
        <v>21967</v>
      </c>
      <c r="B21972" s="11" t="str">
        <f>"00945586"</f>
        <v>00945586</v>
      </c>
    </row>
    <row r="21973" spans="1:2" x14ac:dyDescent="0.25">
      <c r="A21973" s="2">
        <v>21968</v>
      </c>
      <c r="B21973" s="11" t="str">
        <f>"00945651"</f>
        <v>00945651</v>
      </c>
    </row>
    <row r="21974" spans="1:2" x14ac:dyDescent="0.25">
      <c r="A21974" s="2">
        <v>21969</v>
      </c>
      <c r="B21974" s="11" t="str">
        <f>"00945696"</f>
        <v>00945696</v>
      </c>
    </row>
    <row r="21975" spans="1:2" x14ac:dyDescent="0.25">
      <c r="A21975" s="2">
        <v>21970</v>
      </c>
      <c r="B21975" s="11" t="str">
        <f>"00945799"</f>
        <v>00945799</v>
      </c>
    </row>
    <row r="21976" spans="1:2" x14ac:dyDescent="0.25">
      <c r="A21976" s="2">
        <v>21971</v>
      </c>
      <c r="B21976" s="11" t="str">
        <f>"00945936"</f>
        <v>00945936</v>
      </c>
    </row>
    <row r="21977" spans="1:2" x14ac:dyDescent="0.25">
      <c r="A21977" s="2">
        <v>21972</v>
      </c>
      <c r="B21977" s="11" t="str">
        <f>"00946220"</f>
        <v>00946220</v>
      </c>
    </row>
    <row r="21978" spans="1:2" x14ac:dyDescent="0.25">
      <c r="A21978" s="2">
        <v>21973</v>
      </c>
      <c r="B21978" s="11" t="str">
        <f>"00946232"</f>
        <v>00946232</v>
      </c>
    </row>
    <row r="21979" spans="1:2" x14ac:dyDescent="0.25">
      <c r="A21979" s="2">
        <v>21974</v>
      </c>
      <c r="B21979" s="11" t="str">
        <f>"00946313"</f>
        <v>00946313</v>
      </c>
    </row>
    <row r="21980" spans="1:2" x14ac:dyDescent="0.25">
      <c r="A21980" s="2">
        <v>21975</v>
      </c>
      <c r="B21980" s="11" t="str">
        <f>"00946441"</f>
        <v>00946441</v>
      </c>
    </row>
    <row r="21981" spans="1:2" x14ac:dyDescent="0.25">
      <c r="A21981" s="2">
        <v>21976</v>
      </c>
      <c r="B21981" s="11" t="str">
        <f>"00946511"</f>
        <v>00946511</v>
      </c>
    </row>
    <row r="21982" spans="1:2" x14ac:dyDescent="0.25">
      <c r="A21982" s="2">
        <v>21977</v>
      </c>
      <c r="B21982" s="11" t="str">
        <f>"00946590"</f>
        <v>00946590</v>
      </c>
    </row>
    <row r="21983" spans="1:2" x14ac:dyDescent="0.25">
      <c r="A21983" s="2">
        <v>21978</v>
      </c>
      <c r="B21983" s="11" t="str">
        <f>"00946614"</f>
        <v>00946614</v>
      </c>
    </row>
    <row r="21984" spans="1:2" x14ac:dyDescent="0.25">
      <c r="A21984" s="2">
        <v>21979</v>
      </c>
      <c r="B21984" s="11" t="str">
        <f>"00946773"</f>
        <v>00946773</v>
      </c>
    </row>
    <row r="21985" spans="1:2" x14ac:dyDescent="0.25">
      <c r="A21985" s="2">
        <v>21980</v>
      </c>
      <c r="B21985" s="11" t="str">
        <f>"00946784"</f>
        <v>00946784</v>
      </c>
    </row>
    <row r="21986" spans="1:2" x14ac:dyDescent="0.25">
      <c r="A21986" s="2">
        <v>21981</v>
      </c>
      <c r="B21986" s="11" t="str">
        <f>"00946804"</f>
        <v>00946804</v>
      </c>
    </row>
    <row r="21987" spans="1:2" x14ac:dyDescent="0.25">
      <c r="A21987" s="2">
        <v>21982</v>
      </c>
      <c r="B21987" s="11" t="str">
        <f>"00946844"</f>
        <v>00946844</v>
      </c>
    </row>
    <row r="21988" spans="1:2" x14ac:dyDescent="0.25">
      <c r="A21988" s="2">
        <v>21983</v>
      </c>
      <c r="B21988" s="11" t="str">
        <f>"00947075"</f>
        <v>00947075</v>
      </c>
    </row>
    <row r="21989" spans="1:2" x14ac:dyDescent="0.25">
      <c r="A21989" s="2">
        <v>21984</v>
      </c>
      <c r="B21989" s="11" t="str">
        <f>"00947151"</f>
        <v>00947151</v>
      </c>
    </row>
    <row r="21990" spans="1:2" x14ac:dyDescent="0.25">
      <c r="A21990" s="2">
        <v>21985</v>
      </c>
      <c r="B21990" s="11" t="str">
        <f>"00947158"</f>
        <v>00947158</v>
      </c>
    </row>
    <row r="21991" spans="1:2" x14ac:dyDescent="0.25">
      <c r="A21991" s="2">
        <v>21986</v>
      </c>
      <c r="B21991" s="11" t="str">
        <f>"00947182"</f>
        <v>00947182</v>
      </c>
    </row>
    <row r="21992" spans="1:2" x14ac:dyDescent="0.25">
      <c r="A21992" s="2">
        <v>21987</v>
      </c>
      <c r="B21992" s="11" t="str">
        <f>"00947410"</f>
        <v>00947410</v>
      </c>
    </row>
    <row r="21993" spans="1:2" x14ac:dyDescent="0.25">
      <c r="A21993" s="2">
        <v>21988</v>
      </c>
      <c r="B21993" s="11" t="str">
        <f>"00947485"</f>
        <v>00947485</v>
      </c>
    </row>
    <row r="21994" spans="1:2" x14ac:dyDescent="0.25">
      <c r="A21994" s="2">
        <v>21989</v>
      </c>
      <c r="B21994" s="11" t="str">
        <f>"00947507"</f>
        <v>00947507</v>
      </c>
    </row>
    <row r="21995" spans="1:2" x14ac:dyDescent="0.25">
      <c r="A21995" s="2">
        <v>21990</v>
      </c>
      <c r="B21995" s="11" t="str">
        <f>"00947745"</f>
        <v>00947745</v>
      </c>
    </row>
    <row r="21996" spans="1:2" x14ac:dyDescent="0.25">
      <c r="A21996" s="2">
        <v>21991</v>
      </c>
      <c r="B21996" s="11" t="str">
        <f>"00947794"</f>
        <v>00947794</v>
      </c>
    </row>
    <row r="21997" spans="1:2" x14ac:dyDescent="0.25">
      <c r="A21997" s="2">
        <v>21992</v>
      </c>
      <c r="B21997" s="11" t="str">
        <f>"00948104"</f>
        <v>00948104</v>
      </c>
    </row>
    <row r="21998" spans="1:2" x14ac:dyDescent="0.25">
      <c r="A21998" s="2">
        <v>21993</v>
      </c>
      <c r="B21998" s="11" t="str">
        <f>"00948131"</f>
        <v>00948131</v>
      </c>
    </row>
    <row r="21999" spans="1:2" x14ac:dyDescent="0.25">
      <c r="A21999" s="2">
        <v>21994</v>
      </c>
      <c r="B21999" s="11" t="str">
        <f>"00948141"</f>
        <v>00948141</v>
      </c>
    </row>
    <row r="22000" spans="1:2" x14ac:dyDescent="0.25">
      <c r="A22000" s="2">
        <v>21995</v>
      </c>
      <c r="B22000" s="11" t="str">
        <f>"00948209"</f>
        <v>00948209</v>
      </c>
    </row>
    <row r="22001" spans="1:2" x14ac:dyDescent="0.25">
      <c r="A22001" s="2">
        <v>21996</v>
      </c>
      <c r="B22001" s="11" t="str">
        <f>"00948211"</f>
        <v>00948211</v>
      </c>
    </row>
    <row r="22002" spans="1:2" x14ac:dyDescent="0.25">
      <c r="A22002" s="2">
        <v>21997</v>
      </c>
      <c r="B22002" s="11" t="str">
        <f>"00948328"</f>
        <v>00948328</v>
      </c>
    </row>
    <row r="22003" spans="1:2" x14ac:dyDescent="0.25">
      <c r="A22003" s="2">
        <v>21998</v>
      </c>
      <c r="B22003" s="11" t="str">
        <f>"00948342"</f>
        <v>00948342</v>
      </c>
    </row>
    <row r="22004" spans="1:2" x14ac:dyDescent="0.25">
      <c r="A22004" s="2">
        <v>21999</v>
      </c>
      <c r="B22004" s="11" t="str">
        <f>"00948372"</f>
        <v>00948372</v>
      </c>
    </row>
    <row r="22005" spans="1:2" x14ac:dyDescent="0.25">
      <c r="A22005" s="2">
        <v>22000</v>
      </c>
      <c r="B22005" s="11" t="str">
        <f>"00948557"</f>
        <v>00948557</v>
      </c>
    </row>
    <row r="22006" spans="1:2" x14ac:dyDescent="0.25">
      <c r="A22006" s="2">
        <v>22001</v>
      </c>
      <c r="B22006" s="11" t="str">
        <f>"00948643"</f>
        <v>00948643</v>
      </c>
    </row>
    <row r="22007" spans="1:2" x14ac:dyDescent="0.25">
      <c r="A22007" s="2">
        <v>22002</v>
      </c>
      <c r="B22007" s="11" t="str">
        <f>"00948645"</f>
        <v>00948645</v>
      </c>
    </row>
    <row r="22008" spans="1:2" x14ac:dyDescent="0.25">
      <c r="A22008" s="2">
        <v>22003</v>
      </c>
      <c r="B22008" s="11" t="str">
        <f>"00948656"</f>
        <v>00948656</v>
      </c>
    </row>
    <row r="22009" spans="1:2" x14ac:dyDescent="0.25">
      <c r="A22009" s="2">
        <v>22004</v>
      </c>
      <c r="B22009" s="11" t="str">
        <f>"00948706"</f>
        <v>00948706</v>
      </c>
    </row>
    <row r="22010" spans="1:2" x14ac:dyDescent="0.25">
      <c r="A22010" s="2">
        <v>22005</v>
      </c>
      <c r="B22010" s="11" t="str">
        <f>"00948730"</f>
        <v>00948730</v>
      </c>
    </row>
    <row r="22011" spans="1:2" x14ac:dyDescent="0.25">
      <c r="A22011" s="2">
        <v>22006</v>
      </c>
      <c r="B22011" s="11" t="str">
        <f>"00948798"</f>
        <v>00948798</v>
      </c>
    </row>
    <row r="22012" spans="1:2" x14ac:dyDescent="0.25">
      <c r="A22012" s="2">
        <v>22007</v>
      </c>
      <c r="B22012" s="11" t="str">
        <f>"00948879"</f>
        <v>00948879</v>
      </c>
    </row>
    <row r="22013" spans="1:2" x14ac:dyDescent="0.25">
      <c r="A22013" s="2">
        <v>22008</v>
      </c>
      <c r="B22013" s="11" t="str">
        <f>"00948997"</f>
        <v>00948997</v>
      </c>
    </row>
    <row r="22014" spans="1:2" x14ac:dyDescent="0.25">
      <c r="A22014" s="2">
        <v>22009</v>
      </c>
      <c r="B22014" s="11" t="str">
        <f>"00949006"</f>
        <v>00949006</v>
      </c>
    </row>
    <row r="22015" spans="1:2" x14ac:dyDescent="0.25">
      <c r="A22015" s="2">
        <v>22010</v>
      </c>
      <c r="B22015" s="11" t="str">
        <f>"00949036"</f>
        <v>00949036</v>
      </c>
    </row>
    <row r="22016" spans="1:2" x14ac:dyDescent="0.25">
      <c r="A22016" s="2">
        <v>22011</v>
      </c>
      <c r="B22016" s="11" t="str">
        <f>"00949270"</f>
        <v>00949270</v>
      </c>
    </row>
    <row r="22017" spans="1:2" x14ac:dyDescent="0.25">
      <c r="A22017" s="2">
        <v>22012</v>
      </c>
      <c r="B22017" s="11" t="str">
        <f>"00949299"</f>
        <v>00949299</v>
      </c>
    </row>
    <row r="22018" spans="1:2" x14ac:dyDescent="0.25">
      <c r="A22018" s="2">
        <v>22013</v>
      </c>
      <c r="B22018" s="11" t="str">
        <f>"00949558"</f>
        <v>00949558</v>
      </c>
    </row>
    <row r="22019" spans="1:2" x14ac:dyDescent="0.25">
      <c r="A22019" s="2">
        <v>22014</v>
      </c>
      <c r="B22019" s="11" t="str">
        <f>"00949650"</f>
        <v>00949650</v>
      </c>
    </row>
    <row r="22020" spans="1:2" x14ac:dyDescent="0.25">
      <c r="A22020" s="2">
        <v>22015</v>
      </c>
      <c r="B22020" s="11" t="str">
        <f>"00949700"</f>
        <v>00949700</v>
      </c>
    </row>
    <row r="22021" spans="1:2" x14ac:dyDescent="0.25">
      <c r="A22021" s="2">
        <v>22016</v>
      </c>
      <c r="B22021" s="11" t="str">
        <f>"00949796"</f>
        <v>00949796</v>
      </c>
    </row>
    <row r="22022" spans="1:2" x14ac:dyDescent="0.25">
      <c r="A22022" s="2">
        <v>22017</v>
      </c>
      <c r="B22022" s="11" t="str">
        <f>"00949863"</f>
        <v>00949863</v>
      </c>
    </row>
    <row r="22023" spans="1:2" x14ac:dyDescent="0.25">
      <c r="A22023" s="2">
        <v>22018</v>
      </c>
      <c r="B22023" s="11" t="str">
        <f>"00949900"</f>
        <v>00949900</v>
      </c>
    </row>
    <row r="22024" spans="1:2" x14ac:dyDescent="0.25">
      <c r="A22024" s="2">
        <v>22019</v>
      </c>
      <c r="B22024" s="11" t="str">
        <f>"00949959"</f>
        <v>00949959</v>
      </c>
    </row>
    <row r="22025" spans="1:2" x14ac:dyDescent="0.25">
      <c r="A22025" s="2">
        <v>22020</v>
      </c>
      <c r="B22025" s="11" t="str">
        <f>"00949978"</f>
        <v>00949978</v>
      </c>
    </row>
    <row r="22026" spans="1:2" x14ac:dyDescent="0.25">
      <c r="A22026" s="2">
        <v>22021</v>
      </c>
      <c r="B22026" s="11" t="str">
        <f>"00949992"</f>
        <v>00949992</v>
      </c>
    </row>
    <row r="22027" spans="1:2" x14ac:dyDescent="0.25">
      <c r="A22027" s="2">
        <v>22022</v>
      </c>
      <c r="B22027" s="11" t="str">
        <f>"00950105"</f>
        <v>00950105</v>
      </c>
    </row>
    <row r="22028" spans="1:2" x14ac:dyDescent="0.25">
      <c r="A22028" s="2">
        <v>22023</v>
      </c>
      <c r="B22028" s="11" t="str">
        <f>"00950154"</f>
        <v>00950154</v>
      </c>
    </row>
    <row r="22029" spans="1:2" x14ac:dyDescent="0.25">
      <c r="A22029" s="2">
        <v>22024</v>
      </c>
      <c r="B22029" s="11" t="str">
        <f>"00950289"</f>
        <v>00950289</v>
      </c>
    </row>
    <row r="22030" spans="1:2" x14ac:dyDescent="0.25">
      <c r="A22030" s="2">
        <v>22025</v>
      </c>
      <c r="B22030" s="11" t="str">
        <f>"00950360"</f>
        <v>00950360</v>
      </c>
    </row>
    <row r="22031" spans="1:2" x14ac:dyDescent="0.25">
      <c r="A22031" s="2">
        <v>22026</v>
      </c>
      <c r="B22031" s="11" t="str">
        <f>"00950553"</f>
        <v>00950553</v>
      </c>
    </row>
    <row r="22032" spans="1:2" x14ac:dyDescent="0.25">
      <c r="A22032" s="2">
        <v>22027</v>
      </c>
      <c r="B22032" s="11" t="str">
        <f>"00950676"</f>
        <v>00950676</v>
      </c>
    </row>
    <row r="22033" spans="1:2" x14ac:dyDescent="0.25">
      <c r="A22033" s="2">
        <v>22028</v>
      </c>
      <c r="B22033" s="11" t="str">
        <f>"00950706"</f>
        <v>00950706</v>
      </c>
    </row>
    <row r="22034" spans="1:2" x14ac:dyDescent="0.25">
      <c r="A22034" s="2">
        <v>22029</v>
      </c>
      <c r="B22034" s="11" t="str">
        <f>"00950740"</f>
        <v>00950740</v>
      </c>
    </row>
    <row r="22035" spans="1:2" x14ac:dyDescent="0.25">
      <c r="A22035" s="2">
        <v>22030</v>
      </c>
      <c r="B22035" s="11" t="str">
        <f>"00950767"</f>
        <v>00950767</v>
      </c>
    </row>
    <row r="22036" spans="1:2" x14ac:dyDescent="0.25">
      <c r="A22036" s="2">
        <v>22031</v>
      </c>
      <c r="B22036" s="11" t="str">
        <f>"00950828"</f>
        <v>00950828</v>
      </c>
    </row>
    <row r="22037" spans="1:2" x14ac:dyDescent="0.25">
      <c r="A22037" s="2">
        <v>22032</v>
      </c>
      <c r="B22037" s="11" t="str">
        <f>"00951082"</f>
        <v>00951082</v>
      </c>
    </row>
    <row r="22038" spans="1:2" x14ac:dyDescent="0.25">
      <c r="A22038" s="2">
        <v>22033</v>
      </c>
      <c r="B22038" s="11" t="str">
        <f>"00951105"</f>
        <v>00951105</v>
      </c>
    </row>
    <row r="22039" spans="1:2" x14ac:dyDescent="0.25">
      <c r="A22039" s="2">
        <v>22034</v>
      </c>
      <c r="B22039" s="11" t="str">
        <f>"00951173"</f>
        <v>00951173</v>
      </c>
    </row>
    <row r="22040" spans="1:2" x14ac:dyDescent="0.25">
      <c r="A22040" s="2">
        <v>22035</v>
      </c>
      <c r="B22040" s="11" t="str">
        <f>"00951226"</f>
        <v>00951226</v>
      </c>
    </row>
    <row r="22041" spans="1:2" x14ac:dyDescent="0.25">
      <c r="A22041" s="2">
        <v>22036</v>
      </c>
      <c r="B22041" s="11" t="str">
        <f>"00951274"</f>
        <v>00951274</v>
      </c>
    </row>
    <row r="22042" spans="1:2" x14ac:dyDescent="0.25">
      <c r="A22042" s="2">
        <v>22037</v>
      </c>
      <c r="B22042" s="11" t="str">
        <f>"00951282"</f>
        <v>00951282</v>
      </c>
    </row>
    <row r="22043" spans="1:2" x14ac:dyDescent="0.25">
      <c r="A22043" s="2">
        <v>22038</v>
      </c>
      <c r="B22043" s="11" t="str">
        <f>"00951407"</f>
        <v>00951407</v>
      </c>
    </row>
    <row r="22044" spans="1:2" x14ac:dyDescent="0.25">
      <c r="A22044" s="2">
        <v>22039</v>
      </c>
      <c r="B22044" s="11" t="str">
        <f>"00951520"</f>
        <v>00951520</v>
      </c>
    </row>
    <row r="22045" spans="1:2" x14ac:dyDescent="0.25">
      <c r="A22045" s="2">
        <v>22040</v>
      </c>
      <c r="B22045" s="11" t="str">
        <f>"00951600"</f>
        <v>00951600</v>
      </c>
    </row>
    <row r="22046" spans="1:2" x14ac:dyDescent="0.25">
      <c r="A22046" s="2">
        <v>22041</v>
      </c>
      <c r="B22046" s="11" t="str">
        <f>"00951665"</f>
        <v>00951665</v>
      </c>
    </row>
    <row r="22047" spans="1:2" x14ac:dyDescent="0.25">
      <c r="A22047" s="2">
        <v>22042</v>
      </c>
      <c r="B22047" s="11" t="str">
        <f>"00951691"</f>
        <v>00951691</v>
      </c>
    </row>
    <row r="22048" spans="1:2" x14ac:dyDescent="0.25">
      <c r="A22048" s="2">
        <v>22043</v>
      </c>
      <c r="B22048" s="11" t="str">
        <f>"00951731"</f>
        <v>00951731</v>
      </c>
    </row>
    <row r="22049" spans="1:2" x14ac:dyDescent="0.25">
      <c r="A22049" s="2">
        <v>22044</v>
      </c>
      <c r="B22049" s="11" t="str">
        <f>"00951826"</f>
        <v>00951826</v>
      </c>
    </row>
    <row r="22050" spans="1:2" x14ac:dyDescent="0.25">
      <c r="A22050" s="2">
        <v>22045</v>
      </c>
      <c r="B22050" s="11" t="str">
        <f>"00951829"</f>
        <v>00951829</v>
      </c>
    </row>
    <row r="22051" spans="1:2" x14ac:dyDescent="0.25">
      <c r="A22051" s="2">
        <v>22046</v>
      </c>
      <c r="B22051" s="11" t="str">
        <f>"00951875"</f>
        <v>00951875</v>
      </c>
    </row>
    <row r="22052" spans="1:2" x14ac:dyDescent="0.25">
      <c r="A22052" s="2">
        <v>22047</v>
      </c>
      <c r="B22052" s="11" t="str">
        <f>"00951932"</f>
        <v>00951932</v>
      </c>
    </row>
    <row r="22053" spans="1:2" x14ac:dyDescent="0.25">
      <c r="A22053" s="2">
        <v>22048</v>
      </c>
      <c r="B22053" s="11" t="str">
        <f>"00952253"</f>
        <v>00952253</v>
      </c>
    </row>
    <row r="22054" spans="1:2" x14ac:dyDescent="0.25">
      <c r="A22054" s="2">
        <v>22049</v>
      </c>
      <c r="B22054" s="11" t="str">
        <f>"00952260"</f>
        <v>00952260</v>
      </c>
    </row>
    <row r="22055" spans="1:2" x14ac:dyDescent="0.25">
      <c r="A22055" s="2">
        <v>22050</v>
      </c>
      <c r="B22055" s="11" t="str">
        <f>"00952385"</f>
        <v>00952385</v>
      </c>
    </row>
    <row r="22056" spans="1:2" x14ac:dyDescent="0.25">
      <c r="A22056" s="2">
        <v>22051</v>
      </c>
      <c r="B22056" s="11" t="str">
        <f>"00952493"</f>
        <v>00952493</v>
      </c>
    </row>
    <row r="22057" spans="1:2" x14ac:dyDescent="0.25">
      <c r="A22057" s="2">
        <v>22052</v>
      </c>
      <c r="B22057" s="11" t="str">
        <f>"00952500"</f>
        <v>00952500</v>
      </c>
    </row>
    <row r="22058" spans="1:2" x14ac:dyDescent="0.25">
      <c r="A22058" s="2">
        <v>22053</v>
      </c>
      <c r="B22058" s="11" t="str">
        <f>"00952572"</f>
        <v>00952572</v>
      </c>
    </row>
    <row r="22059" spans="1:2" x14ac:dyDescent="0.25">
      <c r="A22059" s="2">
        <v>22054</v>
      </c>
      <c r="B22059" s="11" t="str">
        <f>"00952679"</f>
        <v>00952679</v>
      </c>
    </row>
    <row r="22060" spans="1:2" x14ac:dyDescent="0.25">
      <c r="A22060" s="2">
        <v>22055</v>
      </c>
      <c r="B22060" s="11" t="str">
        <f>"00952684"</f>
        <v>00952684</v>
      </c>
    </row>
    <row r="22061" spans="1:2" x14ac:dyDescent="0.25">
      <c r="A22061" s="2">
        <v>22056</v>
      </c>
      <c r="B22061" s="11" t="str">
        <f>"00952697"</f>
        <v>00952697</v>
      </c>
    </row>
    <row r="22062" spans="1:2" x14ac:dyDescent="0.25">
      <c r="A22062" s="2">
        <v>22057</v>
      </c>
      <c r="B22062" s="11" t="str">
        <f>"00952767"</f>
        <v>00952767</v>
      </c>
    </row>
    <row r="22063" spans="1:2" x14ac:dyDescent="0.25">
      <c r="A22063" s="2">
        <v>22058</v>
      </c>
      <c r="B22063" s="11" t="str">
        <f>"00952847"</f>
        <v>00952847</v>
      </c>
    </row>
    <row r="22064" spans="1:2" x14ac:dyDescent="0.25">
      <c r="A22064" s="2">
        <v>22059</v>
      </c>
      <c r="B22064" s="11" t="str">
        <f>"00952908"</f>
        <v>00952908</v>
      </c>
    </row>
    <row r="22065" spans="1:2" x14ac:dyDescent="0.25">
      <c r="A22065" s="2">
        <v>22060</v>
      </c>
      <c r="B22065" s="11" t="str">
        <f>"00952974"</f>
        <v>00952974</v>
      </c>
    </row>
    <row r="22066" spans="1:2" x14ac:dyDescent="0.25">
      <c r="A22066" s="2">
        <v>22061</v>
      </c>
      <c r="B22066" s="11" t="str">
        <f>"00952996"</f>
        <v>00952996</v>
      </c>
    </row>
    <row r="22067" spans="1:2" x14ac:dyDescent="0.25">
      <c r="A22067" s="2">
        <v>22062</v>
      </c>
      <c r="B22067" s="11" t="str">
        <f>"00952998"</f>
        <v>00952998</v>
      </c>
    </row>
    <row r="22068" spans="1:2" x14ac:dyDescent="0.25">
      <c r="A22068" s="2">
        <v>22063</v>
      </c>
      <c r="B22068" s="11" t="str">
        <f>"00953050"</f>
        <v>00953050</v>
      </c>
    </row>
    <row r="22069" spans="1:2" x14ac:dyDescent="0.25">
      <c r="A22069" s="2">
        <v>22064</v>
      </c>
      <c r="B22069" s="11" t="str">
        <f>"00953270"</f>
        <v>00953270</v>
      </c>
    </row>
    <row r="22070" spans="1:2" x14ac:dyDescent="0.25">
      <c r="A22070" s="2">
        <v>22065</v>
      </c>
      <c r="B22070" s="11" t="str">
        <f>"00953407"</f>
        <v>00953407</v>
      </c>
    </row>
    <row r="22071" spans="1:2" x14ac:dyDescent="0.25">
      <c r="A22071" s="2">
        <v>22066</v>
      </c>
      <c r="B22071" s="11" t="str">
        <f>"00953502"</f>
        <v>00953502</v>
      </c>
    </row>
    <row r="22072" spans="1:2" x14ac:dyDescent="0.25">
      <c r="A22072" s="2">
        <v>22067</v>
      </c>
      <c r="B22072" s="11" t="str">
        <f>"00953513"</f>
        <v>00953513</v>
      </c>
    </row>
    <row r="22073" spans="1:2" x14ac:dyDescent="0.25">
      <c r="A22073" s="2">
        <v>22068</v>
      </c>
      <c r="B22073" s="11" t="str">
        <f>"00953615"</f>
        <v>00953615</v>
      </c>
    </row>
    <row r="22074" spans="1:2" x14ac:dyDescent="0.25">
      <c r="A22074" s="2">
        <v>22069</v>
      </c>
      <c r="B22074" s="11" t="str">
        <f>"00953653"</f>
        <v>00953653</v>
      </c>
    </row>
    <row r="22075" spans="1:2" x14ac:dyDescent="0.25">
      <c r="A22075" s="2">
        <v>22070</v>
      </c>
      <c r="B22075" s="11" t="str">
        <f>"00953677"</f>
        <v>00953677</v>
      </c>
    </row>
    <row r="22076" spans="1:2" x14ac:dyDescent="0.25">
      <c r="A22076" s="2">
        <v>22071</v>
      </c>
      <c r="B22076" s="11" t="str">
        <f>"00953958"</f>
        <v>00953958</v>
      </c>
    </row>
    <row r="22077" spans="1:2" x14ac:dyDescent="0.25">
      <c r="A22077" s="2">
        <v>22072</v>
      </c>
      <c r="B22077" s="11" t="str">
        <f>"00954103"</f>
        <v>00954103</v>
      </c>
    </row>
    <row r="22078" spans="1:2" x14ac:dyDescent="0.25">
      <c r="A22078" s="2">
        <v>22073</v>
      </c>
      <c r="B22078" s="11" t="str">
        <f>"00954121"</f>
        <v>00954121</v>
      </c>
    </row>
    <row r="22079" spans="1:2" x14ac:dyDescent="0.25">
      <c r="A22079" s="2">
        <v>22074</v>
      </c>
      <c r="B22079" s="11" t="str">
        <f>"00954173"</f>
        <v>00954173</v>
      </c>
    </row>
    <row r="22080" spans="1:2" x14ac:dyDescent="0.25">
      <c r="A22080" s="2">
        <v>22075</v>
      </c>
      <c r="B22080" s="11" t="str">
        <f>"00954244"</f>
        <v>00954244</v>
      </c>
    </row>
    <row r="22081" spans="1:2" x14ac:dyDescent="0.25">
      <c r="A22081" s="2">
        <v>22076</v>
      </c>
      <c r="B22081" s="11" t="str">
        <f>"00954252"</f>
        <v>00954252</v>
      </c>
    </row>
    <row r="22082" spans="1:2" x14ac:dyDescent="0.25">
      <c r="A22082" s="2">
        <v>22077</v>
      </c>
      <c r="B22082" s="11" t="str">
        <f>"00954308"</f>
        <v>00954308</v>
      </c>
    </row>
    <row r="22083" spans="1:2" x14ac:dyDescent="0.25">
      <c r="A22083" s="2">
        <v>22078</v>
      </c>
      <c r="B22083" s="11" t="str">
        <f>"00954432"</f>
        <v>00954432</v>
      </c>
    </row>
    <row r="22084" spans="1:2" x14ac:dyDescent="0.25">
      <c r="A22084" s="2">
        <v>22079</v>
      </c>
      <c r="B22084" s="11" t="str">
        <f>"00954466"</f>
        <v>00954466</v>
      </c>
    </row>
    <row r="22085" spans="1:2" x14ac:dyDescent="0.25">
      <c r="A22085" s="2">
        <v>22080</v>
      </c>
      <c r="B22085" s="11" t="str">
        <f>"00954469"</f>
        <v>00954469</v>
      </c>
    </row>
    <row r="22086" spans="1:2" x14ac:dyDescent="0.25">
      <c r="A22086" s="2">
        <v>22081</v>
      </c>
      <c r="B22086" s="11" t="str">
        <f>"00954486"</f>
        <v>00954486</v>
      </c>
    </row>
    <row r="22087" spans="1:2" x14ac:dyDescent="0.25">
      <c r="A22087" s="2">
        <v>22082</v>
      </c>
      <c r="B22087" s="11" t="str">
        <f>"00955081"</f>
        <v>00955081</v>
      </c>
    </row>
    <row r="22088" spans="1:2" x14ac:dyDescent="0.25">
      <c r="A22088" s="2">
        <v>22083</v>
      </c>
      <c r="B22088" s="11" t="str">
        <f>"00955218"</f>
        <v>00955218</v>
      </c>
    </row>
    <row r="22089" spans="1:2" x14ac:dyDescent="0.25">
      <c r="A22089" s="2">
        <v>22084</v>
      </c>
      <c r="B22089" s="11" t="str">
        <f>"00955533"</f>
        <v>00955533</v>
      </c>
    </row>
    <row r="22090" spans="1:2" x14ac:dyDescent="0.25">
      <c r="A22090" s="2">
        <v>22085</v>
      </c>
      <c r="B22090" s="11" t="str">
        <f>"00955817"</f>
        <v>00955817</v>
      </c>
    </row>
    <row r="22091" spans="1:2" x14ac:dyDescent="0.25">
      <c r="A22091" s="2">
        <v>22086</v>
      </c>
      <c r="B22091" s="11" t="str">
        <f>"00955884"</f>
        <v>00955884</v>
      </c>
    </row>
    <row r="22092" spans="1:2" x14ac:dyDescent="0.25">
      <c r="A22092" s="2">
        <v>22087</v>
      </c>
      <c r="B22092" s="11" t="str">
        <f>"00955999"</f>
        <v>00955999</v>
      </c>
    </row>
    <row r="22093" spans="1:2" x14ac:dyDescent="0.25">
      <c r="A22093" s="2">
        <v>22088</v>
      </c>
      <c r="B22093" s="11" t="str">
        <f>"00956075"</f>
        <v>00956075</v>
      </c>
    </row>
    <row r="22094" spans="1:2" x14ac:dyDescent="0.25">
      <c r="A22094" s="2">
        <v>22089</v>
      </c>
      <c r="B22094" s="11" t="str">
        <f>"00956309"</f>
        <v>00956309</v>
      </c>
    </row>
    <row r="22095" spans="1:2" x14ac:dyDescent="0.25">
      <c r="A22095" s="2">
        <v>22090</v>
      </c>
      <c r="B22095" s="11" t="str">
        <f>"00956360"</f>
        <v>00956360</v>
      </c>
    </row>
    <row r="22096" spans="1:2" x14ac:dyDescent="0.25">
      <c r="A22096" s="2">
        <v>22091</v>
      </c>
      <c r="B22096" s="11" t="str">
        <f>"00956402"</f>
        <v>00956402</v>
      </c>
    </row>
    <row r="22097" spans="1:2" x14ac:dyDescent="0.25">
      <c r="A22097" s="2">
        <v>22092</v>
      </c>
      <c r="B22097" s="11" t="str">
        <f>"00956573"</f>
        <v>00956573</v>
      </c>
    </row>
    <row r="22098" spans="1:2" x14ac:dyDescent="0.25">
      <c r="A22098" s="2">
        <v>22093</v>
      </c>
      <c r="B22098" s="11" t="str">
        <f>"00956724"</f>
        <v>00956724</v>
      </c>
    </row>
    <row r="22099" spans="1:2" x14ac:dyDescent="0.25">
      <c r="A22099" s="2">
        <v>22094</v>
      </c>
      <c r="B22099" s="11" t="str">
        <f>"00956909"</f>
        <v>00956909</v>
      </c>
    </row>
    <row r="22100" spans="1:2" x14ac:dyDescent="0.25">
      <c r="A22100" s="2">
        <v>22095</v>
      </c>
      <c r="B22100" s="11" t="str">
        <f>"00956924"</f>
        <v>00956924</v>
      </c>
    </row>
    <row r="22101" spans="1:2" x14ac:dyDescent="0.25">
      <c r="A22101" s="2">
        <v>22096</v>
      </c>
      <c r="B22101" s="11" t="str">
        <f>"00957043"</f>
        <v>00957043</v>
      </c>
    </row>
    <row r="22102" spans="1:2" x14ac:dyDescent="0.25">
      <c r="A22102" s="2">
        <v>22097</v>
      </c>
      <c r="B22102" s="11" t="str">
        <f>"00957250"</f>
        <v>00957250</v>
      </c>
    </row>
    <row r="22103" spans="1:2" x14ac:dyDescent="0.25">
      <c r="A22103" s="2">
        <v>22098</v>
      </c>
      <c r="B22103" s="11" t="str">
        <f>"00957276"</f>
        <v>00957276</v>
      </c>
    </row>
    <row r="22104" spans="1:2" x14ac:dyDescent="0.25">
      <c r="A22104" s="2">
        <v>22099</v>
      </c>
      <c r="B22104" s="11" t="str">
        <f>"00957299"</f>
        <v>00957299</v>
      </c>
    </row>
    <row r="22105" spans="1:2" x14ac:dyDescent="0.25">
      <c r="A22105" s="2">
        <v>22100</v>
      </c>
      <c r="B22105" s="11" t="str">
        <f>"00957410"</f>
        <v>00957410</v>
      </c>
    </row>
    <row r="22106" spans="1:2" x14ac:dyDescent="0.25">
      <c r="A22106" s="2">
        <v>22101</v>
      </c>
      <c r="B22106" s="11" t="str">
        <f>"00957481"</f>
        <v>00957481</v>
      </c>
    </row>
    <row r="22107" spans="1:2" x14ac:dyDescent="0.25">
      <c r="A22107" s="2">
        <v>22102</v>
      </c>
      <c r="B22107" s="11" t="str">
        <f>"00957507"</f>
        <v>00957507</v>
      </c>
    </row>
    <row r="22108" spans="1:2" x14ac:dyDescent="0.25">
      <c r="A22108" s="2">
        <v>22103</v>
      </c>
      <c r="B22108" s="11" t="str">
        <f>"00957540"</f>
        <v>00957540</v>
      </c>
    </row>
    <row r="22109" spans="1:2" x14ac:dyDescent="0.25">
      <c r="A22109" s="2">
        <v>22104</v>
      </c>
      <c r="B22109" s="11" t="str">
        <f>"00957547"</f>
        <v>00957547</v>
      </c>
    </row>
    <row r="22110" spans="1:2" x14ac:dyDescent="0.25">
      <c r="A22110" s="2">
        <v>22105</v>
      </c>
      <c r="B22110" s="11" t="str">
        <f>"00957561"</f>
        <v>00957561</v>
      </c>
    </row>
    <row r="22111" spans="1:2" x14ac:dyDescent="0.25">
      <c r="A22111" s="2">
        <v>22106</v>
      </c>
      <c r="B22111" s="11" t="str">
        <f>"00957608"</f>
        <v>00957608</v>
      </c>
    </row>
    <row r="22112" spans="1:2" x14ac:dyDescent="0.25">
      <c r="A22112" s="2">
        <v>22107</v>
      </c>
      <c r="B22112" s="11" t="str">
        <f>"00957664"</f>
        <v>00957664</v>
      </c>
    </row>
    <row r="22113" spans="1:2" x14ac:dyDescent="0.25">
      <c r="A22113" s="2">
        <v>22108</v>
      </c>
      <c r="B22113" s="11" t="str">
        <f>"00957834"</f>
        <v>00957834</v>
      </c>
    </row>
    <row r="22114" spans="1:2" x14ac:dyDescent="0.25">
      <c r="A22114" s="2">
        <v>22109</v>
      </c>
      <c r="B22114" s="11" t="str">
        <f>"00957836"</f>
        <v>00957836</v>
      </c>
    </row>
    <row r="22115" spans="1:2" x14ac:dyDescent="0.25">
      <c r="A22115" s="2">
        <v>22110</v>
      </c>
      <c r="B22115" s="11" t="str">
        <f>"00958185"</f>
        <v>00958185</v>
      </c>
    </row>
    <row r="22116" spans="1:2" x14ac:dyDescent="0.25">
      <c r="A22116" s="2">
        <v>22111</v>
      </c>
      <c r="B22116" s="11" t="str">
        <f>"00958372"</f>
        <v>00958372</v>
      </c>
    </row>
    <row r="22117" spans="1:2" x14ac:dyDescent="0.25">
      <c r="A22117" s="2">
        <v>22112</v>
      </c>
      <c r="B22117" s="11" t="str">
        <f>"00958378"</f>
        <v>00958378</v>
      </c>
    </row>
    <row r="22118" spans="1:2" x14ac:dyDescent="0.25">
      <c r="A22118" s="2">
        <v>22113</v>
      </c>
      <c r="B22118" s="11" t="str">
        <f>"00958411"</f>
        <v>00958411</v>
      </c>
    </row>
    <row r="22119" spans="1:2" x14ac:dyDescent="0.25">
      <c r="A22119" s="2">
        <v>22114</v>
      </c>
      <c r="B22119" s="11" t="str">
        <f>"00958442"</f>
        <v>00958442</v>
      </c>
    </row>
    <row r="22120" spans="1:2" x14ac:dyDescent="0.25">
      <c r="A22120" s="2">
        <v>22115</v>
      </c>
      <c r="B22120" s="11" t="str">
        <f>"00958516"</f>
        <v>00958516</v>
      </c>
    </row>
    <row r="22121" spans="1:2" x14ac:dyDescent="0.25">
      <c r="A22121" s="2">
        <v>22116</v>
      </c>
      <c r="B22121" s="11" t="str">
        <f>"00958618"</f>
        <v>00958618</v>
      </c>
    </row>
    <row r="22122" spans="1:2" x14ac:dyDescent="0.25">
      <c r="A22122" s="2">
        <v>22117</v>
      </c>
      <c r="B22122" s="11" t="str">
        <f>"00958624"</f>
        <v>00958624</v>
      </c>
    </row>
    <row r="22123" spans="1:2" x14ac:dyDescent="0.25">
      <c r="A22123" s="2">
        <v>22118</v>
      </c>
      <c r="B22123" s="11" t="str">
        <f>"00958643"</f>
        <v>00958643</v>
      </c>
    </row>
    <row r="22124" spans="1:2" x14ac:dyDescent="0.25">
      <c r="A22124" s="2">
        <v>22119</v>
      </c>
      <c r="B22124" s="11" t="str">
        <f>"00958649"</f>
        <v>00958649</v>
      </c>
    </row>
    <row r="22125" spans="1:2" x14ac:dyDescent="0.25">
      <c r="A22125" s="2">
        <v>22120</v>
      </c>
      <c r="B22125" s="11" t="str">
        <f>"00958941"</f>
        <v>00958941</v>
      </c>
    </row>
    <row r="22126" spans="1:2" x14ac:dyDescent="0.25">
      <c r="A22126" s="2">
        <v>22121</v>
      </c>
      <c r="B22126" s="11" t="str">
        <f>"00959116"</f>
        <v>00959116</v>
      </c>
    </row>
    <row r="22127" spans="1:2" x14ac:dyDescent="0.25">
      <c r="A22127" s="2">
        <v>22122</v>
      </c>
      <c r="B22127" s="11" t="str">
        <f>"00959269"</f>
        <v>00959269</v>
      </c>
    </row>
    <row r="22128" spans="1:2" x14ac:dyDescent="0.25">
      <c r="A22128" s="2">
        <v>22123</v>
      </c>
      <c r="B22128" s="11" t="str">
        <f>"00959272"</f>
        <v>00959272</v>
      </c>
    </row>
    <row r="22129" spans="1:2" x14ac:dyDescent="0.25">
      <c r="A22129" s="2">
        <v>22124</v>
      </c>
      <c r="B22129" s="11" t="str">
        <f>"00959438"</f>
        <v>00959438</v>
      </c>
    </row>
    <row r="22130" spans="1:2" x14ac:dyDescent="0.25">
      <c r="A22130" s="2">
        <v>22125</v>
      </c>
      <c r="B22130" s="11" t="str">
        <f>"00959472"</f>
        <v>00959472</v>
      </c>
    </row>
    <row r="22131" spans="1:2" x14ac:dyDescent="0.25">
      <c r="A22131" s="2">
        <v>22126</v>
      </c>
      <c r="B22131" s="11" t="str">
        <f>"00959519"</f>
        <v>00959519</v>
      </c>
    </row>
    <row r="22132" spans="1:2" x14ac:dyDescent="0.25">
      <c r="A22132" s="2">
        <v>22127</v>
      </c>
      <c r="B22132" s="11" t="str">
        <f>"00959742"</f>
        <v>00959742</v>
      </c>
    </row>
    <row r="22133" spans="1:2" x14ac:dyDescent="0.25">
      <c r="A22133" s="2">
        <v>22128</v>
      </c>
      <c r="B22133" s="11" t="str">
        <f>"00960030"</f>
        <v>00960030</v>
      </c>
    </row>
    <row r="22134" spans="1:2" x14ac:dyDescent="0.25">
      <c r="A22134" s="2">
        <v>22129</v>
      </c>
      <c r="B22134" s="11" t="str">
        <f>"00960321"</f>
        <v>00960321</v>
      </c>
    </row>
    <row r="22135" spans="1:2" x14ac:dyDescent="0.25">
      <c r="A22135" s="2">
        <v>22130</v>
      </c>
      <c r="B22135" s="11" t="str">
        <f>"00960388"</f>
        <v>00960388</v>
      </c>
    </row>
    <row r="22136" spans="1:2" x14ac:dyDescent="0.25">
      <c r="A22136" s="2">
        <v>22131</v>
      </c>
      <c r="B22136" s="11" t="str">
        <f>"00960461"</f>
        <v>00960461</v>
      </c>
    </row>
    <row r="22137" spans="1:2" x14ac:dyDescent="0.25">
      <c r="A22137" s="2">
        <v>22132</v>
      </c>
      <c r="B22137" s="11" t="str">
        <f>"00960478"</f>
        <v>00960478</v>
      </c>
    </row>
    <row r="22138" spans="1:2" x14ac:dyDescent="0.25">
      <c r="A22138" s="2">
        <v>22133</v>
      </c>
      <c r="B22138" s="11" t="str">
        <f>"00960495"</f>
        <v>00960495</v>
      </c>
    </row>
    <row r="22139" spans="1:2" x14ac:dyDescent="0.25">
      <c r="A22139" s="2">
        <v>22134</v>
      </c>
      <c r="B22139" s="11" t="str">
        <f>"00960521"</f>
        <v>00960521</v>
      </c>
    </row>
    <row r="22140" spans="1:2" x14ac:dyDescent="0.25">
      <c r="A22140" s="2">
        <v>22135</v>
      </c>
      <c r="B22140" s="11" t="str">
        <f>"00960639"</f>
        <v>00960639</v>
      </c>
    </row>
    <row r="22141" spans="1:2" x14ac:dyDescent="0.25">
      <c r="A22141" s="2">
        <v>22136</v>
      </c>
      <c r="B22141" s="11" t="str">
        <f>"00960670"</f>
        <v>00960670</v>
      </c>
    </row>
    <row r="22142" spans="1:2" x14ac:dyDescent="0.25">
      <c r="A22142" s="2">
        <v>22137</v>
      </c>
      <c r="B22142" s="11" t="str">
        <f>"00960814"</f>
        <v>00960814</v>
      </c>
    </row>
    <row r="22143" spans="1:2" x14ac:dyDescent="0.25">
      <c r="A22143" s="2">
        <v>22138</v>
      </c>
      <c r="B22143" s="11" t="str">
        <f>"00960871"</f>
        <v>00960871</v>
      </c>
    </row>
    <row r="22144" spans="1:2" x14ac:dyDescent="0.25">
      <c r="A22144" s="2">
        <v>22139</v>
      </c>
      <c r="B22144" s="11" t="str">
        <f>"00960903"</f>
        <v>00960903</v>
      </c>
    </row>
    <row r="22145" spans="1:2" x14ac:dyDescent="0.25">
      <c r="A22145" s="2">
        <v>22140</v>
      </c>
      <c r="B22145" s="11" t="str">
        <f>"00960930"</f>
        <v>00960930</v>
      </c>
    </row>
    <row r="22146" spans="1:2" x14ac:dyDescent="0.25">
      <c r="A22146" s="2">
        <v>22141</v>
      </c>
      <c r="B22146" s="11" t="str">
        <f>"00960976"</f>
        <v>00960976</v>
      </c>
    </row>
    <row r="22147" spans="1:2" x14ac:dyDescent="0.25">
      <c r="A22147" s="2">
        <v>22142</v>
      </c>
      <c r="B22147" s="11" t="str">
        <f>"00961085"</f>
        <v>00961085</v>
      </c>
    </row>
    <row r="22148" spans="1:2" x14ac:dyDescent="0.25">
      <c r="A22148" s="2">
        <v>22143</v>
      </c>
      <c r="B22148" s="11" t="str">
        <f>"00961167"</f>
        <v>00961167</v>
      </c>
    </row>
    <row r="22149" spans="1:2" x14ac:dyDescent="0.25">
      <c r="A22149" s="2">
        <v>22144</v>
      </c>
      <c r="B22149" s="11" t="str">
        <f>"00961181"</f>
        <v>00961181</v>
      </c>
    </row>
    <row r="22150" spans="1:2" x14ac:dyDescent="0.25">
      <c r="A22150" s="2">
        <v>22145</v>
      </c>
      <c r="B22150" s="11" t="str">
        <f>"00961199"</f>
        <v>00961199</v>
      </c>
    </row>
    <row r="22151" spans="1:2" x14ac:dyDescent="0.25">
      <c r="A22151" s="2">
        <v>22146</v>
      </c>
      <c r="B22151" s="11" t="str">
        <f>"00961251"</f>
        <v>00961251</v>
      </c>
    </row>
    <row r="22152" spans="1:2" x14ac:dyDescent="0.25">
      <c r="A22152" s="2">
        <v>22147</v>
      </c>
      <c r="B22152" s="11" t="str">
        <f>"00961275"</f>
        <v>00961275</v>
      </c>
    </row>
    <row r="22153" spans="1:2" x14ac:dyDescent="0.25">
      <c r="A22153" s="2">
        <v>22148</v>
      </c>
      <c r="B22153" s="11" t="str">
        <f>"00961356"</f>
        <v>00961356</v>
      </c>
    </row>
    <row r="22154" spans="1:2" x14ac:dyDescent="0.25">
      <c r="A22154" s="2">
        <v>22149</v>
      </c>
      <c r="B22154" s="11" t="str">
        <f>"00961530"</f>
        <v>00961530</v>
      </c>
    </row>
    <row r="22155" spans="1:2" x14ac:dyDescent="0.25">
      <c r="A22155" s="2">
        <v>22150</v>
      </c>
      <c r="B22155" s="11" t="str">
        <f>"00961706"</f>
        <v>00961706</v>
      </c>
    </row>
    <row r="22156" spans="1:2" x14ac:dyDescent="0.25">
      <c r="A22156" s="2">
        <v>22151</v>
      </c>
      <c r="B22156" s="11" t="str">
        <f>"00961710"</f>
        <v>00961710</v>
      </c>
    </row>
    <row r="22157" spans="1:2" x14ac:dyDescent="0.25">
      <c r="A22157" s="2">
        <v>22152</v>
      </c>
      <c r="B22157" s="11" t="str">
        <f>"00961792"</f>
        <v>00961792</v>
      </c>
    </row>
    <row r="22158" spans="1:2" x14ac:dyDescent="0.25">
      <c r="A22158" s="2">
        <v>22153</v>
      </c>
      <c r="B22158" s="11" t="str">
        <f>"00961801"</f>
        <v>00961801</v>
      </c>
    </row>
    <row r="22159" spans="1:2" x14ac:dyDescent="0.25">
      <c r="A22159" s="2">
        <v>22154</v>
      </c>
      <c r="B22159" s="11" t="str">
        <f>"00961883"</f>
        <v>00961883</v>
      </c>
    </row>
    <row r="22160" spans="1:2" x14ac:dyDescent="0.25">
      <c r="A22160" s="2">
        <v>22155</v>
      </c>
      <c r="B22160" s="11" t="str">
        <f>"00961949"</f>
        <v>00961949</v>
      </c>
    </row>
    <row r="22161" spans="1:2" x14ac:dyDescent="0.25">
      <c r="A22161" s="2">
        <v>22156</v>
      </c>
      <c r="B22161" s="11" t="str">
        <f>"00961985"</f>
        <v>00961985</v>
      </c>
    </row>
    <row r="22162" spans="1:2" x14ac:dyDescent="0.25">
      <c r="A22162" s="2">
        <v>22157</v>
      </c>
      <c r="B22162" s="11" t="str">
        <f>"00962106"</f>
        <v>00962106</v>
      </c>
    </row>
    <row r="22163" spans="1:2" x14ac:dyDescent="0.25">
      <c r="A22163" s="2">
        <v>22158</v>
      </c>
      <c r="B22163" s="11" t="str">
        <f>"00962124"</f>
        <v>00962124</v>
      </c>
    </row>
    <row r="22164" spans="1:2" x14ac:dyDescent="0.25">
      <c r="A22164" s="2">
        <v>22159</v>
      </c>
      <c r="B22164" s="11" t="str">
        <f>"00962208"</f>
        <v>00962208</v>
      </c>
    </row>
    <row r="22165" spans="1:2" x14ac:dyDescent="0.25">
      <c r="A22165" s="2">
        <v>22160</v>
      </c>
      <c r="B22165" s="11" t="str">
        <f>"00962266"</f>
        <v>00962266</v>
      </c>
    </row>
    <row r="22166" spans="1:2" x14ac:dyDescent="0.25">
      <c r="A22166" s="2">
        <v>22161</v>
      </c>
      <c r="B22166" s="11" t="str">
        <f>"00962310"</f>
        <v>00962310</v>
      </c>
    </row>
    <row r="22167" spans="1:2" x14ac:dyDescent="0.25">
      <c r="A22167" s="2">
        <v>22162</v>
      </c>
      <c r="B22167" s="11" t="str">
        <f>"00962350"</f>
        <v>00962350</v>
      </c>
    </row>
    <row r="22168" spans="1:2" x14ac:dyDescent="0.25">
      <c r="A22168" s="2">
        <v>22163</v>
      </c>
      <c r="B22168" s="11" t="str">
        <f>"00962490"</f>
        <v>00962490</v>
      </c>
    </row>
    <row r="22169" spans="1:2" x14ac:dyDescent="0.25">
      <c r="A22169" s="2">
        <v>22164</v>
      </c>
      <c r="B22169" s="11" t="str">
        <f>"00962635"</f>
        <v>00962635</v>
      </c>
    </row>
    <row r="22170" spans="1:2" x14ac:dyDescent="0.25">
      <c r="A22170" s="2">
        <v>22165</v>
      </c>
      <c r="B22170" s="11" t="str">
        <f>"00962823"</f>
        <v>00962823</v>
      </c>
    </row>
    <row r="22171" spans="1:2" x14ac:dyDescent="0.25">
      <c r="A22171" s="2">
        <v>22166</v>
      </c>
      <c r="B22171" s="11" t="str">
        <f>"00962915"</f>
        <v>00962915</v>
      </c>
    </row>
    <row r="22172" spans="1:2" x14ac:dyDescent="0.25">
      <c r="A22172" s="2">
        <v>22167</v>
      </c>
      <c r="B22172" s="11" t="str">
        <f>"00962958"</f>
        <v>00962958</v>
      </c>
    </row>
    <row r="22173" spans="1:2" x14ac:dyDescent="0.25">
      <c r="A22173" s="2">
        <v>22168</v>
      </c>
      <c r="B22173" s="11" t="str">
        <f>"00962974"</f>
        <v>00962974</v>
      </c>
    </row>
    <row r="22174" spans="1:2" x14ac:dyDescent="0.25">
      <c r="A22174" s="2">
        <v>22169</v>
      </c>
      <c r="B22174" s="11" t="str">
        <f>"00963012"</f>
        <v>00963012</v>
      </c>
    </row>
    <row r="22175" spans="1:2" x14ac:dyDescent="0.25">
      <c r="A22175" s="2">
        <v>22170</v>
      </c>
      <c r="B22175" s="11" t="str">
        <f>"00963051"</f>
        <v>00963051</v>
      </c>
    </row>
    <row r="22176" spans="1:2" x14ac:dyDescent="0.25">
      <c r="A22176" s="2">
        <v>22171</v>
      </c>
      <c r="B22176" s="11" t="str">
        <f>"00963128"</f>
        <v>00963128</v>
      </c>
    </row>
    <row r="22177" spans="1:2" x14ac:dyDescent="0.25">
      <c r="A22177" s="2">
        <v>22172</v>
      </c>
      <c r="B22177" s="11" t="str">
        <f>"00963142"</f>
        <v>00963142</v>
      </c>
    </row>
    <row r="22178" spans="1:2" x14ac:dyDescent="0.25">
      <c r="A22178" s="2">
        <v>22173</v>
      </c>
      <c r="B22178" s="11" t="str">
        <f>"00963268"</f>
        <v>00963268</v>
      </c>
    </row>
    <row r="22179" spans="1:2" x14ac:dyDescent="0.25">
      <c r="A22179" s="2">
        <v>22174</v>
      </c>
      <c r="B22179" s="11" t="str">
        <f>"00963364"</f>
        <v>00963364</v>
      </c>
    </row>
    <row r="22180" spans="1:2" x14ac:dyDescent="0.25">
      <c r="A22180" s="2">
        <v>22175</v>
      </c>
      <c r="B22180" s="11" t="str">
        <f>"00963422"</f>
        <v>00963422</v>
      </c>
    </row>
    <row r="22181" spans="1:2" x14ac:dyDescent="0.25">
      <c r="A22181" s="2">
        <v>22176</v>
      </c>
      <c r="B22181" s="11" t="str">
        <f>"00963476"</f>
        <v>00963476</v>
      </c>
    </row>
    <row r="22182" spans="1:2" x14ac:dyDescent="0.25">
      <c r="A22182" s="2">
        <v>22177</v>
      </c>
      <c r="B22182" s="11" t="str">
        <f>"00963590"</f>
        <v>00963590</v>
      </c>
    </row>
    <row r="22183" spans="1:2" x14ac:dyDescent="0.25">
      <c r="A22183" s="2">
        <v>22178</v>
      </c>
      <c r="B22183" s="11" t="str">
        <f>"00963926"</f>
        <v>00963926</v>
      </c>
    </row>
    <row r="22184" spans="1:2" x14ac:dyDescent="0.25">
      <c r="A22184" s="2">
        <v>22179</v>
      </c>
      <c r="B22184" s="11" t="str">
        <f>"00963969"</f>
        <v>00963969</v>
      </c>
    </row>
    <row r="22185" spans="1:2" x14ac:dyDescent="0.25">
      <c r="A22185" s="2">
        <v>22180</v>
      </c>
      <c r="B22185" s="11" t="str">
        <f>"00964095"</f>
        <v>00964095</v>
      </c>
    </row>
    <row r="22186" spans="1:2" x14ac:dyDescent="0.25">
      <c r="A22186" s="2">
        <v>22181</v>
      </c>
      <c r="B22186" s="11" t="str">
        <f>"00964200"</f>
        <v>00964200</v>
      </c>
    </row>
    <row r="22187" spans="1:2" x14ac:dyDescent="0.25">
      <c r="A22187" s="2">
        <v>22182</v>
      </c>
      <c r="B22187" s="11" t="str">
        <f>"00964548"</f>
        <v>00964548</v>
      </c>
    </row>
    <row r="22188" spans="1:2" x14ac:dyDescent="0.25">
      <c r="A22188" s="2">
        <v>22183</v>
      </c>
      <c r="B22188" s="11" t="str">
        <f>"00964649"</f>
        <v>00964649</v>
      </c>
    </row>
    <row r="22189" spans="1:2" x14ac:dyDescent="0.25">
      <c r="A22189" s="2">
        <v>22184</v>
      </c>
      <c r="B22189" s="11" t="str">
        <f>"00964668"</f>
        <v>00964668</v>
      </c>
    </row>
    <row r="22190" spans="1:2" x14ac:dyDescent="0.25">
      <c r="A22190" s="2">
        <v>22185</v>
      </c>
      <c r="B22190" s="11" t="str">
        <f>"00964778"</f>
        <v>00964778</v>
      </c>
    </row>
    <row r="22191" spans="1:2" x14ac:dyDescent="0.25">
      <c r="A22191" s="2">
        <v>22186</v>
      </c>
      <c r="B22191" s="11" t="str">
        <f>"00964887"</f>
        <v>00964887</v>
      </c>
    </row>
    <row r="22192" spans="1:2" x14ac:dyDescent="0.25">
      <c r="A22192" s="2">
        <v>22187</v>
      </c>
      <c r="B22192" s="11" t="str">
        <f>"00964889"</f>
        <v>00964889</v>
      </c>
    </row>
    <row r="22193" spans="1:2" x14ac:dyDescent="0.25">
      <c r="A22193" s="2">
        <v>22188</v>
      </c>
      <c r="B22193" s="11" t="str">
        <f>"00965000"</f>
        <v>00965000</v>
      </c>
    </row>
    <row r="22194" spans="1:2" x14ac:dyDescent="0.25">
      <c r="A22194" s="2">
        <v>22189</v>
      </c>
      <c r="B22194" s="11" t="str">
        <f>"00965225"</f>
        <v>00965225</v>
      </c>
    </row>
    <row r="22195" spans="1:2" x14ac:dyDescent="0.25">
      <c r="A22195" s="2">
        <v>22190</v>
      </c>
      <c r="B22195" s="11" t="str">
        <f>"00965322"</f>
        <v>00965322</v>
      </c>
    </row>
    <row r="22196" spans="1:2" x14ac:dyDescent="0.25">
      <c r="A22196" s="2">
        <v>22191</v>
      </c>
      <c r="B22196" s="11" t="str">
        <f>"00965362"</f>
        <v>00965362</v>
      </c>
    </row>
    <row r="22197" spans="1:2" x14ac:dyDescent="0.25">
      <c r="A22197" s="2">
        <v>22192</v>
      </c>
      <c r="B22197" s="11" t="str">
        <f>"00965374"</f>
        <v>00965374</v>
      </c>
    </row>
    <row r="22198" spans="1:2" x14ac:dyDescent="0.25">
      <c r="A22198" s="2">
        <v>22193</v>
      </c>
      <c r="B22198" s="11" t="str">
        <f>"00965695"</f>
        <v>00965695</v>
      </c>
    </row>
    <row r="22199" spans="1:2" x14ac:dyDescent="0.25">
      <c r="A22199" s="2">
        <v>22194</v>
      </c>
      <c r="B22199" s="11" t="str">
        <f>"00965748"</f>
        <v>00965748</v>
      </c>
    </row>
    <row r="22200" spans="1:2" x14ac:dyDescent="0.25">
      <c r="A22200" s="2">
        <v>22195</v>
      </c>
      <c r="B22200" s="11" t="str">
        <f>"00965824"</f>
        <v>00965824</v>
      </c>
    </row>
    <row r="22201" spans="1:2" x14ac:dyDescent="0.25">
      <c r="A22201" s="2">
        <v>22196</v>
      </c>
      <c r="B22201" s="11" t="str">
        <f>"00965947"</f>
        <v>00965947</v>
      </c>
    </row>
    <row r="22202" spans="1:2" x14ac:dyDescent="0.25">
      <c r="A22202" s="2">
        <v>22197</v>
      </c>
      <c r="B22202" s="11" t="str">
        <f>"00966063"</f>
        <v>00966063</v>
      </c>
    </row>
    <row r="22203" spans="1:2" x14ac:dyDescent="0.25">
      <c r="A22203" s="2">
        <v>22198</v>
      </c>
      <c r="B22203" s="11" t="str">
        <f>"00966143"</f>
        <v>00966143</v>
      </c>
    </row>
    <row r="22204" spans="1:2" x14ac:dyDescent="0.25">
      <c r="A22204" s="2">
        <v>22199</v>
      </c>
      <c r="B22204" s="11" t="str">
        <f>"00966148"</f>
        <v>00966148</v>
      </c>
    </row>
    <row r="22205" spans="1:2" x14ac:dyDescent="0.25">
      <c r="A22205" s="2">
        <v>22200</v>
      </c>
      <c r="B22205" s="11" t="str">
        <f>"00966184"</f>
        <v>00966184</v>
      </c>
    </row>
    <row r="22206" spans="1:2" x14ac:dyDescent="0.25">
      <c r="A22206" s="2">
        <v>22201</v>
      </c>
      <c r="B22206" s="11" t="str">
        <f>"00966186"</f>
        <v>00966186</v>
      </c>
    </row>
    <row r="22207" spans="1:2" x14ac:dyDescent="0.25">
      <c r="A22207" s="2">
        <v>22202</v>
      </c>
      <c r="B22207" s="11" t="str">
        <f>"00966313"</f>
        <v>00966313</v>
      </c>
    </row>
    <row r="22208" spans="1:2" x14ac:dyDescent="0.25">
      <c r="A22208" s="2">
        <v>22203</v>
      </c>
      <c r="B22208" s="11" t="str">
        <f>"00966359"</f>
        <v>00966359</v>
      </c>
    </row>
    <row r="22209" spans="1:2" x14ac:dyDescent="0.25">
      <c r="A22209" s="2">
        <v>22204</v>
      </c>
      <c r="B22209" s="11" t="str">
        <f>"00966363"</f>
        <v>00966363</v>
      </c>
    </row>
    <row r="22210" spans="1:2" x14ac:dyDescent="0.25">
      <c r="A22210" s="2">
        <v>22205</v>
      </c>
      <c r="B22210" s="11" t="str">
        <f>"00966390"</f>
        <v>00966390</v>
      </c>
    </row>
    <row r="22211" spans="1:2" x14ac:dyDescent="0.25">
      <c r="A22211" s="2">
        <v>22206</v>
      </c>
      <c r="B22211" s="11" t="str">
        <f>"00966477"</f>
        <v>00966477</v>
      </c>
    </row>
    <row r="22212" spans="1:2" x14ac:dyDescent="0.25">
      <c r="A22212" s="2">
        <v>22207</v>
      </c>
      <c r="B22212" s="11" t="str">
        <f>"00966507"</f>
        <v>00966507</v>
      </c>
    </row>
    <row r="22213" spans="1:2" x14ac:dyDescent="0.25">
      <c r="A22213" s="2">
        <v>22208</v>
      </c>
      <c r="B22213" s="11" t="str">
        <f>"00966514"</f>
        <v>00966514</v>
      </c>
    </row>
    <row r="22214" spans="1:2" x14ac:dyDescent="0.25">
      <c r="A22214" s="2">
        <v>22209</v>
      </c>
      <c r="B22214" s="11" t="str">
        <f>"00966589"</f>
        <v>00966589</v>
      </c>
    </row>
    <row r="22215" spans="1:2" x14ac:dyDescent="0.25">
      <c r="A22215" s="2">
        <v>22210</v>
      </c>
      <c r="B22215" s="11" t="str">
        <f>"00966637"</f>
        <v>00966637</v>
      </c>
    </row>
    <row r="22216" spans="1:2" x14ac:dyDescent="0.25">
      <c r="A22216" s="2">
        <v>22211</v>
      </c>
      <c r="B22216" s="11" t="str">
        <f>"00966648"</f>
        <v>00966648</v>
      </c>
    </row>
    <row r="22217" spans="1:2" x14ac:dyDescent="0.25">
      <c r="A22217" s="2">
        <v>22212</v>
      </c>
      <c r="B22217" s="11" t="str">
        <f>"00966684"</f>
        <v>00966684</v>
      </c>
    </row>
    <row r="22218" spans="1:2" x14ac:dyDescent="0.25">
      <c r="A22218" s="2">
        <v>22213</v>
      </c>
      <c r="B22218" s="11" t="str">
        <f>"00966727"</f>
        <v>00966727</v>
      </c>
    </row>
    <row r="22219" spans="1:2" x14ac:dyDescent="0.25">
      <c r="A22219" s="2">
        <v>22214</v>
      </c>
      <c r="B22219" s="11" t="str">
        <f>"00966735"</f>
        <v>00966735</v>
      </c>
    </row>
    <row r="22220" spans="1:2" x14ac:dyDescent="0.25">
      <c r="A22220" s="2">
        <v>22215</v>
      </c>
      <c r="B22220" s="11" t="str">
        <f>"00966769"</f>
        <v>00966769</v>
      </c>
    </row>
    <row r="22221" spans="1:2" x14ac:dyDescent="0.25">
      <c r="A22221" s="2">
        <v>22216</v>
      </c>
      <c r="B22221" s="11" t="str">
        <f>"00966967"</f>
        <v>00966967</v>
      </c>
    </row>
    <row r="22222" spans="1:2" x14ac:dyDescent="0.25">
      <c r="A22222" s="2">
        <v>22217</v>
      </c>
      <c r="B22222" s="11" t="str">
        <f>"00967100"</f>
        <v>00967100</v>
      </c>
    </row>
    <row r="22223" spans="1:2" x14ac:dyDescent="0.25">
      <c r="A22223" s="2">
        <v>22218</v>
      </c>
      <c r="B22223" s="11" t="str">
        <f>"00967199"</f>
        <v>00967199</v>
      </c>
    </row>
    <row r="22224" spans="1:2" x14ac:dyDescent="0.25">
      <c r="A22224" s="2">
        <v>22219</v>
      </c>
      <c r="B22224" s="11" t="str">
        <f>"00967233"</f>
        <v>00967233</v>
      </c>
    </row>
    <row r="22225" spans="1:2" x14ac:dyDescent="0.25">
      <c r="A22225" s="2">
        <v>22220</v>
      </c>
      <c r="B22225" s="11" t="str">
        <f>"00967294"</f>
        <v>00967294</v>
      </c>
    </row>
    <row r="22226" spans="1:2" x14ac:dyDescent="0.25">
      <c r="A22226" s="2">
        <v>22221</v>
      </c>
      <c r="B22226" s="11" t="str">
        <f>"00967342"</f>
        <v>00967342</v>
      </c>
    </row>
    <row r="22227" spans="1:2" x14ac:dyDescent="0.25">
      <c r="A22227" s="2">
        <v>22222</v>
      </c>
      <c r="B22227" s="11" t="str">
        <f>"00967383"</f>
        <v>00967383</v>
      </c>
    </row>
    <row r="22228" spans="1:2" x14ac:dyDescent="0.25">
      <c r="A22228" s="2">
        <v>22223</v>
      </c>
      <c r="B22228" s="11" t="str">
        <f>"00967510"</f>
        <v>00967510</v>
      </c>
    </row>
    <row r="22229" spans="1:2" x14ac:dyDescent="0.25">
      <c r="A22229" s="2">
        <v>22224</v>
      </c>
      <c r="B22229" s="11" t="str">
        <f>"00967512"</f>
        <v>00967512</v>
      </c>
    </row>
    <row r="22230" spans="1:2" x14ac:dyDescent="0.25">
      <c r="A22230" s="2">
        <v>22225</v>
      </c>
      <c r="B22230" s="11" t="str">
        <f>"00967515"</f>
        <v>00967515</v>
      </c>
    </row>
    <row r="22231" spans="1:2" x14ac:dyDescent="0.25">
      <c r="A22231" s="2">
        <v>22226</v>
      </c>
      <c r="B22231" s="11" t="str">
        <f>"00967544"</f>
        <v>00967544</v>
      </c>
    </row>
    <row r="22232" spans="1:2" x14ac:dyDescent="0.25">
      <c r="A22232" s="2">
        <v>22227</v>
      </c>
      <c r="B22232" s="11" t="str">
        <f>"00967551"</f>
        <v>00967551</v>
      </c>
    </row>
    <row r="22233" spans="1:2" x14ac:dyDescent="0.25">
      <c r="A22233" s="2">
        <v>22228</v>
      </c>
      <c r="B22233" s="11" t="str">
        <f>"00967630"</f>
        <v>00967630</v>
      </c>
    </row>
    <row r="22234" spans="1:2" x14ac:dyDescent="0.25">
      <c r="A22234" s="2">
        <v>22229</v>
      </c>
      <c r="B22234" s="11" t="str">
        <f>"00967726"</f>
        <v>00967726</v>
      </c>
    </row>
    <row r="22235" spans="1:2" x14ac:dyDescent="0.25">
      <c r="A22235" s="2">
        <v>22230</v>
      </c>
      <c r="B22235" s="11" t="str">
        <f>"00967747"</f>
        <v>00967747</v>
      </c>
    </row>
    <row r="22236" spans="1:2" x14ac:dyDescent="0.25">
      <c r="A22236" s="2">
        <v>22231</v>
      </c>
      <c r="B22236" s="11" t="str">
        <f>"00967798"</f>
        <v>00967798</v>
      </c>
    </row>
    <row r="22237" spans="1:2" x14ac:dyDescent="0.25">
      <c r="A22237" s="2">
        <v>22232</v>
      </c>
      <c r="B22237" s="11" t="str">
        <f>"00967825"</f>
        <v>00967825</v>
      </c>
    </row>
    <row r="22238" spans="1:2" x14ac:dyDescent="0.25">
      <c r="A22238" s="2">
        <v>22233</v>
      </c>
      <c r="B22238" s="11" t="str">
        <f>"00967873"</f>
        <v>00967873</v>
      </c>
    </row>
    <row r="22239" spans="1:2" x14ac:dyDescent="0.25">
      <c r="A22239" s="2">
        <v>22234</v>
      </c>
      <c r="B22239" s="11" t="str">
        <f>"00967881"</f>
        <v>00967881</v>
      </c>
    </row>
    <row r="22240" spans="1:2" x14ac:dyDescent="0.25">
      <c r="A22240" s="2">
        <v>22235</v>
      </c>
      <c r="B22240" s="11" t="str">
        <f>"00967903"</f>
        <v>00967903</v>
      </c>
    </row>
    <row r="22241" spans="1:2" x14ac:dyDescent="0.25">
      <c r="A22241" s="2">
        <v>22236</v>
      </c>
      <c r="B22241" s="11" t="str">
        <f>"00967932"</f>
        <v>00967932</v>
      </c>
    </row>
    <row r="22242" spans="1:2" x14ac:dyDescent="0.25">
      <c r="A22242" s="2">
        <v>22237</v>
      </c>
      <c r="B22242" s="11" t="str">
        <f>"00967936"</f>
        <v>00967936</v>
      </c>
    </row>
    <row r="22243" spans="1:2" x14ac:dyDescent="0.25">
      <c r="A22243" s="2">
        <v>22238</v>
      </c>
      <c r="B22243" s="11" t="str">
        <f>"00967951"</f>
        <v>00967951</v>
      </c>
    </row>
    <row r="22244" spans="1:2" x14ac:dyDescent="0.25">
      <c r="A22244" s="2">
        <v>22239</v>
      </c>
      <c r="B22244" s="11" t="str">
        <f>"00967980"</f>
        <v>00967980</v>
      </c>
    </row>
    <row r="22245" spans="1:2" x14ac:dyDescent="0.25">
      <c r="A22245" s="2">
        <v>22240</v>
      </c>
      <c r="B22245" s="11" t="str">
        <f>"00968127"</f>
        <v>00968127</v>
      </c>
    </row>
    <row r="22246" spans="1:2" x14ac:dyDescent="0.25">
      <c r="A22246" s="2">
        <v>22241</v>
      </c>
      <c r="B22246" s="11" t="str">
        <f>"00968161"</f>
        <v>00968161</v>
      </c>
    </row>
    <row r="22247" spans="1:2" x14ac:dyDescent="0.25">
      <c r="A22247" s="2">
        <v>22242</v>
      </c>
      <c r="B22247" s="11" t="str">
        <f>"00968220"</f>
        <v>00968220</v>
      </c>
    </row>
    <row r="22248" spans="1:2" x14ac:dyDescent="0.25">
      <c r="A22248" s="2">
        <v>22243</v>
      </c>
      <c r="B22248" s="11" t="str">
        <f>"00968221"</f>
        <v>00968221</v>
      </c>
    </row>
    <row r="22249" spans="1:2" x14ac:dyDescent="0.25">
      <c r="A22249" s="2">
        <v>22244</v>
      </c>
      <c r="B22249" s="11" t="str">
        <f>"00968239"</f>
        <v>00968239</v>
      </c>
    </row>
    <row r="22250" spans="1:2" x14ac:dyDescent="0.25">
      <c r="A22250" s="2">
        <v>22245</v>
      </c>
      <c r="B22250" s="11" t="str">
        <f>"00968265"</f>
        <v>00968265</v>
      </c>
    </row>
    <row r="22251" spans="1:2" x14ac:dyDescent="0.25">
      <c r="A22251" s="2">
        <v>22246</v>
      </c>
      <c r="B22251" s="11" t="str">
        <f>"00968279"</f>
        <v>00968279</v>
      </c>
    </row>
    <row r="22252" spans="1:2" x14ac:dyDescent="0.25">
      <c r="A22252" s="2">
        <v>22247</v>
      </c>
      <c r="B22252" s="11" t="str">
        <f>"00968281"</f>
        <v>00968281</v>
      </c>
    </row>
    <row r="22253" spans="1:2" x14ac:dyDescent="0.25">
      <c r="A22253" s="2">
        <v>22248</v>
      </c>
      <c r="B22253" s="11" t="str">
        <f>"00968293"</f>
        <v>00968293</v>
      </c>
    </row>
    <row r="22254" spans="1:2" x14ac:dyDescent="0.25">
      <c r="A22254" s="2">
        <v>22249</v>
      </c>
      <c r="B22254" s="11" t="str">
        <f>"00968315"</f>
        <v>00968315</v>
      </c>
    </row>
    <row r="22255" spans="1:2" x14ac:dyDescent="0.25">
      <c r="A22255" s="2">
        <v>22250</v>
      </c>
      <c r="B22255" s="11" t="str">
        <f>"00968364"</f>
        <v>00968364</v>
      </c>
    </row>
    <row r="22256" spans="1:2" x14ac:dyDescent="0.25">
      <c r="A22256" s="2">
        <v>22251</v>
      </c>
      <c r="B22256" s="11" t="str">
        <f>"00968389"</f>
        <v>00968389</v>
      </c>
    </row>
    <row r="22257" spans="1:2" x14ac:dyDescent="0.25">
      <c r="A22257" s="2">
        <v>22252</v>
      </c>
      <c r="B22257" s="11" t="str">
        <f>"00968418"</f>
        <v>00968418</v>
      </c>
    </row>
    <row r="22258" spans="1:2" x14ac:dyDescent="0.25">
      <c r="A22258" s="2">
        <v>22253</v>
      </c>
      <c r="B22258" s="11" t="str">
        <f>"00968481"</f>
        <v>00968481</v>
      </c>
    </row>
    <row r="22259" spans="1:2" x14ac:dyDescent="0.25">
      <c r="A22259" s="2">
        <v>22254</v>
      </c>
      <c r="B22259" s="11" t="str">
        <f>"00968506"</f>
        <v>00968506</v>
      </c>
    </row>
    <row r="22260" spans="1:2" x14ac:dyDescent="0.25">
      <c r="A22260" s="2">
        <v>22255</v>
      </c>
      <c r="B22260" s="11" t="str">
        <f>"00968668"</f>
        <v>00968668</v>
      </c>
    </row>
    <row r="22261" spans="1:2" x14ac:dyDescent="0.25">
      <c r="A22261" s="2">
        <v>22256</v>
      </c>
      <c r="B22261" s="11" t="str">
        <f>"00968712"</f>
        <v>00968712</v>
      </c>
    </row>
    <row r="22262" spans="1:2" x14ac:dyDescent="0.25">
      <c r="A22262" s="2">
        <v>22257</v>
      </c>
      <c r="B22262" s="11" t="str">
        <f>"00968742"</f>
        <v>00968742</v>
      </c>
    </row>
    <row r="22263" spans="1:2" x14ac:dyDescent="0.25">
      <c r="A22263" s="2">
        <v>22258</v>
      </c>
      <c r="B22263" s="11" t="str">
        <f>"00968775"</f>
        <v>00968775</v>
      </c>
    </row>
    <row r="22264" spans="1:2" x14ac:dyDescent="0.25">
      <c r="A22264" s="2">
        <v>22259</v>
      </c>
      <c r="B22264" s="11" t="str">
        <f>"00968789"</f>
        <v>00968789</v>
      </c>
    </row>
    <row r="22265" spans="1:2" x14ac:dyDescent="0.25">
      <c r="A22265" s="2">
        <v>22260</v>
      </c>
      <c r="B22265" s="11" t="str">
        <f>"00968834"</f>
        <v>00968834</v>
      </c>
    </row>
    <row r="22266" spans="1:2" x14ac:dyDescent="0.25">
      <c r="A22266" s="2">
        <v>22261</v>
      </c>
      <c r="B22266" s="11" t="str">
        <f>"00968842"</f>
        <v>00968842</v>
      </c>
    </row>
    <row r="22267" spans="1:2" x14ac:dyDescent="0.25">
      <c r="A22267" s="2">
        <v>22262</v>
      </c>
      <c r="B22267" s="11" t="str">
        <f>"00968931"</f>
        <v>00968931</v>
      </c>
    </row>
    <row r="22268" spans="1:2" x14ac:dyDescent="0.25">
      <c r="A22268" s="2">
        <v>22263</v>
      </c>
      <c r="B22268" s="11" t="str">
        <f>"00968943"</f>
        <v>00968943</v>
      </c>
    </row>
    <row r="22269" spans="1:2" x14ac:dyDescent="0.25">
      <c r="A22269" s="2">
        <v>22264</v>
      </c>
      <c r="B22269" s="11" t="str">
        <f>"00968946"</f>
        <v>00968946</v>
      </c>
    </row>
    <row r="22270" spans="1:2" x14ac:dyDescent="0.25">
      <c r="A22270" s="2">
        <v>22265</v>
      </c>
      <c r="B22270" s="11" t="str">
        <f>"00968962"</f>
        <v>00968962</v>
      </c>
    </row>
    <row r="22271" spans="1:2" x14ac:dyDescent="0.25">
      <c r="A22271" s="2">
        <v>22266</v>
      </c>
      <c r="B22271" s="11" t="str">
        <f>"00969027"</f>
        <v>00969027</v>
      </c>
    </row>
    <row r="22272" spans="1:2" x14ac:dyDescent="0.25">
      <c r="A22272" s="2">
        <v>22267</v>
      </c>
      <c r="B22272" s="11" t="str">
        <f>"00969042"</f>
        <v>00969042</v>
      </c>
    </row>
    <row r="22273" spans="1:2" x14ac:dyDescent="0.25">
      <c r="A22273" s="2">
        <v>22268</v>
      </c>
      <c r="B22273" s="11" t="str">
        <f>"00969094"</f>
        <v>00969094</v>
      </c>
    </row>
    <row r="22274" spans="1:2" x14ac:dyDescent="0.25">
      <c r="A22274" s="2">
        <v>22269</v>
      </c>
      <c r="B22274" s="11" t="str">
        <f>"00969131"</f>
        <v>00969131</v>
      </c>
    </row>
    <row r="22275" spans="1:2" x14ac:dyDescent="0.25">
      <c r="A22275" s="2">
        <v>22270</v>
      </c>
      <c r="B22275" s="11" t="str">
        <f>"00969141"</f>
        <v>00969141</v>
      </c>
    </row>
    <row r="22276" spans="1:2" x14ac:dyDescent="0.25">
      <c r="A22276" s="2">
        <v>22271</v>
      </c>
      <c r="B22276" s="11" t="str">
        <f>"00969143"</f>
        <v>00969143</v>
      </c>
    </row>
    <row r="22277" spans="1:2" x14ac:dyDescent="0.25">
      <c r="A22277" s="2">
        <v>22272</v>
      </c>
      <c r="B22277" s="11" t="str">
        <f>"00969148"</f>
        <v>00969148</v>
      </c>
    </row>
    <row r="22278" spans="1:2" x14ac:dyDescent="0.25">
      <c r="A22278" s="2">
        <v>22273</v>
      </c>
      <c r="B22278" s="11" t="str">
        <f>"00969150"</f>
        <v>00969150</v>
      </c>
    </row>
    <row r="22279" spans="1:2" x14ac:dyDescent="0.25">
      <c r="A22279" s="2">
        <v>22274</v>
      </c>
      <c r="B22279" s="11" t="str">
        <f>"00969158"</f>
        <v>00969158</v>
      </c>
    </row>
    <row r="22280" spans="1:2" x14ac:dyDescent="0.25">
      <c r="A22280" s="2">
        <v>22275</v>
      </c>
      <c r="B22280" s="11" t="str">
        <f>"00969164"</f>
        <v>00969164</v>
      </c>
    </row>
    <row r="22281" spans="1:2" x14ac:dyDescent="0.25">
      <c r="A22281" s="2">
        <v>22276</v>
      </c>
      <c r="B22281" s="11" t="str">
        <f>"00969189"</f>
        <v>00969189</v>
      </c>
    </row>
    <row r="22282" spans="1:2" x14ac:dyDescent="0.25">
      <c r="A22282" s="2">
        <v>22277</v>
      </c>
      <c r="B22282" s="11" t="str">
        <f>"00969198"</f>
        <v>00969198</v>
      </c>
    </row>
    <row r="22283" spans="1:2" x14ac:dyDescent="0.25">
      <c r="A22283" s="2">
        <v>22278</v>
      </c>
      <c r="B22283" s="11" t="str">
        <f>"00969354"</f>
        <v>00969354</v>
      </c>
    </row>
    <row r="22284" spans="1:2" x14ac:dyDescent="0.25">
      <c r="A22284" s="2">
        <v>22279</v>
      </c>
      <c r="B22284" s="11" t="str">
        <f>"00969358"</f>
        <v>00969358</v>
      </c>
    </row>
    <row r="22285" spans="1:2" x14ac:dyDescent="0.25">
      <c r="A22285" s="2">
        <v>22280</v>
      </c>
      <c r="B22285" s="11" t="str">
        <f>"00969373"</f>
        <v>00969373</v>
      </c>
    </row>
    <row r="22286" spans="1:2" x14ac:dyDescent="0.25">
      <c r="A22286" s="2">
        <v>22281</v>
      </c>
      <c r="B22286" s="11" t="str">
        <f>"00969402"</f>
        <v>00969402</v>
      </c>
    </row>
    <row r="22287" spans="1:2" x14ac:dyDescent="0.25">
      <c r="A22287" s="2">
        <v>22282</v>
      </c>
      <c r="B22287" s="11" t="str">
        <f>"00969424"</f>
        <v>00969424</v>
      </c>
    </row>
    <row r="22288" spans="1:2" x14ac:dyDescent="0.25">
      <c r="A22288" s="2">
        <v>22283</v>
      </c>
      <c r="B22288" s="11" t="str">
        <f>"00969453"</f>
        <v>00969453</v>
      </c>
    </row>
    <row r="22289" spans="1:2" x14ac:dyDescent="0.25">
      <c r="A22289" s="2">
        <v>22284</v>
      </c>
      <c r="B22289" s="11" t="str">
        <f>"00969592"</f>
        <v>00969592</v>
      </c>
    </row>
    <row r="22290" spans="1:2" x14ac:dyDescent="0.25">
      <c r="A22290" s="2">
        <v>22285</v>
      </c>
      <c r="B22290" s="11" t="str">
        <f>"00969604"</f>
        <v>00969604</v>
      </c>
    </row>
    <row r="22291" spans="1:2" x14ac:dyDescent="0.25">
      <c r="A22291" s="2">
        <v>22286</v>
      </c>
      <c r="B22291" s="11" t="str">
        <f>"00969608"</f>
        <v>00969608</v>
      </c>
    </row>
    <row r="22292" spans="1:2" x14ac:dyDescent="0.25">
      <c r="A22292" s="2">
        <v>22287</v>
      </c>
      <c r="B22292" s="11" t="str">
        <f>"00969637"</f>
        <v>00969637</v>
      </c>
    </row>
    <row r="22293" spans="1:2" x14ac:dyDescent="0.25">
      <c r="A22293" s="2">
        <v>22288</v>
      </c>
      <c r="B22293" s="11" t="str">
        <f>"00969642"</f>
        <v>00969642</v>
      </c>
    </row>
    <row r="22294" spans="1:2" x14ac:dyDescent="0.25">
      <c r="A22294" s="2">
        <v>22289</v>
      </c>
      <c r="B22294" s="11" t="str">
        <f>"00969649"</f>
        <v>00969649</v>
      </c>
    </row>
    <row r="22295" spans="1:2" x14ac:dyDescent="0.25">
      <c r="A22295" s="2">
        <v>22290</v>
      </c>
      <c r="B22295" s="11" t="str">
        <f>"00969683"</f>
        <v>00969683</v>
      </c>
    </row>
    <row r="22296" spans="1:2" x14ac:dyDescent="0.25">
      <c r="A22296" s="2">
        <v>22291</v>
      </c>
      <c r="B22296" s="11" t="str">
        <f>"00969749"</f>
        <v>00969749</v>
      </c>
    </row>
    <row r="22297" spans="1:2" x14ac:dyDescent="0.25">
      <c r="A22297" s="2">
        <v>22292</v>
      </c>
      <c r="B22297" s="11" t="str">
        <f>"00969750"</f>
        <v>00969750</v>
      </c>
    </row>
    <row r="22298" spans="1:2" x14ac:dyDescent="0.25">
      <c r="A22298" s="2">
        <v>22293</v>
      </c>
      <c r="B22298" s="11" t="str">
        <f>"00969769"</f>
        <v>00969769</v>
      </c>
    </row>
    <row r="22299" spans="1:2" x14ac:dyDescent="0.25">
      <c r="A22299" s="2">
        <v>22294</v>
      </c>
      <c r="B22299" s="11" t="str">
        <f>"00969802"</f>
        <v>00969802</v>
      </c>
    </row>
    <row r="22300" spans="1:2" x14ac:dyDescent="0.25">
      <c r="A22300" s="2">
        <v>22295</v>
      </c>
      <c r="B22300" s="11" t="str">
        <f>"00969832"</f>
        <v>00969832</v>
      </c>
    </row>
    <row r="22301" spans="1:2" x14ac:dyDescent="0.25">
      <c r="A22301" s="2">
        <v>22296</v>
      </c>
      <c r="B22301" s="11" t="str">
        <f>"00969858"</f>
        <v>00969858</v>
      </c>
    </row>
    <row r="22302" spans="1:2" x14ac:dyDescent="0.25">
      <c r="A22302" s="2">
        <v>22297</v>
      </c>
      <c r="B22302" s="11" t="str">
        <f>"00969867"</f>
        <v>00969867</v>
      </c>
    </row>
    <row r="22303" spans="1:2" x14ac:dyDescent="0.25">
      <c r="A22303" s="2">
        <v>22298</v>
      </c>
      <c r="B22303" s="11" t="str">
        <f>"00969891"</f>
        <v>00969891</v>
      </c>
    </row>
    <row r="22304" spans="1:2" x14ac:dyDescent="0.25">
      <c r="A22304" s="2">
        <v>22299</v>
      </c>
      <c r="B22304" s="11" t="str">
        <f>"00969892"</f>
        <v>00969892</v>
      </c>
    </row>
    <row r="22305" spans="1:2" x14ac:dyDescent="0.25">
      <c r="A22305" s="2">
        <v>22300</v>
      </c>
      <c r="B22305" s="11" t="str">
        <f>"00969896"</f>
        <v>00969896</v>
      </c>
    </row>
    <row r="22306" spans="1:2" x14ac:dyDescent="0.25">
      <c r="A22306" s="2">
        <v>22301</v>
      </c>
      <c r="B22306" s="11" t="str">
        <f>"00969948"</f>
        <v>00969948</v>
      </c>
    </row>
    <row r="22307" spans="1:2" x14ac:dyDescent="0.25">
      <c r="A22307" s="2">
        <v>22302</v>
      </c>
      <c r="B22307" s="11" t="str">
        <f>"00969988"</f>
        <v>00969988</v>
      </c>
    </row>
    <row r="22308" spans="1:2" x14ac:dyDescent="0.25">
      <c r="A22308" s="2">
        <v>22303</v>
      </c>
      <c r="B22308" s="11" t="str">
        <f>"00970057"</f>
        <v>00970057</v>
      </c>
    </row>
    <row r="22309" spans="1:2" x14ac:dyDescent="0.25">
      <c r="A22309" s="2">
        <v>22304</v>
      </c>
      <c r="B22309" s="11" t="str">
        <f>"00970066"</f>
        <v>00970066</v>
      </c>
    </row>
    <row r="22310" spans="1:2" x14ac:dyDescent="0.25">
      <c r="A22310" s="2">
        <v>22305</v>
      </c>
      <c r="B22310" s="11" t="str">
        <f>"00970120"</f>
        <v>00970120</v>
      </c>
    </row>
    <row r="22311" spans="1:2" x14ac:dyDescent="0.25">
      <c r="A22311" s="2">
        <v>22306</v>
      </c>
      <c r="B22311" s="11" t="str">
        <f>"00970208"</f>
        <v>00970208</v>
      </c>
    </row>
    <row r="22312" spans="1:2" x14ac:dyDescent="0.25">
      <c r="A22312" s="2">
        <v>22307</v>
      </c>
      <c r="B22312" s="11" t="str">
        <f>"00970222"</f>
        <v>00970222</v>
      </c>
    </row>
    <row r="22313" spans="1:2" x14ac:dyDescent="0.25">
      <c r="A22313" s="2">
        <v>22308</v>
      </c>
      <c r="B22313" s="11" t="str">
        <f>"00970233"</f>
        <v>00970233</v>
      </c>
    </row>
    <row r="22314" spans="1:2" x14ac:dyDescent="0.25">
      <c r="A22314" s="2">
        <v>22309</v>
      </c>
      <c r="B22314" s="11" t="str">
        <f>"00970288"</f>
        <v>00970288</v>
      </c>
    </row>
    <row r="22315" spans="1:2" x14ac:dyDescent="0.25">
      <c r="A22315" s="2">
        <v>22310</v>
      </c>
      <c r="B22315" s="11" t="str">
        <f>"00970325"</f>
        <v>00970325</v>
      </c>
    </row>
    <row r="22316" spans="1:2" x14ac:dyDescent="0.25">
      <c r="A22316" s="2">
        <v>22311</v>
      </c>
      <c r="B22316" s="11" t="str">
        <f>"00970368"</f>
        <v>00970368</v>
      </c>
    </row>
    <row r="22317" spans="1:2" x14ac:dyDescent="0.25">
      <c r="A22317" s="2">
        <v>22312</v>
      </c>
      <c r="B22317" s="11" t="str">
        <f>"00970401"</f>
        <v>00970401</v>
      </c>
    </row>
    <row r="22318" spans="1:2" x14ac:dyDescent="0.25">
      <c r="A22318" s="2">
        <v>22313</v>
      </c>
      <c r="B22318" s="11" t="str">
        <f>"00970470"</f>
        <v>00970470</v>
      </c>
    </row>
    <row r="22319" spans="1:2" x14ac:dyDescent="0.25">
      <c r="A22319" s="2">
        <v>22314</v>
      </c>
      <c r="B22319" s="11" t="str">
        <f>"00970475"</f>
        <v>00970475</v>
      </c>
    </row>
    <row r="22320" spans="1:2" x14ac:dyDescent="0.25">
      <c r="A22320" s="2">
        <v>22315</v>
      </c>
      <c r="B22320" s="11" t="str">
        <f>"00970524"</f>
        <v>00970524</v>
      </c>
    </row>
    <row r="22321" spans="1:2" x14ac:dyDescent="0.25">
      <c r="A22321" s="2">
        <v>22316</v>
      </c>
      <c r="B22321" s="11" t="str">
        <f>"00970535"</f>
        <v>00970535</v>
      </c>
    </row>
    <row r="22322" spans="1:2" x14ac:dyDescent="0.25">
      <c r="A22322" s="2">
        <v>22317</v>
      </c>
      <c r="B22322" s="11" t="str">
        <f>"00970568"</f>
        <v>00970568</v>
      </c>
    </row>
    <row r="22323" spans="1:2" x14ac:dyDescent="0.25">
      <c r="A22323" s="2">
        <v>22318</v>
      </c>
      <c r="B22323" s="11" t="str">
        <f>"00970587"</f>
        <v>00970587</v>
      </c>
    </row>
    <row r="22324" spans="1:2" x14ac:dyDescent="0.25">
      <c r="A22324" s="2">
        <v>22319</v>
      </c>
      <c r="B22324" s="11" t="str">
        <f>"00970596"</f>
        <v>00970596</v>
      </c>
    </row>
    <row r="22325" spans="1:2" x14ac:dyDescent="0.25">
      <c r="A22325" s="2">
        <v>22320</v>
      </c>
      <c r="B22325" s="11" t="str">
        <f>"00970622"</f>
        <v>00970622</v>
      </c>
    </row>
    <row r="22326" spans="1:2" x14ac:dyDescent="0.25">
      <c r="A22326" s="2">
        <v>22321</v>
      </c>
      <c r="B22326" s="11" t="str">
        <f>"00970630"</f>
        <v>00970630</v>
      </c>
    </row>
    <row r="22327" spans="1:2" x14ac:dyDescent="0.25">
      <c r="A22327" s="2">
        <v>22322</v>
      </c>
      <c r="B22327" s="11" t="str">
        <f>"00970651"</f>
        <v>00970651</v>
      </c>
    </row>
    <row r="22328" spans="1:2" x14ac:dyDescent="0.25">
      <c r="A22328" s="2">
        <v>22323</v>
      </c>
      <c r="B22328" s="11" t="str">
        <f>"00970702"</f>
        <v>00970702</v>
      </c>
    </row>
    <row r="22329" spans="1:2" x14ac:dyDescent="0.25">
      <c r="A22329" s="2">
        <v>22324</v>
      </c>
      <c r="B22329" s="11" t="str">
        <f>"00970733"</f>
        <v>00970733</v>
      </c>
    </row>
    <row r="22330" spans="1:2" x14ac:dyDescent="0.25">
      <c r="A22330" s="2">
        <v>22325</v>
      </c>
      <c r="B22330" s="11" t="str">
        <f>"00970749"</f>
        <v>00970749</v>
      </c>
    </row>
    <row r="22331" spans="1:2" x14ac:dyDescent="0.25">
      <c r="A22331" s="2">
        <v>22326</v>
      </c>
      <c r="B22331" s="11" t="str">
        <f>"00970793"</f>
        <v>00970793</v>
      </c>
    </row>
    <row r="22332" spans="1:2" x14ac:dyDescent="0.25">
      <c r="A22332" s="2">
        <v>22327</v>
      </c>
      <c r="B22332" s="11" t="str">
        <f>"00970808"</f>
        <v>00970808</v>
      </c>
    </row>
    <row r="22333" spans="1:2" x14ac:dyDescent="0.25">
      <c r="A22333" s="2">
        <v>22328</v>
      </c>
      <c r="B22333" s="11" t="str">
        <f>"00970811"</f>
        <v>00970811</v>
      </c>
    </row>
    <row r="22334" spans="1:2" x14ac:dyDescent="0.25">
      <c r="A22334" s="2">
        <v>22329</v>
      </c>
      <c r="B22334" s="11" t="str">
        <f>"00970843"</f>
        <v>00970843</v>
      </c>
    </row>
    <row r="22335" spans="1:2" x14ac:dyDescent="0.25">
      <c r="A22335" s="2">
        <v>22330</v>
      </c>
      <c r="B22335" s="11" t="str">
        <f>"00970847"</f>
        <v>00970847</v>
      </c>
    </row>
    <row r="22336" spans="1:2" x14ac:dyDescent="0.25">
      <c r="A22336" s="2">
        <v>22331</v>
      </c>
      <c r="B22336" s="11" t="str">
        <f>"00970872"</f>
        <v>00970872</v>
      </c>
    </row>
    <row r="22337" spans="1:2" x14ac:dyDescent="0.25">
      <c r="A22337" s="2">
        <v>22332</v>
      </c>
      <c r="B22337" s="11" t="str">
        <f>"00970898"</f>
        <v>00970898</v>
      </c>
    </row>
    <row r="22338" spans="1:2" x14ac:dyDescent="0.25">
      <c r="A22338" s="2">
        <v>22333</v>
      </c>
      <c r="B22338" s="11" t="str">
        <f>"00970902"</f>
        <v>00970902</v>
      </c>
    </row>
    <row r="22339" spans="1:2" x14ac:dyDescent="0.25">
      <c r="A22339" s="2">
        <v>22334</v>
      </c>
      <c r="B22339" s="11" t="str">
        <f>"00970920"</f>
        <v>00970920</v>
      </c>
    </row>
    <row r="22340" spans="1:2" x14ac:dyDescent="0.25">
      <c r="A22340" s="2">
        <v>22335</v>
      </c>
      <c r="B22340" s="11" t="str">
        <f>"00970953"</f>
        <v>00970953</v>
      </c>
    </row>
    <row r="22341" spans="1:2" x14ac:dyDescent="0.25">
      <c r="A22341" s="2">
        <v>22336</v>
      </c>
      <c r="B22341" s="11" t="str">
        <f>"00970954"</f>
        <v>00970954</v>
      </c>
    </row>
    <row r="22342" spans="1:2" x14ac:dyDescent="0.25">
      <c r="A22342" s="2">
        <v>22337</v>
      </c>
      <c r="B22342" s="11" t="str">
        <f>"00970958"</f>
        <v>00970958</v>
      </c>
    </row>
    <row r="22343" spans="1:2" x14ac:dyDescent="0.25">
      <c r="A22343" s="2">
        <v>22338</v>
      </c>
      <c r="B22343" s="11" t="str">
        <f>"00970959"</f>
        <v>00970959</v>
      </c>
    </row>
    <row r="22344" spans="1:2" x14ac:dyDescent="0.25">
      <c r="A22344" s="2">
        <v>22339</v>
      </c>
      <c r="B22344" s="11" t="str">
        <f>"00971042"</f>
        <v>00971042</v>
      </c>
    </row>
    <row r="22345" spans="1:2" x14ac:dyDescent="0.25">
      <c r="A22345" s="2">
        <v>22340</v>
      </c>
      <c r="B22345" s="11" t="str">
        <f>"00971069"</f>
        <v>00971069</v>
      </c>
    </row>
    <row r="22346" spans="1:2" x14ac:dyDescent="0.25">
      <c r="A22346" s="2">
        <v>22341</v>
      </c>
      <c r="B22346" s="11" t="str">
        <f>"00971083"</f>
        <v>00971083</v>
      </c>
    </row>
    <row r="22347" spans="1:2" x14ac:dyDescent="0.25">
      <c r="A22347" s="2">
        <v>22342</v>
      </c>
      <c r="B22347" s="11" t="str">
        <f>"00971106"</f>
        <v>00971106</v>
      </c>
    </row>
    <row r="22348" spans="1:2" x14ac:dyDescent="0.25">
      <c r="A22348" s="2">
        <v>22343</v>
      </c>
      <c r="B22348" s="11" t="str">
        <f>"00971120"</f>
        <v>00971120</v>
      </c>
    </row>
    <row r="22349" spans="1:2" x14ac:dyDescent="0.25">
      <c r="A22349" s="2">
        <v>22344</v>
      </c>
      <c r="B22349" s="11" t="str">
        <f>"00971141"</f>
        <v>00971141</v>
      </c>
    </row>
    <row r="22350" spans="1:2" x14ac:dyDescent="0.25">
      <c r="A22350" s="2">
        <v>22345</v>
      </c>
      <c r="B22350" s="11" t="str">
        <f>"00971150"</f>
        <v>00971150</v>
      </c>
    </row>
    <row r="22351" spans="1:2" x14ac:dyDescent="0.25">
      <c r="A22351" s="2">
        <v>22346</v>
      </c>
      <c r="B22351" s="11" t="str">
        <f>"00971151"</f>
        <v>00971151</v>
      </c>
    </row>
    <row r="22352" spans="1:2" x14ac:dyDescent="0.25">
      <c r="A22352" s="2">
        <v>22347</v>
      </c>
      <c r="B22352" s="11" t="str">
        <f>"00971172"</f>
        <v>00971172</v>
      </c>
    </row>
    <row r="22353" spans="1:2" x14ac:dyDescent="0.25">
      <c r="A22353" s="2">
        <v>22348</v>
      </c>
      <c r="B22353" s="11" t="str">
        <f>"00971183"</f>
        <v>00971183</v>
      </c>
    </row>
    <row r="22354" spans="1:2" x14ac:dyDescent="0.25">
      <c r="A22354" s="2">
        <v>22349</v>
      </c>
      <c r="B22354" s="11" t="str">
        <f>"00971195"</f>
        <v>00971195</v>
      </c>
    </row>
    <row r="22355" spans="1:2" x14ac:dyDescent="0.25">
      <c r="A22355" s="2">
        <v>22350</v>
      </c>
      <c r="B22355" s="11" t="str">
        <f>"00971203"</f>
        <v>00971203</v>
      </c>
    </row>
    <row r="22356" spans="1:2" x14ac:dyDescent="0.25">
      <c r="A22356" s="2">
        <v>22351</v>
      </c>
      <c r="B22356" s="11" t="str">
        <f>"00971225"</f>
        <v>00971225</v>
      </c>
    </row>
    <row r="22357" spans="1:2" x14ac:dyDescent="0.25">
      <c r="A22357" s="2">
        <v>22352</v>
      </c>
      <c r="B22357" s="11" t="str">
        <f>"00971239"</f>
        <v>00971239</v>
      </c>
    </row>
    <row r="22358" spans="1:2" x14ac:dyDescent="0.25">
      <c r="A22358" s="2">
        <v>22353</v>
      </c>
      <c r="B22358" s="11" t="str">
        <f>"00971270"</f>
        <v>00971270</v>
      </c>
    </row>
    <row r="22359" spans="1:2" x14ac:dyDescent="0.25">
      <c r="A22359" s="2">
        <v>22354</v>
      </c>
      <c r="B22359" s="11" t="str">
        <f>"00971306"</f>
        <v>00971306</v>
      </c>
    </row>
    <row r="22360" spans="1:2" x14ac:dyDescent="0.25">
      <c r="A22360" s="2">
        <v>22355</v>
      </c>
      <c r="B22360" s="11" t="str">
        <f>"00971350"</f>
        <v>00971350</v>
      </c>
    </row>
    <row r="22361" spans="1:2" x14ac:dyDescent="0.25">
      <c r="A22361" s="2">
        <v>22356</v>
      </c>
      <c r="B22361" s="11" t="str">
        <f>"00971360"</f>
        <v>00971360</v>
      </c>
    </row>
    <row r="22362" spans="1:2" x14ac:dyDescent="0.25">
      <c r="A22362" s="2">
        <v>22357</v>
      </c>
      <c r="B22362" s="11" t="str">
        <f>"00971364"</f>
        <v>00971364</v>
      </c>
    </row>
    <row r="22363" spans="1:2" x14ac:dyDescent="0.25">
      <c r="A22363" s="2">
        <v>22358</v>
      </c>
      <c r="B22363" s="11" t="str">
        <f>"00971400"</f>
        <v>00971400</v>
      </c>
    </row>
    <row r="22364" spans="1:2" x14ac:dyDescent="0.25">
      <c r="A22364" s="2">
        <v>22359</v>
      </c>
      <c r="B22364" s="11" t="str">
        <f>"00971414"</f>
        <v>00971414</v>
      </c>
    </row>
    <row r="22365" spans="1:2" x14ac:dyDescent="0.25">
      <c r="A22365" s="2">
        <v>22360</v>
      </c>
      <c r="B22365" s="11" t="str">
        <f>"00971434"</f>
        <v>00971434</v>
      </c>
    </row>
    <row r="22366" spans="1:2" x14ac:dyDescent="0.25">
      <c r="A22366" s="2">
        <v>22361</v>
      </c>
      <c r="B22366" s="11" t="str">
        <f>"00971481"</f>
        <v>00971481</v>
      </c>
    </row>
    <row r="22367" spans="1:2" x14ac:dyDescent="0.25">
      <c r="A22367" s="2">
        <v>22362</v>
      </c>
      <c r="B22367" s="11" t="str">
        <f>"00971502"</f>
        <v>00971502</v>
      </c>
    </row>
    <row r="22368" spans="1:2" x14ac:dyDescent="0.25">
      <c r="A22368" s="2">
        <v>22363</v>
      </c>
      <c r="B22368" s="11" t="str">
        <f>"00971550"</f>
        <v>00971550</v>
      </c>
    </row>
    <row r="22369" spans="1:2" x14ac:dyDescent="0.25">
      <c r="A22369" s="2">
        <v>22364</v>
      </c>
      <c r="B22369" s="11" t="str">
        <f>"00971561"</f>
        <v>00971561</v>
      </c>
    </row>
    <row r="22370" spans="1:2" x14ac:dyDescent="0.25">
      <c r="A22370" s="2">
        <v>22365</v>
      </c>
      <c r="B22370" s="11" t="str">
        <f>"00971569"</f>
        <v>00971569</v>
      </c>
    </row>
    <row r="22371" spans="1:2" x14ac:dyDescent="0.25">
      <c r="A22371" s="2">
        <v>22366</v>
      </c>
      <c r="B22371" s="11" t="str">
        <f>"00971588"</f>
        <v>00971588</v>
      </c>
    </row>
    <row r="22372" spans="1:2" x14ac:dyDescent="0.25">
      <c r="A22372" s="2">
        <v>22367</v>
      </c>
      <c r="B22372" s="11" t="str">
        <f>"00971685"</f>
        <v>00971685</v>
      </c>
    </row>
    <row r="22373" spans="1:2" x14ac:dyDescent="0.25">
      <c r="A22373" s="2">
        <v>22368</v>
      </c>
      <c r="B22373" s="11" t="str">
        <f>"00971688"</f>
        <v>00971688</v>
      </c>
    </row>
    <row r="22374" spans="1:2" x14ac:dyDescent="0.25">
      <c r="A22374" s="2">
        <v>22369</v>
      </c>
      <c r="B22374" s="11" t="str">
        <f>"00971700"</f>
        <v>00971700</v>
      </c>
    </row>
    <row r="22375" spans="1:2" x14ac:dyDescent="0.25">
      <c r="A22375" s="2">
        <v>22370</v>
      </c>
      <c r="B22375" s="11" t="str">
        <f>"00971733"</f>
        <v>00971733</v>
      </c>
    </row>
    <row r="22376" spans="1:2" x14ac:dyDescent="0.25">
      <c r="A22376" s="2">
        <v>22371</v>
      </c>
      <c r="B22376" s="11" t="str">
        <f>"00971836"</f>
        <v>00971836</v>
      </c>
    </row>
    <row r="22377" spans="1:2" x14ac:dyDescent="0.25">
      <c r="A22377" s="2">
        <v>22372</v>
      </c>
      <c r="B22377" s="11" t="str">
        <f>"00971847"</f>
        <v>00971847</v>
      </c>
    </row>
    <row r="22378" spans="1:2" x14ac:dyDescent="0.25">
      <c r="A22378" s="2">
        <v>22373</v>
      </c>
      <c r="B22378" s="11" t="str">
        <f>"00971857"</f>
        <v>00971857</v>
      </c>
    </row>
    <row r="22379" spans="1:2" x14ac:dyDescent="0.25">
      <c r="A22379" s="2">
        <v>22374</v>
      </c>
      <c r="B22379" s="11" t="str">
        <f>"00971871"</f>
        <v>00971871</v>
      </c>
    </row>
    <row r="22380" spans="1:2" x14ac:dyDescent="0.25">
      <c r="A22380" s="2">
        <v>22375</v>
      </c>
      <c r="B22380" s="11" t="str">
        <f>"00971881"</f>
        <v>00971881</v>
      </c>
    </row>
    <row r="22381" spans="1:2" x14ac:dyDescent="0.25">
      <c r="A22381" s="2">
        <v>22376</v>
      </c>
      <c r="B22381" s="11" t="str">
        <f>"00971899"</f>
        <v>00971899</v>
      </c>
    </row>
    <row r="22382" spans="1:2" x14ac:dyDescent="0.25">
      <c r="A22382" s="2">
        <v>22377</v>
      </c>
      <c r="B22382" s="11" t="str">
        <f>"00971954"</f>
        <v>00971954</v>
      </c>
    </row>
    <row r="22383" spans="1:2" x14ac:dyDescent="0.25">
      <c r="A22383" s="2">
        <v>22378</v>
      </c>
      <c r="B22383" s="11" t="str">
        <f>"00971973"</f>
        <v>00971973</v>
      </c>
    </row>
    <row r="22384" spans="1:2" x14ac:dyDescent="0.25">
      <c r="A22384" s="2">
        <v>22379</v>
      </c>
      <c r="B22384" s="11" t="str">
        <f>"00971978"</f>
        <v>00971978</v>
      </c>
    </row>
    <row r="22385" spans="1:2" x14ac:dyDescent="0.25">
      <c r="A22385" s="2">
        <v>22380</v>
      </c>
      <c r="B22385" s="11" t="str">
        <f>"00971986"</f>
        <v>00971986</v>
      </c>
    </row>
    <row r="22386" spans="1:2" x14ac:dyDescent="0.25">
      <c r="A22386" s="2">
        <v>22381</v>
      </c>
      <c r="B22386" s="11" t="str">
        <f>"00972008"</f>
        <v>00972008</v>
      </c>
    </row>
    <row r="22387" spans="1:2" x14ac:dyDescent="0.25">
      <c r="A22387" s="2">
        <v>22382</v>
      </c>
      <c r="B22387" s="11" t="str">
        <f>"00972010"</f>
        <v>00972010</v>
      </c>
    </row>
    <row r="22388" spans="1:2" x14ac:dyDescent="0.25">
      <c r="A22388" s="2">
        <v>22383</v>
      </c>
      <c r="B22388" s="11" t="str">
        <f>"00972072"</f>
        <v>00972072</v>
      </c>
    </row>
    <row r="22389" spans="1:2" x14ac:dyDescent="0.25">
      <c r="A22389" s="2">
        <v>22384</v>
      </c>
      <c r="B22389" s="11" t="str">
        <f>"00972148"</f>
        <v>00972148</v>
      </c>
    </row>
    <row r="22390" spans="1:2" x14ac:dyDescent="0.25">
      <c r="A22390" s="2">
        <v>22385</v>
      </c>
      <c r="B22390" s="11" t="str">
        <f>"00972170"</f>
        <v>00972170</v>
      </c>
    </row>
    <row r="22391" spans="1:2" x14ac:dyDescent="0.25">
      <c r="A22391" s="2">
        <v>22386</v>
      </c>
      <c r="B22391" s="11" t="str">
        <f>"00972183"</f>
        <v>00972183</v>
      </c>
    </row>
    <row r="22392" spans="1:2" x14ac:dyDescent="0.25">
      <c r="A22392" s="2">
        <v>22387</v>
      </c>
      <c r="B22392" s="11" t="str">
        <f>"00972195"</f>
        <v>00972195</v>
      </c>
    </row>
    <row r="22393" spans="1:2" x14ac:dyDescent="0.25">
      <c r="A22393" s="2">
        <v>22388</v>
      </c>
      <c r="B22393" s="11" t="str">
        <f>"00972236"</f>
        <v>00972236</v>
      </c>
    </row>
    <row r="22394" spans="1:2" x14ac:dyDescent="0.25">
      <c r="A22394" s="2">
        <v>22389</v>
      </c>
      <c r="B22394" s="11" t="str">
        <f>"00972256"</f>
        <v>00972256</v>
      </c>
    </row>
    <row r="22395" spans="1:2" x14ac:dyDescent="0.25">
      <c r="A22395" s="2">
        <v>22390</v>
      </c>
      <c r="B22395" s="11" t="str">
        <f>"00972264"</f>
        <v>00972264</v>
      </c>
    </row>
    <row r="22396" spans="1:2" x14ac:dyDescent="0.25">
      <c r="A22396" s="2">
        <v>22391</v>
      </c>
      <c r="B22396" s="11" t="str">
        <f>"00972297"</f>
        <v>00972297</v>
      </c>
    </row>
    <row r="22397" spans="1:2" x14ac:dyDescent="0.25">
      <c r="A22397" s="2">
        <v>22392</v>
      </c>
      <c r="B22397" s="11" t="str">
        <f>"00972302"</f>
        <v>00972302</v>
      </c>
    </row>
    <row r="22398" spans="1:2" x14ac:dyDescent="0.25">
      <c r="A22398" s="2">
        <v>22393</v>
      </c>
      <c r="B22398" s="11" t="str">
        <f>"00972306"</f>
        <v>00972306</v>
      </c>
    </row>
    <row r="22399" spans="1:2" x14ac:dyDescent="0.25">
      <c r="A22399" s="2">
        <v>22394</v>
      </c>
      <c r="B22399" s="11" t="str">
        <f>"00972322"</f>
        <v>00972322</v>
      </c>
    </row>
    <row r="22400" spans="1:2" x14ac:dyDescent="0.25">
      <c r="A22400" s="2">
        <v>22395</v>
      </c>
      <c r="B22400" s="11" t="str">
        <f>"00972328"</f>
        <v>00972328</v>
      </c>
    </row>
    <row r="22401" spans="1:2" x14ac:dyDescent="0.25">
      <c r="A22401" s="2">
        <v>22396</v>
      </c>
      <c r="B22401" s="11" t="str">
        <f>"00972414"</f>
        <v>00972414</v>
      </c>
    </row>
    <row r="22402" spans="1:2" x14ac:dyDescent="0.25">
      <c r="A22402" s="2">
        <v>22397</v>
      </c>
      <c r="B22402" s="11" t="str">
        <f>"00972434"</f>
        <v>00972434</v>
      </c>
    </row>
    <row r="22403" spans="1:2" x14ac:dyDescent="0.25">
      <c r="A22403" s="2">
        <v>22398</v>
      </c>
      <c r="B22403" s="11" t="str">
        <f>"00972436"</f>
        <v>00972436</v>
      </c>
    </row>
    <row r="22404" spans="1:2" x14ac:dyDescent="0.25">
      <c r="A22404" s="2">
        <v>22399</v>
      </c>
      <c r="B22404" s="11" t="str">
        <f>"00972444"</f>
        <v>00972444</v>
      </c>
    </row>
    <row r="22405" spans="1:2" x14ac:dyDescent="0.25">
      <c r="A22405" s="2">
        <v>22400</v>
      </c>
      <c r="B22405" s="11" t="str">
        <f>"00972471"</f>
        <v>00972471</v>
      </c>
    </row>
    <row r="22406" spans="1:2" x14ac:dyDescent="0.25">
      <c r="A22406" s="2">
        <v>22401</v>
      </c>
      <c r="B22406" s="11" t="str">
        <f>"00972486"</f>
        <v>00972486</v>
      </c>
    </row>
    <row r="22407" spans="1:2" x14ac:dyDescent="0.25">
      <c r="A22407" s="2">
        <v>22402</v>
      </c>
      <c r="B22407" s="11" t="str">
        <f>"00972508"</f>
        <v>00972508</v>
      </c>
    </row>
    <row r="22408" spans="1:2" x14ac:dyDescent="0.25">
      <c r="A22408" s="2">
        <v>22403</v>
      </c>
      <c r="B22408" s="11" t="str">
        <f>"00972540"</f>
        <v>00972540</v>
      </c>
    </row>
    <row r="22409" spans="1:2" x14ac:dyDescent="0.25">
      <c r="A22409" s="2">
        <v>22404</v>
      </c>
      <c r="B22409" s="11" t="str">
        <f>"00972541"</f>
        <v>00972541</v>
      </c>
    </row>
    <row r="22410" spans="1:2" x14ac:dyDescent="0.25">
      <c r="A22410" s="2">
        <v>22405</v>
      </c>
      <c r="B22410" s="11" t="str">
        <f>"00972543"</f>
        <v>00972543</v>
      </c>
    </row>
    <row r="22411" spans="1:2" x14ac:dyDescent="0.25">
      <c r="A22411" s="2">
        <v>22406</v>
      </c>
      <c r="B22411" s="11" t="str">
        <f>"00972569"</f>
        <v>00972569</v>
      </c>
    </row>
    <row r="22412" spans="1:2" x14ac:dyDescent="0.25">
      <c r="A22412" s="2">
        <v>22407</v>
      </c>
      <c r="B22412" s="11" t="str">
        <f>"00972640"</f>
        <v>00972640</v>
      </c>
    </row>
    <row r="22413" spans="1:2" x14ac:dyDescent="0.25">
      <c r="A22413" s="2">
        <v>22408</v>
      </c>
      <c r="B22413" s="11" t="str">
        <f>"00972641"</f>
        <v>00972641</v>
      </c>
    </row>
    <row r="22414" spans="1:2" x14ac:dyDescent="0.25">
      <c r="A22414" s="2">
        <v>22409</v>
      </c>
      <c r="B22414" s="11" t="str">
        <f>"00972647"</f>
        <v>00972647</v>
      </c>
    </row>
    <row r="22415" spans="1:2" x14ac:dyDescent="0.25">
      <c r="A22415" s="2">
        <v>22410</v>
      </c>
      <c r="B22415" s="11" t="str">
        <f>"00972659"</f>
        <v>00972659</v>
      </c>
    </row>
    <row r="22416" spans="1:2" x14ac:dyDescent="0.25">
      <c r="A22416" s="2">
        <v>22411</v>
      </c>
      <c r="B22416" s="11" t="str">
        <f>"00972675"</f>
        <v>00972675</v>
      </c>
    </row>
    <row r="22417" spans="1:2" x14ac:dyDescent="0.25">
      <c r="A22417" s="2">
        <v>22412</v>
      </c>
      <c r="B22417" s="11" t="str">
        <f>"00972686"</f>
        <v>00972686</v>
      </c>
    </row>
    <row r="22418" spans="1:2" x14ac:dyDescent="0.25">
      <c r="A22418" s="2">
        <v>22413</v>
      </c>
      <c r="B22418" s="11" t="str">
        <f>"00972690"</f>
        <v>00972690</v>
      </c>
    </row>
    <row r="22419" spans="1:2" x14ac:dyDescent="0.25">
      <c r="A22419" s="2">
        <v>22414</v>
      </c>
      <c r="B22419" s="11" t="str">
        <f>"00972718"</f>
        <v>00972718</v>
      </c>
    </row>
    <row r="22420" spans="1:2" x14ac:dyDescent="0.25">
      <c r="A22420" s="2">
        <v>22415</v>
      </c>
      <c r="B22420" s="11" t="str">
        <f>"00972719"</f>
        <v>00972719</v>
      </c>
    </row>
    <row r="22421" spans="1:2" x14ac:dyDescent="0.25">
      <c r="A22421" s="2">
        <v>22416</v>
      </c>
      <c r="B22421" s="11" t="str">
        <f>"00972741"</f>
        <v>00972741</v>
      </c>
    </row>
    <row r="22422" spans="1:2" x14ac:dyDescent="0.25">
      <c r="A22422" s="2">
        <v>22417</v>
      </c>
      <c r="B22422" s="11" t="str">
        <f>"00972750"</f>
        <v>00972750</v>
      </c>
    </row>
    <row r="22423" spans="1:2" x14ac:dyDescent="0.25">
      <c r="A22423" s="2">
        <v>22418</v>
      </c>
      <c r="B22423" s="11" t="str">
        <f>"00972756"</f>
        <v>00972756</v>
      </c>
    </row>
    <row r="22424" spans="1:2" x14ac:dyDescent="0.25">
      <c r="A22424" s="2">
        <v>22419</v>
      </c>
      <c r="B22424" s="11" t="str">
        <f>"00972770"</f>
        <v>00972770</v>
      </c>
    </row>
    <row r="22425" spans="1:2" x14ac:dyDescent="0.25">
      <c r="A22425" s="2">
        <v>22420</v>
      </c>
      <c r="B22425" s="11" t="str">
        <f>"00972781"</f>
        <v>00972781</v>
      </c>
    </row>
    <row r="22426" spans="1:2" x14ac:dyDescent="0.25">
      <c r="A22426" s="2">
        <v>22421</v>
      </c>
      <c r="B22426" s="11" t="str">
        <f>"00972802"</f>
        <v>00972802</v>
      </c>
    </row>
    <row r="22427" spans="1:2" x14ac:dyDescent="0.25">
      <c r="A22427" s="2">
        <v>22422</v>
      </c>
      <c r="B22427" s="11" t="str">
        <f>"00972838"</f>
        <v>00972838</v>
      </c>
    </row>
    <row r="22428" spans="1:2" x14ac:dyDescent="0.25">
      <c r="A22428" s="2">
        <v>22423</v>
      </c>
      <c r="B22428" s="11" t="str">
        <f>"00972839"</f>
        <v>00972839</v>
      </c>
    </row>
    <row r="22429" spans="1:2" x14ac:dyDescent="0.25">
      <c r="A22429" s="2">
        <v>22424</v>
      </c>
      <c r="B22429" s="11" t="str">
        <f>"00972862"</f>
        <v>00972862</v>
      </c>
    </row>
    <row r="22430" spans="1:2" x14ac:dyDescent="0.25">
      <c r="A22430" s="2">
        <v>22425</v>
      </c>
      <c r="B22430" s="11" t="str">
        <f>"00972868"</f>
        <v>00972868</v>
      </c>
    </row>
    <row r="22431" spans="1:2" x14ac:dyDescent="0.25">
      <c r="A22431" s="2">
        <v>22426</v>
      </c>
      <c r="B22431" s="11" t="str">
        <f>"00972944"</f>
        <v>00972944</v>
      </c>
    </row>
    <row r="22432" spans="1:2" x14ac:dyDescent="0.25">
      <c r="A22432" s="2">
        <v>22427</v>
      </c>
      <c r="B22432" s="11" t="str">
        <f>"00972964"</f>
        <v>00972964</v>
      </c>
    </row>
    <row r="22433" spans="1:2" x14ac:dyDescent="0.25">
      <c r="A22433" s="2">
        <v>22428</v>
      </c>
      <c r="B22433" s="11" t="str">
        <f>"00972998"</f>
        <v>00972998</v>
      </c>
    </row>
    <row r="22434" spans="1:2" x14ac:dyDescent="0.25">
      <c r="A22434" s="2">
        <v>22429</v>
      </c>
      <c r="B22434" s="11" t="str">
        <f>"00973064"</f>
        <v>00973064</v>
      </c>
    </row>
    <row r="22435" spans="1:2" x14ac:dyDescent="0.25">
      <c r="A22435" s="2">
        <v>22430</v>
      </c>
      <c r="B22435" s="11" t="str">
        <f>"00973129"</f>
        <v>00973129</v>
      </c>
    </row>
    <row r="22436" spans="1:2" x14ac:dyDescent="0.25">
      <c r="A22436" s="2">
        <v>22431</v>
      </c>
      <c r="B22436" s="11" t="str">
        <f>"00973139"</f>
        <v>00973139</v>
      </c>
    </row>
    <row r="22437" spans="1:2" x14ac:dyDescent="0.25">
      <c r="A22437" s="2">
        <v>22432</v>
      </c>
      <c r="B22437" s="11" t="str">
        <f>"00973149"</f>
        <v>00973149</v>
      </c>
    </row>
    <row r="22438" spans="1:2" x14ac:dyDescent="0.25">
      <c r="A22438" s="2">
        <v>22433</v>
      </c>
      <c r="B22438" s="11" t="str">
        <f>"00973178"</f>
        <v>00973178</v>
      </c>
    </row>
    <row r="22439" spans="1:2" x14ac:dyDescent="0.25">
      <c r="A22439" s="2">
        <v>22434</v>
      </c>
      <c r="B22439" s="11" t="str">
        <f>"00973202"</f>
        <v>00973202</v>
      </c>
    </row>
    <row r="22440" spans="1:2" x14ac:dyDescent="0.25">
      <c r="A22440" s="2">
        <v>22435</v>
      </c>
      <c r="B22440" s="11" t="str">
        <f>"00973224"</f>
        <v>00973224</v>
      </c>
    </row>
    <row r="22441" spans="1:2" x14ac:dyDescent="0.25">
      <c r="A22441" s="2">
        <v>22436</v>
      </c>
      <c r="B22441" s="11" t="str">
        <f>"00973228"</f>
        <v>00973228</v>
      </c>
    </row>
    <row r="22442" spans="1:2" x14ac:dyDescent="0.25">
      <c r="A22442" s="2">
        <v>22437</v>
      </c>
      <c r="B22442" s="11" t="str">
        <f>"00973242"</f>
        <v>00973242</v>
      </c>
    </row>
    <row r="22443" spans="1:2" x14ac:dyDescent="0.25">
      <c r="A22443" s="2">
        <v>22438</v>
      </c>
      <c r="B22443" s="11" t="str">
        <f>"00973265"</f>
        <v>00973265</v>
      </c>
    </row>
    <row r="22444" spans="1:2" x14ac:dyDescent="0.25">
      <c r="A22444" s="2">
        <v>22439</v>
      </c>
      <c r="B22444" s="11" t="str">
        <f>"00973274"</f>
        <v>00973274</v>
      </c>
    </row>
    <row r="22445" spans="1:2" x14ac:dyDescent="0.25">
      <c r="A22445" s="2">
        <v>22440</v>
      </c>
      <c r="B22445" s="11" t="str">
        <f>"00973304"</f>
        <v>00973304</v>
      </c>
    </row>
    <row r="22446" spans="1:2" x14ac:dyDescent="0.25">
      <c r="A22446" s="2">
        <v>22441</v>
      </c>
      <c r="B22446" s="11" t="str">
        <f>"00973358"</f>
        <v>00973358</v>
      </c>
    </row>
    <row r="22447" spans="1:2" x14ac:dyDescent="0.25">
      <c r="A22447" s="2">
        <v>22442</v>
      </c>
      <c r="B22447" s="11" t="str">
        <f>"00973364"</f>
        <v>00973364</v>
      </c>
    </row>
    <row r="22448" spans="1:2" x14ac:dyDescent="0.25">
      <c r="A22448" s="2">
        <v>22443</v>
      </c>
      <c r="B22448" s="11" t="str">
        <f>"00973375"</f>
        <v>00973375</v>
      </c>
    </row>
    <row r="22449" spans="1:2" x14ac:dyDescent="0.25">
      <c r="A22449" s="2">
        <v>22444</v>
      </c>
      <c r="B22449" s="11" t="str">
        <f>"00973403"</f>
        <v>00973403</v>
      </c>
    </row>
    <row r="22450" spans="1:2" x14ac:dyDescent="0.25">
      <c r="A22450" s="2">
        <v>22445</v>
      </c>
      <c r="B22450" s="11" t="str">
        <f>"00973422"</f>
        <v>00973422</v>
      </c>
    </row>
    <row r="22451" spans="1:2" x14ac:dyDescent="0.25">
      <c r="A22451" s="2">
        <v>22446</v>
      </c>
      <c r="B22451" s="11" t="str">
        <f>"00973454"</f>
        <v>00973454</v>
      </c>
    </row>
    <row r="22452" spans="1:2" x14ac:dyDescent="0.25">
      <c r="A22452" s="2">
        <v>22447</v>
      </c>
      <c r="B22452" s="11" t="str">
        <f>"00973483"</f>
        <v>00973483</v>
      </c>
    </row>
    <row r="22453" spans="1:2" x14ac:dyDescent="0.25">
      <c r="A22453" s="2">
        <v>22448</v>
      </c>
      <c r="B22453" s="11" t="str">
        <f>"00973521"</f>
        <v>00973521</v>
      </c>
    </row>
    <row r="22454" spans="1:2" x14ac:dyDescent="0.25">
      <c r="A22454" s="2">
        <v>22449</v>
      </c>
      <c r="B22454" s="11" t="str">
        <f>"00973588"</f>
        <v>00973588</v>
      </c>
    </row>
    <row r="22455" spans="1:2" x14ac:dyDescent="0.25">
      <c r="A22455" s="2">
        <v>22450</v>
      </c>
      <c r="B22455" s="11" t="str">
        <f>"00973591"</f>
        <v>00973591</v>
      </c>
    </row>
    <row r="22456" spans="1:2" x14ac:dyDescent="0.25">
      <c r="A22456" s="2">
        <v>22451</v>
      </c>
      <c r="B22456" s="11" t="str">
        <f>"00973623"</f>
        <v>00973623</v>
      </c>
    </row>
    <row r="22457" spans="1:2" x14ac:dyDescent="0.25">
      <c r="A22457" s="2">
        <v>22452</v>
      </c>
      <c r="B22457" s="11" t="str">
        <f>"00973628"</f>
        <v>00973628</v>
      </c>
    </row>
    <row r="22458" spans="1:2" x14ac:dyDescent="0.25">
      <c r="A22458" s="2">
        <v>22453</v>
      </c>
      <c r="B22458" s="11" t="str">
        <f>"00973649"</f>
        <v>00973649</v>
      </c>
    </row>
    <row r="22459" spans="1:2" x14ac:dyDescent="0.25">
      <c r="A22459" s="2">
        <v>22454</v>
      </c>
      <c r="B22459" s="11" t="str">
        <f>"00973651"</f>
        <v>00973651</v>
      </c>
    </row>
    <row r="22460" spans="1:2" x14ac:dyDescent="0.25">
      <c r="A22460" s="2">
        <v>22455</v>
      </c>
      <c r="B22460" s="11" t="str">
        <f>"00973679"</f>
        <v>00973679</v>
      </c>
    </row>
    <row r="22461" spans="1:2" x14ac:dyDescent="0.25">
      <c r="A22461" s="2">
        <v>22456</v>
      </c>
      <c r="B22461" s="11" t="str">
        <f>"00973680"</f>
        <v>00973680</v>
      </c>
    </row>
    <row r="22462" spans="1:2" x14ac:dyDescent="0.25">
      <c r="A22462" s="2">
        <v>22457</v>
      </c>
      <c r="B22462" s="11" t="str">
        <f>"00973700"</f>
        <v>00973700</v>
      </c>
    </row>
    <row r="22463" spans="1:2" x14ac:dyDescent="0.25">
      <c r="A22463" s="2">
        <v>22458</v>
      </c>
      <c r="B22463" s="11" t="str">
        <f>"00973719"</f>
        <v>00973719</v>
      </c>
    </row>
    <row r="22464" spans="1:2" x14ac:dyDescent="0.25">
      <c r="A22464" s="2">
        <v>22459</v>
      </c>
      <c r="B22464" s="11" t="str">
        <f>"00973725"</f>
        <v>00973725</v>
      </c>
    </row>
    <row r="22465" spans="1:2" x14ac:dyDescent="0.25">
      <c r="A22465" s="2">
        <v>22460</v>
      </c>
      <c r="B22465" s="11" t="str">
        <f>"00973749"</f>
        <v>00973749</v>
      </c>
    </row>
    <row r="22466" spans="1:2" x14ac:dyDescent="0.25">
      <c r="A22466" s="2">
        <v>22461</v>
      </c>
      <c r="B22466" s="11" t="str">
        <f>"00973761"</f>
        <v>00973761</v>
      </c>
    </row>
    <row r="22467" spans="1:2" x14ac:dyDescent="0.25">
      <c r="A22467" s="2">
        <v>22462</v>
      </c>
      <c r="B22467" s="11" t="str">
        <f>"00973763"</f>
        <v>00973763</v>
      </c>
    </row>
    <row r="22468" spans="1:2" x14ac:dyDescent="0.25">
      <c r="A22468" s="2">
        <v>22463</v>
      </c>
      <c r="B22468" s="11" t="str">
        <f>"00973781"</f>
        <v>00973781</v>
      </c>
    </row>
    <row r="22469" spans="1:2" x14ac:dyDescent="0.25">
      <c r="A22469" s="2">
        <v>22464</v>
      </c>
      <c r="B22469" s="11" t="str">
        <f>"00973792"</f>
        <v>00973792</v>
      </c>
    </row>
    <row r="22470" spans="1:2" x14ac:dyDescent="0.25">
      <c r="A22470" s="2">
        <v>22465</v>
      </c>
      <c r="B22470" s="11" t="str">
        <f>"00973811"</f>
        <v>00973811</v>
      </c>
    </row>
    <row r="22471" spans="1:2" x14ac:dyDescent="0.25">
      <c r="A22471" s="2">
        <v>22466</v>
      </c>
      <c r="B22471" s="11" t="str">
        <f>"00973827"</f>
        <v>00973827</v>
      </c>
    </row>
    <row r="22472" spans="1:2" x14ac:dyDescent="0.25">
      <c r="A22472" s="2">
        <v>22467</v>
      </c>
      <c r="B22472" s="11" t="str">
        <f>"00973842"</f>
        <v>00973842</v>
      </c>
    </row>
    <row r="22473" spans="1:2" x14ac:dyDescent="0.25">
      <c r="A22473" s="2">
        <v>22468</v>
      </c>
      <c r="B22473" s="11" t="str">
        <f>"00973865"</f>
        <v>00973865</v>
      </c>
    </row>
    <row r="22474" spans="1:2" x14ac:dyDescent="0.25">
      <c r="A22474" s="2">
        <v>22469</v>
      </c>
      <c r="B22474" s="11" t="str">
        <f>"00973903"</f>
        <v>00973903</v>
      </c>
    </row>
    <row r="22475" spans="1:2" x14ac:dyDescent="0.25">
      <c r="A22475" s="2">
        <v>22470</v>
      </c>
      <c r="B22475" s="11" t="str">
        <f>"00973950"</f>
        <v>00973950</v>
      </c>
    </row>
    <row r="22476" spans="1:2" x14ac:dyDescent="0.25">
      <c r="A22476" s="2">
        <v>22471</v>
      </c>
      <c r="B22476" s="11" t="str">
        <f>"00973973"</f>
        <v>00973973</v>
      </c>
    </row>
    <row r="22477" spans="1:2" x14ac:dyDescent="0.25">
      <c r="A22477" s="2">
        <v>22472</v>
      </c>
      <c r="B22477" s="11" t="str">
        <f>"00973974"</f>
        <v>00973974</v>
      </c>
    </row>
    <row r="22478" spans="1:2" x14ac:dyDescent="0.25">
      <c r="A22478" s="2">
        <v>22473</v>
      </c>
      <c r="B22478" s="11" t="str">
        <f>"00973976"</f>
        <v>00973976</v>
      </c>
    </row>
    <row r="22479" spans="1:2" x14ac:dyDescent="0.25">
      <c r="A22479" s="2">
        <v>22474</v>
      </c>
      <c r="B22479" s="11" t="str">
        <f>"00974034"</f>
        <v>00974034</v>
      </c>
    </row>
    <row r="22480" spans="1:2" x14ac:dyDescent="0.25">
      <c r="A22480" s="2">
        <v>22475</v>
      </c>
      <c r="B22480" s="11" t="str">
        <f>"00974035"</f>
        <v>00974035</v>
      </c>
    </row>
    <row r="22481" spans="1:2" x14ac:dyDescent="0.25">
      <c r="A22481" s="2">
        <v>22476</v>
      </c>
      <c r="B22481" s="11" t="str">
        <f>"00974047"</f>
        <v>00974047</v>
      </c>
    </row>
    <row r="22482" spans="1:2" x14ac:dyDescent="0.25">
      <c r="A22482" s="2">
        <v>22477</v>
      </c>
      <c r="B22482" s="11" t="str">
        <f>"00974049"</f>
        <v>00974049</v>
      </c>
    </row>
    <row r="22483" spans="1:2" x14ac:dyDescent="0.25">
      <c r="A22483" s="2">
        <v>22478</v>
      </c>
      <c r="B22483" s="11" t="str">
        <f>"00974062"</f>
        <v>00974062</v>
      </c>
    </row>
    <row r="22484" spans="1:2" x14ac:dyDescent="0.25">
      <c r="A22484" s="2">
        <v>22479</v>
      </c>
      <c r="B22484" s="11" t="str">
        <f>"00974079"</f>
        <v>00974079</v>
      </c>
    </row>
    <row r="22485" spans="1:2" x14ac:dyDescent="0.25">
      <c r="A22485" s="2">
        <v>22480</v>
      </c>
      <c r="B22485" s="11" t="str">
        <f>"00974110"</f>
        <v>00974110</v>
      </c>
    </row>
    <row r="22486" spans="1:2" x14ac:dyDescent="0.25">
      <c r="A22486" s="2">
        <v>22481</v>
      </c>
      <c r="B22486" s="11" t="str">
        <f>"00974131"</f>
        <v>00974131</v>
      </c>
    </row>
    <row r="22487" spans="1:2" x14ac:dyDescent="0.25">
      <c r="A22487" s="2">
        <v>22482</v>
      </c>
      <c r="B22487" s="11" t="str">
        <f>"00974132"</f>
        <v>00974132</v>
      </c>
    </row>
    <row r="22488" spans="1:2" x14ac:dyDescent="0.25">
      <c r="A22488" s="2">
        <v>22483</v>
      </c>
      <c r="B22488" s="11" t="str">
        <f>"00974148"</f>
        <v>00974148</v>
      </c>
    </row>
    <row r="22489" spans="1:2" x14ac:dyDescent="0.25">
      <c r="A22489" s="2">
        <v>22484</v>
      </c>
      <c r="B22489" s="11" t="str">
        <f>"00974151"</f>
        <v>00974151</v>
      </c>
    </row>
    <row r="22490" spans="1:2" x14ac:dyDescent="0.25">
      <c r="A22490" s="2">
        <v>22485</v>
      </c>
      <c r="B22490" s="11" t="str">
        <f>"00974165"</f>
        <v>00974165</v>
      </c>
    </row>
    <row r="22491" spans="1:2" x14ac:dyDescent="0.25">
      <c r="A22491" s="2">
        <v>22486</v>
      </c>
      <c r="B22491" s="11" t="str">
        <f>"00974173"</f>
        <v>00974173</v>
      </c>
    </row>
    <row r="22492" spans="1:2" x14ac:dyDescent="0.25">
      <c r="A22492" s="2">
        <v>22487</v>
      </c>
      <c r="B22492" s="11" t="str">
        <f>"00974193"</f>
        <v>00974193</v>
      </c>
    </row>
    <row r="22493" spans="1:2" x14ac:dyDescent="0.25">
      <c r="A22493" s="2">
        <v>22488</v>
      </c>
      <c r="B22493" s="11" t="str">
        <f>"00974210"</f>
        <v>00974210</v>
      </c>
    </row>
    <row r="22494" spans="1:2" x14ac:dyDescent="0.25">
      <c r="A22494" s="2">
        <v>22489</v>
      </c>
      <c r="B22494" s="11" t="str">
        <f>"00974247"</f>
        <v>00974247</v>
      </c>
    </row>
    <row r="22495" spans="1:2" x14ac:dyDescent="0.25">
      <c r="A22495" s="2">
        <v>22490</v>
      </c>
      <c r="B22495" s="11" t="str">
        <f>"00974272"</f>
        <v>00974272</v>
      </c>
    </row>
    <row r="22496" spans="1:2" x14ac:dyDescent="0.25">
      <c r="A22496" s="2">
        <v>22491</v>
      </c>
      <c r="B22496" s="11" t="str">
        <f>"00974282"</f>
        <v>00974282</v>
      </c>
    </row>
    <row r="22497" spans="1:2" x14ac:dyDescent="0.25">
      <c r="A22497" s="2">
        <v>22492</v>
      </c>
      <c r="B22497" s="11" t="str">
        <f>"00974286"</f>
        <v>00974286</v>
      </c>
    </row>
    <row r="22498" spans="1:2" x14ac:dyDescent="0.25">
      <c r="A22498" s="2">
        <v>22493</v>
      </c>
      <c r="B22498" s="11" t="str">
        <f>"00974316"</f>
        <v>00974316</v>
      </c>
    </row>
    <row r="22499" spans="1:2" x14ac:dyDescent="0.25">
      <c r="A22499" s="2">
        <v>22494</v>
      </c>
      <c r="B22499" s="11" t="str">
        <f>"00974344"</f>
        <v>00974344</v>
      </c>
    </row>
    <row r="22500" spans="1:2" x14ac:dyDescent="0.25">
      <c r="A22500" s="2">
        <v>22495</v>
      </c>
      <c r="B22500" s="11" t="str">
        <f>"00974361"</f>
        <v>00974361</v>
      </c>
    </row>
    <row r="22501" spans="1:2" x14ac:dyDescent="0.25">
      <c r="A22501" s="2">
        <v>22496</v>
      </c>
      <c r="B22501" s="11" t="str">
        <f>"00974366"</f>
        <v>00974366</v>
      </c>
    </row>
    <row r="22502" spans="1:2" x14ac:dyDescent="0.25">
      <c r="A22502" s="2">
        <v>22497</v>
      </c>
      <c r="B22502" s="11" t="str">
        <f>"00974370"</f>
        <v>00974370</v>
      </c>
    </row>
    <row r="22503" spans="1:2" x14ac:dyDescent="0.25">
      <c r="A22503" s="2">
        <v>22498</v>
      </c>
      <c r="B22503" s="11" t="str">
        <f>"00974373"</f>
        <v>00974373</v>
      </c>
    </row>
    <row r="22504" spans="1:2" x14ac:dyDescent="0.25">
      <c r="A22504" s="2">
        <v>22499</v>
      </c>
      <c r="B22504" s="11" t="str">
        <f>"00974384"</f>
        <v>00974384</v>
      </c>
    </row>
    <row r="22505" spans="1:2" x14ac:dyDescent="0.25">
      <c r="A22505" s="2">
        <v>22500</v>
      </c>
      <c r="B22505" s="11" t="str">
        <f>"00974425"</f>
        <v>00974425</v>
      </c>
    </row>
    <row r="22506" spans="1:2" x14ac:dyDescent="0.25">
      <c r="A22506" s="2">
        <v>22501</v>
      </c>
      <c r="B22506" s="11" t="str">
        <f>"00974434"</f>
        <v>00974434</v>
      </c>
    </row>
    <row r="22507" spans="1:2" x14ac:dyDescent="0.25">
      <c r="A22507" s="2">
        <v>22502</v>
      </c>
      <c r="B22507" s="11" t="str">
        <f>"00974436"</f>
        <v>00974436</v>
      </c>
    </row>
    <row r="22508" spans="1:2" x14ac:dyDescent="0.25">
      <c r="A22508" s="2">
        <v>22503</v>
      </c>
      <c r="B22508" s="11" t="str">
        <f>"00974472"</f>
        <v>00974472</v>
      </c>
    </row>
    <row r="22509" spans="1:2" x14ac:dyDescent="0.25">
      <c r="A22509" s="2">
        <v>22504</v>
      </c>
      <c r="B22509" s="11" t="str">
        <f>"00974522"</f>
        <v>00974522</v>
      </c>
    </row>
    <row r="22510" spans="1:2" x14ac:dyDescent="0.25">
      <c r="A22510" s="2">
        <v>22505</v>
      </c>
      <c r="B22510" s="11" t="str">
        <f>"00974526"</f>
        <v>00974526</v>
      </c>
    </row>
    <row r="22511" spans="1:2" x14ac:dyDescent="0.25">
      <c r="A22511" s="2">
        <v>22506</v>
      </c>
      <c r="B22511" s="11" t="str">
        <f>"00974542"</f>
        <v>00974542</v>
      </c>
    </row>
    <row r="22512" spans="1:2" x14ac:dyDescent="0.25">
      <c r="A22512" s="2">
        <v>22507</v>
      </c>
      <c r="B22512" s="11" t="str">
        <f>"00974587"</f>
        <v>00974587</v>
      </c>
    </row>
    <row r="22513" spans="1:2" x14ac:dyDescent="0.25">
      <c r="A22513" s="2">
        <v>22508</v>
      </c>
      <c r="B22513" s="11" t="str">
        <f>"00974590"</f>
        <v>00974590</v>
      </c>
    </row>
    <row r="22514" spans="1:2" x14ac:dyDescent="0.25">
      <c r="A22514" s="2">
        <v>22509</v>
      </c>
      <c r="B22514" s="11" t="str">
        <f>"00974619"</f>
        <v>00974619</v>
      </c>
    </row>
    <row r="22515" spans="1:2" x14ac:dyDescent="0.25">
      <c r="A22515" s="2">
        <v>22510</v>
      </c>
      <c r="B22515" s="11" t="str">
        <f>"00974654"</f>
        <v>00974654</v>
      </c>
    </row>
    <row r="22516" spans="1:2" x14ac:dyDescent="0.25">
      <c r="A22516" s="2">
        <v>22511</v>
      </c>
      <c r="B22516" s="11" t="str">
        <f>"00974659"</f>
        <v>00974659</v>
      </c>
    </row>
    <row r="22517" spans="1:2" x14ac:dyDescent="0.25">
      <c r="A22517" s="2">
        <v>22512</v>
      </c>
      <c r="B22517" s="11" t="str">
        <f>"00974683"</f>
        <v>00974683</v>
      </c>
    </row>
    <row r="22518" spans="1:2" x14ac:dyDescent="0.25">
      <c r="A22518" s="2">
        <v>22513</v>
      </c>
      <c r="B22518" s="11" t="str">
        <f>"00974693"</f>
        <v>00974693</v>
      </c>
    </row>
    <row r="22519" spans="1:2" x14ac:dyDescent="0.25">
      <c r="A22519" s="2">
        <v>22514</v>
      </c>
      <c r="B22519" s="11" t="str">
        <f>"00974694"</f>
        <v>00974694</v>
      </c>
    </row>
    <row r="22520" spans="1:2" x14ac:dyDescent="0.25">
      <c r="A22520" s="2">
        <v>22515</v>
      </c>
      <c r="B22520" s="11" t="str">
        <f>"00974724"</f>
        <v>00974724</v>
      </c>
    </row>
    <row r="22521" spans="1:2" x14ac:dyDescent="0.25">
      <c r="A22521" s="2">
        <v>22516</v>
      </c>
      <c r="B22521" s="11" t="str">
        <f>"00974744"</f>
        <v>00974744</v>
      </c>
    </row>
    <row r="22522" spans="1:2" x14ac:dyDescent="0.25">
      <c r="A22522" s="2">
        <v>22517</v>
      </c>
      <c r="B22522" s="11" t="str">
        <f>"00974753"</f>
        <v>00974753</v>
      </c>
    </row>
    <row r="22523" spans="1:2" x14ac:dyDescent="0.25">
      <c r="A22523" s="2">
        <v>22518</v>
      </c>
      <c r="B22523" s="11" t="str">
        <f>"00974754"</f>
        <v>00974754</v>
      </c>
    </row>
    <row r="22524" spans="1:2" x14ac:dyDescent="0.25">
      <c r="A22524" s="2">
        <v>22519</v>
      </c>
      <c r="B22524" s="11" t="str">
        <f>"00974774"</f>
        <v>00974774</v>
      </c>
    </row>
    <row r="22525" spans="1:2" x14ac:dyDescent="0.25">
      <c r="A22525" s="2">
        <v>22520</v>
      </c>
      <c r="B22525" s="11" t="str">
        <f>"00974830"</f>
        <v>00974830</v>
      </c>
    </row>
    <row r="22526" spans="1:2" x14ac:dyDescent="0.25">
      <c r="A22526" s="2">
        <v>22521</v>
      </c>
      <c r="B22526" s="11" t="str">
        <f>"00974839"</f>
        <v>00974839</v>
      </c>
    </row>
    <row r="22527" spans="1:2" x14ac:dyDescent="0.25">
      <c r="A22527" s="2">
        <v>22522</v>
      </c>
      <c r="B22527" s="11" t="str">
        <f>"00974853"</f>
        <v>00974853</v>
      </c>
    </row>
    <row r="22528" spans="1:2" x14ac:dyDescent="0.25">
      <c r="A22528" s="2">
        <v>22523</v>
      </c>
      <c r="B22528" s="11" t="str">
        <f>"00974878"</f>
        <v>00974878</v>
      </c>
    </row>
    <row r="22529" spans="1:2" x14ac:dyDescent="0.25">
      <c r="A22529" s="2">
        <v>22524</v>
      </c>
      <c r="B22529" s="11" t="str">
        <f>"00974908"</f>
        <v>00974908</v>
      </c>
    </row>
    <row r="22530" spans="1:2" x14ac:dyDescent="0.25">
      <c r="A22530" s="2">
        <v>22525</v>
      </c>
      <c r="B22530" s="11" t="str">
        <f>"00974961"</f>
        <v>00974961</v>
      </c>
    </row>
    <row r="22531" spans="1:2" x14ac:dyDescent="0.25">
      <c r="A22531" s="2">
        <v>22526</v>
      </c>
      <c r="B22531" s="11" t="str">
        <f>"00974994"</f>
        <v>00974994</v>
      </c>
    </row>
    <row r="22532" spans="1:2" x14ac:dyDescent="0.25">
      <c r="A22532" s="2">
        <v>22527</v>
      </c>
      <c r="B22532" s="11" t="str">
        <f>"00975005"</f>
        <v>00975005</v>
      </c>
    </row>
    <row r="22533" spans="1:2" x14ac:dyDescent="0.25">
      <c r="A22533" s="2">
        <v>22528</v>
      </c>
      <c r="B22533" s="11" t="str">
        <f>"00975006"</f>
        <v>00975006</v>
      </c>
    </row>
    <row r="22534" spans="1:2" x14ac:dyDescent="0.25">
      <c r="A22534" s="2">
        <v>22529</v>
      </c>
      <c r="B22534" s="11" t="str">
        <f>"00975008"</f>
        <v>00975008</v>
      </c>
    </row>
    <row r="22535" spans="1:2" x14ac:dyDescent="0.25">
      <c r="A22535" s="2">
        <v>22530</v>
      </c>
      <c r="B22535" s="11" t="str">
        <f>"00975012"</f>
        <v>00975012</v>
      </c>
    </row>
    <row r="22536" spans="1:2" x14ac:dyDescent="0.25">
      <c r="A22536" s="2">
        <v>22531</v>
      </c>
      <c r="B22536" s="11" t="str">
        <f>"00975033"</f>
        <v>00975033</v>
      </c>
    </row>
    <row r="22537" spans="1:2" x14ac:dyDescent="0.25">
      <c r="A22537" s="2">
        <v>22532</v>
      </c>
      <c r="B22537" s="11" t="str">
        <f>"00975054"</f>
        <v>00975054</v>
      </c>
    </row>
    <row r="22538" spans="1:2" x14ac:dyDescent="0.25">
      <c r="A22538" s="2">
        <v>22533</v>
      </c>
      <c r="B22538" s="11" t="str">
        <f>"00975130"</f>
        <v>00975130</v>
      </c>
    </row>
    <row r="22539" spans="1:2" x14ac:dyDescent="0.25">
      <c r="A22539" s="2">
        <v>22534</v>
      </c>
      <c r="B22539" s="11" t="str">
        <f>"00975131"</f>
        <v>00975131</v>
      </c>
    </row>
    <row r="22540" spans="1:2" x14ac:dyDescent="0.25">
      <c r="A22540" s="2">
        <v>22535</v>
      </c>
      <c r="B22540" s="11" t="str">
        <f>"00975136"</f>
        <v>00975136</v>
      </c>
    </row>
    <row r="22541" spans="1:2" x14ac:dyDescent="0.25">
      <c r="A22541" s="2">
        <v>22536</v>
      </c>
      <c r="B22541" s="11" t="str">
        <f>"00975138"</f>
        <v>00975138</v>
      </c>
    </row>
    <row r="22542" spans="1:2" x14ac:dyDescent="0.25">
      <c r="A22542" s="2">
        <v>22537</v>
      </c>
      <c r="B22542" s="11" t="str">
        <f>"00975161"</f>
        <v>00975161</v>
      </c>
    </row>
    <row r="22543" spans="1:2" x14ac:dyDescent="0.25">
      <c r="A22543" s="2">
        <v>22538</v>
      </c>
      <c r="B22543" s="11" t="str">
        <f>"00975214"</f>
        <v>00975214</v>
      </c>
    </row>
    <row r="22544" spans="1:2" x14ac:dyDescent="0.25">
      <c r="A22544" s="2">
        <v>22539</v>
      </c>
      <c r="B22544" s="11" t="str">
        <f>"00975224"</f>
        <v>00975224</v>
      </c>
    </row>
    <row r="22545" spans="1:2" x14ac:dyDescent="0.25">
      <c r="A22545" s="2">
        <v>22540</v>
      </c>
      <c r="B22545" s="11" t="str">
        <f>"00975238"</f>
        <v>00975238</v>
      </c>
    </row>
    <row r="22546" spans="1:2" x14ac:dyDescent="0.25">
      <c r="A22546" s="2">
        <v>22541</v>
      </c>
      <c r="B22546" s="11" t="str">
        <f>"00975254"</f>
        <v>00975254</v>
      </c>
    </row>
    <row r="22547" spans="1:2" x14ac:dyDescent="0.25">
      <c r="A22547" s="2">
        <v>22542</v>
      </c>
      <c r="B22547" s="11" t="str">
        <f>"00975260"</f>
        <v>00975260</v>
      </c>
    </row>
    <row r="22548" spans="1:2" x14ac:dyDescent="0.25">
      <c r="A22548" s="2">
        <v>22543</v>
      </c>
      <c r="B22548" s="11" t="str">
        <f>"00975267"</f>
        <v>00975267</v>
      </c>
    </row>
    <row r="22549" spans="1:2" x14ac:dyDescent="0.25">
      <c r="A22549" s="2">
        <v>22544</v>
      </c>
      <c r="B22549" s="11" t="str">
        <f>"00975272"</f>
        <v>00975272</v>
      </c>
    </row>
    <row r="22550" spans="1:2" x14ac:dyDescent="0.25">
      <c r="A22550" s="2">
        <v>22545</v>
      </c>
      <c r="B22550" s="11" t="str">
        <f>"00975304"</f>
        <v>00975304</v>
      </c>
    </row>
    <row r="22551" spans="1:2" x14ac:dyDescent="0.25">
      <c r="A22551" s="2">
        <v>22546</v>
      </c>
      <c r="B22551" s="11" t="str">
        <f>"00975342"</f>
        <v>00975342</v>
      </c>
    </row>
    <row r="22552" spans="1:2" x14ac:dyDescent="0.25">
      <c r="A22552" s="2">
        <v>22547</v>
      </c>
      <c r="B22552" s="11" t="str">
        <f>"00975351"</f>
        <v>00975351</v>
      </c>
    </row>
    <row r="22553" spans="1:2" x14ac:dyDescent="0.25">
      <c r="A22553" s="2">
        <v>22548</v>
      </c>
      <c r="B22553" s="11" t="str">
        <f>"00975355"</f>
        <v>00975355</v>
      </c>
    </row>
    <row r="22554" spans="1:2" x14ac:dyDescent="0.25">
      <c r="A22554" s="2">
        <v>22549</v>
      </c>
      <c r="B22554" s="11" t="str">
        <f>"00975365"</f>
        <v>00975365</v>
      </c>
    </row>
    <row r="22555" spans="1:2" x14ac:dyDescent="0.25">
      <c r="A22555" s="2">
        <v>22550</v>
      </c>
      <c r="B22555" s="11" t="str">
        <f>"00975376"</f>
        <v>00975376</v>
      </c>
    </row>
    <row r="22556" spans="1:2" x14ac:dyDescent="0.25">
      <c r="A22556" s="2">
        <v>22551</v>
      </c>
      <c r="B22556" s="11" t="str">
        <f>"00975383"</f>
        <v>00975383</v>
      </c>
    </row>
    <row r="22557" spans="1:2" x14ac:dyDescent="0.25">
      <c r="A22557" s="2">
        <v>22552</v>
      </c>
      <c r="B22557" s="11" t="str">
        <f>"00975388"</f>
        <v>00975388</v>
      </c>
    </row>
    <row r="22558" spans="1:2" x14ac:dyDescent="0.25">
      <c r="A22558" s="2">
        <v>22553</v>
      </c>
      <c r="B22558" s="11" t="str">
        <f>"00975416"</f>
        <v>00975416</v>
      </c>
    </row>
    <row r="22559" spans="1:2" x14ac:dyDescent="0.25">
      <c r="A22559" s="2">
        <v>22554</v>
      </c>
      <c r="B22559" s="11" t="str">
        <f>"00975443"</f>
        <v>00975443</v>
      </c>
    </row>
    <row r="22560" spans="1:2" x14ac:dyDescent="0.25">
      <c r="A22560" s="2">
        <v>22555</v>
      </c>
      <c r="B22560" s="11" t="str">
        <f>"00975451"</f>
        <v>00975451</v>
      </c>
    </row>
    <row r="22561" spans="1:2" x14ac:dyDescent="0.25">
      <c r="A22561" s="2">
        <v>22556</v>
      </c>
      <c r="B22561" s="11" t="str">
        <f>"00975465"</f>
        <v>00975465</v>
      </c>
    </row>
    <row r="22562" spans="1:2" x14ac:dyDescent="0.25">
      <c r="A22562" s="2">
        <v>22557</v>
      </c>
      <c r="B22562" s="11" t="str">
        <f>"00975468"</f>
        <v>00975468</v>
      </c>
    </row>
    <row r="22563" spans="1:2" x14ac:dyDescent="0.25">
      <c r="A22563" s="2">
        <v>22558</v>
      </c>
      <c r="B22563" s="11" t="str">
        <f>"00975472"</f>
        <v>00975472</v>
      </c>
    </row>
    <row r="22564" spans="1:2" x14ac:dyDescent="0.25">
      <c r="A22564" s="2">
        <v>22559</v>
      </c>
      <c r="B22564" s="11" t="str">
        <f>"00975486"</f>
        <v>00975486</v>
      </c>
    </row>
    <row r="22565" spans="1:2" x14ac:dyDescent="0.25">
      <c r="A22565" s="2">
        <v>22560</v>
      </c>
      <c r="B22565" s="11" t="str">
        <f>"00975549"</f>
        <v>00975549</v>
      </c>
    </row>
    <row r="22566" spans="1:2" x14ac:dyDescent="0.25">
      <c r="A22566" s="2">
        <v>22561</v>
      </c>
      <c r="B22566" s="11" t="str">
        <f>"00975554"</f>
        <v>00975554</v>
      </c>
    </row>
    <row r="22567" spans="1:2" x14ac:dyDescent="0.25">
      <c r="A22567" s="2">
        <v>22562</v>
      </c>
      <c r="B22567" s="11" t="str">
        <f>"00975581"</f>
        <v>00975581</v>
      </c>
    </row>
    <row r="22568" spans="1:2" x14ac:dyDescent="0.25">
      <c r="A22568" s="2">
        <v>22563</v>
      </c>
      <c r="B22568" s="11" t="str">
        <f>"00975600"</f>
        <v>00975600</v>
      </c>
    </row>
    <row r="22569" spans="1:2" x14ac:dyDescent="0.25">
      <c r="A22569" s="2">
        <v>22564</v>
      </c>
      <c r="B22569" s="11" t="str">
        <f>"00975626"</f>
        <v>00975626</v>
      </c>
    </row>
    <row r="22570" spans="1:2" x14ac:dyDescent="0.25">
      <c r="A22570" s="2">
        <v>22565</v>
      </c>
      <c r="B22570" s="11" t="str">
        <f>"00975645"</f>
        <v>00975645</v>
      </c>
    </row>
    <row r="22571" spans="1:2" x14ac:dyDescent="0.25">
      <c r="A22571" s="2">
        <v>22566</v>
      </c>
      <c r="B22571" s="11" t="str">
        <f>"00975759"</f>
        <v>00975759</v>
      </c>
    </row>
    <row r="22572" spans="1:2" x14ac:dyDescent="0.25">
      <c r="A22572" s="2">
        <v>22567</v>
      </c>
      <c r="B22572" s="11" t="str">
        <f>"00975766"</f>
        <v>00975766</v>
      </c>
    </row>
    <row r="22573" spans="1:2" x14ac:dyDescent="0.25">
      <c r="A22573" s="2">
        <v>22568</v>
      </c>
      <c r="B22573" s="11" t="str">
        <f>"00975795"</f>
        <v>00975795</v>
      </c>
    </row>
    <row r="22574" spans="1:2" x14ac:dyDescent="0.25">
      <c r="A22574" s="2">
        <v>22569</v>
      </c>
      <c r="B22574" s="11" t="str">
        <f>"00975796"</f>
        <v>00975796</v>
      </c>
    </row>
    <row r="22575" spans="1:2" x14ac:dyDescent="0.25">
      <c r="A22575" s="2">
        <v>22570</v>
      </c>
      <c r="B22575" s="11" t="str">
        <f>"00975814"</f>
        <v>00975814</v>
      </c>
    </row>
    <row r="22576" spans="1:2" x14ac:dyDescent="0.25">
      <c r="A22576" s="2">
        <v>22571</v>
      </c>
      <c r="B22576" s="11" t="str">
        <f>"00975817"</f>
        <v>00975817</v>
      </c>
    </row>
    <row r="22577" spans="1:2" x14ac:dyDescent="0.25">
      <c r="A22577" s="2">
        <v>22572</v>
      </c>
      <c r="B22577" s="11" t="str">
        <f>"00975845"</f>
        <v>00975845</v>
      </c>
    </row>
    <row r="22578" spans="1:2" x14ac:dyDescent="0.25">
      <c r="A22578" s="2">
        <v>22573</v>
      </c>
      <c r="B22578" s="11" t="str">
        <f>"00975852"</f>
        <v>00975852</v>
      </c>
    </row>
    <row r="22579" spans="1:2" x14ac:dyDescent="0.25">
      <c r="A22579" s="2">
        <v>22574</v>
      </c>
      <c r="B22579" s="11" t="str">
        <f>"00975857"</f>
        <v>00975857</v>
      </c>
    </row>
    <row r="22580" spans="1:2" x14ac:dyDescent="0.25">
      <c r="A22580" s="2">
        <v>22575</v>
      </c>
      <c r="B22580" s="11" t="str">
        <f>"00975868"</f>
        <v>00975868</v>
      </c>
    </row>
    <row r="22581" spans="1:2" x14ac:dyDescent="0.25">
      <c r="A22581" s="2">
        <v>22576</v>
      </c>
      <c r="B22581" s="11" t="str">
        <f>"00975893"</f>
        <v>00975893</v>
      </c>
    </row>
    <row r="22582" spans="1:2" x14ac:dyDescent="0.25">
      <c r="A22582" s="2">
        <v>22577</v>
      </c>
      <c r="B22582" s="11" t="str">
        <f>"00975910"</f>
        <v>00975910</v>
      </c>
    </row>
    <row r="22583" spans="1:2" x14ac:dyDescent="0.25">
      <c r="A22583" s="2">
        <v>22578</v>
      </c>
      <c r="B22583" s="11" t="str">
        <f>"00975924"</f>
        <v>00975924</v>
      </c>
    </row>
    <row r="22584" spans="1:2" x14ac:dyDescent="0.25">
      <c r="A22584" s="2">
        <v>22579</v>
      </c>
      <c r="B22584" s="11" t="str">
        <f>"00975956"</f>
        <v>00975956</v>
      </c>
    </row>
    <row r="22585" spans="1:2" x14ac:dyDescent="0.25">
      <c r="A22585" s="2">
        <v>22580</v>
      </c>
      <c r="B22585" s="11" t="str">
        <f>"00975972"</f>
        <v>00975972</v>
      </c>
    </row>
    <row r="22586" spans="1:2" x14ac:dyDescent="0.25">
      <c r="A22586" s="2">
        <v>22581</v>
      </c>
      <c r="B22586" s="11" t="str">
        <f>"00976034"</f>
        <v>00976034</v>
      </c>
    </row>
    <row r="22587" spans="1:2" x14ac:dyDescent="0.25">
      <c r="A22587" s="2">
        <v>22582</v>
      </c>
      <c r="B22587" s="11" t="str">
        <f>"00976051"</f>
        <v>00976051</v>
      </c>
    </row>
    <row r="22588" spans="1:2" x14ac:dyDescent="0.25">
      <c r="A22588" s="2">
        <v>22583</v>
      </c>
      <c r="B22588" s="11" t="str">
        <f>"00976058"</f>
        <v>00976058</v>
      </c>
    </row>
    <row r="22589" spans="1:2" x14ac:dyDescent="0.25">
      <c r="A22589" s="2">
        <v>22584</v>
      </c>
      <c r="B22589" s="11" t="str">
        <f>"00976095"</f>
        <v>00976095</v>
      </c>
    </row>
    <row r="22590" spans="1:2" x14ac:dyDescent="0.25">
      <c r="A22590" s="2">
        <v>22585</v>
      </c>
      <c r="B22590" s="11" t="str">
        <f>"00976157"</f>
        <v>00976157</v>
      </c>
    </row>
    <row r="22591" spans="1:2" x14ac:dyDescent="0.25">
      <c r="A22591" s="2">
        <v>22586</v>
      </c>
      <c r="B22591" s="11" t="str">
        <f>"00976168"</f>
        <v>00976168</v>
      </c>
    </row>
    <row r="22592" spans="1:2" x14ac:dyDescent="0.25">
      <c r="A22592" s="2">
        <v>22587</v>
      </c>
      <c r="B22592" s="11" t="str">
        <f>"00976170"</f>
        <v>00976170</v>
      </c>
    </row>
    <row r="22593" spans="1:2" x14ac:dyDescent="0.25">
      <c r="A22593" s="2">
        <v>22588</v>
      </c>
      <c r="B22593" s="11" t="str">
        <f>"00976171"</f>
        <v>00976171</v>
      </c>
    </row>
    <row r="22594" spans="1:2" x14ac:dyDescent="0.25">
      <c r="A22594" s="2">
        <v>22589</v>
      </c>
      <c r="B22594" s="11" t="str">
        <f>"00976175"</f>
        <v>00976175</v>
      </c>
    </row>
    <row r="22595" spans="1:2" x14ac:dyDescent="0.25">
      <c r="A22595" s="2">
        <v>22590</v>
      </c>
      <c r="B22595" s="11" t="str">
        <f>"00976182"</f>
        <v>00976182</v>
      </c>
    </row>
    <row r="22596" spans="1:2" x14ac:dyDescent="0.25">
      <c r="A22596" s="2">
        <v>22591</v>
      </c>
      <c r="B22596" s="11" t="str">
        <f>"00976210"</f>
        <v>00976210</v>
      </c>
    </row>
    <row r="22597" spans="1:2" x14ac:dyDescent="0.25">
      <c r="A22597" s="2">
        <v>22592</v>
      </c>
      <c r="B22597" s="11" t="str">
        <f>"00976216"</f>
        <v>00976216</v>
      </c>
    </row>
    <row r="22598" spans="1:2" x14ac:dyDescent="0.25">
      <c r="A22598" s="2">
        <v>22593</v>
      </c>
      <c r="B22598" s="11" t="str">
        <f>"00976220"</f>
        <v>00976220</v>
      </c>
    </row>
    <row r="22599" spans="1:2" x14ac:dyDescent="0.25">
      <c r="A22599" s="2">
        <v>22594</v>
      </c>
      <c r="B22599" s="11" t="str">
        <f>"00976236"</f>
        <v>00976236</v>
      </c>
    </row>
    <row r="22600" spans="1:2" x14ac:dyDescent="0.25">
      <c r="A22600" s="2">
        <v>22595</v>
      </c>
      <c r="B22600" s="11" t="str">
        <f>"00976276"</f>
        <v>00976276</v>
      </c>
    </row>
    <row r="22601" spans="1:2" x14ac:dyDescent="0.25">
      <c r="A22601" s="2">
        <v>22596</v>
      </c>
      <c r="B22601" s="11" t="str">
        <f>"00976302"</f>
        <v>00976302</v>
      </c>
    </row>
    <row r="22602" spans="1:2" x14ac:dyDescent="0.25">
      <c r="A22602" s="2">
        <v>22597</v>
      </c>
      <c r="B22602" s="11" t="str">
        <f>"00976314"</f>
        <v>00976314</v>
      </c>
    </row>
    <row r="22603" spans="1:2" x14ac:dyDescent="0.25">
      <c r="A22603" s="2">
        <v>22598</v>
      </c>
      <c r="B22603" s="11" t="str">
        <f>"00976315"</f>
        <v>00976315</v>
      </c>
    </row>
    <row r="22604" spans="1:2" x14ac:dyDescent="0.25">
      <c r="A22604" s="2">
        <v>22599</v>
      </c>
      <c r="B22604" s="11" t="str">
        <f>"00976349"</f>
        <v>00976349</v>
      </c>
    </row>
    <row r="22605" spans="1:2" x14ac:dyDescent="0.25">
      <c r="A22605" s="2">
        <v>22600</v>
      </c>
      <c r="B22605" s="11" t="str">
        <f>"00976359"</f>
        <v>00976359</v>
      </c>
    </row>
    <row r="22606" spans="1:2" x14ac:dyDescent="0.25">
      <c r="A22606" s="2">
        <v>22601</v>
      </c>
      <c r="B22606" s="11" t="str">
        <f>"00976413"</f>
        <v>00976413</v>
      </c>
    </row>
    <row r="22607" spans="1:2" x14ac:dyDescent="0.25">
      <c r="A22607" s="2">
        <v>22602</v>
      </c>
      <c r="B22607" s="11" t="str">
        <f>"00976454"</f>
        <v>00976454</v>
      </c>
    </row>
    <row r="22608" spans="1:2" x14ac:dyDescent="0.25">
      <c r="A22608" s="2">
        <v>22603</v>
      </c>
      <c r="B22608" s="11" t="str">
        <f>"00976459"</f>
        <v>00976459</v>
      </c>
    </row>
    <row r="22609" spans="1:2" x14ac:dyDescent="0.25">
      <c r="A22609" s="2">
        <v>22604</v>
      </c>
      <c r="B22609" s="11" t="str">
        <f>"00976463"</f>
        <v>00976463</v>
      </c>
    </row>
    <row r="22610" spans="1:2" x14ac:dyDescent="0.25">
      <c r="A22610" s="2">
        <v>22605</v>
      </c>
      <c r="B22610" s="11" t="str">
        <f>"00976464"</f>
        <v>00976464</v>
      </c>
    </row>
    <row r="22611" spans="1:2" x14ac:dyDescent="0.25">
      <c r="A22611" s="2">
        <v>22606</v>
      </c>
      <c r="B22611" s="11" t="str">
        <f>"00976481"</f>
        <v>00976481</v>
      </c>
    </row>
    <row r="22612" spans="1:2" x14ac:dyDescent="0.25">
      <c r="A22612" s="2">
        <v>22607</v>
      </c>
      <c r="B22612" s="11" t="str">
        <f>"00976487"</f>
        <v>00976487</v>
      </c>
    </row>
    <row r="22613" spans="1:2" x14ac:dyDescent="0.25">
      <c r="A22613" s="2">
        <v>22608</v>
      </c>
      <c r="B22613" s="11" t="str">
        <f>"00976518"</f>
        <v>00976518</v>
      </c>
    </row>
    <row r="22614" spans="1:2" x14ac:dyDescent="0.25">
      <c r="A22614" s="2">
        <v>22609</v>
      </c>
      <c r="B22614" s="11" t="str">
        <f>"00976548"</f>
        <v>00976548</v>
      </c>
    </row>
    <row r="22615" spans="1:2" x14ac:dyDescent="0.25">
      <c r="A22615" s="2">
        <v>22610</v>
      </c>
      <c r="B22615" s="11" t="str">
        <f>"00976551"</f>
        <v>00976551</v>
      </c>
    </row>
    <row r="22616" spans="1:2" x14ac:dyDescent="0.25">
      <c r="A22616" s="2">
        <v>22611</v>
      </c>
      <c r="B22616" s="11" t="str">
        <f>"00976582"</f>
        <v>00976582</v>
      </c>
    </row>
    <row r="22617" spans="1:2" x14ac:dyDescent="0.25">
      <c r="A22617" s="2">
        <v>22612</v>
      </c>
      <c r="B22617" s="11" t="str">
        <f>"00976593"</f>
        <v>00976593</v>
      </c>
    </row>
    <row r="22618" spans="1:2" x14ac:dyDescent="0.25">
      <c r="A22618" s="2">
        <v>22613</v>
      </c>
      <c r="B22618" s="11" t="str">
        <f>"00976626"</f>
        <v>00976626</v>
      </c>
    </row>
    <row r="22619" spans="1:2" x14ac:dyDescent="0.25">
      <c r="A22619" s="2">
        <v>22614</v>
      </c>
      <c r="B22619" s="11" t="str">
        <f>"00976658"</f>
        <v>00976658</v>
      </c>
    </row>
    <row r="22620" spans="1:2" x14ac:dyDescent="0.25">
      <c r="A22620" s="2">
        <v>22615</v>
      </c>
      <c r="B22620" s="11" t="str">
        <f>"00976700"</f>
        <v>00976700</v>
      </c>
    </row>
    <row r="22621" spans="1:2" x14ac:dyDescent="0.25">
      <c r="A22621" s="2">
        <v>22616</v>
      </c>
      <c r="B22621" s="11" t="str">
        <f>"00976764"</f>
        <v>00976764</v>
      </c>
    </row>
    <row r="22622" spans="1:2" x14ac:dyDescent="0.25">
      <c r="A22622" s="2">
        <v>22617</v>
      </c>
      <c r="B22622" s="11" t="str">
        <f>"00976791"</f>
        <v>00976791</v>
      </c>
    </row>
    <row r="22623" spans="1:2" x14ac:dyDescent="0.25">
      <c r="A22623" s="2">
        <v>22618</v>
      </c>
      <c r="B22623" s="11" t="str">
        <f>"00976794"</f>
        <v>00976794</v>
      </c>
    </row>
    <row r="22624" spans="1:2" x14ac:dyDescent="0.25">
      <c r="A22624" s="2">
        <v>22619</v>
      </c>
      <c r="B22624" s="11" t="str">
        <f>"00976871"</f>
        <v>00976871</v>
      </c>
    </row>
    <row r="22625" spans="1:2" x14ac:dyDescent="0.25">
      <c r="A22625" s="2">
        <v>22620</v>
      </c>
      <c r="B22625" s="11" t="str">
        <f>"00976889"</f>
        <v>00976889</v>
      </c>
    </row>
    <row r="22626" spans="1:2" x14ac:dyDescent="0.25">
      <c r="A22626" s="2">
        <v>22621</v>
      </c>
      <c r="B22626" s="11" t="str">
        <f>"00976937"</f>
        <v>00976937</v>
      </c>
    </row>
    <row r="22627" spans="1:2" x14ac:dyDescent="0.25">
      <c r="A22627" s="2">
        <v>22622</v>
      </c>
      <c r="B22627" s="11" t="str">
        <f>"00976939"</f>
        <v>00976939</v>
      </c>
    </row>
    <row r="22628" spans="1:2" x14ac:dyDescent="0.25">
      <c r="A22628" s="2">
        <v>22623</v>
      </c>
      <c r="B22628" s="11" t="str">
        <f>"00976974"</f>
        <v>00976974</v>
      </c>
    </row>
    <row r="22629" spans="1:2" x14ac:dyDescent="0.25">
      <c r="A22629" s="2">
        <v>22624</v>
      </c>
      <c r="B22629" s="11" t="str">
        <f>"00976984"</f>
        <v>00976984</v>
      </c>
    </row>
    <row r="22630" spans="1:2" x14ac:dyDescent="0.25">
      <c r="A22630" s="2">
        <v>22625</v>
      </c>
      <c r="B22630" s="11" t="str">
        <f>"00976989"</f>
        <v>00976989</v>
      </c>
    </row>
    <row r="22631" spans="1:2" x14ac:dyDescent="0.25">
      <c r="A22631" s="2">
        <v>22626</v>
      </c>
      <c r="B22631" s="11" t="str">
        <f>"00976993"</f>
        <v>00976993</v>
      </c>
    </row>
    <row r="22632" spans="1:2" x14ac:dyDescent="0.25">
      <c r="A22632" s="2">
        <v>22627</v>
      </c>
      <c r="B22632" s="11" t="str">
        <f>"00976994"</f>
        <v>00976994</v>
      </c>
    </row>
    <row r="22633" spans="1:2" x14ac:dyDescent="0.25">
      <c r="A22633" s="2">
        <v>22628</v>
      </c>
      <c r="B22633" s="11" t="str">
        <f>"00977014"</f>
        <v>00977014</v>
      </c>
    </row>
    <row r="22634" spans="1:2" x14ac:dyDescent="0.25">
      <c r="A22634" s="2">
        <v>22629</v>
      </c>
      <c r="B22634" s="11" t="str">
        <f>"00977038"</f>
        <v>00977038</v>
      </c>
    </row>
    <row r="22635" spans="1:2" x14ac:dyDescent="0.25">
      <c r="A22635" s="2">
        <v>22630</v>
      </c>
      <c r="B22635" s="11" t="str">
        <f>"00977041"</f>
        <v>00977041</v>
      </c>
    </row>
    <row r="22636" spans="1:2" x14ac:dyDescent="0.25">
      <c r="A22636" s="2">
        <v>22631</v>
      </c>
      <c r="B22636" s="11" t="str">
        <f>"00977057"</f>
        <v>00977057</v>
      </c>
    </row>
    <row r="22637" spans="1:2" x14ac:dyDescent="0.25">
      <c r="A22637" s="2">
        <v>22632</v>
      </c>
      <c r="B22637" s="11" t="str">
        <f>"00977089"</f>
        <v>00977089</v>
      </c>
    </row>
    <row r="22638" spans="1:2" x14ac:dyDescent="0.25">
      <c r="A22638" s="2">
        <v>22633</v>
      </c>
      <c r="B22638" s="11" t="str">
        <f>"00977098"</f>
        <v>00977098</v>
      </c>
    </row>
    <row r="22639" spans="1:2" x14ac:dyDescent="0.25">
      <c r="A22639" s="2">
        <v>22634</v>
      </c>
      <c r="B22639" s="11" t="str">
        <f>"00977102"</f>
        <v>00977102</v>
      </c>
    </row>
    <row r="22640" spans="1:2" x14ac:dyDescent="0.25">
      <c r="A22640" s="2">
        <v>22635</v>
      </c>
      <c r="B22640" s="11" t="str">
        <f>"00977112"</f>
        <v>00977112</v>
      </c>
    </row>
    <row r="22641" spans="1:2" x14ac:dyDescent="0.25">
      <c r="A22641" s="2">
        <v>22636</v>
      </c>
      <c r="B22641" s="11" t="str">
        <f>"00977130"</f>
        <v>00977130</v>
      </c>
    </row>
    <row r="22642" spans="1:2" x14ac:dyDescent="0.25">
      <c r="A22642" s="2">
        <v>22637</v>
      </c>
      <c r="B22642" s="11" t="str">
        <f>"00977132"</f>
        <v>00977132</v>
      </c>
    </row>
    <row r="22643" spans="1:2" x14ac:dyDescent="0.25">
      <c r="A22643" s="2">
        <v>22638</v>
      </c>
      <c r="B22643" s="11" t="str">
        <f>"00977149"</f>
        <v>00977149</v>
      </c>
    </row>
    <row r="22644" spans="1:2" x14ac:dyDescent="0.25">
      <c r="A22644" s="2">
        <v>22639</v>
      </c>
      <c r="B22644" s="11" t="str">
        <f>"00977150"</f>
        <v>00977150</v>
      </c>
    </row>
    <row r="22645" spans="1:2" x14ac:dyDescent="0.25">
      <c r="A22645" s="2">
        <v>22640</v>
      </c>
      <c r="B22645" s="11" t="str">
        <f>"00977171"</f>
        <v>00977171</v>
      </c>
    </row>
    <row r="22646" spans="1:2" x14ac:dyDescent="0.25">
      <c r="A22646" s="2">
        <v>22641</v>
      </c>
      <c r="B22646" s="11" t="str">
        <f>"00977177"</f>
        <v>00977177</v>
      </c>
    </row>
    <row r="22647" spans="1:2" x14ac:dyDescent="0.25">
      <c r="A22647" s="2">
        <v>22642</v>
      </c>
      <c r="B22647" s="11" t="str">
        <f>"00977178"</f>
        <v>00977178</v>
      </c>
    </row>
    <row r="22648" spans="1:2" x14ac:dyDescent="0.25">
      <c r="A22648" s="2">
        <v>22643</v>
      </c>
      <c r="B22648" s="11" t="str">
        <f>"00977193"</f>
        <v>00977193</v>
      </c>
    </row>
    <row r="22649" spans="1:2" x14ac:dyDescent="0.25">
      <c r="A22649" s="2">
        <v>22644</v>
      </c>
      <c r="B22649" s="11" t="str">
        <f>"00977218"</f>
        <v>00977218</v>
      </c>
    </row>
    <row r="22650" spans="1:2" x14ac:dyDescent="0.25">
      <c r="A22650" s="2">
        <v>22645</v>
      </c>
      <c r="B22650" s="11" t="str">
        <f>"00977239"</f>
        <v>00977239</v>
      </c>
    </row>
    <row r="22651" spans="1:2" x14ac:dyDescent="0.25">
      <c r="A22651" s="2">
        <v>22646</v>
      </c>
      <c r="B22651" s="11" t="str">
        <f>"00977240"</f>
        <v>00977240</v>
      </c>
    </row>
    <row r="22652" spans="1:2" x14ac:dyDescent="0.25">
      <c r="A22652" s="2">
        <v>22647</v>
      </c>
      <c r="B22652" s="11" t="str">
        <f>"00977279"</f>
        <v>00977279</v>
      </c>
    </row>
    <row r="22653" spans="1:2" x14ac:dyDescent="0.25">
      <c r="A22653" s="2">
        <v>22648</v>
      </c>
      <c r="B22653" s="11" t="str">
        <f>"00977281"</f>
        <v>00977281</v>
      </c>
    </row>
    <row r="22654" spans="1:2" x14ac:dyDescent="0.25">
      <c r="A22654" s="2">
        <v>22649</v>
      </c>
      <c r="B22654" s="11" t="str">
        <f>"00977284"</f>
        <v>00977284</v>
      </c>
    </row>
    <row r="22655" spans="1:2" x14ac:dyDescent="0.25">
      <c r="A22655" s="2">
        <v>22650</v>
      </c>
      <c r="B22655" s="11" t="str">
        <f>"00977315"</f>
        <v>00977315</v>
      </c>
    </row>
    <row r="22656" spans="1:2" x14ac:dyDescent="0.25">
      <c r="A22656" s="2">
        <v>22651</v>
      </c>
      <c r="B22656" s="11" t="str">
        <f>"00977348"</f>
        <v>00977348</v>
      </c>
    </row>
    <row r="22657" spans="1:2" x14ac:dyDescent="0.25">
      <c r="A22657" s="2">
        <v>22652</v>
      </c>
      <c r="B22657" s="11" t="str">
        <f>"00977352"</f>
        <v>00977352</v>
      </c>
    </row>
    <row r="22658" spans="1:2" x14ac:dyDescent="0.25">
      <c r="A22658" s="2">
        <v>22653</v>
      </c>
      <c r="B22658" s="11" t="str">
        <f>"00977355"</f>
        <v>00977355</v>
      </c>
    </row>
    <row r="22659" spans="1:2" x14ac:dyDescent="0.25">
      <c r="A22659" s="2">
        <v>22654</v>
      </c>
      <c r="B22659" s="11" t="str">
        <f>"00977364"</f>
        <v>00977364</v>
      </c>
    </row>
    <row r="22660" spans="1:2" x14ac:dyDescent="0.25">
      <c r="A22660" s="2">
        <v>22655</v>
      </c>
      <c r="B22660" s="11" t="str">
        <f>"00977405"</f>
        <v>00977405</v>
      </c>
    </row>
    <row r="22661" spans="1:2" x14ac:dyDescent="0.25">
      <c r="A22661" s="2">
        <v>22656</v>
      </c>
      <c r="B22661" s="11" t="str">
        <f>"00977412"</f>
        <v>00977412</v>
      </c>
    </row>
    <row r="22662" spans="1:2" x14ac:dyDescent="0.25">
      <c r="A22662" s="2">
        <v>22657</v>
      </c>
      <c r="B22662" s="11" t="str">
        <f>"00977414"</f>
        <v>00977414</v>
      </c>
    </row>
    <row r="22663" spans="1:2" x14ac:dyDescent="0.25">
      <c r="A22663" s="2">
        <v>22658</v>
      </c>
      <c r="B22663" s="11" t="str">
        <f>"00977448"</f>
        <v>00977448</v>
      </c>
    </row>
    <row r="22664" spans="1:2" x14ac:dyDescent="0.25">
      <c r="A22664" s="2">
        <v>22659</v>
      </c>
      <c r="B22664" s="11" t="str">
        <f>"00977462"</f>
        <v>00977462</v>
      </c>
    </row>
    <row r="22665" spans="1:2" x14ac:dyDescent="0.25">
      <c r="A22665" s="2">
        <v>22660</v>
      </c>
      <c r="B22665" s="11" t="str">
        <f>"00977520"</f>
        <v>00977520</v>
      </c>
    </row>
    <row r="22666" spans="1:2" x14ac:dyDescent="0.25">
      <c r="A22666" s="2">
        <v>22661</v>
      </c>
      <c r="B22666" s="11" t="str">
        <f>"00977537"</f>
        <v>00977537</v>
      </c>
    </row>
    <row r="22667" spans="1:2" x14ac:dyDescent="0.25">
      <c r="A22667" s="2">
        <v>22662</v>
      </c>
      <c r="B22667" s="11" t="str">
        <f>"00977546"</f>
        <v>00977546</v>
      </c>
    </row>
    <row r="22668" spans="1:2" x14ac:dyDescent="0.25">
      <c r="A22668" s="2">
        <v>22663</v>
      </c>
      <c r="B22668" s="11" t="str">
        <f>"00977584"</f>
        <v>00977584</v>
      </c>
    </row>
    <row r="22669" spans="1:2" x14ac:dyDescent="0.25">
      <c r="A22669" s="2">
        <v>22664</v>
      </c>
      <c r="B22669" s="11" t="str">
        <f>"00977632"</f>
        <v>00977632</v>
      </c>
    </row>
    <row r="22670" spans="1:2" x14ac:dyDescent="0.25">
      <c r="A22670" s="2">
        <v>22665</v>
      </c>
      <c r="B22670" s="11" t="str">
        <f>"00977647"</f>
        <v>00977647</v>
      </c>
    </row>
    <row r="22671" spans="1:2" x14ac:dyDescent="0.25">
      <c r="A22671" s="2">
        <v>22666</v>
      </c>
      <c r="B22671" s="11" t="str">
        <f>"00977650"</f>
        <v>00977650</v>
      </c>
    </row>
    <row r="22672" spans="1:2" x14ac:dyDescent="0.25">
      <c r="A22672" s="2">
        <v>22667</v>
      </c>
      <c r="B22672" s="11" t="str">
        <f>"00977654"</f>
        <v>00977654</v>
      </c>
    </row>
    <row r="22673" spans="1:2" x14ac:dyDescent="0.25">
      <c r="A22673" s="2">
        <v>22668</v>
      </c>
      <c r="B22673" s="11" t="str">
        <f>"00977700"</f>
        <v>00977700</v>
      </c>
    </row>
    <row r="22674" spans="1:2" x14ac:dyDescent="0.25">
      <c r="A22674" s="2">
        <v>22669</v>
      </c>
      <c r="B22674" s="11" t="str">
        <f>"00977718"</f>
        <v>00977718</v>
      </c>
    </row>
    <row r="22675" spans="1:2" x14ac:dyDescent="0.25">
      <c r="A22675" s="2">
        <v>22670</v>
      </c>
      <c r="B22675" s="11" t="str">
        <f>"00977720"</f>
        <v>00977720</v>
      </c>
    </row>
    <row r="22676" spans="1:2" x14ac:dyDescent="0.25">
      <c r="A22676" s="2">
        <v>22671</v>
      </c>
      <c r="B22676" s="11" t="str">
        <f>"00977861"</f>
        <v>00977861</v>
      </c>
    </row>
    <row r="22677" spans="1:2" x14ac:dyDescent="0.25">
      <c r="A22677" s="2">
        <v>22672</v>
      </c>
      <c r="B22677" s="11" t="str">
        <f>"00977924"</f>
        <v>00977924</v>
      </c>
    </row>
    <row r="22678" spans="1:2" x14ac:dyDescent="0.25">
      <c r="A22678" s="2">
        <v>22673</v>
      </c>
      <c r="B22678" s="11" t="str">
        <f>"00977927"</f>
        <v>00977927</v>
      </c>
    </row>
    <row r="22679" spans="1:2" x14ac:dyDescent="0.25">
      <c r="A22679" s="2">
        <v>22674</v>
      </c>
      <c r="B22679" s="11" t="str">
        <f>"00977932"</f>
        <v>00977932</v>
      </c>
    </row>
    <row r="22680" spans="1:2" x14ac:dyDescent="0.25">
      <c r="A22680" s="2">
        <v>22675</v>
      </c>
      <c r="B22680" s="11" t="str">
        <f>"00977942"</f>
        <v>00977942</v>
      </c>
    </row>
    <row r="22681" spans="1:2" x14ac:dyDescent="0.25">
      <c r="A22681" s="2">
        <v>22676</v>
      </c>
      <c r="B22681" s="11" t="str">
        <f>"00977949"</f>
        <v>00977949</v>
      </c>
    </row>
    <row r="22682" spans="1:2" x14ac:dyDescent="0.25">
      <c r="A22682" s="2">
        <v>22677</v>
      </c>
      <c r="B22682" s="11" t="str">
        <f>"00977974"</f>
        <v>00977974</v>
      </c>
    </row>
    <row r="22683" spans="1:2" x14ac:dyDescent="0.25">
      <c r="A22683" s="2">
        <v>22678</v>
      </c>
      <c r="B22683" s="11" t="str">
        <f>"00977999"</f>
        <v>00977999</v>
      </c>
    </row>
    <row r="22684" spans="1:2" x14ac:dyDescent="0.25">
      <c r="A22684" s="2">
        <v>22679</v>
      </c>
      <c r="B22684" s="11" t="str">
        <f>"00978031"</f>
        <v>00978031</v>
      </c>
    </row>
    <row r="22685" spans="1:2" x14ac:dyDescent="0.25">
      <c r="A22685" s="2">
        <v>22680</v>
      </c>
      <c r="B22685" s="11" t="str">
        <f>"00978049"</f>
        <v>00978049</v>
      </c>
    </row>
    <row r="22686" spans="1:2" x14ac:dyDescent="0.25">
      <c r="A22686" s="2">
        <v>22681</v>
      </c>
      <c r="B22686" s="11" t="str">
        <f>"00978056"</f>
        <v>00978056</v>
      </c>
    </row>
    <row r="22687" spans="1:2" x14ac:dyDescent="0.25">
      <c r="A22687" s="2">
        <v>22682</v>
      </c>
      <c r="B22687" s="11" t="str">
        <f>"00978124"</f>
        <v>00978124</v>
      </c>
    </row>
    <row r="22688" spans="1:2" x14ac:dyDescent="0.25">
      <c r="A22688" s="2">
        <v>22683</v>
      </c>
      <c r="B22688" s="11" t="str">
        <f>"00978127"</f>
        <v>00978127</v>
      </c>
    </row>
    <row r="22689" spans="1:2" x14ac:dyDescent="0.25">
      <c r="A22689" s="2">
        <v>22684</v>
      </c>
      <c r="B22689" s="11" t="str">
        <f>"00978135"</f>
        <v>00978135</v>
      </c>
    </row>
    <row r="22690" spans="1:2" x14ac:dyDescent="0.25">
      <c r="A22690" s="2">
        <v>22685</v>
      </c>
      <c r="B22690" s="11" t="str">
        <f>"00978168"</f>
        <v>00978168</v>
      </c>
    </row>
    <row r="22691" spans="1:2" x14ac:dyDescent="0.25">
      <c r="A22691" s="2">
        <v>22686</v>
      </c>
      <c r="B22691" s="11" t="str">
        <f>"00978172"</f>
        <v>00978172</v>
      </c>
    </row>
    <row r="22692" spans="1:2" x14ac:dyDescent="0.25">
      <c r="A22692" s="2">
        <v>22687</v>
      </c>
      <c r="B22692" s="11" t="str">
        <f>"00978233"</f>
        <v>00978233</v>
      </c>
    </row>
    <row r="22693" spans="1:2" x14ac:dyDescent="0.25">
      <c r="A22693" s="2">
        <v>22688</v>
      </c>
      <c r="B22693" s="11" t="str">
        <f>"00978240"</f>
        <v>00978240</v>
      </c>
    </row>
    <row r="22694" spans="1:2" x14ac:dyDescent="0.25">
      <c r="A22694" s="2">
        <v>22689</v>
      </c>
      <c r="B22694" s="11" t="str">
        <f>"00978282"</f>
        <v>00978282</v>
      </c>
    </row>
    <row r="22695" spans="1:2" x14ac:dyDescent="0.25">
      <c r="A22695" s="2">
        <v>22690</v>
      </c>
      <c r="B22695" s="11" t="str">
        <f>"00978288"</f>
        <v>00978288</v>
      </c>
    </row>
    <row r="22696" spans="1:2" x14ac:dyDescent="0.25">
      <c r="A22696" s="2">
        <v>22691</v>
      </c>
      <c r="B22696" s="11" t="str">
        <f>"00978304"</f>
        <v>00978304</v>
      </c>
    </row>
    <row r="22697" spans="1:2" x14ac:dyDescent="0.25">
      <c r="A22697" s="2">
        <v>22692</v>
      </c>
      <c r="B22697" s="11" t="str">
        <f>"00978305"</f>
        <v>00978305</v>
      </c>
    </row>
    <row r="22698" spans="1:2" x14ac:dyDescent="0.25">
      <c r="A22698" s="2">
        <v>22693</v>
      </c>
      <c r="B22698" s="11" t="str">
        <f>"00978317"</f>
        <v>00978317</v>
      </c>
    </row>
    <row r="22699" spans="1:2" x14ac:dyDescent="0.25">
      <c r="A22699" s="2">
        <v>22694</v>
      </c>
      <c r="B22699" s="11" t="str">
        <f>"00978337"</f>
        <v>00978337</v>
      </c>
    </row>
    <row r="22700" spans="1:2" x14ac:dyDescent="0.25">
      <c r="A22700" s="2">
        <v>22695</v>
      </c>
      <c r="B22700" s="11" t="str">
        <f>"00978379"</f>
        <v>00978379</v>
      </c>
    </row>
    <row r="22701" spans="1:2" x14ac:dyDescent="0.25">
      <c r="A22701" s="2">
        <v>22696</v>
      </c>
      <c r="B22701" s="11" t="str">
        <f>"00978386"</f>
        <v>00978386</v>
      </c>
    </row>
    <row r="22702" spans="1:2" x14ac:dyDescent="0.25">
      <c r="A22702" s="2">
        <v>22697</v>
      </c>
      <c r="B22702" s="11" t="str">
        <f>"00978392"</f>
        <v>00978392</v>
      </c>
    </row>
    <row r="22703" spans="1:2" x14ac:dyDescent="0.25">
      <c r="A22703" s="2">
        <v>22698</v>
      </c>
      <c r="B22703" s="11" t="str">
        <f>"00978408"</f>
        <v>00978408</v>
      </c>
    </row>
    <row r="22704" spans="1:2" x14ac:dyDescent="0.25">
      <c r="A22704" s="2">
        <v>22699</v>
      </c>
      <c r="B22704" s="11" t="str">
        <f>"00978518"</f>
        <v>00978518</v>
      </c>
    </row>
    <row r="22705" spans="1:2" x14ac:dyDescent="0.25">
      <c r="A22705" s="2">
        <v>22700</v>
      </c>
      <c r="B22705" s="11" t="str">
        <f>"00978527"</f>
        <v>00978527</v>
      </c>
    </row>
    <row r="22706" spans="1:2" x14ac:dyDescent="0.25">
      <c r="A22706" s="2">
        <v>22701</v>
      </c>
      <c r="B22706" s="11" t="str">
        <f>"00978539"</f>
        <v>00978539</v>
      </c>
    </row>
    <row r="22707" spans="1:2" x14ac:dyDescent="0.25">
      <c r="A22707" s="2">
        <v>22702</v>
      </c>
      <c r="B22707" s="11" t="str">
        <f>"00978567"</f>
        <v>00978567</v>
      </c>
    </row>
    <row r="22708" spans="1:2" x14ac:dyDescent="0.25">
      <c r="A22708" s="2">
        <v>22703</v>
      </c>
      <c r="B22708" s="11" t="str">
        <f>"00978584"</f>
        <v>00978584</v>
      </c>
    </row>
    <row r="22709" spans="1:2" x14ac:dyDescent="0.25">
      <c r="A22709" s="2">
        <v>22704</v>
      </c>
      <c r="B22709" s="11" t="str">
        <f>"00978604"</f>
        <v>00978604</v>
      </c>
    </row>
    <row r="22710" spans="1:2" x14ac:dyDescent="0.25">
      <c r="A22710" s="2">
        <v>22705</v>
      </c>
      <c r="B22710" s="11" t="str">
        <f>"00978607"</f>
        <v>00978607</v>
      </c>
    </row>
    <row r="22711" spans="1:2" x14ac:dyDescent="0.25">
      <c r="A22711" s="2">
        <v>22706</v>
      </c>
      <c r="B22711" s="11" t="str">
        <f>"00978617"</f>
        <v>00978617</v>
      </c>
    </row>
    <row r="22712" spans="1:2" x14ac:dyDescent="0.25">
      <c r="A22712" s="2">
        <v>22707</v>
      </c>
      <c r="B22712" s="11" t="str">
        <f>"00978633"</f>
        <v>00978633</v>
      </c>
    </row>
    <row r="22713" spans="1:2" x14ac:dyDescent="0.25">
      <c r="A22713" s="2">
        <v>22708</v>
      </c>
      <c r="B22713" s="11" t="str">
        <f>"00978656"</f>
        <v>00978656</v>
      </c>
    </row>
    <row r="22714" spans="1:2" x14ac:dyDescent="0.25">
      <c r="A22714" s="2">
        <v>22709</v>
      </c>
      <c r="B22714" s="11" t="str">
        <f>"00978660"</f>
        <v>00978660</v>
      </c>
    </row>
    <row r="22715" spans="1:2" x14ac:dyDescent="0.25">
      <c r="A22715" s="2">
        <v>22710</v>
      </c>
      <c r="B22715" s="11" t="str">
        <f>"00978701"</f>
        <v>00978701</v>
      </c>
    </row>
    <row r="22716" spans="1:2" x14ac:dyDescent="0.25">
      <c r="A22716" s="2">
        <v>22711</v>
      </c>
      <c r="B22716" s="11" t="str">
        <f>"00978720"</f>
        <v>00978720</v>
      </c>
    </row>
    <row r="22717" spans="1:2" x14ac:dyDescent="0.25">
      <c r="A22717" s="2">
        <v>22712</v>
      </c>
      <c r="B22717" s="11" t="str">
        <f>"00978739"</f>
        <v>00978739</v>
      </c>
    </row>
    <row r="22718" spans="1:2" x14ac:dyDescent="0.25">
      <c r="A22718" s="2">
        <v>22713</v>
      </c>
      <c r="B22718" s="11" t="str">
        <f>"00978780"</f>
        <v>00978780</v>
      </c>
    </row>
    <row r="22719" spans="1:2" x14ac:dyDescent="0.25">
      <c r="A22719" s="2">
        <v>22714</v>
      </c>
      <c r="B22719" s="11" t="str">
        <f>"00978791"</f>
        <v>00978791</v>
      </c>
    </row>
    <row r="22720" spans="1:2" x14ac:dyDescent="0.25">
      <c r="A22720" s="2">
        <v>22715</v>
      </c>
      <c r="B22720" s="11" t="str">
        <f>"00978867"</f>
        <v>00978867</v>
      </c>
    </row>
    <row r="22721" spans="1:2" x14ac:dyDescent="0.25">
      <c r="A22721" s="2">
        <v>22716</v>
      </c>
      <c r="B22721" s="11" t="str">
        <f>"00978912"</f>
        <v>00978912</v>
      </c>
    </row>
    <row r="22722" spans="1:2" x14ac:dyDescent="0.25">
      <c r="A22722" s="2">
        <v>22717</v>
      </c>
      <c r="B22722" s="11" t="str">
        <f>"00978931"</f>
        <v>00978931</v>
      </c>
    </row>
    <row r="22723" spans="1:2" x14ac:dyDescent="0.25">
      <c r="A22723" s="2">
        <v>22718</v>
      </c>
      <c r="B22723" s="11" t="str">
        <f>"00978936"</f>
        <v>00978936</v>
      </c>
    </row>
    <row r="22724" spans="1:2" x14ac:dyDescent="0.25">
      <c r="A22724" s="2">
        <v>22719</v>
      </c>
      <c r="B22724" s="11" t="str">
        <f>"00978942"</f>
        <v>00978942</v>
      </c>
    </row>
    <row r="22725" spans="1:2" x14ac:dyDescent="0.25">
      <c r="A22725" s="2">
        <v>22720</v>
      </c>
      <c r="B22725" s="11" t="str">
        <f>"00979003"</f>
        <v>00979003</v>
      </c>
    </row>
    <row r="22726" spans="1:2" x14ac:dyDescent="0.25">
      <c r="A22726" s="2">
        <v>22721</v>
      </c>
      <c r="B22726" s="11" t="str">
        <f>"00979060"</f>
        <v>00979060</v>
      </c>
    </row>
    <row r="22727" spans="1:2" x14ac:dyDescent="0.25">
      <c r="A22727" s="2">
        <v>22722</v>
      </c>
      <c r="B22727" s="11" t="str">
        <f>"00979075"</f>
        <v>00979075</v>
      </c>
    </row>
    <row r="22728" spans="1:2" x14ac:dyDescent="0.25">
      <c r="A22728" s="2">
        <v>22723</v>
      </c>
      <c r="B22728" s="11" t="str">
        <f>"00979110"</f>
        <v>00979110</v>
      </c>
    </row>
    <row r="22729" spans="1:2" x14ac:dyDescent="0.25">
      <c r="A22729" s="2">
        <v>22724</v>
      </c>
      <c r="B22729" s="11" t="str">
        <f>"00979162"</f>
        <v>00979162</v>
      </c>
    </row>
    <row r="22730" spans="1:2" x14ac:dyDescent="0.25">
      <c r="A22730" s="2">
        <v>22725</v>
      </c>
      <c r="B22730" s="11" t="str">
        <f>"00979164"</f>
        <v>00979164</v>
      </c>
    </row>
    <row r="22731" spans="1:2" x14ac:dyDescent="0.25">
      <c r="A22731" s="2">
        <v>22726</v>
      </c>
      <c r="B22731" s="11" t="str">
        <f>"00979187"</f>
        <v>00979187</v>
      </c>
    </row>
    <row r="22732" spans="1:2" x14ac:dyDescent="0.25">
      <c r="A22732" s="2">
        <v>22727</v>
      </c>
      <c r="B22732" s="11" t="str">
        <f>"00979237"</f>
        <v>00979237</v>
      </c>
    </row>
    <row r="22733" spans="1:2" x14ac:dyDescent="0.25">
      <c r="A22733" s="2">
        <v>22728</v>
      </c>
      <c r="B22733" s="11" t="str">
        <f>"00979255"</f>
        <v>00979255</v>
      </c>
    </row>
    <row r="22734" spans="1:2" x14ac:dyDescent="0.25">
      <c r="A22734" s="2">
        <v>22729</v>
      </c>
      <c r="B22734" s="11" t="str">
        <f>"00979260"</f>
        <v>00979260</v>
      </c>
    </row>
    <row r="22735" spans="1:2" x14ac:dyDescent="0.25">
      <c r="A22735" s="2">
        <v>22730</v>
      </c>
      <c r="B22735" s="11" t="str">
        <f>"00979288"</f>
        <v>00979288</v>
      </c>
    </row>
    <row r="22736" spans="1:2" x14ac:dyDescent="0.25">
      <c r="A22736" s="2">
        <v>22731</v>
      </c>
      <c r="B22736" s="11" t="str">
        <f>"00979310"</f>
        <v>00979310</v>
      </c>
    </row>
    <row r="22737" spans="1:2" x14ac:dyDescent="0.25">
      <c r="A22737" s="2">
        <v>22732</v>
      </c>
      <c r="B22737" s="11" t="str">
        <f>"00979314"</f>
        <v>00979314</v>
      </c>
    </row>
    <row r="22738" spans="1:2" x14ac:dyDescent="0.25">
      <c r="A22738" s="2">
        <v>22733</v>
      </c>
      <c r="B22738" s="11" t="str">
        <f>"00979321"</f>
        <v>00979321</v>
      </c>
    </row>
    <row r="22739" spans="1:2" x14ac:dyDescent="0.25">
      <c r="A22739" s="2">
        <v>22734</v>
      </c>
      <c r="B22739" s="11" t="str">
        <f>"00979331"</f>
        <v>00979331</v>
      </c>
    </row>
    <row r="22740" spans="1:2" x14ac:dyDescent="0.25">
      <c r="A22740" s="2">
        <v>22735</v>
      </c>
      <c r="B22740" s="11" t="str">
        <f>"00979348"</f>
        <v>00979348</v>
      </c>
    </row>
    <row r="22741" spans="1:2" x14ac:dyDescent="0.25">
      <c r="A22741" s="2">
        <v>22736</v>
      </c>
      <c r="B22741" s="11" t="str">
        <f>"00979359"</f>
        <v>00979359</v>
      </c>
    </row>
    <row r="22742" spans="1:2" x14ac:dyDescent="0.25">
      <c r="A22742" s="2">
        <v>22737</v>
      </c>
      <c r="B22742" s="11" t="str">
        <f>"00979401"</f>
        <v>00979401</v>
      </c>
    </row>
    <row r="22743" spans="1:2" x14ac:dyDescent="0.25">
      <c r="A22743" s="2">
        <v>22738</v>
      </c>
      <c r="B22743" s="11" t="str">
        <f>"00979428"</f>
        <v>00979428</v>
      </c>
    </row>
    <row r="22744" spans="1:2" x14ac:dyDescent="0.25">
      <c r="A22744" s="2">
        <v>22739</v>
      </c>
      <c r="B22744" s="11" t="str">
        <f>"00979452"</f>
        <v>00979452</v>
      </c>
    </row>
    <row r="22745" spans="1:2" x14ac:dyDescent="0.25">
      <c r="A22745" s="2">
        <v>22740</v>
      </c>
      <c r="B22745" s="11" t="str">
        <f>"00979462"</f>
        <v>00979462</v>
      </c>
    </row>
    <row r="22746" spans="1:2" x14ac:dyDescent="0.25">
      <c r="A22746" s="2">
        <v>22741</v>
      </c>
      <c r="B22746" s="11" t="str">
        <f>"00979469"</f>
        <v>00979469</v>
      </c>
    </row>
    <row r="22747" spans="1:2" x14ac:dyDescent="0.25">
      <c r="A22747" s="2">
        <v>22742</v>
      </c>
      <c r="B22747" s="11" t="str">
        <f>"00979470"</f>
        <v>00979470</v>
      </c>
    </row>
    <row r="22748" spans="1:2" x14ac:dyDescent="0.25">
      <c r="A22748" s="2">
        <v>22743</v>
      </c>
      <c r="B22748" s="11" t="str">
        <f>"00979471"</f>
        <v>00979471</v>
      </c>
    </row>
    <row r="22749" spans="1:2" x14ac:dyDescent="0.25">
      <c r="A22749" s="2">
        <v>22744</v>
      </c>
      <c r="B22749" s="11" t="str">
        <f>"00979483"</f>
        <v>00979483</v>
      </c>
    </row>
    <row r="22750" spans="1:2" x14ac:dyDescent="0.25">
      <c r="A22750" s="2">
        <v>22745</v>
      </c>
      <c r="B22750" s="11" t="str">
        <f>"00979513"</f>
        <v>00979513</v>
      </c>
    </row>
    <row r="22751" spans="1:2" x14ac:dyDescent="0.25">
      <c r="A22751" s="2">
        <v>22746</v>
      </c>
      <c r="B22751" s="11" t="str">
        <f>"00979514"</f>
        <v>00979514</v>
      </c>
    </row>
    <row r="22752" spans="1:2" x14ac:dyDescent="0.25">
      <c r="A22752" s="2">
        <v>22747</v>
      </c>
      <c r="B22752" s="11" t="str">
        <f>"00979519"</f>
        <v>00979519</v>
      </c>
    </row>
    <row r="22753" spans="1:2" x14ac:dyDescent="0.25">
      <c r="A22753" s="2">
        <v>22748</v>
      </c>
      <c r="B22753" s="11" t="str">
        <f>"00979525"</f>
        <v>00979525</v>
      </c>
    </row>
    <row r="22754" spans="1:2" x14ac:dyDescent="0.25">
      <c r="A22754" s="2">
        <v>22749</v>
      </c>
      <c r="B22754" s="11" t="str">
        <f>"00979537"</f>
        <v>00979537</v>
      </c>
    </row>
    <row r="22755" spans="1:2" x14ac:dyDescent="0.25">
      <c r="A22755" s="2">
        <v>22750</v>
      </c>
      <c r="B22755" s="11" t="str">
        <f>"00979539"</f>
        <v>00979539</v>
      </c>
    </row>
    <row r="22756" spans="1:2" x14ac:dyDescent="0.25">
      <c r="A22756" s="2">
        <v>22751</v>
      </c>
      <c r="B22756" s="11" t="str">
        <f>"00979552"</f>
        <v>00979552</v>
      </c>
    </row>
    <row r="22757" spans="1:2" x14ac:dyDescent="0.25">
      <c r="A22757" s="2">
        <v>22752</v>
      </c>
      <c r="B22757" s="11" t="str">
        <f>"00979561"</f>
        <v>00979561</v>
      </c>
    </row>
    <row r="22758" spans="1:2" x14ac:dyDescent="0.25">
      <c r="A22758" s="2">
        <v>22753</v>
      </c>
      <c r="B22758" s="11" t="str">
        <f>"00979563"</f>
        <v>00979563</v>
      </c>
    </row>
    <row r="22759" spans="1:2" x14ac:dyDescent="0.25">
      <c r="A22759" s="2">
        <v>22754</v>
      </c>
      <c r="B22759" s="11" t="str">
        <f>"00979599"</f>
        <v>00979599</v>
      </c>
    </row>
    <row r="22760" spans="1:2" x14ac:dyDescent="0.25">
      <c r="A22760" s="2">
        <v>22755</v>
      </c>
      <c r="B22760" s="11" t="str">
        <f>"00979616"</f>
        <v>00979616</v>
      </c>
    </row>
    <row r="22761" spans="1:2" x14ac:dyDescent="0.25">
      <c r="A22761" s="2">
        <v>22756</v>
      </c>
      <c r="B22761" s="11" t="str">
        <f>"00979650"</f>
        <v>00979650</v>
      </c>
    </row>
    <row r="22762" spans="1:2" x14ac:dyDescent="0.25">
      <c r="A22762" s="2">
        <v>22757</v>
      </c>
      <c r="B22762" s="11" t="str">
        <f>"00979741"</f>
        <v>00979741</v>
      </c>
    </row>
    <row r="22763" spans="1:2" x14ac:dyDescent="0.25">
      <c r="A22763" s="2">
        <v>22758</v>
      </c>
      <c r="B22763" s="11" t="str">
        <f>"00979742"</f>
        <v>00979742</v>
      </c>
    </row>
    <row r="22764" spans="1:2" x14ac:dyDescent="0.25">
      <c r="A22764" s="2">
        <v>22759</v>
      </c>
      <c r="B22764" s="11" t="str">
        <f>"00979763"</f>
        <v>00979763</v>
      </c>
    </row>
    <row r="22765" spans="1:2" x14ac:dyDescent="0.25">
      <c r="A22765" s="2">
        <v>22760</v>
      </c>
      <c r="B22765" s="11" t="str">
        <f>"00979836"</f>
        <v>00979836</v>
      </c>
    </row>
    <row r="22766" spans="1:2" x14ac:dyDescent="0.25">
      <c r="A22766" s="2">
        <v>22761</v>
      </c>
      <c r="B22766" s="11" t="str">
        <f>"00979842"</f>
        <v>00979842</v>
      </c>
    </row>
    <row r="22767" spans="1:2" x14ac:dyDescent="0.25">
      <c r="A22767" s="2">
        <v>22762</v>
      </c>
      <c r="B22767" s="11" t="str">
        <f>"00979885"</f>
        <v>00979885</v>
      </c>
    </row>
    <row r="22768" spans="1:2" x14ac:dyDescent="0.25">
      <c r="A22768" s="2">
        <v>22763</v>
      </c>
      <c r="B22768" s="11" t="str">
        <f>"00979906"</f>
        <v>00979906</v>
      </c>
    </row>
    <row r="22769" spans="1:2" x14ac:dyDescent="0.25">
      <c r="A22769" s="2">
        <v>22764</v>
      </c>
      <c r="B22769" s="11" t="str">
        <f>"00979946"</f>
        <v>00979946</v>
      </c>
    </row>
    <row r="22770" spans="1:2" x14ac:dyDescent="0.25">
      <c r="A22770" s="2">
        <v>22765</v>
      </c>
      <c r="B22770" s="11" t="str">
        <f>"00979964"</f>
        <v>00979964</v>
      </c>
    </row>
    <row r="22771" spans="1:2" x14ac:dyDescent="0.25">
      <c r="A22771" s="2">
        <v>22766</v>
      </c>
      <c r="B22771" s="11" t="str">
        <f>"00980012"</f>
        <v>00980012</v>
      </c>
    </row>
    <row r="22772" spans="1:2" x14ac:dyDescent="0.25">
      <c r="A22772" s="2">
        <v>22767</v>
      </c>
      <c r="B22772" s="11" t="str">
        <f>"00980031"</f>
        <v>00980031</v>
      </c>
    </row>
    <row r="22773" spans="1:2" x14ac:dyDescent="0.25">
      <c r="A22773" s="2">
        <v>22768</v>
      </c>
      <c r="B22773" s="11" t="str">
        <f>"00980056"</f>
        <v>00980056</v>
      </c>
    </row>
    <row r="22774" spans="1:2" x14ac:dyDescent="0.25">
      <c r="A22774" s="2">
        <v>22769</v>
      </c>
      <c r="B22774" s="11" t="str">
        <f>"00980060"</f>
        <v>00980060</v>
      </c>
    </row>
    <row r="22775" spans="1:2" x14ac:dyDescent="0.25">
      <c r="A22775" s="2">
        <v>22770</v>
      </c>
      <c r="B22775" s="11" t="str">
        <f>"00980085"</f>
        <v>00980085</v>
      </c>
    </row>
    <row r="22776" spans="1:2" x14ac:dyDescent="0.25">
      <c r="A22776" s="2">
        <v>22771</v>
      </c>
      <c r="B22776" s="11" t="str">
        <f>"00980156"</f>
        <v>00980156</v>
      </c>
    </row>
    <row r="22777" spans="1:2" x14ac:dyDescent="0.25">
      <c r="A22777" s="2">
        <v>22772</v>
      </c>
      <c r="B22777" s="11" t="str">
        <f>"00980192"</f>
        <v>00980192</v>
      </c>
    </row>
    <row r="22778" spans="1:2" x14ac:dyDescent="0.25">
      <c r="A22778" s="2">
        <v>22773</v>
      </c>
      <c r="B22778" s="11" t="str">
        <f>"00980217"</f>
        <v>00980217</v>
      </c>
    </row>
    <row r="22779" spans="1:2" x14ac:dyDescent="0.25">
      <c r="A22779" s="2">
        <v>22774</v>
      </c>
      <c r="B22779" s="11" t="str">
        <f>"00980219"</f>
        <v>00980219</v>
      </c>
    </row>
    <row r="22780" spans="1:2" x14ac:dyDescent="0.25">
      <c r="A22780" s="2">
        <v>22775</v>
      </c>
      <c r="B22780" s="11" t="str">
        <f>"00980227"</f>
        <v>00980227</v>
      </c>
    </row>
    <row r="22781" spans="1:2" x14ac:dyDescent="0.25">
      <c r="A22781" s="2">
        <v>22776</v>
      </c>
      <c r="B22781" s="11" t="str">
        <f>"00980242"</f>
        <v>00980242</v>
      </c>
    </row>
    <row r="22782" spans="1:2" x14ac:dyDescent="0.25">
      <c r="A22782" s="2">
        <v>22777</v>
      </c>
      <c r="B22782" s="11" t="str">
        <f>"00980261"</f>
        <v>00980261</v>
      </c>
    </row>
    <row r="22783" spans="1:2" x14ac:dyDescent="0.25">
      <c r="A22783" s="2">
        <v>22778</v>
      </c>
      <c r="B22783" s="11" t="str">
        <f>"00980295"</f>
        <v>00980295</v>
      </c>
    </row>
    <row r="22784" spans="1:2" x14ac:dyDescent="0.25">
      <c r="A22784" s="2">
        <v>22779</v>
      </c>
      <c r="B22784" s="11" t="str">
        <f>"00980312"</f>
        <v>00980312</v>
      </c>
    </row>
    <row r="22785" spans="1:2" x14ac:dyDescent="0.25">
      <c r="A22785" s="2">
        <v>22780</v>
      </c>
      <c r="B22785" s="11" t="str">
        <f>"00980357"</f>
        <v>00980357</v>
      </c>
    </row>
    <row r="22786" spans="1:2" x14ac:dyDescent="0.25">
      <c r="A22786" s="2">
        <v>22781</v>
      </c>
      <c r="B22786" s="11" t="str">
        <f>"00980429"</f>
        <v>00980429</v>
      </c>
    </row>
    <row r="22787" spans="1:2" x14ac:dyDescent="0.25">
      <c r="A22787" s="2">
        <v>22782</v>
      </c>
      <c r="B22787" s="11" t="str">
        <f>"00980511"</f>
        <v>00980511</v>
      </c>
    </row>
    <row r="22788" spans="1:2" x14ac:dyDescent="0.25">
      <c r="A22788" s="2">
        <v>22783</v>
      </c>
      <c r="B22788" s="11" t="str">
        <f>"00980512"</f>
        <v>00980512</v>
      </c>
    </row>
    <row r="22789" spans="1:2" x14ac:dyDescent="0.25">
      <c r="A22789" s="2">
        <v>22784</v>
      </c>
      <c r="B22789" s="11" t="str">
        <f>"00980517"</f>
        <v>00980517</v>
      </c>
    </row>
    <row r="22790" spans="1:2" x14ac:dyDescent="0.25">
      <c r="A22790" s="2">
        <v>22785</v>
      </c>
      <c r="B22790" s="11" t="str">
        <f>"00980527"</f>
        <v>00980527</v>
      </c>
    </row>
    <row r="22791" spans="1:2" x14ac:dyDescent="0.25">
      <c r="A22791" s="2">
        <v>22786</v>
      </c>
      <c r="B22791" s="11" t="str">
        <f>"00980644"</f>
        <v>00980644</v>
      </c>
    </row>
    <row r="22792" spans="1:2" x14ac:dyDescent="0.25">
      <c r="A22792" s="2">
        <v>22787</v>
      </c>
      <c r="B22792" s="11" t="str">
        <f>"00980651"</f>
        <v>00980651</v>
      </c>
    </row>
    <row r="22793" spans="1:2" x14ac:dyDescent="0.25">
      <c r="A22793" s="2">
        <v>22788</v>
      </c>
      <c r="B22793" s="11" t="str">
        <f>"00980657"</f>
        <v>00980657</v>
      </c>
    </row>
    <row r="22794" spans="1:2" x14ac:dyDescent="0.25">
      <c r="A22794" s="2">
        <v>22789</v>
      </c>
      <c r="B22794" s="11" t="str">
        <f>"00980680"</f>
        <v>00980680</v>
      </c>
    </row>
    <row r="22795" spans="1:2" x14ac:dyDescent="0.25">
      <c r="A22795" s="2">
        <v>22790</v>
      </c>
      <c r="B22795" s="11" t="str">
        <f>"00980685"</f>
        <v>00980685</v>
      </c>
    </row>
    <row r="22796" spans="1:2" x14ac:dyDescent="0.25">
      <c r="A22796" s="2">
        <v>22791</v>
      </c>
      <c r="B22796" s="11" t="str">
        <f>"00980696"</f>
        <v>00980696</v>
      </c>
    </row>
    <row r="22797" spans="1:2" x14ac:dyDescent="0.25">
      <c r="A22797" s="2">
        <v>22792</v>
      </c>
      <c r="B22797" s="11" t="str">
        <f>"00980705"</f>
        <v>00980705</v>
      </c>
    </row>
    <row r="22798" spans="1:2" x14ac:dyDescent="0.25">
      <c r="A22798" s="2">
        <v>22793</v>
      </c>
      <c r="B22798" s="11" t="str">
        <f>"00980721"</f>
        <v>00980721</v>
      </c>
    </row>
    <row r="22799" spans="1:2" x14ac:dyDescent="0.25">
      <c r="A22799" s="2">
        <v>22794</v>
      </c>
      <c r="B22799" s="11" t="str">
        <f>"00980767"</f>
        <v>00980767</v>
      </c>
    </row>
    <row r="22800" spans="1:2" x14ac:dyDescent="0.25">
      <c r="A22800" s="2">
        <v>22795</v>
      </c>
      <c r="B22800" s="11" t="str">
        <f>"00980773"</f>
        <v>00980773</v>
      </c>
    </row>
    <row r="22801" spans="1:2" x14ac:dyDescent="0.25">
      <c r="A22801" s="2">
        <v>22796</v>
      </c>
      <c r="B22801" s="11" t="str">
        <f>"00980781"</f>
        <v>00980781</v>
      </c>
    </row>
    <row r="22802" spans="1:2" x14ac:dyDescent="0.25">
      <c r="A22802" s="2">
        <v>22797</v>
      </c>
      <c r="B22802" s="11" t="str">
        <f>"00980801"</f>
        <v>00980801</v>
      </c>
    </row>
    <row r="22803" spans="1:2" x14ac:dyDescent="0.25">
      <c r="A22803" s="2">
        <v>22798</v>
      </c>
      <c r="B22803" s="11" t="str">
        <f>"00980817"</f>
        <v>00980817</v>
      </c>
    </row>
    <row r="22804" spans="1:2" x14ac:dyDescent="0.25">
      <c r="A22804" s="2">
        <v>22799</v>
      </c>
      <c r="B22804" s="11" t="str">
        <f>"00980835"</f>
        <v>00980835</v>
      </c>
    </row>
    <row r="22805" spans="1:2" x14ac:dyDescent="0.25">
      <c r="A22805" s="2">
        <v>22800</v>
      </c>
      <c r="B22805" s="11" t="str">
        <f>"00980856"</f>
        <v>00980856</v>
      </c>
    </row>
    <row r="22806" spans="1:2" x14ac:dyDescent="0.25">
      <c r="A22806" s="2">
        <v>22801</v>
      </c>
      <c r="B22806" s="11" t="str">
        <f>"00980859"</f>
        <v>00980859</v>
      </c>
    </row>
    <row r="22807" spans="1:2" x14ac:dyDescent="0.25">
      <c r="A22807" s="2">
        <v>22802</v>
      </c>
      <c r="B22807" s="11" t="str">
        <f>"00980906"</f>
        <v>00980906</v>
      </c>
    </row>
    <row r="22808" spans="1:2" x14ac:dyDescent="0.25">
      <c r="A22808" s="2">
        <v>22803</v>
      </c>
      <c r="B22808" s="11" t="str">
        <f>"00980952"</f>
        <v>00980952</v>
      </c>
    </row>
    <row r="22809" spans="1:2" x14ac:dyDescent="0.25">
      <c r="A22809" s="2">
        <v>22804</v>
      </c>
      <c r="B22809" s="11" t="str">
        <f>"00980965"</f>
        <v>00980965</v>
      </c>
    </row>
    <row r="22810" spans="1:2" x14ac:dyDescent="0.25">
      <c r="A22810" s="2">
        <v>22805</v>
      </c>
      <c r="B22810" s="11" t="str">
        <f>"00981013"</f>
        <v>00981013</v>
      </c>
    </row>
    <row r="22811" spans="1:2" x14ac:dyDescent="0.25">
      <c r="A22811" s="2">
        <v>22806</v>
      </c>
      <c r="B22811" s="11" t="str">
        <f>"00981028"</f>
        <v>00981028</v>
      </c>
    </row>
    <row r="22812" spans="1:2" x14ac:dyDescent="0.25">
      <c r="A22812" s="2">
        <v>22807</v>
      </c>
      <c r="B22812" s="11" t="str">
        <f>"00981072"</f>
        <v>00981072</v>
      </c>
    </row>
    <row r="22813" spans="1:2" x14ac:dyDescent="0.25">
      <c r="A22813" s="2">
        <v>22808</v>
      </c>
      <c r="B22813" s="11" t="str">
        <f>"00981084"</f>
        <v>00981084</v>
      </c>
    </row>
    <row r="22814" spans="1:2" x14ac:dyDescent="0.25">
      <c r="A22814" s="2">
        <v>22809</v>
      </c>
      <c r="B22814" s="11" t="str">
        <f>"00981136"</f>
        <v>00981136</v>
      </c>
    </row>
    <row r="22815" spans="1:2" x14ac:dyDescent="0.25">
      <c r="A22815" s="2">
        <v>22810</v>
      </c>
      <c r="B22815" s="11" t="str">
        <f>"00981159"</f>
        <v>00981159</v>
      </c>
    </row>
    <row r="22816" spans="1:2" x14ac:dyDescent="0.25">
      <c r="A22816" s="2">
        <v>22811</v>
      </c>
      <c r="B22816" s="11" t="str">
        <f>"00981164"</f>
        <v>00981164</v>
      </c>
    </row>
    <row r="22817" spans="1:2" x14ac:dyDescent="0.25">
      <c r="A22817" s="2">
        <v>22812</v>
      </c>
      <c r="B22817" s="11" t="str">
        <f>"00981177"</f>
        <v>00981177</v>
      </c>
    </row>
    <row r="22818" spans="1:2" x14ac:dyDescent="0.25">
      <c r="A22818" s="2">
        <v>22813</v>
      </c>
      <c r="B22818" s="11" t="str">
        <f>"00981179"</f>
        <v>00981179</v>
      </c>
    </row>
    <row r="22819" spans="1:2" x14ac:dyDescent="0.25">
      <c r="A22819" s="2">
        <v>22814</v>
      </c>
      <c r="B22819" s="11" t="str">
        <f>"00981189"</f>
        <v>00981189</v>
      </c>
    </row>
    <row r="22820" spans="1:2" x14ac:dyDescent="0.25">
      <c r="A22820" s="2">
        <v>22815</v>
      </c>
      <c r="B22820" s="11" t="str">
        <f>"00981207"</f>
        <v>00981207</v>
      </c>
    </row>
    <row r="22821" spans="1:2" x14ac:dyDescent="0.25">
      <c r="A22821" s="2">
        <v>22816</v>
      </c>
      <c r="B22821" s="11" t="str">
        <f>"00981221"</f>
        <v>00981221</v>
      </c>
    </row>
    <row r="22822" spans="1:2" x14ac:dyDescent="0.25">
      <c r="A22822" s="2">
        <v>22817</v>
      </c>
      <c r="B22822" s="11" t="str">
        <f>"00981229"</f>
        <v>00981229</v>
      </c>
    </row>
    <row r="22823" spans="1:2" x14ac:dyDescent="0.25">
      <c r="A22823" s="2">
        <v>22818</v>
      </c>
      <c r="B22823" s="11" t="str">
        <f>"00981233"</f>
        <v>00981233</v>
      </c>
    </row>
    <row r="22824" spans="1:2" x14ac:dyDescent="0.25">
      <c r="A22824" s="2">
        <v>22819</v>
      </c>
      <c r="B22824" s="11" t="str">
        <f>"00981258"</f>
        <v>00981258</v>
      </c>
    </row>
    <row r="22825" spans="1:2" x14ac:dyDescent="0.25">
      <c r="A22825" s="2">
        <v>22820</v>
      </c>
      <c r="B22825" s="11" t="str">
        <f>"00981267"</f>
        <v>00981267</v>
      </c>
    </row>
    <row r="22826" spans="1:2" x14ac:dyDescent="0.25">
      <c r="A22826" s="2">
        <v>22821</v>
      </c>
      <c r="B22826" s="11" t="str">
        <f>"00981294"</f>
        <v>00981294</v>
      </c>
    </row>
    <row r="22827" spans="1:2" x14ac:dyDescent="0.25">
      <c r="A22827" s="2">
        <v>22822</v>
      </c>
      <c r="B22827" s="11" t="str">
        <f>"00981314"</f>
        <v>00981314</v>
      </c>
    </row>
    <row r="22828" spans="1:2" x14ac:dyDescent="0.25">
      <c r="A22828" s="2">
        <v>22823</v>
      </c>
      <c r="B22828" s="11" t="str">
        <f>"00981375"</f>
        <v>00981375</v>
      </c>
    </row>
    <row r="22829" spans="1:2" x14ac:dyDescent="0.25">
      <c r="A22829" s="2">
        <v>22824</v>
      </c>
      <c r="B22829" s="11" t="str">
        <f>"00981378"</f>
        <v>00981378</v>
      </c>
    </row>
    <row r="22830" spans="1:2" x14ac:dyDescent="0.25">
      <c r="A22830" s="2">
        <v>22825</v>
      </c>
      <c r="B22830" s="11" t="str">
        <f>"00981409"</f>
        <v>00981409</v>
      </c>
    </row>
    <row r="22831" spans="1:2" x14ac:dyDescent="0.25">
      <c r="A22831" s="2">
        <v>22826</v>
      </c>
      <c r="B22831" s="11" t="str">
        <f>"00981434"</f>
        <v>00981434</v>
      </c>
    </row>
    <row r="22832" spans="1:2" x14ac:dyDescent="0.25">
      <c r="A22832" s="2">
        <v>22827</v>
      </c>
      <c r="B22832" s="11" t="str">
        <f>"00981453"</f>
        <v>00981453</v>
      </c>
    </row>
    <row r="22833" spans="1:2" x14ac:dyDescent="0.25">
      <c r="A22833" s="2">
        <v>22828</v>
      </c>
      <c r="B22833" s="11" t="str">
        <f>"00981468"</f>
        <v>00981468</v>
      </c>
    </row>
    <row r="22834" spans="1:2" x14ac:dyDescent="0.25">
      <c r="A22834" s="2">
        <v>22829</v>
      </c>
      <c r="B22834" s="11" t="str">
        <f>"00981471"</f>
        <v>00981471</v>
      </c>
    </row>
    <row r="22835" spans="1:2" x14ac:dyDescent="0.25">
      <c r="A22835" s="2">
        <v>22830</v>
      </c>
      <c r="B22835" s="11" t="str">
        <f>"00981509"</f>
        <v>00981509</v>
      </c>
    </row>
    <row r="22836" spans="1:2" x14ac:dyDescent="0.25">
      <c r="A22836" s="2">
        <v>22831</v>
      </c>
      <c r="B22836" s="11" t="str">
        <f>"00981532"</f>
        <v>00981532</v>
      </c>
    </row>
    <row r="22837" spans="1:2" x14ac:dyDescent="0.25">
      <c r="A22837" s="2">
        <v>22832</v>
      </c>
      <c r="B22837" s="11" t="str">
        <f>"00981539"</f>
        <v>00981539</v>
      </c>
    </row>
    <row r="22838" spans="1:2" x14ac:dyDescent="0.25">
      <c r="A22838" s="2">
        <v>22833</v>
      </c>
      <c r="B22838" s="11" t="str">
        <f>"00981552"</f>
        <v>00981552</v>
      </c>
    </row>
    <row r="22839" spans="1:2" x14ac:dyDescent="0.25">
      <c r="A22839" s="2">
        <v>22834</v>
      </c>
      <c r="B22839" s="11" t="str">
        <f>"00981604"</f>
        <v>00981604</v>
      </c>
    </row>
    <row r="22840" spans="1:2" x14ac:dyDescent="0.25">
      <c r="A22840" s="2">
        <v>22835</v>
      </c>
      <c r="B22840" s="11" t="str">
        <f>"00981628"</f>
        <v>00981628</v>
      </c>
    </row>
    <row r="22841" spans="1:2" x14ac:dyDescent="0.25">
      <c r="A22841" s="2">
        <v>22836</v>
      </c>
      <c r="B22841" s="11" t="str">
        <f>"00981653"</f>
        <v>00981653</v>
      </c>
    </row>
    <row r="22842" spans="1:2" x14ac:dyDescent="0.25">
      <c r="A22842" s="2">
        <v>22837</v>
      </c>
      <c r="B22842" s="11" t="str">
        <f>"00981670"</f>
        <v>00981670</v>
      </c>
    </row>
    <row r="22843" spans="1:2" x14ac:dyDescent="0.25">
      <c r="A22843" s="2">
        <v>22838</v>
      </c>
      <c r="B22843" s="11" t="str">
        <f>"00981671"</f>
        <v>00981671</v>
      </c>
    </row>
    <row r="22844" spans="1:2" x14ac:dyDescent="0.25">
      <c r="A22844" s="2">
        <v>22839</v>
      </c>
      <c r="B22844" s="11" t="str">
        <f>"00981679"</f>
        <v>00981679</v>
      </c>
    </row>
    <row r="22845" spans="1:2" x14ac:dyDescent="0.25">
      <c r="A22845" s="2">
        <v>22840</v>
      </c>
      <c r="B22845" s="11" t="str">
        <f>"00981682"</f>
        <v>00981682</v>
      </c>
    </row>
    <row r="22846" spans="1:2" x14ac:dyDescent="0.25">
      <c r="A22846" s="2">
        <v>22841</v>
      </c>
      <c r="B22846" s="11" t="str">
        <f>"00981691"</f>
        <v>00981691</v>
      </c>
    </row>
    <row r="22847" spans="1:2" x14ac:dyDescent="0.25">
      <c r="A22847" s="2">
        <v>22842</v>
      </c>
      <c r="B22847" s="11" t="str">
        <f>"00981692"</f>
        <v>00981692</v>
      </c>
    </row>
    <row r="22848" spans="1:2" x14ac:dyDescent="0.25">
      <c r="A22848" s="2">
        <v>22843</v>
      </c>
      <c r="B22848" s="11" t="str">
        <f>"00981721"</f>
        <v>00981721</v>
      </c>
    </row>
    <row r="22849" spans="1:2" x14ac:dyDescent="0.25">
      <c r="A22849" s="2">
        <v>22844</v>
      </c>
      <c r="B22849" s="11" t="str">
        <f>"00981735"</f>
        <v>00981735</v>
      </c>
    </row>
    <row r="22850" spans="1:2" x14ac:dyDescent="0.25">
      <c r="A22850" s="2">
        <v>22845</v>
      </c>
      <c r="B22850" s="11" t="str">
        <f>"00981750"</f>
        <v>00981750</v>
      </c>
    </row>
    <row r="22851" spans="1:2" x14ac:dyDescent="0.25">
      <c r="A22851" s="2">
        <v>22846</v>
      </c>
      <c r="B22851" s="11" t="str">
        <f>"00981770"</f>
        <v>00981770</v>
      </c>
    </row>
    <row r="22852" spans="1:2" x14ac:dyDescent="0.25">
      <c r="A22852" s="2">
        <v>22847</v>
      </c>
      <c r="B22852" s="11" t="str">
        <f>"00981771"</f>
        <v>00981771</v>
      </c>
    </row>
    <row r="22853" spans="1:2" x14ac:dyDescent="0.25">
      <c r="A22853" s="2">
        <v>22848</v>
      </c>
      <c r="B22853" s="11" t="str">
        <f>"00981848"</f>
        <v>00981848</v>
      </c>
    </row>
    <row r="22854" spans="1:2" x14ac:dyDescent="0.25">
      <c r="A22854" s="2">
        <v>22849</v>
      </c>
      <c r="B22854" s="11" t="str">
        <f>"00981873"</f>
        <v>00981873</v>
      </c>
    </row>
    <row r="22855" spans="1:2" x14ac:dyDescent="0.25">
      <c r="A22855" s="2">
        <v>22850</v>
      </c>
      <c r="B22855" s="11" t="str">
        <f>"00981880"</f>
        <v>00981880</v>
      </c>
    </row>
    <row r="22856" spans="1:2" x14ac:dyDescent="0.25">
      <c r="A22856" s="2">
        <v>22851</v>
      </c>
      <c r="B22856" s="11" t="str">
        <f>"00981904"</f>
        <v>00981904</v>
      </c>
    </row>
    <row r="22857" spans="1:2" x14ac:dyDescent="0.25">
      <c r="A22857" s="2">
        <v>22852</v>
      </c>
      <c r="B22857" s="11" t="str">
        <f>"00981932"</f>
        <v>00981932</v>
      </c>
    </row>
    <row r="22858" spans="1:2" x14ac:dyDescent="0.25">
      <c r="A22858" s="2">
        <v>22853</v>
      </c>
      <c r="B22858" s="11" t="str">
        <f>"00981943"</f>
        <v>00981943</v>
      </c>
    </row>
    <row r="22859" spans="1:2" x14ac:dyDescent="0.25">
      <c r="A22859" s="2">
        <v>22854</v>
      </c>
      <c r="B22859" s="11" t="str">
        <f>"00981957"</f>
        <v>00981957</v>
      </c>
    </row>
    <row r="22860" spans="1:2" x14ac:dyDescent="0.25">
      <c r="A22860" s="2">
        <v>22855</v>
      </c>
      <c r="B22860" s="11" t="str">
        <f>"00981967"</f>
        <v>00981967</v>
      </c>
    </row>
    <row r="22861" spans="1:2" x14ac:dyDescent="0.25">
      <c r="A22861" s="2">
        <v>22856</v>
      </c>
      <c r="B22861" s="11" t="str">
        <f>"00981976"</f>
        <v>00981976</v>
      </c>
    </row>
    <row r="22862" spans="1:2" x14ac:dyDescent="0.25">
      <c r="A22862" s="2">
        <v>22857</v>
      </c>
      <c r="B22862" s="11" t="str">
        <f>"00981991"</f>
        <v>00981991</v>
      </c>
    </row>
    <row r="22863" spans="1:2" x14ac:dyDescent="0.25">
      <c r="A22863" s="2">
        <v>22858</v>
      </c>
      <c r="B22863" s="11" t="str">
        <f>"00982002"</f>
        <v>00982002</v>
      </c>
    </row>
    <row r="22864" spans="1:2" x14ac:dyDescent="0.25">
      <c r="A22864" s="2">
        <v>22859</v>
      </c>
      <c r="B22864" s="11" t="str">
        <f>"00982048"</f>
        <v>00982048</v>
      </c>
    </row>
    <row r="22865" spans="1:2" x14ac:dyDescent="0.25">
      <c r="A22865" s="2">
        <v>22860</v>
      </c>
      <c r="B22865" s="11" t="str">
        <f>"00982053"</f>
        <v>00982053</v>
      </c>
    </row>
    <row r="22866" spans="1:2" x14ac:dyDescent="0.25">
      <c r="A22866" s="2">
        <v>22861</v>
      </c>
      <c r="B22866" s="11" t="str">
        <f>"00982098"</f>
        <v>00982098</v>
      </c>
    </row>
    <row r="22867" spans="1:2" x14ac:dyDescent="0.25">
      <c r="A22867" s="2">
        <v>22862</v>
      </c>
      <c r="B22867" s="11" t="str">
        <f>"00982099"</f>
        <v>00982099</v>
      </c>
    </row>
    <row r="22868" spans="1:2" x14ac:dyDescent="0.25">
      <c r="A22868" s="2">
        <v>22863</v>
      </c>
      <c r="B22868" s="11" t="str">
        <f>"00982136"</f>
        <v>00982136</v>
      </c>
    </row>
    <row r="22869" spans="1:2" x14ac:dyDescent="0.25">
      <c r="A22869" s="2">
        <v>22864</v>
      </c>
      <c r="B22869" s="11" t="str">
        <f>"00982154"</f>
        <v>00982154</v>
      </c>
    </row>
    <row r="22870" spans="1:2" x14ac:dyDescent="0.25">
      <c r="A22870" s="2">
        <v>22865</v>
      </c>
      <c r="B22870" s="11" t="str">
        <f>"00982159"</f>
        <v>00982159</v>
      </c>
    </row>
    <row r="22871" spans="1:2" x14ac:dyDescent="0.25">
      <c r="A22871" s="2">
        <v>22866</v>
      </c>
      <c r="B22871" s="11" t="str">
        <f>"00982167"</f>
        <v>00982167</v>
      </c>
    </row>
    <row r="22872" spans="1:2" x14ac:dyDescent="0.25">
      <c r="A22872" s="2">
        <v>22867</v>
      </c>
      <c r="B22872" s="11" t="str">
        <f>"00982170"</f>
        <v>00982170</v>
      </c>
    </row>
    <row r="22873" spans="1:2" x14ac:dyDescent="0.25">
      <c r="A22873" s="2">
        <v>22868</v>
      </c>
      <c r="B22873" s="11" t="str">
        <f>"00982184"</f>
        <v>00982184</v>
      </c>
    </row>
    <row r="22874" spans="1:2" x14ac:dyDescent="0.25">
      <c r="A22874" s="2">
        <v>22869</v>
      </c>
      <c r="B22874" s="11" t="str">
        <f>"00982201"</f>
        <v>00982201</v>
      </c>
    </row>
    <row r="22875" spans="1:2" x14ac:dyDescent="0.25">
      <c r="A22875" s="2">
        <v>22870</v>
      </c>
      <c r="B22875" s="11" t="str">
        <f>"00982204"</f>
        <v>00982204</v>
      </c>
    </row>
    <row r="22876" spans="1:2" x14ac:dyDescent="0.25">
      <c r="A22876" s="2">
        <v>22871</v>
      </c>
      <c r="B22876" s="11" t="str">
        <f>"00982219"</f>
        <v>00982219</v>
      </c>
    </row>
    <row r="22877" spans="1:2" x14ac:dyDescent="0.25">
      <c r="A22877" s="2">
        <v>22872</v>
      </c>
      <c r="B22877" s="11" t="str">
        <f>"00982236"</f>
        <v>00982236</v>
      </c>
    </row>
    <row r="22878" spans="1:2" x14ac:dyDescent="0.25">
      <c r="A22878" s="2">
        <v>22873</v>
      </c>
      <c r="B22878" s="11" t="str">
        <f>"00982242"</f>
        <v>00982242</v>
      </c>
    </row>
    <row r="22879" spans="1:2" x14ac:dyDescent="0.25">
      <c r="A22879" s="2">
        <v>22874</v>
      </c>
      <c r="B22879" s="11" t="str">
        <f>"00982304"</f>
        <v>00982304</v>
      </c>
    </row>
    <row r="22880" spans="1:2" x14ac:dyDescent="0.25">
      <c r="A22880" s="2">
        <v>22875</v>
      </c>
      <c r="B22880" s="11" t="str">
        <f>"00982310"</f>
        <v>00982310</v>
      </c>
    </row>
    <row r="22881" spans="1:2" x14ac:dyDescent="0.25">
      <c r="A22881" s="2">
        <v>22876</v>
      </c>
      <c r="B22881" s="11" t="str">
        <f>"00982365"</f>
        <v>00982365</v>
      </c>
    </row>
    <row r="22882" spans="1:2" x14ac:dyDescent="0.25">
      <c r="A22882" s="2">
        <v>22877</v>
      </c>
      <c r="B22882" s="11" t="str">
        <f>"00982385"</f>
        <v>00982385</v>
      </c>
    </row>
    <row r="22883" spans="1:2" x14ac:dyDescent="0.25">
      <c r="A22883" s="2">
        <v>22878</v>
      </c>
      <c r="B22883" s="11" t="str">
        <f>"00982404"</f>
        <v>00982404</v>
      </c>
    </row>
    <row r="22884" spans="1:2" x14ac:dyDescent="0.25">
      <c r="A22884" s="2">
        <v>22879</v>
      </c>
      <c r="B22884" s="11" t="str">
        <f>"00982422"</f>
        <v>00982422</v>
      </c>
    </row>
    <row r="22885" spans="1:2" x14ac:dyDescent="0.25">
      <c r="A22885" s="2">
        <v>22880</v>
      </c>
      <c r="B22885" s="11" t="str">
        <f>"00982429"</f>
        <v>00982429</v>
      </c>
    </row>
    <row r="22886" spans="1:2" x14ac:dyDescent="0.25">
      <c r="A22886" s="2">
        <v>22881</v>
      </c>
      <c r="B22886" s="11" t="str">
        <f>"00982433"</f>
        <v>00982433</v>
      </c>
    </row>
    <row r="22887" spans="1:2" x14ac:dyDescent="0.25">
      <c r="A22887" s="2">
        <v>22882</v>
      </c>
      <c r="B22887" s="11" t="str">
        <f>"00982452"</f>
        <v>00982452</v>
      </c>
    </row>
    <row r="22888" spans="1:2" x14ac:dyDescent="0.25">
      <c r="A22888" s="2">
        <v>22883</v>
      </c>
      <c r="B22888" s="11" t="str">
        <f>"00982484"</f>
        <v>00982484</v>
      </c>
    </row>
    <row r="22889" spans="1:2" x14ac:dyDescent="0.25">
      <c r="A22889" s="2">
        <v>22884</v>
      </c>
      <c r="B22889" s="11" t="str">
        <f>"00982491"</f>
        <v>00982491</v>
      </c>
    </row>
    <row r="22890" spans="1:2" x14ac:dyDescent="0.25">
      <c r="A22890" s="2">
        <v>22885</v>
      </c>
      <c r="B22890" s="11" t="str">
        <f>"00982509"</f>
        <v>00982509</v>
      </c>
    </row>
    <row r="22891" spans="1:2" x14ac:dyDescent="0.25">
      <c r="A22891" s="2">
        <v>22886</v>
      </c>
      <c r="B22891" s="11" t="str">
        <f>"00982523"</f>
        <v>00982523</v>
      </c>
    </row>
    <row r="22892" spans="1:2" x14ac:dyDescent="0.25">
      <c r="A22892" s="2">
        <v>22887</v>
      </c>
      <c r="B22892" s="11" t="str">
        <f>"00982557"</f>
        <v>00982557</v>
      </c>
    </row>
    <row r="22893" spans="1:2" x14ac:dyDescent="0.25">
      <c r="A22893" s="2">
        <v>22888</v>
      </c>
      <c r="B22893" s="11" t="str">
        <f>"00982563"</f>
        <v>00982563</v>
      </c>
    </row>
    <row r="22894" spans="1:2" x14ac:dyDescent="0.25">
      <c r="A22894" s="2">
        <v>22889</v>
      </c>
      <c r="B22894" s="11" t="str">
        <f>"00982583"</f>
        <v>00982583</v>
      </c>
    </row>
    <row r="22895" spans="1:2" x14ac:dyDescent="0.25">
      <c r="A22895" s="2">
        <v>22890</v>
      </c>
      <c r="B22895" s="11" t="str">
        <f>"00982590"</f>
        <v>00982590</v>
      </c>
    </row>
    <row r="22896" spans="1:2" x14ac:dyDescent="0.25">
      <c r="A22896" s="2">
        <v>22891</v>
      </c>
      <c r="B22896" s="11" t="str">
        <f>"00982620"</f>
        <v>00982620</v>
      </c>
    </row>
    <row r="22897" spans="1:2" x14ac:dyDescent="0.25">
      <c r="A22897" s="2">
        <v>22892</v>
      </c>
      <c r="B22897" s="11" t="str">
        <f>"00982641"</f>
        <v>00982641</v>
      </c>
    </row>
    <row r="22898" spans="1:2" x14ac:dyDescent="0.25">
      <c r="A22898" s="2">
        <v>22893</v>
      </c>
      <c r="B22898" s="11" t="str">
        <f>"00982672"</f>
        <v>00982672</v>
      </c>
    </row>
    <row r="22899" spans="1:2" x14ac:dyDescent="0.25">
      <c r="A22899" s="2">
        <v>22894</v>
      </c>
      <c r="B22899" s="11" t="str">
        <f>"00982693"</f>
        <v>00982693</v>
      </c>
    </row>
    <row r="22900" spans="1:2" x14ac:dyDescent="0.25">
      <c r="A22900" s="2">
        <v>22895</v>
      </c>
      <c r="B22900" s="11" t="str">
        <f>"00982707"</f>
        <v>00982707</v>
      </c>
    </row>
    <row r="22901" spans="1:2" x14ac:dyDescent="0.25">
      <c r="A22901" s="2">
        <v>22896</v>
      </c>
      <c r="B22901" s="11" t="str">
        <f>"00982712"</f>
        <v>00982712</v>
      </c>
    </row>
    <row r="22902" spans="1:2" x14ac:dyDescent="0.25">
      <c r="A22902" s="2">
        <v>22897</v>
      </c>
      <c r="B22902" s="11" t="str">
        <f>"00982732"</f>
        <v>00982732</v>
      </c>
    </row>
    <row r="22903" spans="1:2" x14ac:dyDescent="0.25">
      <c r="A22903" s="2">
        <v>22898</v>
      </c>
      <c r="B22903" s="11" t="str">
        <f>"00982777"</f>
        <v>00982777</v>
      </c>
    </row>
    <row r="22904" spans="1:2" x14ac:dyDescent="0.25">
      <c r="A22904" s="2">
        <v>22899</v>
      </c>
      <c r="B22904" s="11" t="str">
        <f>"00982785"</f>
        <v>00982785</v>
      </c>
    </row>
    <row r="22905" spans="1:2" x14ac:dyDescent="0.25">
      <c r="A22905" s="2">
        <v>22900</v>
      </c>
      <c r="B22905" s="11" t="str">
        <f>"00982795"</f>
        <v>00982795</v>
      </c>
    </row>
    <row r="22906" spans="1:2" x14ac:dyDescent="0.25">
      <c r="A22906" s="2">
        <v>22901</v>
      </c>
      <c r="B22906" s="11" t="str">
        <f>"00982818"</f>
        <v>00982818</v>
      </c>
    </row>
    <row r="22907" spans="1:2" x14ac:dyDescent="0.25">
      <c r="A22907" s="2">
        <v>22902</v>
      </c>
      <c r="B22907" s="11" t="str">
        <f>"00982825"</f>
        <v>00982825</v>
      </c>
    </row>
    <row r="22908" spans="1:2" x14ac:dyDescent="0.25">
      <c r="A22908" s="2">
        <v>22903</v>
      </c>
      <c r="B22908" s="11" t="str">
        <f>"00982846"</f>
        <v>00982846</v>
      </c>
    </row>
    <row r="22909" spans="1:2" x14ac:dyDescent="0.25">
      <c r="A22909" s="2">
        <v>22904</v>
      </c>
      <c r="B22909" s="11" t="str">
        <f>"00982863"</f>
        <v>00982863</v>
      </c>
    </row>
    <row r="22910" spans="1:2" x14ac:dyDescent="0.25">
      <c r="A22910" s="2">
        <v>22905</v>
      </c>
      <c r="B22910" s="11" t="str">
        <f>"00982902"</f>
        <v>00982902</v>
      </c>
    </row>
    <row r="22911" spans="1:2" x14ac:dyDescent="0.25">
      <c r="A22911" s="2">
        <v>22906</v>
      </c>
      <c r="B22911" s="11" t="str">
        <f>"00982912"</f>
        <v>00982912</v>
      </c>
    </row>
    <row r="22912" spans="1:2" x14ac:dyDescent="0.25">
      <c r="A22912" s="2">
        <v>22907</v>
      </c>
      <c r="B22912" s="11" t="str">
        <f>"00982928"</f>
        <v>00982928</v>
      </c>
    </row>
    <row r="22913" spans="1:2" x14ac:dyDescent="0.25">
      <c r="A22913" s="2">
        <v>22908</v>
      </c>
      <c r="B22913" s="11" t="str">
        <f>"00982964"</f>
        <v>00982964</v>
      </c>
    </row>
    <row r="22914" spans="1:2" x14ac:dyDescent="0.25">
      <c r="A22914" s="2">
        <v>22909</v>
      </c>
      <c r="B22914" s="11" t="str">
        <f>"00982971"</f>
        <v>00982971</v>
      </c>
    </row>
    <row r="22915" spans="1:2" x14ac:dyDescent="0.25">
      <c r="A22915" s="2">
        <v>22910</v>
      </c>
      <c r="B22915" s="11" t="str">
        <f>"00982976"</f>
        <v>00982976</v>
      </c>
    </row>
    <row r="22916" spans="1:2" x14ac:dyDescent="0.25">
      <c r="A22916" s="2">
        <v>22911</v>
      </c>
      <c r="B22916" s="11" t="str">
        <f>"00982979"</f>
        <v>00982979</v>
      </c>
    </row>
    <row r="22917" spans="1:2" x14ac:dyDescent="0.25">
      <c r="A22917" s="2">
        <v>22912</v>
      </c>
      <c r="B22917" s="11" t="str">
        <f>"00982990"</f>
        <v>00982990</v>
      </c>
    </row>
    <row r="22918" spans="1:2" x14ac:dyDescent="0.25">
      <c r="A22918" s="2">
        <v>22913</v>
      </c>
      <c r="B22918" s="11" t="str">
        <f>"00982993"</f>
        <v>00982993</v>
      </c>
    </row>
    <row r="22919" spans="1:2" x14ac:dyDescent="0.25">
      <c r="A22919" s="2">
        <v>22914</v>
      </c>
      <c r="B22919" s="11" t="str">
        <f>"00983005"</f>
        <v>00983005</v>
      </c>
    </row>
    <row r="22920" spans="1:2" x14ac:dyDescent="0.25">
      <c r="A22920" s="2">
        <v>22915</v>
      </c>
      <c r="B22920" s="11" t="str">
        <f>"00983010"</f>
        <v>00983010</v>
      </c>
    </row>
    <row r="22921" spans="1:2" x14ac:dyDescent="0.25">
      <c r="A22921" s="2">
        <v>22916</v>
      </c>
      <c r="B22921" s="11" t="str">
        <f>"00983021"</f>
        <v>00983021</v>
      </c>
    </row>
    <row r="22922" spans="1:2" x14ac:dyDescent="0.25">
      <c r="A22922" s="2">
        <v>22917</v>
      </c>
      <c r="B22922" s="11" t="str">
        <f>"00983033"</f>
        <v>00983033</v>
      </c>
    </row>
    <row r="22923" spans="1:2" x14ac:dyDescent="0.25">
      <c r="A22923" s="2">
        <v>22918</v>
      </c>
      <c r="B22923" s="11" t="str">
        <f>"00983036"</f>
        <v>00983036</v>
      </c>
    </row>
    <row r="22924" spans="1:2" x14ac:dyDescent="0.25">
      <c r="A22924" s="2">
        <v>22919</v>
      </c>
      <c r="B22924" s="11" t="str">
        <f>"00983047"</f>
        <v>00983047</v>
      </c>
    </row>
    <row r="22925" spans="1:2" x14ac:dyDescent="0.25">
      <c r="A22925" s="2">
        <v>22920</v>
      </c>
      <c r="B22925" s="11" t="str">
        <f>"00983053"</f>
        <v>00983053</v>
      </c>
    </row>
    <row r="22926" spans="1:2" x14ac:dyDescent="0.25">
      <c r="A22926" s="2">
        <v>22921</v>
      </c>
      <c r="B22926" s="11" t="str">
        <f>"00983089"</f>
        <v>00983089</v>
      </c>
    </row>
    <row r="22927" spans="1:2" x14ac:dyDescent="0.25">
      <c r="A22927" s="2">
        <v>22922</v>
      </c>
      <c r="B22927" s="11" t="str">
        <f>"00983095"</f>
        <v>00983095</v>
      </c>
    </row>
    <row r="22928" spans="1:2" x14ac:dyDescent="0.25">
      <c r="A22928" s="2">
        <v>22923</v>
      </c>
      <c r="B22928" s="11" t="str">
        <f>"00983111"</f>
        <v>00983111</v>
      </c>
    </row>
    <row r="22929" spans="1:2" x14ac:dyDescent="0.25">
      <c r="A22929" s="2">
        <v>22924</v>
      </c>
      <c r="B22929" s="11" t="str">
        <f>"00983115"</f>
        <v>00983115</v>
      </c>
    </row>
    <row r="22930" spans="1:2" x14ac:dyDescent="0.25">
      <c r="A22930" s="2">
        <v>22925</v>
      </c>
      <c r="B22930" s="11" t="str">
        <f>"00983117"</f>
        <v>00983117</v>
      </c>
    </row>
    <row r="22931" spans="1:2" x14ac:dyDescent="0.25">
      <c r="A22931" s="2">
        <v>22926</v>
      </c>
      <c r="B22931" s="11" t="str">
        <f>"00983138"</f>
        <v>00983138</v>
      </c>
    </row>
    <row r="22932" spans="1:2" x14ac:dyDescent="0.25">
      <c r="A22932" s="2">
        <v>22927</v>
      </c>
      <c r="B22932" s="11" t="str">
        <f>"00983169"</f>
        <v>00983169</v>
      </c>
    </row>
    <row r="22933" spans="1:2" x14ac:dyDescent="0.25">
      <c r="A22933" s="2">
        <v>22928</v>
      </c>
      <c r="B22933" s="11" t="str">
        <f>"00983177"</f>
        <v>00983177</v>
      </c>
    </row>
    <row r="22934" spans="1:2" x14ac:dyDescent="0.25">
      <c r="A22934" s="2">
        <v>22929</v>
      </c>
      <c r="B22934" s="11" t="str">
        <f>"00983238"</f>
        <v>00983238</v>
      </c>
    </row>
    <row r="22935" spans="1:2" x14ac:dyDescent="0.25">
      <c r="A22935" s="2">
        <v>22930</v>
      </c>
      <c r="B22935" s="11" t="str">
        <f>"00983257"</f>
        <v>00983257</v>
      </c>
    </row>
    <row r="22936" spans="1:2" x14ac:dyDescent="0.25">
      <c r="A22936" s="2">
        <v>22931</v>
      </c>
      <c r="B22936" s="11" t="str">
        <f>"00983264"</f>
        <v>00983264</v>
      </c>
    </row>
    <row r="22937" spans="1:2" x14ac:dyDescent="0.25">
      <c r="A22937" s="2">
        <v>22932</v>
      </c>
      <c r="B22937" s="11" t="str">
        <f>"00983277"</f>
        <v>00983277</v>
      </c>
    </row>
    <row r="22938" spans="1:2" x14ac:dyDescent="0.25">
      <c r="A22938" s="2">
        <v>22933</v>
      </c>
      <c r="B22938" s="11" t="str">
        <f>"00983295"</f>
        <v>00983295</v>
      </c>
    </row>
    <row r="22939" spans="1:2" x14ac:dyDescent="0.25">
      <c r="A22939" s="2">
        <v>22934</v>
      </c>
      <c r="B22939" s="11" t="str">
        <f>"00983350"</f>
        <v>00983350</v>
      </c>
    </row>
    <row r="22940" spans="1:2" x14ac:dyDescent="0.25">
      <c r="A22940" s="2">
        <v>22935</v>
      </c>
      <c r="B22940" s="11" t="str">
        <f>"00983395"</f>
        <v>00983395</v>
      </c>
    </row>
    <row r="22941" spans="1:2" x14ac:dyDescent="0.25">
      <c r="A22941" s="2">
        <v>22936</v>
      </c>
      <c r="B22941" s="11" t="str">
        <f>"00983410"</f>
        <v>00983410</v>
      </c>
    </row>
    <row r="22942" spans="1:2" x14ac:dyDescent="0.25">
      <c r="A22942" s="2">
        <v>22937</v>
      </c>
      <c r="B22942" s="11" t="str">
        <f>"00983414"</f>
        <v>00983414</v>
      </c>
    </row>
    <row r="22943" spans="1:2" x14ac:dyDescent="0.25">
      <c r="A22943" s="2">
        <v>22938</v>
      </c>
      <c r="B22943" s="11" t="str">
        <f>"00983440"</f>
        <v>00983440</v>
      </c>
    </row>
    <row r="22944" spans="1:2" x14ac:dyDescent="0.25">
      <c r="A22944" s="2">
        <v>22939</v>
      </c>
      <c r="B22944" s="11" t="str">
        <f>"00983451"</f>
        <v>00983451</v>
      </c>
    </row>
    <row r="22945" spans="1:2" x14ac:dyDescent="0.25">
      <c r="A22945" s="2">
        <v>22940</v>
      </c>
      <c r="B22945" s="11" t="str">
        <f>"00983453"</f>
        <v>00983453</v>
      </c>
    </row>
    <row r="22946" spans="1:2" x14ac:dyDescent="0.25">
      <c r="A22946" s="2">
        <v>22941</v>
      </c>
      <c r="B22946" s="11" t="str">
        <f>"00983463"</f>
        <v>00983463</v>
      </c>
    </row>
    <row r="22947" spans="1:2" x14ac:dyDescent="0.25">
      <c r="A22947" s="2">
        <v>22942</v>
      </c>
      <c r="B22947" s="11" t="str">
        <f>"00983478"</f>
        <v>00983478</v>
      </c>
    </row>
    <row r="22948" spans="1:2" x14ac:dyDescent="0.25">
      <c r="A22948" s="2">
        <v>22943</v>
      </c>
      <c r="B22948" s="11" t="str">
        <f>"00983513"</f>
        <v>00983513</v>
      </c>
    </row>
    <row r="22949" spans="1:2" x14ac:dyDescent="0.25">
      <c r="A22949" s="2">
        <v>22944</v>
      </c>
      <c r="B22949" s="11" t="str">
        <f>"00983559"</f>
        <v>00983559</v>
      </c>
    </row>
    <row r="22950" spans="1:2" x14ac:dyDescent="0.25">
      <c r="A22950" s="2">
        <v>22945</v>
      </c>
      <c r="B22950" s="11" t="str">
        <f>"00983574"</f>
        <v>00983574</v>
      </c>
    </row>
    <row r="22951" spans="1:2" x14ac:dyDescent="0.25">
      <c r="A22951" s="2">
        <v>22946</v>
      </c>
      <c r="B22951" s="11" t="str">
        <f>"00983596"</f>
        <v>00983596</v>
      </c>
    </row>
    <row r="22952" spans="1:2" x14ac:dyDescent="0.25">
      <c r="A22952" s="2">
        <v>22947</v>
      </c>
      <c r="B22952" s="11" t="str">
        <f>"00983653"</f>
        <v>00983653</v>
      </c>
    </row>
    <row r="22953" spans="1:2" x14ac:dyDescent="0.25">
      <c r="A22953" s="2">
        <v>22948</v>
      </c>
      <c r="B22953" s="11" t="str">
        <f>"00983661"</f>
        <v>00983661</v>
      </c>
    </row>
    <row r="22954" spans="1:2" x14ac:dyDescent="0.25">
      <c r="A22954" s="2">
        <v>22949</v>
      </c>
      <c r="B22954" s="11" t="str">
        <f>"00983672"</f>
        <v>00983672</v>
      </c>
    </row>
    <row r="22955" spans="1:2" x14ac:dyDescent="0.25">
      <c r="A22955" s="2">
        <v>22950</v>
      </c>
      <c r="B22955" s="11" t="str">
        <f>"00983678"</f>
        <v>00983678</v>
      </c>
    </row>
    <row r="22956" spans="1:2" x14ac:dyDescent="0.25">
      <c r="A22956" s="2">
        <v>22951</v>
      </c>
      <c r="B22956" s="11" t="str">
        <f>"00983681"</f>
        <v>00983681</v>
      </c>
    </row>
    <row r="22957" spans="1:2" x14ac:dyDescent="0.25">
      <c r="A22957" s="2">
        <v>22952</v>
      </c>
      <c r="B22957" s="11" t="str">
        <f>"00983683"</f>
        <v>00983683</v>
      </c>
    </row>
    <row r="22958" spans="1:2" x14ac:dyDescent="0.25">
      <c r="A22958" s="2">
        <v>22953</v>
      </c>
      <c r="B22958" s="11" t="str">
        <f>"00983688"</f>
        <v>00983688</v>
      </c>
    </row>
    <row r="22959" spans="1:2" x14ac:dyDescent="0.25">
      <c r="A22959" s="2">
        <v>22954</v>
      </c>
      <c r="B22959" s="11" t="str">
        <f>"00983708"</f>
        <v>00983708</v>
      </c>
    </row>
    <row r="22960" spans="1:2" x14ac:dyDescent="0.25">
      <c r="A22960" s="2">
        <v>22955</v>
      </c>
      <c r="B22960" s="11" t="str">
        <f>"00983714"</f>
        <v>00983714</v>
      </c>
    </row>
    <row r="22961" spans="1:2" x14ac:dyDescent="0.25">
      <c r="A22961" s="2">
        <v>22956</v>
      </c>
      <c r="B22961" s="11" t="str">
        <f>"00983718"</f>
        <v>00983718</v>
      </c>
    </row>
    <row r="22962" spans="1:2" x14ac:dyDescent="0.25">
      <c r="A22962" s="2">
        <v>22957</v>
      </c>
      <c r="B22962" s="11" t="str">
        <f>"00983725"</f>
        <v>00983725</v>
      </c>
    </row>
    <row r="22963" spans="1:2" x14ac:dyDescent="0.25">
      <c r="A22963" s="2">
        <v>22958</v>
      </c>
      <c r="B22963" s="11" t="str">
        <f>"00983732"</f>
        <v>00983732</v>
      </c>
    </row>
    <row r="22964" spans="1:2" x14ac:dyDescent="0.25">
      <c r="A22964" s="2">
        <v>22959</v>
      </c>
      <c r="B22964" s="11" t="str">
        <f>"00983733"</f>
        <v>00983733</v>
      </c>
    </row>
    <row r="22965" spans="1:2" x14ac:dyDescent="0.25">
      <c r="A22965" s="2">
        <v>22960</v>
      </c>
      <c r="B22965" s="11" t="str">
        <f>"00983754"</f>
        <v>00983754</v>
      </c>
    </row>
    <row r="22966" spans="1:2" x14ac:dyDescent="0.25">
      <c r="A22966" s="2">
        <v>22961</v>
      </c>
      <c r="B22966" s="11" t="str">
        <f>"00983763"</f>
        <v>00983763</v>
      </c>
    </row>
    <row r="22967" spans="1:2" x14ac:dyDescent="0.25">
      <c r="A22967" s="2">
        <v>22962</v>
      </c>
      <c r="B22967" s="11" t="str">
        <f>"00983776"</f>
        <v>00983776</v>
      </c>
    </row>
    <row r="22968" spans="1:2" x14ac:dyDescent="0.25">
      <c r="A22968" s="2">
        <v>22963</v>
      </c>
      <c r="B22968" s="11" t="str">
        <f>"00983787"</f>
        <v>00983787</v>
      </c>
    </row>
    <row r="22969" spans="1:2" x14ac:dyDescent="0.25">
      <c r="A22969" s="2">
        <v>22964</v>
      </c>
      <c r="B22969" s="11" t="str">
        <f>"00983804"</f>
        <v>00983804</v>
      </c>
    </row>
    <row r="22970" spans="1:2" x14ac:dyDescent="0.25">
      <c r="A22970" s="2">
        <v>22965</v>
      </c>
      <c r="B22970" s="11" t="str">
        <f>"00983835"</f>
        <v>00983835</v>
      </c>
    </row>
    <row r="22971" spans="1:2" x14ac:dyDescent="0.25">
      <c r="A22971" s="2">
        <v>22966</v>
      </c>
      <c r="B22971" s="11" t="str">
        <f>"00983854"</f>
        <v>00983854</v>
      </c>
    </row>
    <row r="22972" spans="1:2" x14ac:dyDescent="0.25">
      <c r="A22972" s="2">
        <v>22967</v>
      </c>
      <c r="B22972" s="11" t="str">
        <f>"00983858"</f>
        <v>00983858</v>
      </c>
    </row>
    <row r="22973" spans="1:2" x14ac:dyDescent="0.25">
      <c r="A22973" s="2">
        <v>22968</v>
      </c>
      <c r="B22973" s="11" t="str">
        <f>"00983889"</f>
        <v>00983889</v>
      </c>
    </row>
    <row r="22974" spans="1:2" x14ac:dyDescent="0.25">
      <c r="A22974" s="2">
        <v>22969</v>
      </c>
      <c r="B22974" s="11" t="str">
        <f>"00983918"</f>
        <v>00983918</v>
      </c>
    </row>
    <row r="22975" spans="1:2" x14ac:dyDescent="0.25">
      <c r="A22975" s="2">
        <v>22970</v>
      </c>
      <c r="B22975" s="11" t="str">
        <f>"00983971"</f>
        <v>00983971</v>
      </c>
    </row>
    <row r="22976" spans="1:2" x14ac:dyDescent="0.25">
      <c r="A22976" s="2">
        <v>22971</v>
      </c>
      <c r="B22976" s="11" t="str">
        <f>"00983991"</f>
        <v>00983991</v>
      </c>
    </row>
    <row r="22977" spans="1:2" x14ac:dyDescent="0.25">
      <c r="A22977" s="2">
        <v>22972</v>
      </c>
      <c r="B22977" s="11" t="str">
        <f>"00983993"</f>
        <v>00983993</v>
      </c>
    </row>
    <row r="22978" spans="1:2" x14ac:dyDescent="0.25">
      <c r="A22978" s="2">
        <v>22973</v>
      </c>
      <c r="B22978" s="11" t="str">
        <f>"00984018"</f>
        <v>00984018</v>
      </c>
    </row>
    <row r="22979" spans="1:2" x14ac:dyDescent="0.25">
      <c r="A22979" s="2">
        <v>22974</v>
      </c>
      <c r="B22979" s="11" t="str">
        <f>"00984045"</f>
        <v>00984045</v>
      </c>
    </row>
    <row r="22980" spans="1:2" x14ac:dyDescent="0.25">
      <c r="A22980" s="2">
        <v>22975</v>
      </c>
      <c r="B22980" s="11" t="str">
        <f>"00984072"</f>
        <v>00984072</v>
      </c>
    </row>
    <row r="22981" spans="1:2" x14ac:dyDescent="0.25">
      <c r="A22981" s="2">
        <v>22976</v>
      </c>
      <c r="B22981" s="11" t="str">
        <f>"00984083"</f>
        <v>00984083</v>
      </c>
    </row>
    <row r="22982" spans="1:2" x14ac:dyDescent="0.25">
      <c r="A22982" s="2">
        <v>22977</v>
      </c>
      <c r="B22982" s="11" t="str">
        <f>"00984087"</f>
        <v>00984087</v>
      </c>
    </row>
    <row r="22983" spans="1:2" x14ac:dyDescent="0.25">
      <c r="A22983" s="2">
        <v>22978</v>
      </c>
      <c r="B22983" s="11" t="str">
        <f>"00984098"</f>
        <v>00984098</v>
      </c>
    </row>
    <row r="22984" spans="1:2" x14ac:dyDescent="0.25">
      <c r="A22984" s="2">
        <v>22979</v>
      </c>
      <c r="B22984" s="11" t="str">
        <f>"00984104"</f>
        <v>00984104</v>
      </c>
    </row>
    <row r="22985" spans="1:2" x14ac:dyDescent="0.25">
      <c r="A22985" s="2">
        <v>22980</v>
      </c>
      <c r="B22985" s="11" t="str">
        <f>"00984141"</f>
        <v>00984141</v>
      </c>
    </row>
    <row r="22986" spans="1:2" x14ac:dyDescent="0.25">
      <c r="A22986" s="2">
        <v>22981</v>
      </c>
      <c r="B22986" s="11" t="str">
        <f>"00984153"</f>
        <v>00984153</v>
      </c>
    </row>
    <row r="22987" spans="1:2" x14ac:dyDescent="0.25">
      <c r="A22987" s="2">
        <v>22982</v>
      </c>
      <c r="B22987" s="11" t="str">
        <f>"00984160"</f>
        <v>00984160</v>
      </c>
    </row>
    <row r="22988" spans="1:2" x14ac:dyDescent="0.25">
      <c r="A22988" s="2">
        <v>22983</v>
      </c>
      <c r="B22988" s="11" t="str">
        <f>"00984167"</f>
        <v>00984167</v>
      </c>
    </row>
    <row r="22989" spans="1:2" x14ac:dyDescent="0.25">
      <c r="A22989" s="2">
        <v>22984</v>
      </c>
      <c r="B22989" s="11" t="str">
        <f>"00984176"</f>
        <v>00984176</v>
      </c>
    </row>
    <row r="22990" spans="1:2" x14ac:dyDescent="0.25">
      <c r="A22990" s="2">
        <v>22985</v>
      </c>
      <c r="B22990" s="11" t="str">
        <f>"00984177"</f>
        <v>00984177</v>
      </c>
    </row>
    <row r="22991" spans="1:2" x14ac:dyDescent="0.25">
      <c r="A22991" s="2">
        <v>22986</v>
      </c>
      <c r="B22991" s="11" t="str">
        <f>"00984191"</f>
        <v>00984191</v>
      </c>
    </row>
    <row r="22992" spans="1:2" x14ac:dyDescent="0.25">
      <c r="A22992" s="2">
        <v>22987</v>
      </c>
      <c r="B22992" s="11" t="str">
        <f>"00984212"</f>
        <v>00984212</v>
      </c>
    </row>
    <row r="22993" spans="1:2" x14ac:dyDescent="0.25">
      <c r="A22993" s="2">
        <v>22988</v>
      </c>
      <c r="B22993" s="11" t="str">
        <f>"00984284"</f>
        <v>00984284</v>
      </c>
    </row>
    <row r="22994" spans="1:2" x14ac:dyDescent="0.25">
      <c r="A22994" s="2">
        <v>22989</v>
      </c>
      <c r="B22994" s="11" t="str">
        <f>"00984286"</f>
        <v>00984286</v>
      </c>
    </row>
    <row r="22995" spans="1:2" x14ac:dyDescent="0.25">
      <c r="A22995" s="2">
        <v>22990</v>
      </c>
      <c r="B22995" s="11" t="str">
        <f>"00984290"</f>
        <v>00984290</v>
      </c>
    </row>
    <row r="22996" spans="1:2" x14ac:dyDescent="0.25">
      <c r="A22996" s="2">
        <v>22991</v>
      </c>
      <c r="B22996" s="11" t="str">
        <f>"00984321"</f>
        <v>00984321</v>
      </c>
    </row>
    <row r="22997" spans="1:2" x14ac:dyDescent="0.25">
      <c r="A22997" s="2">
        <v>22992</v>
      </c>
      <c r="B22997" s="11" t="str">
        <f>"00984335"</f>
        <v>00984335</v>
      </c>
    </row>
    <row r="22998" spans="1:2" x14ac:dyDescent="0.25">
      <c r="A22998" s="2">
        <v>22993</v>
      </c>
      <c r="B22998" s="11" t="str">
        <f>"00984365"</f>
        <v>00984365</v>
      </c>
    </row>
    <row r="22999" spans="1:2" x14ac:dyDescent="0.25">
      <c r="A22999" s="2">
        <v>22994</v>
      </c>
      <c r="B22999" s="11" t="str">
        <f>"00984378"</f>
        <v>00984378</v>
      </c>
    </row>
    <row r="23000" spans="1:2" x14ac:dyDescent="0.25">
      <c r="A23000" s="2">
        <v>22995</v>
      </c>
      <c r="B23000" s="11" t="str">
        <f>"00984421"</f>
        <v>00984421</v>
      </c>
    </row>
    <row r="23001" spans="1:2" x14ac:dyDescent="0.25">
      <c r="A23001" s="2">
        <v>22996</v>
      </c>
      <c r="B23001" s="11" t="str">
        <f>"00984426"</f>
        <v>00984426</v>
      </c>
    </row>
    <row r="23002" spans="1:2" x14ac:dyDescent="0.25">
      <c r="A23002" s="2">
        <v>22997</v>
      </c>
      <c r="B23002" s="11" t="str">
        <f>"00984467"</f>
        <v>00984467</v>
      </c>
    </row>
    <row r="23003" spans="1:2" x14ac:dyDescent="0.25">
      <c r="A23003" s="2">
        <v>22998</v>
      </c>
      <c r="B23003" s="11" t="str">
        <f>"00984489"</f>
        <v>00984489</v>
      </c>
    </row>
    <row r="23004" spans="1:2" x14ac:dyDescent="0.25">
      <c r="A23004" s="2">
        <v>22999</v>
      </c>
      <c r="B23004" s="11" t="str">
        <f>"00984546"</f>
        <v>00984546</v>
      </c>
    </row>
    <row r="23005" spans="1:2" x14ac:dyDescent="0.25">
      <c r="A23005" s="2">
        <v>23000</v>
      </c>
      <c r="B23005" s="11" t="str">
        <f>"00984564"</f>
        <v>00984564</v>
      </c>
    </row>
    <row r="23006" spans="1:2" x14ac:dyDescent="0.25">
      <c r="A23006" s="2">
        <v>23001</v>
      </c>
      <c r="B23006" s="11" t="str">
        <f>"00984574"</f>
        <v>00984574</v>
      </c>
    </row>
    <row r="23007" spans="1:2" x14ac:dyDescent="0.25">
      <c r="A23007" s="2">
        <v>23002</v>
      </c>
      <c r="B23007" s="11" t="str">
        <f>"00984596"</f>
        <v>00984596</v>
      </c>
    </row>
    <row r="23008" spans="1:2" x14ac:dyDescent="0.25">
      <c r="A23008" s="2">
        <v>23003</v>
      </c>
      <c r="B23008" s="11" t="str">
        <f>"00984600"</f>
        <v>00984600</v>
      </c>
    </row>
    <row r="23009" spans="1:2" x14ac:dyDescent="0.25">
      <c r="A23009" s="2">
        <v>23004</v>
      </c>
      <c r="B23009" s="11" t="str">
        <f>"00984611"</f>
        <v>00984611</v>
      </c>
    </row>
    <row r="23010" spans="1:2" x14ac:dyDescent="0.25">
      <c r="A23010" s="2">
        <v>23005</v>
      </c>
      <c r="B23010" s="11" t="str">
        <f>"00984613"</f>
        <v>00984613</v>
      </c>
    </row>
    <row r="23011" spans="1:2" x14ac:dyDescent="0.25">
      <c r="A23011" s="2">
        <v>23006</v>
      </c>
      <c r="B23011" s="11" t="str">
        <f>"00984663"</f>
        <v>00984663</v>
      </c>
    </row>
    <row r="23012" spans="1:2" x14ac:dyDescent="0.25">
      <c r="A23012" s="2">
        <v>23007</v>
      </c>
      <c r="B23012" s="11" t="str">
        <f>"00984668"</f>
        <v>00984668</v>
      </c>
    </row>
    <row r="23013" spans="1:2" x14ac:dyDescent="0.25">
      <c r="A23013" s="2">
        <v>23008</v>
      </c>
      <c r="B23013" s="11" t="str">
        <f>"00984705"</f>
        <v>00984705</v>
      </c>
    </row>
    <row r="23014" spans="1:2" x14ac:dyDescent="0.25">
      <c r="A23014" s="2">
        <v>23009</v>
      </c>
      <c r="B23014" s="11" t="str">
        <f>"00984707"</f>
        <v>00984707</v>
      </c>
    </row>
    <row r="23015" spans="1:2" x14ac:dyDescent="0.25">
      <c r="A23015" s="2">
        <v>23010</v>
      </c>
      <c r="B23015" s="11" t="str">
        <f>"00984728"</f>
        <v>00984728</v>
      </c>
    </row>
    <row r="23016" spans="1:2" x14ac:dyDescent="0.25">
      <c r="A23016" s="2">
        <v>23011</v>
      </c>
      <c r="B23016" s="11" t="str">
        <f>"00984759"</f>
        <v>00984759</v>
      </c>
    </row>
    <row r="23017" spans="1:2" x14ac:dyDescent="0.25">
      <c r="A23017" s="2">
        <v>23012</v>
      </c>
      <c r="B23017" s="11" t="str">
        <f>"00984762"</f>
        <v>00984762</v>
      </c>
    </row>
    <row r="23018" spans="1:2" x14ac:dyDescent="0.25">
      <c r="A23018" s="2">
        <v>23013</v>
      </c>
      <c r="B23018" s="11" t="str">
        <f>"00984817"</f>
        <v>00984817</v>
      </c>
    </row>
    <row r="23019" spans="1:2" x14ac:dyDescent="0.25">
      <c r="A23019" s="2">
        <v>23014</v>
      </c>
      <c r="B23019" s="11" t="str">
        <f>"00984828"</f>
        <v>00984828</v>
      </c>
    </row>
    <row r="23020" spans="1:2" x14ac:dyDescent="0.25">
      <c r="A23020" s="2">
        <v>23015</v>
      </c>
      <c r="B23020" s="11" t="str">
        <f>"00984843"</f>
        <v>00984843</v>
      </c>
    </row>
    <row r="23021" spans="1:2" x14ac:dyDescent="0.25">
      <c r="A23021" s="2">
        <v>23016</v>
      </c>
      <c r="B23021" s="11" t="str">
        <f>"00984880"</f>
        <v>00984880</v>
      </c>
    </row>
    <row r="23022" spans="1:2" x14ac:dyDescent="0.25">
      <c r="A23022" s="2">
        <v>23017</v>
      </c>
      <c r="B23022" s="11" t="str">
        <f>"00984896"</f>
        <v>00984896</v>
      </c>
    </row>
    <row r="23023" spans="1:2" x14ac:dyDescent="0.25">
      <c r="A23023" s="2">
        <v>23018</v>
      </c>
      <c r="B23023" s="11" t="str">
        <f>"00984898"</f>
        <v>00984898</v>
      </c>
    </row>
    <row r="23024" spans="1:2" x14ac:dyDescent="0.25">
      <c r="A23024" s="2">
        <v>23019</v>
      </c>
      <c r="B23024" s="11" t="str">
        <f>"00984934"</f>
        <v>00984934</v>
      </c>
    </row>
    <row r="23025" spans="1:2" x14ac:dyDescent="0.25">
      <c r="A23025" s="2">
        <v>23020</v>
      </c>
      <c r="B23025" s="11" t="str">
        <f>"00984937"</f>
        <v>00984937</v>
      </c>
    </row>
    <row r="23026" spans="1:2" x14ac:dyDescent="0.25">
      <c r="A23026" s="2">
        <v>23021</v>
      </c>
      <c r="B23026" s="11" t="str">
        <f>"00984939"</f>
        <v>00984939</v>
      </c>
    </row>
    <row r="23027" spans="1:2" x14ac:dyDescent="0.25">
      <c r="A23027" s="2">
        <v>23022</v>
      </c>
      <c r="B23027" s="11" t="str">
        <f>"00984948"</f>
        <v>00984948</v>
      </c>
    </row>
    <row r="23028" spans="1:2" x14ac:dyDescent="0.25">
      <c r="A23028" s="2">
        <v>23023</v>
      </c>
      <c r="B23028" s="11" t="str">
        <f>"00984949"</f>
        <v>00984949</v>
      </c>
    </row>
    <row r="23029" spans="1:2" x14ac:dyDescent="0.25">
      <c r="A23029" s="2">
        <v>23024</v>
      </c>
      <c r="B23029" s="11" t="str">
        <f>"00984950"</f>
        <v>00984950</v>
      </c>
    </row>
    <row r="23030" spans="1:2" x14ac:dyDescent="0.25">
      <c r="A23030" s="2">
        <v>23025</v>
      </c>
      <c r="B23030" s="11" t="str">
        <f>"00984966"</f>
        <v>00984966</v>
      </c>
    </row>
    <row r="23031" spans="1:2" x14ac:dyDescent="0.25">
      <c r="A23031" s="2">
        <v>23026</v>
      </c>
      <c r="B23031" s="11" t="str">
        <f>"00984993"</f>
        <v>00984993</v>
      </c>
    </row>
    <row r="23032" spans="1:2" x14ac:dyDescent="0.25">
      <c r="A23032" s="2">
        <v>23027</v>
      </c>
      <c r="B23032" s="11" t="str">
        <f>"00985006"</f>
        <v>00985006</v>
      </c>
    </row>
    <row r="23033" spans="1:2" x14ac:dyDescent="0.25">
      <c r="A23033" s="2">
        <v>23028</v>
      </c>
      <c r="B23033" s="11" t="str">
        <f>"00985013"</f>
        <v>00985013</v>
      </c>
    </row>
    <row r="23034" spans="1:2" x14ac:dyDescent="0.25">
      <c r="A23034" s="2">
        <v>23029</v>
      </c>
      <c r="B23034" s="11" t="str">
        <f>"00985023"</f>
        <v>00985023</v>
      </c>
    </row>
    <row r="23035" spans="1:2" x14ac:dyDescent="0.25">
      <c r="A23035" s="2">
        <v>23030</v>
      </c>
      <c r="B23035" s="11" t="str">
        <f>"00985026"</f>
        <v>00985026</v>
      </c>
    </row>
    <row r="23036" spans="1:2" x14ac:dyDescent="0.25">
      <c r="A23036" s="2">
        <v>23031</v>
      </c>
      <c r="B23036" s="11" t="str">
        <f>"00985028"</f>
        <v>00985028</v>
      </c>
    </row>
    <row r="23037" spans="1:2" x14ac:dyDescent="0.25">
      <c r="A23037" s="2">
        <v>23032</v>
      </c>
      <c r="B23037" s="11" t="str">
        <f>"00985031"</f>
        <v>00985031</v>
      </c>
    </row>
    <row r="23038" spans="1:2" x14ac:dyDescent="0.25">
      <c r="A23038" s="2">
        <v>23033</v>
      </c>
      <c r="B23038" s="11" t="str">
        <f>"00985061"</f>
        <v>00985061</v>
      </c>
    </row>
    <row r="23039" spans="1:2" x14ac:dyDescent="0.25">
      <c r="A23039" s="2">
        <v>23034</v>
      </c>
      <c r="B23039" s="11" t="str">
        <f>"00985100"</f>
        <v>00985100</v>
      </c>
    </row>
    <row r="23040" spans="1:2" x14ac:dyDescent="0.25">
      <c r="A23040" s="2">
        <v>23035</v>
      </c>
      <c r="B23040" s="11" t="str">
        <f>"00985144"</f>
        <v>00985144</v>
      </c>
    </row>
    <row r="23041" spans="1:2" x14ac:dyDescent="0.25">
      <c r="A23041" s="2">
        <v>23036</v>
      </c>
      <c r="B23041" s="11" t="str">
        <f>"00985151"</f>
        <v>00985151</v>
      </c>
    </row>
    <row r="23042" spans="1:2" x14ac:dyDescent="0.25">
      <c r="A23042" s="2">
        <v>23037</v>
      </c>
      <c r="B23042" s="11" t="str">
        <f>"00985169"</f>
        <v>00985169</v>
      </c>
    </row>
    <row r="23043" spans="1:2" x14ac:dyDescent="0.25">
      <c r="A23043" s="2">
        <v>23038</v>
      </c>
      <c r="B23043" s="11" t="str">
        <f>"00985175"</f>
        <v>00985175</v>
      </c>
    </row>
    <row r="23044" spans="1:2" x14ac:dyDescent="0.25">
      <c r="A23044" s="2">
        <v>23039</v>
      </c>
      <c r="B23044" s="11" t="str">
        <f>"00985198"</f>
        <v>00985198</v>
      </c>
    </row>
    <row r="23045" spans="1:2" x14ac:dyDescent="0.25">
      <c r="A23045" s="2">
        <v>23040</v>
      </c>
      <c r="B23045" s="11" t="str">
        <f>"00985199"</f>
        <v>00985199</v>
      </c>
    </row>
    <row r="23046" spans="1:2" x14ac:dyDescent="0.25">
      <c r="A23046" s="2">
        <v>23041</v>
      </c>
      <c r="B23046" s="11" t="str">
        <f>"00985213"</f>
        <v>00985213</v>
      </c>
    </row>
    <row r="23047" spans="1:2" x14ac:dyDescent="0.25">
      <c r="A23047" s="2">
        <v>23042</v>
      </c>
      <c r="B23047" s="11" t="str">
        <f>"00985220"</f>
        <v>00985220</v>
      </c>
    </row>
    <row r="23048" spans="1:2" x14ac:dyDescent="0.25">
      <c r="A23048" s="2">
        <v>23043</v>
      </c>
      <c r="B23048" s="11" t="str">
        <f>"00985235"</f>
        <v>00985235</v>
      </c>
    </row>
    <row r="23049" spans="1:2" x14ac:dyDescent="0.25">
      <c r="A23049" s="2">
        <v>23044</v>
      </c>
      <c r="B23049" s="11" t="str">
        <f>"00985241"</f>
        <v>00985241</v>
      </c>
    </row>
    <row r="23050" spans="1:2" x14ac:dyDescent="0.25">
      <c r="A23050" s="2">
        <v>23045</v>
      </c>
      <c r="B23050" s="11" t="str">
        <f>"00985244"</f>
        <v>00985244</v>
      </c>
    </row>
    <row r="23051" spans="1:2" x14ac:dyDescent="0.25">
      <c r="A23051" s="2">
        <v>23046</v>
      </c>
      <c r="B23051" s="11" t="str">
        <f>"00985246"</f>
        <v>00985246</v>
      </c>
    </row>
    <row r="23052" spans="1:2" x14ac:dyDescent="0.25">
      <c r="A23052" s="2">
        <v>23047</v>
      </c>
      <c r="B23052" s="11" t="str">
        <f>"00985248"</f>
        <v>00985248</v>
      </c>
    </row>
    <row r="23053" spans="1:2" x14ac:dyDescent="0.25">
      <c r="A23053" s="2">
        <v>23048</v>
      </c>
      <c r="B23053" s="11" t="str">
        <f>"00985260"</f>
        <v>00985260</v>
      </c>
    </row>
    <row r="23054" spans="1:2" x14ac:dyDescent="0.25">
      <c r="A23054" s="2">
        <v>23049</v>
      </c>
      <c r="B23054" s="11" t="str">
        <f>"00985267"</f>
        <v>00985267</v>
      </c>
    </row>
    <row r="23055" spans="1:2" x14ac:dyDescent="0.25">
      <c r="A23055" s="2">
        <v>23050</v>
      </c>
      <c r="B23055" s="11" t="str">
        <f>"00985269"</f>
        <v>00985269</v>
      </c>
    </row>
    <row r="23056" spans="1:2" x14ac:dyDescent="0.25">
      <c r="A23056" s="2">
        <v>23051</v>
      </c>
      <c r="B23056" s="11" t="str">
        <f>"00985271"</f>
        <v>00985271</v>
      </c>
    </row>
    <row r="23057" spans="1:2" x14ac:dyDescent="0.25">
      <c r="A23057" s="2">
        <v>23052</v>
      </c>
      <c r="B23057" s="11" t="str">
        <f>"00985314"</f>
        <v>00985314</v>
      </c>
    </row>
    <row r="23058" spans="1:2" x14ac:dyDescent="0.25">
      <c r="A23058" s="2">
        <v>23053</v>
      </c>
      <c r="B23058" s="11" t="str">
        <f>"00985359"</f>
        <v>00985359</v>
      </c>
    </row>
    <row r="23059" spans="1:2" x14ac:dyDescent="0.25">
      <c r="A23059" s="2">
        <v>23054</v>
      </c>
      <c r="B23059" s="11" t="str">
        <f>"00985369"</f>
        <v>00985369</v>
      </c>
    </row>
    <row r="23060" spans="1:2" x14ac:dyDescent="0.25">
      <c r="A23060" s="2">
        <v>23055</v>
      </c>
      <c r="B23060" s="11" t="str">
        <f>"00985374"</f>
        <v>00985374</v>
      </c>
    </row>
    <row r="23061" spans="1:2" x14ac:dyDescent="0.25">
      <c r="A23061" s="2">
        <v>23056</v>
      </c>
      <c r="B23061" s="11" t="str">
        <f>"00985384"</f>
        <v>00985384</v>
      </c>
    </row>
    <row r="23062" spans="1:2" x14ac:dyDescent="0.25">
      <c r="A23062" s="2">
        <v>23057</v>
      </c>
      <c r="B23062" s="11" t="str">
        <f>"00985393"</f>
        <v>00985393</v>
      </c>
    </row>
    <row r="23063" spans="1:2" x14ac:dyDescent="0.25">
      <c r="A23063" s="2">
        <v>23058</v>
      </c>
      <c r="B23063" s="11" t="str">
        <f>"00985396"</f>
        <v>00985396</v>
      </c>
    </row>
    <row r="23064" spans="1:2" x14ac:dyDescent="0.25">
      <c r="A23064" s="2">
        <v>23059</v>
      </c>
      <c r="B23064" s="11" t="str">
        <f>"00985407"</f>
        <v>00985407</v>
      </c>
    </row>
    <row r="23065" spans="1:2" x14ac:dyDescent="0.25">
      <c r="A23065" s="2">
        <v>23060</v>
      </c>
      <c r="B23065" s="11" t="str">
        <f>"00985421"</f>
        <v>00985421</v>
      </c>
    </row>
    <row r="23066" spans="1:2" x14ac:dyDescent="0.25">
      <c r="A23066" s="2">
        <v>23061</v>
      </c>
      <c r="B23066" s="11" t="str">
        <f>"00985437"</f>
        <v>00985437</v>
      </c>
    </row>
    <row r="23067" spans="1:2" x14ac:dyDescent="0.25">
      <c r="A23067" s="2">
        <v>23062</v>
      </c>
      <c r="B23067" s="11" t="str">
        <f>"00985439"</f>
        <v>00985439</v>
      </c>
    </row>
    <row r="23068" spans="1:2" x14ac:dyDescent="0.25">
      <c r="A23068" s="2">
        <v>23063</v>
      </c>
      <c r="B23068" s="11" t="str">
        <f>"00985462"</f>
        <v>00985462</v>
      </c>
    </row>
    <row r="23069" spans="1:2" x14ac:dyDescent="0.25">
      <c r="A23069" s="2">
        <v>23064</v>
      </c>
      <c r="B23069" s="11" t="str">
        <f>"00985533"</f>
        <v>00985533</v>
      </c>
    </row>
    <row r="23070" spans="1:2" x14ac:dyDescent="0.25">
      <c r="A23070" s="2">
        <v>23065</v>
      </c>
      <c r="B23070" s="11" t="str">
        <f>"00985606"</f>
        <v>00985606</v>
      </c>
    </row>
    <row r="23071" spans="1:2" x14ac:dyDescent="0.25">
      <c r="A23071" s="2">
        <v>23066</v>
      </c>
      <c r="B23071" s="11" t="str">
        <f>"00985614"</f>
        <v>00985614</v>
      </c>
    </row>
    <row r="23072" spans="1:2" x14ac:dyDescent="0.25">
      <c r="A23072" s="2">
        <v>23067</v>
      </c>
      <c r="B23072" s="11" t="str">
        <f>"00985639"</f>
        <v>00985639</v>
      </c>
    </row>
    <row r="23073" spans="1:2" x14ac:dyDescent="0.25">
      <c r="A23073" s="2">
        <v>23068</v>
      </c>
      <c r="B23073" s="11" t="str">
        <f>"00985647"</f>
        <v>00985647</v>
      </c>
    </row>
    <row r="23074" spans="1:2" x14ac:dyDescent="0.25">
      <c r="A23074" s="2">
        <v>23069</v>
      </c>
      <c r="B23074" s="11" t="str">
        <f>"00985653"</f>
        <v>00985653</v>
      </c>
    </row>
    <row r="23075" spans="1:2" x14ac:dyDescent="0.25">
      <c r="A23075" s="2">
        <v>23070</v>
      </c>
      <c r="B23075" s="11" t="str">
        <f>"00985657"</f>
        <v>00985657</v>
      </c>
    </row>
    <row r="23076" spans="1:2" x14ac:dyDescent="0.25">
      <c r="A23076" s="2">
        <v>23071</v>
      </c>
      <c r="B23076" s="11" t="str">
        <f>"00985663"</f>
        <v>00985663</v>
      </c>
    </row>
    <row r="23077" spans="1:2" x14ac:dyDescent="0.25">
      <c r="A23077" s="2">
        <v>23072</v>
      </c>
      <c r="B23077" s="11" t="str">
        <f>"00985676"</f>
        <v>00985676</v>
      </c>
    </row>
    <row r="23078" spans="1:2" x14ac:dyDescent="0.25">
      <c r="A23078" s="2">
        <v>23073</v>
      </c>
      <c r="B23078" s="11" t="str">
        <f>"00985685"</f>
        <v>00985685</v>
      </c>
    </row>
    <row r="23079" spans="1:2" x14ac:dyDescent="0.25">
      <c r="A23079" s="2">
        <v>23074</v>
      </c>
      <c r="B23079" s="11" t="str">
        <f>"00985697"</f>
        <v>00985697</v>
      </c>
    </row>
    <row r="23080" spans="1:2" x14ac:dyDescent="0.25">
      <c r="A23080" s="2">
        <v>23075</v>
      </c>
      <c r="B23080" s="11" t="str">
        <f>"00985701"</f>
        <v>00985701</v>
      </c>
    </row>
    <row r="23081" spans="1:2" x14ac:dyDescent="0.25">
      <c r="A23081" s="2">
        <v>23076</v>
      </c>
      <c r="B23081" s="11" t="str">
        <f>"00985705"</f>
        <v>00985705</v>
      </c>
    </row>
    <row r="23082" spans="1:2" x14ac:dyDescent="0.25">
      <c r="A23082" s="2">
        <v>23077</v>
      </c>
      <c r="B23082" s="11" t="str">
        <f>"00985728"</f>
        <v>00985728</v>
      </c>
    </row>
    <row r="23083" spans="1:2" x14ac:dyDescent="0.25">
      <c r="A23083" s="2">
        <v>23078</v>
      </c>
      <c r="B23083" s="11" t="str">
        <f>"00985735"</f>
        <v>00985735</v>
      </c>
    </row>
    <row r="23084" spans="1:2" x14ac:dyDescent="0.25">
      <c r="A23084" s="2">
        <v>23079</v>
      </c>
      <c r="B23084" s="11" t="str">
        <f>"00985755"</f>
        <v>00985755</v>
      </c>
    </row>
    <row r="23085" spans="1:2" x14ac:dyDescent="0.25">
      <c r="A23085" s="2">
        <v>23080</v>
      </c>
      <c r="B23085" s="11" t="str">
        <f>"00985764"</f>
        <v>00985764</v>
      </c>
    </row>
    <row r="23086" spans="1:2" x14ac:dyDescent="0.25">
      <c r="A23086" s="2">
        <v>23081</v>
      </c>
      <c r="B23086" s="11" t="str">
        <f>"00985778"</f>
        <v>00985778</v>
      </c>
    </row>
    <row r="23087" spans="1:2" x14ac:dyDescent="0.25">
      <c r="A23087" s="2">
        <v>23082</v>
      </c>
      <c r="B23087" s="11" t="str">
        <f>"00985827"</f>
        <v>00985827</v>
      </c>
    </row>
    <row r="23088" spans="1:2" x14ac:dyDescent="0.25">
      <c r="A23088" s="2">
        <v>23083</v>
      </c>
      <c r="B23088" s="11" t="str">
        <f>"00985835"</f>
        <v>00985835</v>
      </c>
    </row>
    <row r="23089" spans="1:2" x14ac:dyDescent="0.25">
      <c r="A23089" s="2">
        <v>23084</v>
      </c>
      <c r="B23089" s="11" t="str">
        <f>"00985837"</f>
        <v>00985837</v>
      </c>
    </row>
    <row r="23090" spans="1:2" x14ac:dyDescent="0.25">
      <c r="A23090" s="2">
        <v>23085</v>
      </c>
      <c r="B23090" s="11" t="str">
        <f>"00985856"</f>
        <v>00985856</v>
      </c>
    </row>
    <row r="23091" spans="1:2" x14ac:dyDescent="0.25">
      <c r="A23091" s="2">
        <v>23086</v>
      </c>
      <c r="B23091" s="11" t="str">
        <f>"00985864"</f>
        <v>00985864</v>
      </c>
    </row>
    <row r="23092" spans="1:2" x14ac:dyDescent="0.25">
      <c r="A23092" s="2">
        <v>23087</v>
      </c>
      <c r="B23092" s="11" t="str">
        <f>"00985876"</f>
        <v>00985876</v>
      </c>
    </row>
    <row r="23093" spans="1:2" x14ac:dyDescent="0.25">
      <c r="A23093" s="2">
        <v>23088</v>
      </c>
      <c r="B23093" s="11" t="str">
        <f>"00985877"</f>
        <v>00985877</v>
      </c>
    </row>
    <row r="23094" spans="1:2" x14ac:dyDescent="0.25">
      <c r="A23094" s="2">
        <v>23089</v>
      </c>
      <c r="B23094" s="11" t="str">
        <f>"00985886"</f>
        <v>00985886</v>
      </c>
    </row>
    <row r="23095" spans="1:2" x14ac:dyDescent="0.25">
      <c r="A23095" s="2">
        <v>23090</v>
      </c>
      <c r="B23095" s="11" t="str">
        <f>"00985894"</f>
        <v>00985894</v>
      </c>
    </row>
    <row r="23096" spans="1:2" x14ac:dyDescent="0.25">
      <c r="A23096" s="2">
        <v>23091</v>
      </c>
      <c r="B23096" s="11" t="str">
        <f>"00985899"</f>
        <v>00985899</v>
      </c>
    </row>
    <row r="23097" spans="1:2" x14ac:dyDescent="0.25">
      <c r="A23097" s="2">
        <v>23092</v>
      </c>
      <c r="B23097" s="11" t="str">
        <f>"00985963"</f>
        <v>00985963</v>
      </c>
    </row>
    <row r="23098" spans="1:2" x14ac:dyDescent="0.25">
      <c r="A23098" s="2">
        <v>23093</v>
      </c>
      <c r="B23098" s="11" t="str">
        <f>"00985971"</f>
        <v>00985971</v>
      </c>
    </row>
    <row r="23099" spans="1:2" x14ac:dyDescent="0.25">
      <c r="A23099" s="2">
        <v>23094</v>
      </c>
      <c r="B23099" s="11" t="str">
        <f>"00986008"</f>
        <v>00986008</v>
      </c>
    </row>
    <row r="23100" spans="1:2" x14ac:dyDescent="0.25">
      <c r="A23100" s="2">
        <v>23095</v>
      </c>
      <c r="B23100" s="11" t="str">
        <f>"00986016"</f>
        <v>00986016</v>
      </c>
    </row>
    <row r="23101" spans="1:2" x14ac:dyDescent="0.25">
      <c r="A23101" s="2">
        <v>23096</v>
      </c>
      <c r="B23101" s="11" t="str">
        <f>"00986019"</f>
        <v>00986019</v>
      </c>
    </row>
    <row r="23102" spans="1:2" x14ac:dyDescent="0.25">
      <c r="A23102" s="2">
        <v>23097</v>
      </c>
      <c r="B23102" s="11" t="str">
        <f>"00986052"</f>
        <v>00986052</v>
      </c>
    </row>
    <row r="23103" spans="1:2" x14ac:dyDescent="0.25">
      <c r="A23103" s="2">
        <v>23098</v>
      </c>
      <c r="B23103" s="11" t="str">
        <f>"00986054"</f>
        <v>00986054</v>
      </c>
    </row>
    <row r="23104" spans="1:2" x14ac:dyDescent="0.25">
      <c r="A23104" s="2">
        <v>23099</v>
      </c>
      <c r="B23104" s="11" t="str">
        <f>"00986111"</f>
        <v>00986111</v>
      </c>
    </row>
    <row r="23105" spans="1:2" x14ac:dyDescent="0.25">
      <c r="A23105" s="2">
        <v>23100</v>
      </c>
      <c r="B23105" s="11" t="str">
        <f>"00986113"</f>
        <v>00986113</v>
      </c>
    </row>
    <row r="23106" spans="1:2" x14ac:dyDescent="0.25">
      <c r="A23106" s="2">
        <v>23101</v>
      </c>
      <c r="B23106" s="11" t="str">
        <f>"00986119"</f>
        <v>00986119</v>
      </c>
    </row>
    <row r="23107" spans="1:2" x14ac:dyDescent="0.25">
      <c r="A23107" s="2">
        <v>23102</v>
      </c>
      <c r="B23107" s="11" t="str">
        <f>"00986157"</f>
        <v>00986157</v>
      </c>
    </row>
    <row r="23108" spans="1:2" x14ac:dyDescent="0.25">
      <c r="A23108" s="2">
        <v>23103</v>
      </c>
      <c r="B23108" s="11" t="str">
        <f>"00986173"</f>
        <v>00986173</v>
      </c>
    </row>
    <row r="23109" spans="1:2" x14ac:dyDescent="0.25">
      <c r="A23109" s="2">
        <v>23104</v>
      </c>
      <c r="B23109" s="11" t="str">
        <f>"00986179"</f>
        <v>00986179</v>
      </c>
    </row>
    <row r="23110" spans="1:2" x14ac:dyDescent="0.25">
      <c r="A23110" s="2">
        <v>23105</v>
      </c>
      <c r="B23110" s="11" t="str">
        <f>"00986210"</f>
        <v>00986210</v>
      </c>
    </row>
    <row r="23111" spans="1:2" x14ac:dyDescent="0.25">
      <c r="A23111" s="2">
        <v>23106</v>
      </c>
      <c r="B23111" s="11" t="str">
        <f>"00986260"</f>
        <v>00986260</v>
      </c>
    </row>
    <row r="23112" spans="1:2" x14ac:dyDescent="0.25">
      <c r="A23112" s="2">
        <v>23107</v>
      </c>
      <c r="B23112" s="11" t="str">
        <f>"00986261"</f>
        <v>00986261</v>
      </c>
    </row>
    <row r="23113" spans="1:2" x14ac:dyDescent="0.25">
      <c r="A23113" s="2">
        <v>23108</v>
      </c>
      <c r="B23113" s="11" t="str">
        <f>"00986291"</f>
        <v>00986291</v>
      </c>
    </row>
    <row r="23114" spans="1:2" x14ac:dyDescent="0.25">
      <c r="A23114" s="2">
        <v>23109</v>
      </c>
      <c r="B23114" s="11" t="str">
        <f>"00986344"</f>
        <v>00986344</v>
      </c>
    </row>
    <row r="23115" spans="1:2" x14ac:dyDescent="0.25">
      <c r="A23115" s="2">
        <v>23110</v>
      </c>
      <c r="B23115" s="11" t="str">
        <f>"00986350"</f>
        <v>00986350</v>
      </c>
    </row>
    <row r="23116" spans="1:2" x14ac:dyDescent="0.25">
      <c r="A23116" s="2">
        <v>23111</v>
      </c>
      <c r="B23116" s="11" t="str">
        <f>"00986365"</f>
        <v>00986365</v>
      </c>
    </row>
    <row r="23117" spans="1:2" x14ac:dyDescent="0.25">
      <c r="A23117" s="2">
        <v>23112</v>
      </c>
      <c r="B23117" s="11" t="str">
        <f>"00986394"</f>
        <v>00986394</v>
      </c>
    </row>
    <row r="23118" spans="1:2" x14ac:dyDescent="0.25">
      <c r="A23118" s="2">
        <v>23113</v>
      </c>
      <c r="B23118" s="11" t="str">
        <f>"00986396"</f>
        <v>00986396</v>
      </c>
    </row>
    <row r="23119" spans="1:2" x14ac:dyDescent="0.25">
      <c r="A23119" s="2">
        <v>23114</v>
      </c>
      <c r="B23119" s="11" t="str">
        <f>"00986417"</f>
        <v>00986417</v>
      </c>
    </row>
    <row r="23120" spans="1:2" x14ac:dyDescent="0.25">
      <c r="A23120" s="2">
        <v>23115</v>
      </c>
      <c r="B23120" s="11" t="str">
        <f>"00986443"</f>
        <v>00986443</v>
      </c>
    </row>
    <row r="23121" spans="1:2" x14ac:dyDescent="0.25">
      <c r="A23121" s="2">
        <v>23116</v>
      </c>
      <c r="B23121" s="11" t="str">
        <f>"00986455"</f>
        <v>00986455</v>
      </c>
    </row>
    <row r="23122" spans="1:2" x14ac:dyDescent="0.25">
      <c r="A23122" s="2">
        <v>23117</v>
      </c>
      <c r="B23122" s="11" t="str">
        <f>"00986470"</f>
        <v>00986470</v>
      </c>
    </row>
    <row r="23123" spans="1:2" x14ac:dyDescent="0.25">
      <c r="A23123" s="2">
        <v>23118</v>
      </c>
      <c r="B23123" s="11" t="str">
        <f>"00986492"</f>
        <v>00986492</v>
      </c>
    </row>
    <row r="23124" spans="1:2" x14ac:dyDescent="0.25">
      <c r="A23124" s="2">
        <v>23119</v>
      </c>
      <c r="B23124" s="11" t="str">
        <f>"00986502"</f>
        <v>00986502</v>
      </c>
    </row>
    <row r="23125" spans="1:2" x14ac:dyDescent="0.25">
      <c r="A23125" s="2">
        <v>23120</v>
      </c>
      <c r="B23125" s="11" t="str">
        <f>"00986507"</f>
        <v>00986507</v>
      </c>
    </row>
    <row r="23126" spans="1:2" x14ac:dyDescent="0.25">
      <c r="A23126" s="2">
        <v>23121</v>
      </c>
      <c r="B23126" s="11" t="str">
        <f>"00986509"</f>
        <v>00986509</v>
      </c>
    </row>
    <row r="23127" spans="1:2" x14ac:dyDescent="0.25">
      <c r="A23127" s="2">
        <v>23122</v>
      </c>
      <c r="B23127" s="11" t="str">
        <f>"00986514"</f>
        <v>00986514</v>
      </c>
    </row>
    <row r="23128" spans="1:2" x14ac:dyDescent="0.25">
      <c r="A23128" s="2">
        <v>23123</v>
      </c>
      <c r="B23128" s="11" t="str">
        <f>"00986516"</f>
        <v>00986516</v>
      </c>
    </row>
    <row r="23129" spans="1:2" x14ac:dyDescent="0.25">
      <c r="A23129" s="2">
        <v>23124</v>
      </c>
      <c r="B23129" s="11" t="str">
        <f>"00986520"</f>
        <v>00986520</v>
      </c>
    </row>
    <row r="23130" spans="1:2" x14ac:dyDescent="0.25">
      <c r="A23130" s="2">
        <v>23125</v>
      </c>
      <c r="B23130" s="11" t="str">
        <f>"00986525"</f>
        <v>00986525</v>
      </c>
    </row>
    <row r="23131" spans="1:2" x14ac:dyDescent="0.25">
      <c r="A23131" s="2">
        <v>23126</v>
      </c>
      <c r="B23131" s="11" t="str">
        <f>"00986527"</f>
        <v>00986527</v>
      </c>
    </row>
    <row r="23132" spans="1:2" x14ac:dyDescent="0.25">
      <c r="A23132" s="2">
        <v>23127</v>
      </c>
      <c r="B23132" s="11" t="str">
        <f>"00986531"</f>
        <v>00986531</v>
      </c>
    </row>
    <row r="23133" spans="1:2" x14ac:dyDescent="0.25">
      <c r="A23133" s="2">
        <v>23128</v>
      </c>
      <c r="B23133" s="11" t="str">
        <f>"00986544"</f>
        <v>00986544</v>
      </c>
    </row>
    <row r="23134" spans="1:2" x14ac:dyDescent="0.25">
      <c r="A23134" s="2">
        <v>23129</v>
      </c>
      <c r="B23134" s="11" t="str">
        <f>"00986547"</f>
        <v>00986547</v>
      </c>
    </row>
    <row r="23135" spans="1:2" x14ac:dyDescent="0.25">
      <c r="A23135" s="2">
        <v>23130</v>
      </c>
      <c r="B23135" s="11" t="str">
        <f>"00986575"</f>
        <v>00986575</v>
      </c>
    </row>
    <row r="23136" spans="1:2" x14ac:dyDescent="0.25">
      <c r="A23136" s="2">
        <v>23131</v>
      </c>
      <c r="B23136" s="11" t="str">
        <f>"00986578"</f>
        <v>00986578</v>
      </c>
    </row>
    <row r="23137" spans="1:2" x14ac:dyDescent="0.25">
      <c r="A23137" s="2">
        <v>23132</v>
      </c>
      <c r="B23137" s="11" t="str">
        <f>"00986586"</f>
        <v>00986586</v>
      </c>
    </row>
    <row r="23138" spans="1:2" x14ac:dyDescent="0.25">
      <c r="A23138" s="2">
        <v>23133</v>
      </c>
      <c r="B23138" s="11" t="str">
        <f>"00986588"</f>
        <v>00986588</v>
      </c>
    </row>
    <row r="23139" spans="1:2" x14ac:dyDescent="0.25">
      <c r="A23139" s="2">
        <v>23134</v>
      </c>
      <c r="B23139" s="11" t="str">
        <f>"00986590"</f>
        <v>00986590</v>
      </c>
    </row>
    <row r="23140" spans="1:2" x14ac:dyDescent="0.25">
      <c r="A23140" s="2">
        <v>23135</v>
      </c>
      <c r="B23140" s="11" t="str">
        <f>"00986595"</f>
        <v>00986595</v>
      </c>
    </row>
    <row r="23141" spans="1:2" x14ac:dyDescent="0.25">
      <c r="A23141" s="2">
        <v>23136</v>
      </c>
      <c r="B23141" s="11" t="str">
        <f>"00986603"</f>
        <v>00986603</v>
      </c>
    </row>
    <row r="23142" spans="1:2" x14ac:dyDescent="0.25">
      <c r="A23142" s="2">
        <v>23137</v>
      </c>
      <c r="B23142" s="11" t="str">
        <f>"00986608"</f>
        <v>00986608</v>
      </c>
    </row>
    <row r="23143" spans="1:2" x14ac:dyDescent="0.25">
      <c r="A23143" s="2">
        <v>23138</v>
      </c>
      <c r="B23143" s="11" t="str">
        <f>"00986614"</f>
        <v>00986614</v>
      </c>
    </row>
    <row r="23144" spans="1:2" x14ac:dyDescent="0.25">
      <c r="A23144" s="2">
        <v>23139</v>
      </c>
      <c r="B23144" s="11" t="str">
        <f>"00986634"</f>
        <v>00986634</v>
      </c>
    </row>
    <row r="23145" spans="1:2" x14ac:dyDescent="0.25">
      <c r="A23145" s="2">
        <v>23140</v>
      </c>
      <c r="B23145" s="11" t="str">
        <f>"00986644"</f>
        <v>00986644</v>
      </c>
    </row>
    <row r="23146" spans="1:2" x14ac:dyDescent="0.25">
      <c r="A23146" s="2">
        <v>23141</v>
      </c>
      <c r="B23146" s="11" t="str">
        <f>"00986645"</f>
        <v>00986645</v>
      </c>
    </row>
    <row r="23147" spans="1:2" x14ac:dyDescent="0.25">
      <c r="A23147" s="2">
        <v>23142</v>
      </c>
      <c r="B23147" s="11" t="str">
        <f>"00986668"</f>
        <v>00986668</v>
      </c>
    </row>
    <row r="23148" spans="1:2" x14ac:dyDescent="0.25">
      <c r="A23148" s="2">
        <v>23143</v>
      </c>
      <c r="B23148" s="11" t="str">
        <f>"00986692"</f>
        <v>00986692</v>
      </c>
    </row>
    <row r="23149" spans="1:2" x14ac:dyDescent="0.25">
      <c r="A23149" s="2">
        <v>23144</v>
      </c>
      <c r="B23149" s="11" t="str">
        <f>"00986707"</f>
        <v>00986707</v>
      </c>
    </row>
    <row r="23150" spans="1:2" x14ac:dyDescent="0.25">
      <c r="A23150" s="2">
        <v>23145</v>
      </c>
      <c r="B23150" s="11" t="str">
        <f>"00986732"</f>
        <v>00986732</v>
      </c>
    </row>
    <row r="23151" spans="1:2" x14ac:dyDescent="0.25">
      <c r="A23151" s="2">
        <v>23146</v>
      </c>
      <c r="B23151" s="11" t="str">
        <f>"00986744"</f>
        <v>00986744</v>
      </c>
    </row>
    <row r="23152" spans="1:2" x14ac:dyDescent="0.25">
      <c r="A23152" s="2">
        <v>23147</v>
      </c>
      <c r="B23152" s="11" t="str">
        <f>"00986774"</f>
        <v>00986774</v>
      </c>
    </row>
    <row r="23153" spans="1:2" x14ac:dyDescent="0.25">
      <c r="A23153" s="2">
        <v>23148</v>
      </c>
      <c r="B23153" s="11" t="str">
        <f>"00986807"</f>
        <v>00986807</v>
      </c>
    </row>
    <row r="23154" spans="1:2" x14ac:dyDescent="0.25">
      <c r="A23154" s="2">
        <v>23149</v>
      </c>
      <c r="B23154" s="11" t="str">
        <f>"00986811"</f>
        <v>00986811</v>
      </c>
    </row>
    <row r="23155" spans="1:2" x14ac:dyDescent="0.25">
      <c r="A23155" s="2">
        <v>23150</v>
      </c>
      <c r="B23155" s="11" t="str">
        <f>"00986816"</f>
        <v>00986816</v>
      </c>
    </row>
    <row r="23156" spans="1:2" x14ac:dyDescent="0.25">
      <c r="A23156" s="2">
        <v>23151</v>
      </c>
      <c r="B23156" s="11" t="str">
        <f>"00986821"</f>
        <v>00986821</v>
      </c>
    </row>
    <row r="23157" spans="1:2" x14ac:dyDescent="0.25">
      <c r="A23157" s="2">
        <v>23152</v>
      </c>
      <c r="B23157" s="11" t="str">
        <f>"00986831"</f>
        <v>00986831</v>
      </c>
    </row>
    <row r="23158" spans="1:2" x14ac:dyDescent="0.25">
      <c r="A23158" s="2">
        <v>23153</v>
      </c>
      <c r="B23158" s="11" t="str">
        <f>"00986836"</f>
        <v>00986836</v>
      </c>
    </row>
    <row r="23159" spans="1:2" x14ac:dyDescent="0.25">
      <c r="A23159" s="2">
        <v>23154</v>
      </c>
      <c r="B23159" s="11" t="str">
        <f>"00986849"</f>
        <v>00986849</v>
      </c>
    </row>
    <row r="23160" spans="1:2" x14ac:dyDescent="0.25">
      <c r="A23160" s="2">
        <v>23155</v>
      </c>
      <c r="B23160" s="11" t="str">
        <f>"00986856"</f>
        <v>00986856</v>
      </c>
    </row>
    <row r="23161" spans="1:2" x14ac:dyDescent="0.25">
      <c r="A23161" s="2">
        <v>23156</v>
      </c>
      <c r="B23161" s="11" t="str">
        <f>"00986864"</f>
        <v>00986864</v>
      </c>
    </row>
    <row r="23162" spans="1:2" x14ac:dyDescent="0.25">
      <c r="A23162" s="2">
        <v>23157</v>
      </c>
      <c r="B23162" s="11" t="str">
        <f>"00986868"</f>
        <v>00986868</v>
      </c>
    </row>
    <row r="23163" spans="1:2" x14ac:dyDescent="0.25">
      <c r="A23163" s="2">
        <v>23158</v>
      </c>
      <c r="B23163" s="11" t="str">
        <f>"00986880"</f>
        <v>00986880</v>
      </c>
    </row>
    <row r="23164" spans="1:2" x14ac:dyDescent="0.25">
      <c r="A23164" s="2">
        <v>23159</v>
      </c>
      <c r="B23164" s="11" t="str">
        <f>"00986906"</f>
        <v>00986906</v>
      </c>
    </row>
    <row r="23165" spans="1:2" x14ac:dyDescent="0.25">
      <c r="A23165" s="2">
        <v>23160</v>
      </c>
      <c r="B23165" s="11" t="str">
        <f>"00986923"</f>
        <v>00986923</v>
      </c>
    </row>
    <row r="23166" spans="1:2" x14ac:dyDescent="0.25">
      <c r="A23166" s="2">
        <v>23161</v>
      </c>
      <c r="B23166" s="11" t="str">
        <f>"00986939"</f>
        <v>00986939</v>
      </c>
    </row>
    <row r="23167" spans="1:2" x14ac:dyDescent="0.25">
      <c r="A23167" s="2">
        <v>23162</v>
      </c>
      <c r="B23167" s="11" t="str">
        <f>"00986982"</f>
        <v>00986982</v>
      </c>
    </row>
    <row r="23168" spans="1:2" x14ac:dyDescent="0.25">
      <c r="A23168" s="2">
        <v>23163</v>
      </c>
      <c r="B23168" s="11" t="str">
        <f>"00987011"</f>
        <v>00987011</v>
      </c>
    </row>
    <row r="23169" spans="1:2" x14ac:dyDescent="0.25">
      <c r="A23169" s="2">
        <v>23164</v>
      </c>
      <c r="B23169" s="11" t="str">
        <f>"00987038"</f>
        <v>00987038</v>
      </c>
    </row>
    <row r="23170" spans="1:2" x14ac:dyDescent="0.25">
      <c r="A23170" s="2">
        <v>23165</v>
      </c>
      <c r="B23170" s="11" t="str">
        <f>"00987053"</f>
        <v>00987053</v>
      </c>
    </row>
    <row r="23171" spans="1:2" x14ac:dyDescent="0.25">
      <c r="A23171" s="2">
        <v>23166</v>
      </c>
      <c r="B23171" s="11" t="str">
        <f>"00987057"</f>
        <v>00987057</v>
      </c>
    </row>
    <row r="23172" spans="1:2" x14ac:dyDescent="0.25">
      <c r="A23172" s="2">
        <v>23167</v>
      </c>
      <c r="B23172" s="11" t="str">
        <f>"00987119"</f>
        <v>00987119</v>
      </c>
    </row>
    <row r="23173" spans="1:2" x14ac:dyDescent="0.25">
      <c r="A23173" s="2">
        <v>23168</v>
      </c>
      <c r="B23173" s="11" t="str">
        <f>"00987123"</f>
        <v>00987123</v>
      </c>
    </row>
    <row r="23174" spans="1:2" x14ac:dyDescent="0.25">
      <c r="A23174" s="2">
        <v>23169</v>
      </c>
      <c r="B23174" s="11" t="str">
        <f>"00987137"</f>
        <v>00987137</v>
      </c>
    </row>
    <row r="23175" spans="1:2" x14ac:dyDescent="0.25">
      <c r="A23175" s="2">
        <v>23170</v>
      </c>
      <c r="B23175" s="11" t="str">
        <f>"00987180"</f>
        <v>00987180</v>
      </c>
    </row>
    <row r="23176" spans="1:2" x14ac:dyDescent="0.25">
      <c r="A23176" s="2">
        <v>23171</v>
      </c>
      <c r="B23176" s="11" t="str">
        <f>"00987213"</f>
        <v>00987213</v>
      </c>
    </row>
    <row r="23177" spans="1:2" x14ac:dyDescent="0.25">
      <c r="A23177" s="2">
        <v>23172</v>
      </c>
      <c r="B23177" s="11" t="str">
        <f>"00987221"</f>
        <v>00987221</v>
      </c>
    </row>
    <row r="23178" spans="1:2" x14ac:dyDescent="0.25">
      <c r="A23178" s="2">
        <v>23173</v>
      </c>
      <c r="B23178" s="11" t="str">
        <f>"00987231"</f>
        <v>00987231</v>
      </c>
    </row>
    <row r="23179" spans="1:2" x14ac:dyDescent="0.25">
      <c r="A23179" s="2">
        <v>23174</v>
      </c>
      <c r="B23179" s="11" t="str">
        <f>"00987236"</f>
        <v>00987236</v>
      </c>
    </row>
    <row r="23180" spans="1:2" x14ac:dyDescent="0.25">
      <c r="A23180" s="2">
        <v>23175</v>
      </c>
      <c r="B23180" s="11" t="str">
        <f>"00987237"</f>
        <v>00987237</v>
      </c>
    </row>
    <row r="23181" spans="1:2" x14ac:dyDescent="0.25">
      <c r="A23181" s="2">
        <v>23176</v>
      </c>
      <c r="B23181" s="11" t="str">
        <f>"00987245"</f>
        <v>00987245</v>
      </c>
    </row>
    <row r="23182" spans="1:2" x14ac:dyDescent="0.25">
      <c r="A23182" s="2">
        <v>23177</v>
      </c>
      <c r="B23182" s="11" t="str">
        <f>"00987264"</f>
        <v>00987264</v>
      </c>
    </row>
    <row r="23183" spans="1:2" x14ac:dyDescent="0.25">
      <c r="A23183" s="2">
        <v>23178</v>
      </c>
      <c r="B23183" s="11" t="str">
        <f>"00987281"</f>
        <v>00987281</v>
      </c>
    </row>
    <row r="23184" spans="1:2" x14ac:dyDescent="0.25">
      <c r="A23184" s="2">
        <v>23179</v>
      </c>
      <c r="B23184" s="11" t="str">
        <f>"00987288"</f>
        <v>00987288</v>
      </c>
    </row>
    <row r="23185" spans="1:2" x14ac:dyDescent="0.25">
      <c r="A23185" s="2">
        <v>23180</v>
      </c>
      <c r="B23185" s="11" t="str">
        <f>"00987295"</f>
        <v>00987295</v>
      </c>
    </row>
    <row r="23186" spans="1:2" x14ac:dyDescent="0.25">
      <c r="A23186" s="2">
        <v>23181</v>
      </c>
      <c r="B23186" s="11" t="str">
        <f>"00987303"</f>
        <v>00987303</v>
      </c>
    </row>
    <row r="23187" spans="1:2" x14ac:dyDescent="0.25">
      <c r="A23187" s="2">
        <v>23182</v>
      </c>
      <c r="B23187" s="11" t="str">
        <f>"00987311"</f>
        <v>00987311</v>
      </c>
    </row>
    <row r="23188" spans="1:2" x14ac:dyDescent="0.25">
      <c r="A23188" s="2">
        <v>23183</v>
      </c>
      <c r="B23188" s="11" t="str">
        <f>"00987313"</f>
        <v>00987313</v>
      </c>
    </row>
    <row r="23189" spans="1:2" x14ac:dyDescent="0.25">
      <c r="A23189" s="2">
        <v>23184</v>
      </c>
      <c r="B23189" s="11" t="str">
        <f>"00987338"</f>
        <v>00987338</v>
      </c>
    </row>
    <row r="23190" spans="1:2" x14ac:dyDescent="0.25">
      <c r="A23190" s="2">
        <v>23185</v>
      </c>
      <c r="B23190" s="11" t="str">
        <f>"00987344"</f>
        <v>00987344</v>
      </c>
    </row>
    <row r="23191" spans="1:2" x14ac:dyDescent="0.25">
      <c r="A23191" s="2">
        <v>23186</v>
      </c>
      <c r="B23191" s="11" t="str">
        <f>"00987347"</f>
        <v>00987347</v>
      </c>
    </row>
    <row r="23192" spans="1:2" x14ac:dyDescent="0.25">
      <c r="A23192" s="2">
        <v>23187</v>
      </c>
      <c r="B23192" s="11" t="str">
        <f>"00987350"</f>
        <v>00987350</v>
      </c>
    </row>
    <row r="23193" spans="1:2" x14ac:dyDescent="0.25">
      <c r="A23193" s="2">
        <v>23188</v>
      </c>
      <c r="B23193" s="11" t="str">
        <f>"00987464"</f>
        <v>00987464</v>
      </c>
    </row>
    <row r="23194" spans="1:2" x14ac:dyDescent="0.25">
      <c r="A23194" s="2">
        <v>23189</v>
      </c>
      <c r="B23194" s="11" t="str">
        <f>"00987487"</f>
        <v>00987487</v>
      </c>
    </row>
    <row r="23195" spans="1:2" x14ac:dyDescent="0.25">
      <c r="A23195" s="2">
        <v>23190</v>
      </c>
      <c r="B23195" s="11" t="str">
        <f>"00987517"</f>
        <v>00987517</v>
      </c>
    </row>
    <row r="23196" spans="1:2" x14ac:dyDescent="0.25">
      <c r="A23196" s="2">
        <v>23191</v>
      </c>
      <c r="B23196" s="11" t="str">
        <f>"00987522"</f>
        <v>00987522</v>
      </c>
    </row>
    <row r="23197" spans="1:2" x14ac:dyDescent="0.25">
      <c r="A23197" s="2">
        <v>23192</v>
      </c>
      <c r="B23197" s="11" t="str">
        <f>"00987533"</f>
        <v>00987533</v>
      </c>
    </row>
    <row r="23198" spans="1:2" x14ac:dyDescent="0.25">
      <c r="A23198" s="2">
        <v>23193</v>
      </c>
      <c r="B23198" s="11" t="str">
        <f>"00987536"</f>
        <v>00987536</v>
      </c>
    </row>
    <row r="23199" spans="1:2" x14ac:dyDescent="0.25">
      <c r="A23199" s="2">
        <v>23194</v>
      </c>
      <c r="B23199" s="11" t="str">
        <f>"00987540"</f>
        <v>00987540</v>
      </c>
    </row>
    <row r="23200" spans="1:2" x14ac:dyDescent="0.25">
      <c r="A23200" s="2">
        <v>23195</v>
      </c>
      <c r="B23200" s="11" t="str">
        <f>"00987544"</f>
        <v>00987544</v>
      </c>
    </row>
    <row r="23201" spans="1:2" x14ac:dyDescent="0.25">
      <c r="A23201" s="2">
        <v>23196</v>
      </c>
      <c r="B23201" s="11" t="str">
        <f>"00987556"</f>
        <v>00987556</v>
      </c>
    </row>
    <row r="23202" spans="1:2" x14ac:dyDescent="0.25">
      <c r="A23202" s="2">
        <v>23197</v>
      </c>
      <c r="B23202" s="11" t="str">
        <f>"00987563"</f>
        <v>00987563</v>
      </c>
    </row>
    <row r="23203" spans="1:2" x14ac:dyDescent="0.25">
      <c r="A23203" s="2">
        <v>23198</v>
      </c>
      <c r="B23203" s="11" t="str">
        <f>"00987615"</f>
        <v>00987615</v>
      </c>
    </row>
    <row r="23204" spans="1:2" x14ac:dyDescent="0.25">
      <c r="A23204" s="2">
        <v>23199</v>
      </c>
      <c r="B23204" s="11" t="str">
        <f>"00987620"</f>
        <v>00987620</v>
      </c>
    </row>
    <row r="23205" spans="1:2" x14ac:dyDescent="0.25">
      <c r="A23205" s="2">
        <v>23200</v>
      </c>
      <c r="B23205" s="11" t="str">
        <f>"00987636"</f>
        <v>00987636</v>
      </c>
    </row>
    <row r="23206" spans="1:2" x14ac:dyDescent="0.25">
      <c r="A23206" s="2">
        <v>23201</v>
      </c>
      <c r="B23206" s="11" t="str">
        <f>"00987667"</f>
        <v>00987667</v>
      </c>
    </row>
    <row r="23207" spans="1:2" x14ac:dyDescent="0.25">
      <c r="A23207" s="2">
        <v>23202</v>
      </c>
      <c r="B23207" s="11" t="str">
        <f>"00987673"</f>
        <v>00987673</v>
      </c>
    </row>
    <row r="23208" spans="1:2" x14ac:dyDescent="0.25">
      <c r="A23208" s="2">
        <v>23203</v>
      </c>
      <c r="B23208" s="11" t="str">
        <f>"00987681"</f>
        <v>00987681</v>
      </c>
    </row>
    <row r="23209" spans="1:2" x14ac:dyDescent="0.25">
      <c r="A23209" s="2">
        <v>23204</v>
      </c>
      <c r="B23209" s="11" t="str">
        <f>"00987687"</f>
        <v>00987687</v>
      </c>
    </row>
    <row r="23210" spans="1:2" x14ac:dyDescent="0.25">
      <c r="A23210" s="2">
        <v>23205</v>
      </c>
      <c r="B23210" s="11" t="str">
        <f>"00987741"</f>
        <v>00987741</v>
      </c>
    </row>
    <row r="23211" spans="1:2" x14ac:dyDescent="0.25">
      <c r="A23211" s="2">
        <v>23206</v>
      </c>
      <c r="B23211" s="11" t="str">
        <f>"00987767"</f>
        <v>00987767</v>
      </c>
    </row>
    <row r="23212" spans="1:2" x14ac:dyDescent="0.25">
      <c r="A23212" s="2">
        <v>23207</v>
      </c>
      <c r="B23212" s="11" t="str">
        <f>"00987786"</f>
        <v>00987786</v>
      </c>
    </row>
    <row r="23213" spans="1:2" x14ac:dyDescent="0.25">
      <c r="A23213" s="2">
        <v>23208</v>
      </c>
      <c r="B23213" s="11" t="str">
        <f>"00987850"</f>
        <v>00987850</v>
      </c>
    </row>
    <row r="23214" spans="1:2" x14ac:dyDescent="0.25">
      <c r="A23214" s="2">
        <v>23209</v>
      </c>
      <c r="B23214" s="11" t="str">
        <f>"00987893"</f>
        <v>00987893</v>
      </c>
    </row>
    <row r="23215" spans="1:2" x14ac:dyDescent="0.25">
      <c r="A23215" s="2">
        <v>23210</v>
      </c>
      <c r="B23215" s="11" t="str">
        <f>"00987894"</f>
        <v>00987894</v>
      </c>
    </row>
    <row r="23216" spans="1:2" x14ac:dyDescent="0.25">
      <c r="A23216" s="2">
        <v>23211</v>
      </c>
      <c r="B23216" s="11" t="str">
        <f>"00987993"</f>
        <v>00987993</v>
      </c>
    </row>
    <row r="23217" spans="1:2" x14ac:dyDescent="0.25">
      <c r="A23217" s="2">
        <v>23212</v>
      </c>
      <c r="B23217" s="11" t="str">
        <f>"00988015"</f>
        <v>00988015</v>
      </c>
    </row>
    <row r="23218" spans="1:2" x14ac:dyDescent="0.25">
      <c r="A23218" s="2">
        <v>23213</v>
      </c>
      <c r="B23218" s="11" t="str">
        <f>"00988024"</f>
        <v>00988024</v>
      </c>
    </row>
    <row r="23219" spans="1:2" x14ac:dyDescent="0.25">
      <c r="A23219" s="2">
        <v>23214</v>
      </c>
      <c r="B23219" s="11" t="str">
        <f>"00988027"</f>
        <v>00988027</v>
      </c>
    </row>
    <row r="23220" spans="1:2" x14ac:dyDescent="0.25">
      <c r="A23220" s="2">
        <v>23215</v>
      </c>
      <c r="B23220" s="11" t="str">
        <f>"00988032"</f>
        <v>00988032</v>
      </c>
    </row>
    <row r="23221" spans="1:2" x14ac:dyDescent="0.25">
      <c r="A23221" s="2">
        <v>23216</v>
      </c>
      <c r="B23221" s="11" t="str">
        <f>"00988048"</f>
        <v>00988048</v>
      </c>
    </row>
    <row r="23222" spans="1:2" x14ac:dyDescent="0.25">
      <c r="A23222" s="2">
        <v>23217</v>
      </c>
      <c r="B23222" s="11" t="str">
        <f>"00988057"</f>
        <v>00988057</v>
      </c>
    </row>
    <row r="23223" spans="1:2" x14ac:dyDescent="0.25">
      <c r="A23223" s="2">
        <v>23218</v>
      </c>
      <c r="B23223" s="11" t="str">
        <f>"00988063"</f>
        <v>00988063</v>
      </c>
    </row>
    <row r="23224" spans="1:2" x14ac:dyDescent="0.25">
      <c r="A23224" s="2">
        <v>23219</v>
      </c>
      <c r="B23224" s="11" t="str">
        <f>"00988071"</f>
        <v>00988071</v>
      </c>
    </row>
    <row r="23225" spans="1:2" x14ac:dyDescent="0.25">
      <c r="A23225" s="2">
        <v>23220</v>
      </c>
      <c r="B23225" s="11" t="str">
        <f>"00988095"</f>
        <v>00988095</v>
      </c>
    </row>
    <row r="23226" spans="1:2" x14ac:dyDescent="0.25">
      <c r="A23226" s="2">
        <v>23221</v>
      </c>
      <c r="B23226" s="11" t="str">
        <f>"00988108"</f>
        <v>00988108</v>
      </c>
    </row>
    <row r="23227" spans="1:2" x14ac:dyDescent="0.25">
      <c r="A23227" s="2">
        <v>23222</v>
      </c>
      <c r="B23227" s="11" t="str">
        <f>"00988153"</f>
        <v>00988153</v>
      </c>
    </row>
    <row r="23228" spans="1:2" x14ac:dyDescent="0.25">
      <c r="A23228" s="2">
        <v>23223</v>
      </c>
      <c r="B23228" s="11" t="str">
        <f>"00988179"</f>
        <v>00988179</v>
      </c>
    </row>
    <row r="23229" spans="1:2" x14ac:dyDescent="0.25">
      <c r="A23229" s="2">
        <v>23224</v>
      </c>
      <c r="B23229" s="11" t="str">
        <f>"00988184"</f>
        <v>00988184</v>
      </c>
    </row>
    <row r="23230" spans="1:2" x14ac:dyDescent="0.25">
      <c r="A23230" s="2">
        <v>23225</v>
      </c>
      <c r="B23230" s="11" t="str">
        <f>"00988218"</f>
        <v>00988218</v>
      </c>
    </row>
    <row r="23231" spans="1:2" x14ac:dyDescent="0.25">
      <c r="A23231" s="2">
        <v>23226</v>
      </c>
      <c r="B23231" s="11" t="str">
        <f>"00988258"</f>
        <v>00988258</v>
      </c>
    </row>
    <row r="23232" spans="1:2" x14ac:dyDescent="0.25">
      <c r="A23232" s="2">
        <v>23227</v>
      </c>
      <c r="B23232" s="11" t="str">
        <f>"00988259"</f>
        <v>00988259</v>
      </c>
    </row>
    <row r="23233" spans="1:2" x14ac:dyDescent="0.25">
      <c r="A23233" s="2">
        <v>23228</v>
      </c>
      <c r="B23233" s="11" t="str">
        <f>"00988339"</f>
        <v>00988339</v>
      </c>
    </row>
    <row r="23234" spans="1:2" x14ac:dyDescent="0.25">
      <c r="A23234" s="2">
        <v>23229</v>
      </c>
      <c r="B23234" s="11" t="str">
        <f>"00988348"</f>
        <v>00988348</v>
      </c>
    </row>
    <row r="23235" spans="1:2" x14ac:dyDescent="0.25">
      <c r="A23235" s="2">
        <v>23230</v>
      </c>
      <c r="B23235" s="11" t="str">
        <f>"00988350"</f>
        <v>00988350</v>
      </c>
    </row>
    <row r="23236" spans="1:2" x14ac:dyDescent="0.25">
      <c r="A23236" s="2">
        <v>23231</v>
      </c>
      <c r="B23236" s="11" t="str">
        <f>"00988424"</f>
        <v>00988424</v>
      </c>
    </row>
    <row r="23237" spans="1:2" x14ac:dyDescent="0.25">
      <c r="A23237" s="2">
        <v>23232</v>
      </c>
      <c r="B23237" s="11" t="str">
        <f>"00988430"</f>
        <v>00988430</v>
      </c>
    </row>
    <row r="23238" spans="1:2" x14ac:dyDescent="0.25">
      <c r="A23238" s="2">
        <v>23233</v>
      </c>
      <c r="B23238" s="11" t="str">
        <f>"00988446"</f>
        <v>00988446</v>
      </c>
    </row>
    <row r="23239" spans="1:2" x14ac:dyDescent="0.25">
      <c r="A23239" s="2">
        <v>23234</v>
      </c>
      <c r="B23239" s="11" t="str">
        <f>"00988449"</f>
        <v>00988449</v>
      </c>
    </row>
    <row r="23240" spans="1:2" x14ac:dyDescent="0.25">
      <c r="A23240" s="2">
        <v>23235</v>
      </c>
      <c r="B23240" s="11" t="str">
        <f>"00988532"</f>
        <v>00988532</v>
      </c>
    </row>
    <row r="23241" spans="1:2" x14ac:dyDescent="0.25">
      <c r="A23241" s="2">
        <v>23236</v>
      </c>
      <c r="B23241" s="11" t="str">
        <f>"00988547"</f>
        <v>00988547</v>
      </c>
    </row>
    <row r="23242" spans="1:2" x14ac:dyDescent="0.25">
      <c r="A23242" s="2">
        <v>23237</v>
      </c>
      <c r="B23242" s="11" t="str">
        <f>"00988578"</f>
        <v>00988578</v>
      </c>
    </row>
    <row r="23243" spans="1:2" x14ac:dyDescent="0.25">
      <c r="A23243" s="2">
        <v>23238</v>
      </c>
      <c r="B23243" s="11" t="str">
        <f>"00988595"</f>
        <v>00988595</v>
      </c>
    </row>
    <row r="23244" spans="1:2" x14ac:dyDescent="0.25">
      <c r="A23244" s="2">
        <v>23239</v>
      </c>
      <c r="B23244" s="11" t="str">
        <f>"00988598"</f>
        <v>00988598</v>
      </c>
    </row>
    <row r="23245" spans="1:2" x14ac:dyDescent="0.25">
      <c r="A23245" s="2">
        <v>23240</v>
      </c>
      <c r="B23245" s="11" t="str">
        <f>"00988612"</f>
        <v>00988612</v>
      </c>
    </row>
    <row r="23246" spans="1:2" x14ac:dyDescent="0.25">
      <c r="A23246" s="2">
        <v>23241</v>
      </c>
      <c r="B23246" s="11" t="str">
        <f>"00988633"</f>
        <v>00988633</v>
      </c>
    </row>
    <row r="23247" spans="1:2" x14ac:dyDescent="0.25">
      <c r="A23247" s="2">
        <v>23242</v>
      </c>
      <c r="B23247" s="11" t="str">
        <f>"00988645"</f>
        <v>00988645</v>
      </c>
    </row>
    <row r="23248" spans="1:2" x14ac:dyDescent="0.25">
      <c r="A23248" s="2">
        <v>23243</v>
      </c>
      <c r="B23248" s="11" t="str">
        <f>"00988663"</f>
        <v>00988663</v>
      </c>
    </row>
    <row r="23249" spans="1:2" x14ac:dyDescent="0.25">
      <c r="A23249" s="2">
        <v>23244</v>
      </c>
      <c r="B23249" s="11" t="str">
        <f>"00988686"</f>
        <v>00988686</v>
      </c>
    </row>
    <row r="23250" spans="1:2" x14ac:dyDescent="0.25">
      <c r="A23250" s="2">
        <v>23245</v>
      </c>
      <c r="B23250" s="11" t="str">
        <f>"00988691"</f>
        <v>00988691</v>
      </c>
    </row>
    <row r="23251" spans="1:2" x14ac:dyDescent="0.25">
      <c r="A23251" s="2">
        <v>23246</v>
      </c>
      <c r="B23251" s="11" t="str">
        <f>"00988748"</f>
        <v>00988748</v>
      </c>
    </row>
    <row r="23252" spans="1:2" x14ac:dyDescent="0.25">
      <c r="A23252" s="2">
        <v>23247</v>
      </c>
      <c r="B23252" s="11" t="str">
        <f>"00988751"</f>
        <v>00988751</v>
      </c>
    </row>
    <row r="23253" spans="1:2" x14ac:dyDescent="0.25">
      <c r="A23253" s="2">
        <v>23248</v>
      </c>
      <c r="B23253" s="11" t="str">
        <f>"00988784"</f>
        <v>00988784</v>
      </c>
    </row>
    <row r="23254" spans="1:2" x14ac:dyDescent="0.25">
      <c r="A23254" s="2">
        <v>23249</v>
      </c>
      <c r="B23254" s="11" t="str">
        <f>"00988800"</f>
        <v>00988800</v>
      </c>
    </row>
    <row r="23255" spans="1:2" x14ac:dyDescent="0.25">
      <c r="A23255" s="2">
        <v>23250</v>
      </c>
      <c r="B23255" s="11" t="str">
        <f>"00988802"</f>
        <v>00988802</v>
      </c>
    </row>
    <row r="23256" spans="1:2" x14ac:dyDescent="0.25">
      <c r="A23256" s="2">
        <v>23251</v>
      </c>
      <c r="B23256" s="11" t="str">
        <f>"00988815"</f>
        <v>00988815</v>
      </c>
    </row>
    <row r="23257" spans="1:2" x14ac:dyDescent="0.25">
      <c r="A23257" s="2">
        <v>23252</v>
      </c>
      <c r="B23257" s="11" t="str">
        <f>"00988872"</f>
        <v>00988872</v>
      </c>
    </row>
    <row r="23258" spans="1:2" x14ac:dyDescent="0.25">
      <c r="A23258" s="2">
        <v>23253</v>
      </c>
      <c r="B23258" s="11" t="str">
        <f>"00988916"</f>
        <v>00988916</v>
      </c>
    </row>
    <row r="23259" spans="1:2" x14ac:dyDescent="0.25">
      <c r="A23259" s="2">
        <v>23254</v>
      </c>
      <c r="B23259" s="11" t="str">
        <f>"00988977"</f>
        <v>00988977</v>
      </c>
    </row>
    <row r="23260" spans="1:2" x14ac:dyDescent="0.25">
      <c r="A23260" s="2">
        <v>23255</v>
      </c>
      <c r="B23260" s="11" t="str">
        <f>"00988983"</f>
        <v>00988983</v>
      </c>
    </row>
    <row r="23261" spans="1:2" x14ac:dyDescent="0.25">
      <c r="A23261" s="2">
        <v>23256</v>
      </c>
      <c r="B23261" s="11" t="str">
        <f>"00989007"</f>
        <v>00989007</v>
      </c>
    </row>
    <row r="23262" spans="1:2" x14ac:dyDescent="0.25">
      <c r="A23262" s="2">
        <v>23257</v>
      </c>
      <c r="B23262" s="11" t="str">
        <f>"00989021"</f>
        <v>00989021</v>
      </c>
    </row>
    <row r="23263" spans="1:2" x14ac:dyDescent="0.25">
      <c r="A23263" s="2">
        <v>23258</v>
      </c>
      <c r="B23263" s="11" t="str">
        <f>"00989042"</f>
        <v>00989042</v>
      </c>
    </row>
    <row r="23264" spans="1:2" x14ac:dyDescent="0.25">
      <c r="A23264" s="2">
        <v>23259</v>
      </c>
      <c r="B23264" s="11" t="str">
        <f>"00989051"</f>
        <v>00989051</v>
      </c>
    </row>
    <row r="23265" spans="1:2" x14ac:dyDescent="0.25">
      <c r="A23265" s="2">
        <v>23260</v>
      </c>
      <c r="B23265" s="11" t="str">
        <f>"00989072"</f>
        <v>00989072</v>
      </c>
    </row>
    <row r="23266" spans="1:2" x14ac:dyDescent="0.25">
      <c r="A23266" s="2">
        <v>23261</v>
      </c>
      <c r="B23266" s="11" t="str">
        <f>"00989091"</f>
        <v>00989091</v>
      </c>
    </row>
    <row r="23267" spans="1:2" x14ac:dyDescent="0.25">
      <c r="A23267" s="2">
        <v>23262</v>
      </c>
      <c r="B23267" s="11" t="str">
        <f>"00989112"</f>
        <v>00989112</v>
      </c>
    </row>
    <row r="23268" spans="1:2" x14ac:dyDescent="0.25">
      <c r="A23268" s="2">
        <v>23263</v>
      </c>
      <c r="B23268" s="11" t="str">
        <f>"00989118"</f>
        <v>00989118</v>
      </c>
    </row>
    <row r="23269" spans="1:2" x14ac:dyDescent="0.25">
      <c r="A23269" s="2">
        <v>23264</v>
      </c>
      <c r="B23269" s="11" t="str">
        <f>"00989124"</f>
        <v>00989124</v>
      </c>
    </row>
    <row r="23270" spans="1:2" x14ac:dyDescent="0.25">
      <c r="A23270" s="2">
        <v>23265</v>
      </c>
      <c r="B23270" s="11" t="str">
        <f>"00989129"</f>
        <v>00989129</v>
      </c>
    </row>
    <row r="23271" spans="1:2" x14ac:dyDescent="0.25">
      <c r="A23271" s="2">
        <v>23266</v>
      </c>
      <c r="B23271" s="11" t="str">
        <f>"00989143"</f>
        <v>00989143</v>
      </c>
    </row>
    <row r="23272" spans="1:2" x14ac:dyDescent="0.25">
      <c r="A23272" s="2">
        <v>23267</v>
      </c>
      <c r="B23272" s="11" t="str">
        <f>"00989161"</f>
        <v>00989161</v>
      </c>
    </row>
    <row r="23273" spans="1:2" x14ac:dyDescent="0.25">
      <c r="A23273" s="2">
        <v>23268</v>
      </c>
      <c r="B23273" s="11" t="str">
        <f>"00989186"</f>
        <v>00989186</v>
      </c>
    </row>
    <row r="23274" spans="1:2" x14ac:dyDescent="0.25">
      <c r="A23274" s="2">
        <v>23269</v>
      </c>
      <c r="B23274" s="11" t="str">
        <f>"00989189"</f>
        <v>00989189</v>
      </c>
    </row>
    <row r="23275" spans="1:2" x14ac:dyDescent="0.25">
      <c r="A23275" s="2">
        <v>23270</v>
      </c>
      <c r="B23275" s="11" t="str">
        <f>"00989232"</f>
        <v>00989232</v>
      </c>
    </row>
    <row r="23276" spans="1:2" x14ac:dyDescent="0.25">
      <c r="A23276" s="2">
        <v>23271</v>
      </c>
      <c r="B23276" s="11" t="str">
        <f>"00989252"</f>
        <v>00989252</v>
      </c>
    </row>
    <row r="23277" spans="1:2" x14ac:dyDescent="0.25">
      <c r="A23277" s="2">
        <v>23272</v>
      </c>
      <c r="B23277" s="11" t="str">
        <f>"00989261"</f>
        <v>00989261</v>
      </c>
    </row>
    <row r="23278" spans="1:2" x14ac:dyDescent="0.25">
      <c r="A23278" s="2">
        <v>23273</v>
      </c>
      <c r="B23278" s="11" t="str">
        <f>"00989283"</f>
        <v>00989283</v>
      </c>
    </row>
    <row r="23279" spans="1:2" x14ac:dyDescent="0.25">
      <c r="A23279" s="2">
        <v>23274</v>
      </c>
      <c r="B23279" s="11" t="str">
        <f>"00989388"</f>
        <v>00989388</v>
      </c>
    </row>
    <row r="23280" spans="1:2" x14ac:dyDescent="0.25">
      <c r="A23280" s="2">
        <v>23275</v>
      </c>
      <c r="B23280" s="11" t="str">
        <f>"00989395"</f>
        <v>00989395</v>
      </c>
    </row>
    <row r="23281" spans="1:2" x14ac:dyDescent="0.25">
      <c r="A23281" s="2">
        <v>23276</v>
      </c>
      <c r="B23281" s="11" t="str">
        <f>"00989404"</f>
        <v>00989404</v>
      </c>
    </row>
    <row r="23282" spans="1:2" x14ac:dyDescent="0.25">
      <c r="A23282" s="2">
        <v>23277</v>
      </c>
      <c r="B23282" s="11" t="str">
        <f>"00989443"</f>
        <v>00989443</v>
      </c>
    </row>
    <row r="23283" spans="1:2" x14ac:dyDescent="0.25">
      <c r="A23283" s="2">
        <v>23278</v>
      </c>
      <c r="B23283" s="11" t="str">
        <f>"00989446"</f>
        <v>00989446</v>
      </c>
    </row>
    <row r="23284" spans="1:2" x14ac:dyDescent="0.25">
      <c r="A23284" s="2">
        <v>23279</v>
      </c>
      <c r="B23284" s="11" t="str">
        <f>"00989476"</f>
        <v>00989476</v>
      </c>
    </row>
    <row r="23285" spans="1:2" x14ac:dyDescent="0.25">
      <c r="A23285" s="2">
        <v>23280</v>
      </c>
      <c r="B23285" s="11" t="str">
        <f>"00989477"</f>
        <v>00989477</v>
      </c>
    </row>
    <row r="23286" spans="1:2" x14ac:dyDescent="0.25">
      <c r="A23286" s="2">
        <v>23281</v>
      </c>
      <c r="B23286" s="11" t="str">
        <f>"00989536"</f>
        <v>00989536</v>
      </c>
    </row>
    <row r="23287" spans="1:2" x14ac:dyDescent="0.25">
      <c r="A23287" s="2">
        <v>23282</v>
      </c>
      <c r="B23287" s="11" t="str">
        <f>"00989540"</f>
        <v>00989540</v>
      </c>
    </row>
    <row r="23288" spans="1:2" x14ac:dyDescent="0.25">
      <c r="A23288" s="2">
        <v>23283</v>
      </c>
      <c r="B23288" s="11" t="str">
        <f>"00989558"</f>
        <v>00989558</v>
      </c>
    </row>
    <row r="23289" spans="1:2" x14ac:dyDescent="0.25">
      <c r="A23289" s="2">
        <v>23284</v>
      </c>
      <c r="B23289" s="11" t="str">
        <f>"00989581"</f>
        <v>00989581</v>
      </c>
    </row>
    <row r="23290" spans="1:2" x14ac:dyDescent="0.25">
      <c r="A23290" s="2">
        <v>23285</v>
      </c>
      <c r="B23290" s="11" t="str">
        <f>"00989633"</f>
        <v>00989633</v>
      </c>
    </row>
    <row r="23291" spans="1:2" x14ac:dyDescent="0.25">
      <c r="A23291" s="2">
        <v>23286</v>
      </c>
      <c r="B23291" s="11" t="str">
        <f>"00989659"</f>
        <v>00989659</v>
      </c>
    </row>
    <row r="23292" spans="1:2" x14ac:dyDescent="0.25">
      <c r="A23292" s="2">
        <v>23287</v>
      </c>
      <c r="B23292" s="11" t="str">
        <f>"00989660"</f>
        <v>00989660</v>
      </c>
    </row>
    <row r="23293" spans="1:2" x14ac:dyDescent="0.25">
      <c r="A23293" s="2">
        <v>23288</v>
      </c>
      <c r="B23293" s="11" t="str">
        <f>"00989673"</f>
        <v>00989673</v>
      </c>
    </row>
    <row r="23294" spans="1:2" x14ac:dyDescent="0.25">
      <c r="A23294" s="2">
        <v>23289</v>
      </c>
      <c r="B23294" s="11" t="str">
        <f>"00989685"</f>
        <v>00989685</v>
      </c>
    </row>
    <row r="23295" spans="1:2" x14ac:dyDescent="0.25">
      <c r="A23295" s="2">
        <v>23290</v>
      </c>
      <c r="B23295" s="11" t="str">
        <f>"00989692"</f>
        <v>00989692</v>
      </c>
    </row>
    <row r="23296" spans="1:2" x14ac:dyDescent="0.25">
      <c r="A23296" s="2">
        <v>23291</v>
      </c>
      <c r="B23296" s="11" t="str">
        <f>"00989703"</f>
        <v>00989703</v>
      </c>
    </row>
    <row r="23297" spans="1:2" x14ac:dyDescent="0.25">
      <c r="A23297" s="2">
        <v>23292</v>
      </c>
      <c r="B23297" s="11" t="str">
        <f>"00989720"</f>
        <v>00989720</v>
      </c>
    </row>
    <row r="23298" spans="1:2" x14ac:dyDescent="0.25">
      <c r="A23298" s="2">
        <v>23293</v>
      </c>
      <c r="B23298" s="11" t="str">
        <f>"00989727"</f>
        <v>00989727</v>
      </c>
    </row>
    <row r="23299" spans="1:2" x14ac:dyDescent="0.25">
      <c r="A23299" s="2">
        <v>23294</v>
      </c>
      <c r="B23299" s="11" t="str">
        <f>"00989731"</f>
        <v>00989731</v>
      </c>
    </row>
    <row r="23300" spans="1:2" x14ac:dyDescent="0.25">
      <c r="A23300" s="2">
        <v>23295</v>
      </c>
      <c r="B23300" s="11" t="str">
        <f>"00989752"</f>
        <v>00989752</v>
      </c>
    </row>
    <row r="23301" spans="1:2" x14ac:dyDescent="0.25">
      <c r="A23301" s="2">
        <v>23296</v>
      </c>
      <c r="B23301" s="11" t="str">
        <f>"00989755"</f>
        <v>00989755</v>
      </c>
    </row>
    <row r="23302" spans="1:2" x14ac:dyDescent="0.25">
      <c r="A23302" s="2">
        <v>23297</v>
      </c>
      <c r="B23302" s="11" t="str">
        <f>"00989778"</f>
        <v>00989778</v>
      </c>
    </row>
    <row r="23303" spans="1:2" x14ac:dyDescent="0.25">
      <c r="A23303" s="2">
        <v>23298</v>
      </c>
      <c r="B23303" s="11" t="str">
        <f>"00989806"</f>
        <v>00989806</v>
      </c>
    </row>
    <row r="23304" spans="1:2" x14ac:dyDescent="0.25">
      <c r="A23304" s="2">
        <v>23299</v>
      </c>
      <c r="B23304" s="11" t="str">
        <f>"00989833"</f>
        <v>00989833</v>
      </c>
    </row>
    <row r="23305" spans="1:2" x14ac:dyDescent="0.25">
      <c r="A23305" s="2">
        <v>23300</v>
      </c>
      <c r="B23305" s="11" t="str">
        <f>"00989851"</f>
        <v>00989851</v>
      </c>
    </row>
    <row r="23306" spans="1:2" x14ac:dyDescent="0.25">
      <c r="A23306" s="2">
        <v>23301</v>
      </c>
      <c r="B23306" s="11" t="str">
        <f>"00989861"</f>
        <v>00989861</v>
      </c>
    </row>
    <row r="23307" spans="1:2" x14ac:dyDescent="0.25">
      <c r="A23307" s="2">
        <v>23302</v>
      </c>
      <c r="B23307" s="11" t="str">
        <f>"00989911"</f>
        <v>00989911</v>
      </c>
    </row>
    <row r="23308" spans="1:2" x14ac:dyDescent="0.25">
      <c r="A23308" s="2">
        <v>23303</v>
      </c>
      <c r="B23308" s="11" t="str">
        <f>"00989964"</f>
        <v>00989964</v>
      </c>
    </row>
    <row r="23309" spans="1:2" x14ac:dyDescent="0.25">
      <c r="A23309" s="2">
        <v>23304</v>
      </c>
      <c r="B23309" s="11" t="str">
        <f>"00989976"</f>
        <v>00989976</v>
      </c>
    </row>
    <row r="23310" spans="1:2" x14ac:dyDescent="0.25">
      <c r="A23310" s="2">
        <v>23305</v>
      </c>
      <c r="B23310" s="11" t="str">
        <f>"00989992"</f>
        <v>00989992</v>
      </c>
    </row>
    <row r="23311" spans="1:2" x14ac:dyDescent="0.25">
      <c r="A23311" s="2">
        <v>23306</v>
      </c>
      <c r="B23311" s="11" t="str">
        <f>"00989995"</f>
        <v>00989995</v>
      </c>
    </row>
    <row r="23312" spans="1:2" x14ac:dyDescent="0.25">
      <c r="A23312" s="2">
        <v>23307</v>
      </c>
      <c r="B23312" s="11" t="str">
        <f>"00990006"</f>
        <v>00990006</v>
      </c>
    </row>
    <row r="23313" spans="1:2" x14ac:dyDescent="0.25">
      <c r="A23313" s="2">
        <v>23308</v>
      </c>
      <c r="B23313" s="11" t="str">
        <f>"00990016"</f>
        <v>00990016</v>
      </c>
    </row>
    <row r="23314" spans="1:2" x14ac:dyDescent="0.25">
      <c r="A23314" s="2">
        <v>23309</v>
      </c>
      <c r="B23314" s="11" t="str">
        <f>"00990029"</f>
        <v>00990029</v>
      </c>
    </row>
    <row r="23315" spans="1:2" x14ac:dyDescent="0.25">
      <c r="A23315" s="2">
        <v>23310</v>
      </c>
      <c r="B23315" s="11" t="str">
        <f>"00990056"</f>
        <v>00990056</v>
      </c>
    </row>
    <row r="23316" spans="1:2" x14ac:dyDescent="0.25">
      <c r="A23316" s="2">
        <v>23311</v>
      </c>
      <c r="B23316" s="11" t="str">
        <f>"00990085"</f>
        <v>00990085</v>
      </c>
    </row>
    <row r="23317" spans="1:2" x14ac:dyDescent="0.25">
      <c r="A23317" s="2">
        <v>23312</v>
      </c>
      <c r="B23317" s="11" t="str">
        <f>"00990114"</f>
        <v>00990114</v>
      </c>
    </row>
    <row r="23318" spans="1:2" x14ac:dyDescent="0.25">
      <c r="A23318" s="2">
        <v>23313</v>
      </c>
      <c r="B23318" s="11" t="str">
        <f>"00990120"</f>
        <v>00990120</v>
      </c>
    </row>
    <row r="23319" spans="1:2" x14ac:dyDescent="0.25">
      <c r="A23319" s="2">
        <v>23314</v>
      </c>
      <c r="B23319" s="11" t="str">
        <f>"00990132"</f>
        <v>00990132</v>
      </c>
    </row>
    <row r="23320" spans="1:2" x14ac:dyDescent="0.25">
      <c r="A23320" s="2">
        <v>23315</v>
      </c>
      <c r="B23320" s="11" t="str">
        <f>"00990134"</f>
        <v>00990134</v>
      </c>
    </row>
    <row r="23321" spans="1:2" x14ac:dyDescent="0.25">
      <c r="A23321" s="2">
        <v>23316</v>
      </c>
      <c r="B23321" s="11" t="str">
        <f>"00990145"</f>
        <v>00990145</v>
      </c>
    </row>
    <row r="23322" spans="1:2" x14ac:dyDescent="0.25">
      <c r="A23322" s="2">
        <v>23317</v>
      </c>
      <c r="B23322" s="11" t="str">
        <f>"00990171"</f>
        <v>00990171</v>
      </c>
    </row>
    <row r="23323" spans="1:2" x14ac:dyDescent="0.25">
      <c r="A23323" s="2">
        <v>23318</v>
      </c>
      <c r="B23323" s="11" t="str">
        <f>"00990180"</f>
        <v>00990180</v>
      </c>
    </row>
    <row r="23324" spans="1:2" x14ac:dyDescent="0.25">
      <c r="A23324" s="2">
        <v>23319</v>
      </c>
      <c r="B23324" s="11" t="str">
        <f>"00990187"</f>
        <v>00990187</v>
      </c>
    </row>
    <row r="23325" spans="1:2" x14ac:dyDescent="0.25">
      <c r="A23325" s="2">
        <v>23320</v>
      </c>
      <c r="B23325" s="11" t="str">
        <f>"00990226"</f>
        <v>00990226</v>
      </c>
    </row>
    <row r="23326" spans="1:2" x14ac:dyDescent="0.25">
      <c r="A23326" s="2">
        <v>23321</v>
      </c>
      <c r="B23326" s="11" t="str">
        <f>"00990248"</f>
        <v>00990248</v>
      </c>
    </row>
    <row r="23327" spans="1:2" x14ac:dyDescent="0.25">
      <c r="A23327" s="2">
        <v>23322</v>
      </c>
      <c r="B23327" s="11" t="str">
        <f>"00990277"</f>
        <v>00990277</v>
      </c>
    </row>
    <row r="23328" spans="1:2" x14ac:dyDescent="0.25">
      <c r="A23328" s="2">
        <v>23323</v>
      </c>
      <c r="B23328" s="11" t="str">
        <f>"00990295"</f>
        <v>00990295</v>
      </c>
    </row>
    <row r="23329" spans="1:2" x14ac:dyDescent="0.25">
      <c r="A23329" s="2">
        <v>23324</v>
      </c>
      <c r="B23329" s="11" t="str">
        <f>"00990300"</f>
        <v>00990300</v>
      </c>
    </row>
    <row r="23330" spans="1:2" x14ac:dyDescent="0.25">
      <c r="A23330" s="2">
        <v>23325</v>
      </c>
      <c r="B23330" s="11" t="str">
        <f>"00990301"</f>
        <v>00990301</v>
      </c>
    </row>
    <row r="23331" spans="1:2" x14ac:dyDescent="0.25">
      <c r="A23331" s="2">
        <v>23326</v>
      </c>
      <c r="B23331" s="11" t="str">
        <f>"00990350"</f>
        <v>00990350</v>
      </c>
    </row>
    <row r="23332" spans="1:2" x14ac:dyDescent="0.25">
      <c r="A23332" s="2">
        <v>23327</v>
      </c>
      <c r="B23332" s="11" t="str">
        <f>"00990364"</f>
        <v>00990364</v>
      </c>
    </row>
    <row r="23333" spans="1:2" x14ac:dyDescent="0.25">
      <c r="A23333" s="2">
        <v>23328</v>
      </c>
      <c r="B23333" s="11" t="str">
        <f>"00990403"</f>
        <v>00990403</v>
      </c>
    </row>
    <row r="23334" spans="1:2" x14ac:dyDescent="0.25">
      <c r="A23334" s="2">
        <v>23329</v>
      </c>
      <c r="B23334" s="11" t="str">
        <f>"00990409"</f>
        <v>00990409</v>
      </c>
    </row>
    <row r="23335" spans="1:2" x14ac:dyDescent="0.25">
      <c r="A23335" s="2">
        <v>23330</v>
      </c>
      <c r="B23335" s="11" t="str">
        <f>"00990468"</f>
        <v>00990468</v>
      </c>
    </row>
    <row r="23336" spans="1:2" x14ac:dyDescent="0.25">
      <c r="A23336" s="2">
        <v>23331</v>
      </c>
      <c r="B23336" s="11" t="str">
        <f>"00990486"</f>
        <v>00990486</v>
      </c>
    </row>
    <row r="23337" spans="1:2" x14ac:dyDescent="0.25">
      <c r="A23337" s="2">
        <v>23332</v>
      </c>
      <c r="B23337" s="11" t="str">
        <f>"00990492"</f>
        <v>00990492</v>
      </c>
    </row>
    <row r="23338" spans="1:2" x14ac:dyDescent="0.25">
      <c r="A23338" s="2">
        <v>23333</v>
      </c>
      <c r="B23338" s="11" t="str">
        <f>"00990498"</f>
        <v>00990498</v>
      </c>
    </row>
    <row r="23339" spans="1:2" x14ac:dyDescent="0.25">
      <c r="A23339" s="2">
        <v>23334</v>
      </c>
      <c r="B23339" s="11" t="str">
        <f>"00990502"</f>
        <v>00990502</v>
      </c>
    </row>
    <row r="23340" spans="1:2" x14ac:dyDescent="0.25">
      <c r="A23340" s="2">
        <v>23335</v>
      </c>
      <c r="B23340" s="11" t="str">
        <f>"00990517"</f>
        <v>00990517</v>
      </c>
    </row>
    <row r="23341" spans="1:2" x14ac:dyDescent="0.25">
      <c r="A23341" s="2">
        <v>23336</v>
      </c>
      <c r="B23341" s="11" t="str">
        <f>"00990533"</f>
        <v>00990533</v>
      </c>
    </row>
    <row r="23342" spans="1:2" x14ac:dyDescent="0.25">
      <c r="A23342" s="2">
        <v>23337</v>
      </c>
      <c r="B23342" s="11" t="str">
        <f>"00990534"</f>
        <v>00990534</v>
      </c>
    </row>
    <row r="23343" spans="1:2" x14ac:dyDescent="0.25">
      <c r="A23343" s="2">
        <v>23338</v>
      </c>
      <c r="B23343" s="11" t="str">
        <f>"00990543"</f>
        <v>00990543</v>
      </c>
    </row>
    <row r="23344" spans="1:2" x14ac:dyDescent="0.25">
      <c r="A23344" s="2">
        <v>23339</v>
      </c>
      <c r="B23344" s="11" t="str">
        <f>"00990572"</f>
        <v>00990572</v>
      </c>
    </row>
    <row r="23345" spans="1:2" x14ac:dyDescent="0.25">
      <c r="A23345" s="2">
        <v>23340</v>
      </c>
      <c r="B23345" s="11" t="str">
        <f>"00990587"</f>
        <v>00990587</v>
      </c>
    </row>
    <row r="23346" spans="1:2" x14ac:dyDescent="0.25">
      <c r="A23346" s="2">
        <v>23341</v>
      </c>
      <c r="B23346" s="11" t="str">
        <f>"00990591"</f>
        <v>00990591</v>
      </c>
    </row>
    <row r="23347" spans="1:2" x14ac:dyDescent="0.25">
      <c r="A23347" s="2">
        <v>23342</v>
      </c>
      <c r="B23347" s="11" t="str">
        <f>"00990634"</f>
        <v>00990634</v>
      </c>
    </row>
    <row r="23348" spans="1:2" x14ac:dyDescent="0.25">
      <c r="A23348" s="2">
        <v>23343</v>
      </c>
      <c r="B23348" s="11" t="str">
        <f>"00990667"</f>
        <v>00990667</v>
      </c>
    </row>
    <row r="23349" spans="1:2" x14ac:dyDescent="0.25">
      <c r="A23349" s="2">
        <v>23344</v>
      </c>
      <c r="B23349" s="11" t="str">
        <f>"00990669"</f>
        <v>00990669</v>
      </c>
    </row>
    <row r="23350" spans="1:2" x14ac:dyDescent="0.25">
      <c r="A23350" s="2">
        <v>23345</v>
      </c>
      <c r="B23350" s="11" t="str">
        <f>"00990682"</f>
        <v>00990682</v>
      </c>
    </row>
    <row r="23351" spans="1:2" x14ac:dyDescent="0.25">
      <c r="A23351" s="2">
        <v>23346</v>
      </c>
      <c r="B23351" s="11" t="str">
        <f>"00990688"</f>
        <v>00990688</v>
      </c>
    </row>
    <row r="23352" spans="1:2" x14ac:dyDescent="0.25">
      <c r="A23352" s="2">
        <v>23347</v>
      </c>
      <c r="B23352" s="11" t="str">
        <f>"00990733"</f>
        <v>00990733</v>
      </c>
    </row>
    <row r="23353" spans="1:2" x14ac:dyDescent="0.25">
      <c r="A23353" s="2">
        <v>23348</v>
      </c>
      <c r="B23353" s="11" t="str">
        <f>"00990736"</f>
        <v>00990736</v>
      </c>
    </row>
    <row r="23354" spans="1:2" x14ac:dyDescent="0.25">
      <c r="A23354" s="2">
        <v>23349</v>
      </c>
      <c r="B23354" s="11" t="str">
        <f>"00990740"</f>
        <v>00990740</v>
      </c>
    </row>
    <row r="23355" spans="1:2" x14ac:dyDescent="0.25">
      <c r="A23355" s="2">
        <v>23350</v>
      </c>
      <c r="B23355" s="11" t="str">
        <f>"00990776"</f>
        <v>00990776</v>
      </c>
    </row>
    <row r="23356" spans="1:2" x14ac:dyDescent="0.25">
      <c r="A23356" s="2">
        <v>23351</v>
      </c>
      <c r="B23356" s="11" t="str">
        <f>"00990785"</f>
        <v>00990785</v>
      </c>
    </row>
    <row r="23357" spans="1:2" x14ac:dyDescent="0.25">
      <c r="A23357" s="2">
        <v>23352</v>
      </c>
      <c r="B23357" s="11" t="str">
        <f>"00990791"</f>
        <v>00990791</v>
      </c>
    </row>
    <row r="23358" spans="1:2" x14ac:dyDescent="0.25">
      <c r="A23358" s="2">
        <v>23353</v>
      </c>
      <c r="B23358" s="11" t="str">
        <f>"00990805"</f>
        <v>00990805</v>
      </c>
    </row>
    <row r="23359" spans="1:2" x14ac:dyDescent="0.25">
      <c r="A23359" s="2">
        <v>23354</v>
      </c>
      <c r="B23359" s="11" t="str">
        <f>"00990835"</f>
        <v>00990835</v>
      </c>
    </row>
    <row r="23360" spans="1:2" x14ac:dyDescent="0.25">
      <c r="A23360" s="2">
        <v>23355</v>
      </c>
      <c r="B23360" s="11" t="str">
        <f>"00990841"</f>
        <v>00990841</v>
      </c>
    </row>
    <row r="23361" spans="1:2" x14ac:dyDescent="0.25">
      <c r="A23361" s="2">
        <v>23356</v>
      </c>
      <c r="B23361" s="11" t="str">
        <f>"00990854"</f>
        <v>00990854</v>
      </c>
    </row>
    <row r="23362" spans="1:2" x14ac:dyDescent="0.25">
      <c r="A23362" s="2">
        <v>23357</v>
      </c>
      <c r="B23362" s="11" t="str">
        <f>"00990861"</f>
        <v>00990861</v>
      </c>
    </row>
    <row r="23363" spans="1:2" x14ac:dyDescent="0.25">
      <c r="A23363" s="2">
        <v>23358</v>
      </c>
      <c r="B23363" s="11" t="str">
        <f>"00990868"</f>
        <v>00990868</v>
      </c>
    </row>
    <row r="23364" spans="1:2" x14ac:dyDescent="0.25">
      <c r="A23364" s="2">
        <v>23359</v>
      </c>
      <c r="B23364" s="11" t="str">
        <f>"00990870"</f>
        <v>00990870</v>
      </c>
    </row>
    <row r="23365" spans="1:2" x14ac:dyDescent="0.25">
      <c r="A23365" s="2">
        <v>23360</v>
      </c>
      <c r="B23365" s="11" t="str">
        <f>"00990881"</f>
        <v>00990881</v>
      </c>
    </row>
    <row r="23366" spans="1:2" x14ac:dyDescent="0.25">
      <c r="A23366" s="2">
        <v>23361</v>
      </c>
      <c r="B23366" s="11" t="str">
        <f>"00990882"</f>
        <v>00990882</v>
      </c>
    </row>
    <row r="23367" spans="1:2" x14ac:dyDescent="0.25">
      <c r="A23367" s="2">
        <v>23362</v>
      </c>
      <c r="B23367" s="11" t="str">
        <f>"00990901"</f>
        <v>00990901</v>
      </c>
    </row>
    <row r="23368" spans="1:2" x14ac:dyDescent="0.25">
      <c r="A23368" s="2">
        <v>23363</v>
      </c>
      <c r="B23368" s="11" t="str">
        <f>"00990907"</f>
        <v>00990907</v>
      </c>
    </row>
    <row r="23369" spans="1:2" x14ac:dyDescent="0.25">
      <c r="A23369" s="2">
        <v>23364</v>
      </c>
      <c r="B23369" s="11" t="str">
        <f>"00990941"</f>
        <v>00990941</v>
      </c>
    </row>
    <row r="23370" spans="1:2" x14ac:dyDescent="0.25">
      <c r="A23370" s="2">
        <v>23365</v>
      </c>
      <c r="B23370" s="11" t="str">
        <f>"00990965"</f>
        <v>00990965</v>
      </c>
    </row>
    <row r="23371" spans="1:2" x14ac:dyDescent="0.25">
      <c r="A23371" s="2">
        <v>23366</v>
      </c>
      <c r="B23371" s="11" t="str">
        <f>"00990975"</f>
        <v>00990975</v>
      </c>
    </row>
    <row r="23372" spans="1:2" x14ac:dyDescent="0.25">
      <c r="A23372" s="2">
        <v>23367</v>
      </c>
      <c r="B23372" s="11" t="str">
        <f>"00991037"</f>
        <v>00991037</v>
      </c>
    </row>
    <row r="23373" spans="1:2" x14ac:dyDescent="0.25">
      <c r="A23373" s="2">
        <v>23368</v>
      </c>
      <c r="B23373" s="11" t="str">
        <f>"00991064"</f>
        <v>00991064</v>
      </c>
    </row>
    <row r="23374" spans="1:2" x14ac:dyDescent="0.25">
      <c r="A23374" s="2">
        <v>23369</v>
      </c>
      <c r="B23374" s="11" t="str">
        <f>"00991149"</f>
        <v>00991149</v>
      </c>
    </row>
    <row r="23375" spans="1:2" x14ac:dyDescent="0.25">
      <c r="A23375" s="2">
        <v>23370</v>
      </c>
      <c r="B23375" s="11" t="str">
        <f>"00991162"</f>
        <v>00991162</v>
      </c>
    </row>
    <row r="23376" spans="1:2" x14ac:dyDescent="0.25">
      <c r="A23376" s="2">
        <v>23371</v>
      </c>
      <c r="B23376" s="11" t="str">
        <f>"00991194"</f>
        <v>00991194</v>
      </c>
    </row>
    <row r="23377" spans="1:2" x14ac:dyDescent="0.25">
      <c r="A23377" s="2">
        <v>23372</v>
      </c>
      <c r="B23377" s="11" t="str">
        <f>"00991195"</f>
        <v>00991195</v>
      </c>
    </row>
    <row r="23378" spans="1:2" x14ac:dyDescent="0.25">
      <c r="A23378" s="2">
        <v>23373</v>
      </c>
      <c r="B23378" s="11" t="str">
        <f>"00991226"</f>
        <v>00991226</v>
      </c>
    </row>
    <row r="23379" spans="1:2" x14ac:dyDescent="0.25">
      <c r="A23379" s="2">
        <v>23374</v>
      </c>
      <c r="B23379" s="11" t="str">
        <f>"00991232"</f>
        <v>00991232</v>
      </c>
    </row>
    <row r="23380" spans="1:2" x14ac:dyDescent="0.25">
      <c r="A23380" s="2">
        <v>23375</v>
      </c>
      <c r="B23380" s="11" t="str">
        <f>"00991236"</f>
        <v>00991236</v>
      </c>
    </row>
    <row r="23381" spans="1:2" x14ac:dyDescent="0.25">
      <c r="A23381" s="2">
        <v>23376</v>
      </c>
      <c r="B23381" s="11" t="str">
        <f>"00991253"</f>
        <v>00991253</v>
      </c>
    </row>
    <row r="23382" spans="1:2" x14ac:dyDescent="0.25">
      <c r="A23382" s="2">
        <v>23377</v>
      </c>
      <c r="B23382" s="11" t="str">
        <f>"00991273"</f>
        <v>00991273</v>
      </c>
    </row>
    <row r="23383" spans="1:2" x14ac:dyDescent="0.25">
      <c r="A23383" s="2">
        <v>23378</v>
      </c>
      <c r="B23383" s="11" t="str">
        <f>"00991318"</f>
        <v>00991318</v>
      </c>
    </row>
    <row r="23384" spans="1:2" x14ac:dyDescent="0.25">
      <c r="A23384" s="2">
        <v>23379</v>
      </c>
      <c r="B23384" s="11" t="str">
        <f>"00991323"</f>
        <v>00991323</v>
      </c>
    </row>
    <row r="23385" spans="1:2" x14ac:dyDescent="0.25">
      <c r="A23385" s="2">
        <v>23380</v>
      </c>
      <c r="B23385" s="11" t="str">
        <f>"00991338"</f>
        <v>00991338</v>
      </c>
    </row>
    <row r="23386" spans="1:2" x14ac:dyDescent="0.25">
      <c r="A23386" s="2">
        <v>23381</v>
      </c>
      <c r="B23386" s="11" t="str">
        <f>"00991378"</f>
        <v>00991378</v>
      </c>
    </row>
    <row r="23387" spans="1:2" x14ac:dyDescent="0.25">
      <c r="A23387" s="2">
        <v>23382</v>
      </c>
      <c r="B23387" s="11" t="str">
        <f>"00991381"</f>
        <v>00991381</v>
      </c>
    </row>
    <row r="23388" spans="1:2" x14ac:dyDescent="0.25">
      <c r="A23388" s="2">
        <v>23383</v>
      </c>
      <c r="B23388" s="11" t="str">
        <f>"00991391"</f>
        <v>00991391</v>
      </c>
    </row>
    <row r="23389" spans="1:2" x14ac:dyDescent="0.25">
      <c r="A23389" s="2">
        <v>23384</v>
      </c>
      <c r="B23389" s="11" t="str">
        <f>"00991400"</f>
        <v>00991400</v>
      </c>
    </row>
    <row r="23390" spans="1:2" x14ac:dyDescent="0.25">
      <c r="A23390" s="2">
        <v>23385</v>
      </c>
      <c r="B23390" s="11" t="str">
        <f>"00991407"</f>
        <v>00991407</v>
      </c>
    </row>
    <row r="23391" spans="1:2" x14ac:dyDescent="0.25">
      <c r="A23391" s="2">
        <v>23386</v>
      </c>
      <c r="B23391" s="11" t="str">
        <f>"00991447"</f>
        <v>00991447</v>
      </c>
    </row>
    <row r="23392" spans="1:2" x14ac:dyDescent="0.25">
      <c r="A23392" s="2">
        <v>23387</v>
      </c>
      <c r="B23392" s="11" t="str">
        <f>"00991488"</f>
        <v>00991488</v>
      </c>
    </row>
    <row r="23393" spans="1:2" x14ac:dyDescent="0.25">
      <c r="A23393" s="2">
        <v>23388</v>
      </c>
      <c r="B23393" s="11" t="str">
        <f>"00991505"</f>
        <v>00991505</v>
      </c>
    </row>
    <row r="23394" spans="1:2" x14ac:dyDescent="0.25">
      <c r="A23394" s="2">
        <v>23389</v>
      </c>
      <c r="B23394" s="11" t="str">
        <f>"00991521"</f>
        <v>00991521</v>
      </c>
    </row>
    <row r="23395" spans="1:2" x14ac:dyDescent="0.25">
      <c r="A23395" s="2">
        <v>23390</v>
      </c>
      <c r="B23395" s="11" t="str">
        <f>"00991532"</f>
        <v>00991532</v>
      </c>
    </row>
    <row r="23396" spans="1:2" x14ac:dyDescent="0.25">
      <c r="A23396" s="2">
        <v>23391</v>
      </c>
      <c r="B23396" s="11" t="str">
        <f>"00991556"</f>
        <v>00991556</v>
      </c>
    </row>
    <row r="23397" spans="1:2" x14ac:dyDescent="0.25">
      <c r="A23397" s="2">
        <v>23392</v>
      </c>
      <c r="B23397" s="11" t="str">
        <f>"00991591"</f>
        <v>00991591</v>
      </c>
    </row>
    <row r="23398" spans="1:2" x14ac:dyDescent="0.25">
      <c r="A23398" s="2">
        <v>23393</v>
      </c>
      <c r="B23398" s="11" t="str">
        <f>"00991606"</f>
        <v>00991606</v>
      </c>
    </row>
    <row r="23399" spans="1:2" x14ac:dyDescent="0.25">
      <c r="A23399" s="2">
        <v>23394</v>
      </c>
      <c r="B23399" s="11" t="str">
        <f>"00991698"</f>
        <v>00991698</v>
      </c>
    </row>
    <row r="23400" spans="1:2" x14ac:dyDescent="0.25">
      <c r="A23400" s="2">
        <v>23395</v>
      </c>
      <c r="B23400" s="11" t="str">
        <f>"00991747"</f>
        <v>00991747</v>
      </c>
    </row>
    <row r="23401" spans="1:2" x14ac:dyDescent="0.25">
      <c r="A23401" s="2">
        <v>23396</v>
      </c>
      <c r="B23401" s="11" t="str">
        <f>"00991756"</f>
        <v>00991756</v>
      </c>
    </row>
    <row r="23402" spans="1:2" x14ac:dyDescent="0.25">
      <c r="A23402" s="2">
        <v>23397</v>
      </c>
      <c r="B23402" s="11" t="str">
        <f>"00991810"</f>
        <v>00991810</v>
      </c>
    </row>
    <row r="23403" spans="1:2" x14ac:dyDescent="0.25">
      <c r="A23403" s="2">
        <v>23398</v>
      </c>
      <c r="B23403" s="11" t="str">
        <f>"00991848"</f>
        <v>00991848</v>
      </c>
    </row>
    <row r="23404" spans="1:2" x14ac:dyDescent="0.25">
      <c r="A23404" s="2">
        <v>23399</v>
      </c>
      <c r="B23404" s="11" t="str">
        <f>"00991893"</f>
        <v>00991893</v>
      </c>
    </row>
    <row r="23405" spans="1:2" x14ac:dyDescent="0.25">
      <c r="A23405" s="2">
        <v>23400</v>
      </c>
      <c r="B23405" s="11" t="str">
        <f>"00991913"</f>
        <v>00991913</v>
      </c>
    </row>
    <row r="23406" spans="1:2" x14ac:dyDescent="0.25">
      <c r="A23406" s="2">
        <v>23401</v>
      </c>
      <c r="B23406" s="11" t="str">
        <f>"00991921"</f>
        <v>00991921</v>
      </c>
    </row>
    <row r="23407" spans="1:2" x14ac:dyDescent="0.25">
      <c r="A23407" s="2">
        <v>23402</v>
      </c>
      <c r="B23407" s="11" t="str">
        <f>"00991925"</f>
        <v>00991925</v>
      </c>
    </row>
    <row r="23408" spans="1:2" x14ac:dyDescent="0.25">
      <c r="A23408" s="2">
        <v>23403</v>
      </c>
      <c r="B23408" s="11" t="str">
        <f>"00991953"</f>
        <v>00991953</v>
      </c>
    </row>
    <row r="23409" spans="1:2" x14ac:dyDescent="0.25">
      <c r="A23409" s="2">
        <v>23404</v>
      </c>
      <c r="B23409" s="11" t="str">
        <f>"00991957"</f>
        <v>00991957</v>
      </c>
    </row>
    <row r="23410" spans="1:2" x14ac:dyDescent="0.25">
      <c r="A23410" s="2">
        <v>23405</v>
      </c>
      <c r="B23410" s="11" t="str">
        <f>"00991959"</f>
        <v>00991959</v>
      </c>
    </row>
    <row r="23411" spans="1:2" x14ac:dyDescent="0.25">
      <c r="A23411" s="2">
        <v>23406</v>
      </c>
      <c r="B23411" s="11" t="str">
        <f>"00991960"</f>
        <v>00991960</v>
      </c>
    </row>
    <row r="23412" spans="1:2" x14ac:dyDescent="0.25">
      <c r="A23412" s="2">
        <v>23407</v>
      </c>
      <c r="B23412" s="11" t="str">
        <f>"00991967"</f>
        <v>00991967</v>
      </c>
    </row>
    <row r="23413" spans="1:2" x14ac:dyDescent="0.25">
      <c r="A23413" s="2">
        <v>23408</v>
      </c>
      <c r="B23413" s="11" t="str">
        <f>"00991972"</f>
        <v>00991972</v>
      </c>
    </row>
    <row r="23414" spans="1:2" x14ac:dyDescent="0.25">
      <c r="A23414" s="2">
        <v>23409</v>
      </c>
      <c r="B23414" s="11" t="str">
        <f>"00991998"</f>
        <v>00991998</v>
      </c>
    </row>
    <row r="23415" spans="1:2" x14ac:dyDescent="0.25">
      <c r="A23415" s="2">
        <v>23410</v>
      </c>
      <c r="B23415" s="11" t="str">
        <f>"00992012"</f>
        <v>00992012</v>
      </c>
    </row>
    <row r="23416" spans="1:2" x14ac:dyDescent="0.25">
      <c r="A23416" s="2">
        <v>23411</v>
      </c>
      <c r="B23416" s="11" t="str">
        <f>"00992016"</f>
        <v>00992016</v>
      </c>
    </row>
    <row r="23417" spans="1:2" x14ac:dyDescent="0.25">
      <c r="A23417" s="2">
        <v>23412</v>
      </c>
      <c r="B23417" s="11" t="str">
        <f>"00992028"</f>
        <v>00992028</v>
      </c>
    </row>
    <row r="23418" spans="1:2" x14ac:dyDescent="0.25">
      <c r="A23418" s="2">
        <v>23413</v>
      </c>
      <c r="B23418" s="11" t="str">
        <f>"00992048"</f>
        <v>00992048</v>
      </c>
    </row>
    <row r="23419" spans="1:2" x14ac:dyDescent="0.25">
      <c r="A23419" s="2">
        <v>23414</v>
      </c>
      <c r="B23419" s="11" t="str">
        <f>"00992052"</f>
        <v>00992052</v>
      </c>
    </row>
    <row r="23420" spans="1:2" x14ac:dyDescent="0.25">
      <c r="A23420" s="2">
        <v>23415</v>
      </c>
      <c r="B23420" s="11" t="str">
        <f>"00992065"</f>
        <v>00992065</v>
      </c>
    </row>
    <row r="23421" spans="1:2" x14ac:dyDescent="0.25">
      <c r="A23421" s="2">
        <v>23416</v>
      </c>
      <c r="B23421" s="11" t="str">
        <f>"00992096"</f>
        <v>00992096</v>
      </c>
    </row>
    <row r="23422" spans="1:2" x14ac:dyDescent="0.25">
      <c r="A23422" s="2">
        <v>23417</v>
      </c>
      <c r="B23422" s="11" t="str">
        <f>"00992107"</f>
        <v>00992107</v>
      </c>
    </row>
    <row r="23423" spans="1:2" x14ac:dyDescent="0.25">
      <c r="A23423" s="2">
        <v>23418</v>
      </c>
      <c r="B23423" s="11" t="str">
        <f>"00992108"</f>
        <v>00992108</v>
      </c>
    </row>
    <row r="23424" spans="1:2" x14ac:dyDescent="0.25">
      <c r="A23424" s="2">
        <v>23419</v>
      </c>
      <c r="B23424" s="11" t="str">
        <f>"00992113"</f>
        <v>00992113</v>
      </c>
    </row>
    <row r="23425" spans="1:2" x14ac:dyDescent="0.25">
      <c r="A23425" s="2">
        <v>23420</v>
      </c>
      <c r="B23425" s="11" t="str">
        <f>"00992117"</f>
        <v>00992117</v>
      </c>
    </row>
    <row r="23426" spans="1:2" x14ac:dyDescent="0.25">
      <c r="A23426" s="2">
        <v>23421</v>
      </c>
      <c r="B23426" s="11" t="str">
        <f>"00992119"</f>
        <v>00992119</v>
      </c>
    </row>
    <row r="23427" spans="1:2" x14ac:dyDescent="0.25">
      <c r="A23427" s="2">
        <v>23422</v>
      </c>
      <c r="B23427" s="11" t="str">
        <f>"00992127"</f>
        <v>00992127</v>
      </c>
    </row>
    <row r="23428" spans="1:2" x14ac:dyDescent="0.25">
      <c r="A23428" s="2">
        <v>23423</v>
      </c>
      <c r="B23428" s="11" t="str">
        <f>"00992134"</f>
        <v>00992134</v>
      </c>
    </row>
    <row r="23429" spans="1:2" x14ac:dyDescent="0.25">
      <c r="A23429" s="2">
        <v>23424</v>
      </c>
      <c r="B23429" s="11" t="str">
        <f>"00992141"</f>
        <v>00992141</v>
      </c>
    </row>
    <row r="23430" spans="1:2" x14ac:dyDescent="0.25">
      <c r="A23430" s="2">
        <v>23425</v>
      </c>
      <c r="B23430" s="11" t="str">
        <f>"00992163"</f>
        <v>00992163</v>
      </c>
    </row>
    <row r="23431" spans="1:2" x14ac:dyDescent="0.25">
      <c r="A23431" s="2">
        <v>23426</v>
      </c>
      <c r="B23431" s="11" t="str">
        <f>"00992212"</f>
        <v>00992212</v>
      </c>
    </row>
    <row r="23432" spans="1:2" x14ac:dyDescent="0.25">
      <c r="A23432" s="2">
        <v>23427</v>
      </c>
      <c r="B23432" s="11" t="str">
        <f>"00992258"</f>
        <v>00992258</v>
      </c>
    </row>
    <row r="23433" spans="1:2" x14ac:dyDescent="0.25">
      <c r="A23433" s="2">
        <v>23428</v>
      </c>
      <c r="B23433" s="11" t="str">
        <f>"00992284"</f>
        <v>00992284</v>
      </c>
    </row>
    <row r="23434" spans="1:2" x14ac:dyDescent="0.25">
      <c r="A23434" s="2">
        <v>23429</v>
      </c>
      <c r="B23434" s="11" t="str">
        <f>"00992287"</f>
        <v>00992287</v>
      </c>
    </row>
    <row r="23435" spans="1:2" x14ac:dyDescent="0.25">
      <c r="A23435" s="2">
        <v>23430</v>
      </c>
      <c r="B23435" s="11" t="str">
        <f>"00992304"</f>
        <v>00992304</v>
      </c>
    </row>
    <row r="23436" spans="1:2" x14ac:dyDescent="0.25">
      <c r="A23436" s="2">
        <v>23431</v>
      </c>
      <c r="B23436" s="11" t="str">
        <f>"00992309"</f>
        <v>00992309</v>
      </c>
    </row>
    <row r="23437" spans="1:2" x14ac:dyDescent="0.25">
      <c r="A23437" s="2">
        <v>23432</v>
      </c>
      <c r="B23437" s="11" t="str">
        <f>"00992400"</f>
        <v>00992400</v>
      </c>
    </row>
    <row r="23438" spans="1:2" x14ac:dyDescent="0.25">
      <c r="A23438" s="2">
        <v>23433</v>
      </c>
      <c r="B23438" s="11" t="str">
        <f>"00992412"</f>
        <v>00992412</v>
      </c>
    </row>
    <row r="23439" spans="1:2" x14ac:dyDescent="0.25">
      <c r="A23439" s="2">
        <v>23434</v>
      </c>
      <c r="B23439" s="11" t="str">
        <f>"00992424"</f>
        <v>00992424</v>
      </c>
    </row>
    <row r="23440" spans="1:2" x14ac:dyDescent="0.25">
      <c r="A23440" s="2">
        <v>23435</v>
      </c>
      <c r="B23440" s="11" t="str">
        <f>"00992450"</f>
        <v>00992450</v>
      </c>
    </row>
    <row r="23441" spans="1:2" x14ac:dyDescent="0.25">
      <c r="A23441" s="2">
        <v>23436</v>
      </c>
      <c r="B23441" s="11" t="str">
        <f>"00992456"</f>
        <v>00992456</v>
      </c>
    </row>
    <row r="23442" spans="1:2" x14ac:dyDescent="0.25">
      <c r="A23442" s="2">
        <v>23437</v>
      </c>
      <c r="B23442" s="11" t="str">
        <f>"00992463"</f>
        <v>00992463</v>
      </c>
    </row>
    <row r="23443" spans="1:2" x14ac:dyDescent="0.25">
      <c r="A23443" s="2">
        <v>23438</v>
      </c>
      <c r="B23443" s="11" t="str">
        <f>"00992480"</f>
        <v>00992480</v>
      </c>
    </row>
    <row r="23444" spans="1:2" x14ac:dyDescent="0.25">
      <c r="A23444" s="2">
        <v>23439</v>
      </c>
      <c r="B23444" s="11" t="str">
        <f>"00992490"</f>
        <v>00992490</v>
      </c>
    </row>
    <row r="23445" spans="1:2" x14ac:dyDescent="0.25">
      <c r="A23445" s="2">
        <v>23440</v>
      </c>
      <c r="B23445" s="11" t="str">
        <f>"00992515"</f>
        <v>00992515</v>
      </c>
    </row>
    <row r="23446" spans="1:2" x14ac:dyDescent="0.25">
      <c r="A23446" s="2">
        <v>23441</v>
      </c>
      <c r="B23446" s="11" t="str">
        <f>"00992520"</f>
        <v>00992520</v>
      </c>
    </row>
    <row r="23447" spans="1:2" x14ac:dyDescent="0.25">
      <c r="A23447" s="2">
        <v>23442</v>
      </c>
      <c r="B23447" s="11" t="str">
        <f>"00992567"</f>
        <v>00992567</v>
      </c>
    </row>
    <row r="23448" spans="1:2" x14ac:dyDescent="0.25">
      <c r="A23448" s="2">
        <v>23443</v>
      </c>
      <c r="B23448" s="11" t="str">
        <f>"00992574"</f>
        <v>00992574</v>
      </c>
    </row>
    <row r="23449" spans="1:2" x14ac:dyDescent="0.25">
      <c r="A23449" s="2">
        <v>23444</v>
      </c>
      <c r="B23449" s="11" t="str">
        <f>"00992613"</f>
        <v>00992613</v>
      </c>
    </row>
    <row r="23450" spans="1:2" x14ac:dyDescent="0.25">
      <c r="A23450" s="2">
        <v>23445</v>
      </c>
      <c r="B23450" s="11" t="str">
        <f>"00992631"</f>
        <v>00992631</v>
      </c>
    </row>
    <row r="23451" spans="1:2" x14ac:dyDescent="0.25">
      <c r="A23451" s="2">
        <v>23446</v>
      </c>
      <c r="B23451" s="11" t="str">
        <f>"00992833"</f>
        <v>00992833</v>
      </c>
    </row>
    <row r="23452" spans="1:2" x14ac:dyDescent="0.25">
      <c r="A23452" s="2">
        <v>23447</v>
      </c>
      <c r="B23452" s="11" t="str">
        <f>"00992874"</f>
        <v>00992874</v>
      </c>
    </row>
    <row r="23453" spans="1:2" x14ac:dyDescent="0.25">
      <c r="A23453" s="2">
        <v>23448</v>
      </c>
      <c r="B23453" s="11" t="str">
        <f>"00992896"</f>
        <v>00992896</v>
      </c>
    </row>
    <row r="23454" spans="1:2" x14ac:dyDescent="0.25">
      <c r="A23454" s="2">
        <v>23449</v>
      </c>
      <c r="B23454" s="11" t="str">
        <f>"00992898"</f>
        <v>00992898</v>
      </c>
    </row>
    <row r="23455" spans="1:2" x14ac:dyDescent="0.25">
      <c r="A23455" s="2">
        <v>23450</v>
      </c>
      <c r="B23455" s="11" t="str">
        <f>"00992929"</f>
        <v>00992929</v>
      </c>
    </row>
    <row r="23456" spans="1:2" x14ac:dyDescent="0.25">
      <c r="A23456" s="2">
        <v>23451</v>
      </c>
      <c r="B23456" s="11" t="str">
        <f>"00992937"</f>
        <v>00992937</v>
      </c>
    </row>
    <row r="23457" spans="1:2" x14ac:dyDescent="0.25">
      <c r="A23457" s="2">
        <v>23452</v>
      </c>
      <c r="B23457" s="11" t="str">
        <f>"00992999"</f>
        <v>00992999</v>
      </c>
    </row>
    <row r="23458" spans="1:2" x14ac:dyDescent="0.25">
      <c r="A23458" s="2">
        <v>23453</v>
      </c>
      <c r="B23458" s="11" t="str">
        <f>"00993012"</f>
        <v>00993012</v>
      </c>
    </row>
    <row r="23459" spans="1:2" x14ac:dyDescent="0.25">
      <c r="A23459" s="2">
        <v>23454</v>
      </c>
      <c r="B23459" s="11" t="str">
        <f>"00993040"</f>
        <v>00993040</v>
      </c>
    </row>
    <row r="23460" spans="1:2" x14ac:dyDescent="0.25">
      <c r="A23460" s="2">
        <v>23455</v>
      </c>
      <c r="B23460" s="11" t="str">
        <f>"00993056"</f>
        <v>00993056</v>
      </c>
    </row>
    <row r="23461" spans="1:2" x14ac:dyDescent="0.25">
      <c r="A23461" s="2">
        <v>23456</v>
      </c>
      <c r="B23461" s="11" t="str">
        <f>"00993082"</f>
        <v>00993082</v>
      </c>
    </row>
    <row r="23462" spans="1:2" x14ac:dyDescent="0.25">
      <c r="A23462" s="2">
        <v>23457</v>
      </c>
      <c r="B23462" s="11" t="str">
        <f>"00993084"</f>
        <v>00993084</v>
      </c>
    </row>
    <row r="23463" spans="1:2" x14ac:dyDescent="0.25">
      <c r="A23463" s="2">
        <v>23458</v>
      </c>
      <c r="B23463" s="11" t="str">
        <f>"00993085"</f>
        <v>00993085</v>
      </c>
    </row>
    <row r="23464" spans="1:2" x14ac:dyDescent="0.25">
      <c r="A23464" s="2">
        <v>23459</v>
      </c>
      <c r="B23464" s="11" t="str">
        <f>"00993089"</f>
        <v>00993089</v>
      </c>
    </row>
    <row r="23465" spans="1:2" x14ac:dyDescent="0.25">
      <c r="A23465" s="2">
        <v>23460</v>
      </c>
      <c r="B23465" s="11" t="str">
        <f>"00993105"</f>
        <v>00993105</v>
      </c>
    </row>
    <row r="23466" spans="1:2" x14ac:dyDescent="0.25">
      <c r="A23466" s="2">
        <v>23461</v>
      </c>
      <c r="B23466" s="11" t="str">
        <f>"00993125"</f>
        <v>00993125</v>
      </c>
    </row>
    <row r="23467" spans="1:2" x14ac:dyDescent="0.25">
      <c r="A23467" s="2">
        <v>23462</v>
      </c>
      <c r="B23467" s="11" t="str">
        <f>"00993143"</f>
        <v>00993143</v>
      </c>
    </row>
    <row r="23468" spans="1:2" x14ac:dyDescent="0.25">
      <c r="A23468" s="2">
        <v>23463</v>
      </c>
      <c r="B23468" s="11" t="str">
        <f>"00993158"</f>
        <v>00993158</v>
      </c>
    </row>
    <row r="23469" spans="1:2" x14ac:dyDescent="0.25">
      <c r="A23469" s="2">
        <v>23464</v>
      </c>
      <c r="B23469" s="11" t="str">
        <f>"00993165"</f>
        <v>00993165</v>
      </c>
    </row>
    <row r="23470" spans="1:2" x14ac:dyDescent="0.25">
      <c r="A23470" s="2">
        <v>23465</v>
      </c>
      <c r="B23470" s="11" t="str">
        <f>"00993172"</f>
        <v>00993172</v>
      </c>
    </row>
    <row r="23471" spans="1:2" x14ac:dyDescent="0.25">
      <c r="A23471" s="2">
        <v>23466</v>
      </c>
      <c r="B23471" s="11" t="str">
        <f>"00993200"</f>
        <v>00993200</v>
      </c>
    </row>
    <row r="23472" spans="1:2" x14ac:dyDescent="0.25">
      <c r="A23472" s="2">
        <v>23467</v>
      </c>
      <c r="B23472" s="11" t="str">
        <f>"00993217"</f>
        <v>00993217</v>
      </c>
    </row>
    <row r="23473" spans="1:2" x14ac:dyDescent="0.25">
      <c r="A23473" s="2">
        <v>23468</v>
      </c>
      <c r="B23473" s="11" t="str">
        <f>"00993250"</f>
        <v>00993250</v>
      </c>
    </row>
    <row r="23474" spans="1:2" x14ac:dyDescent="0.25">
      <c r="A23474" s="2">
        <v>23469</v>
      </c>
      <c r="B23474" s="11" t="str">
        <f>"00993255"</f>
        <v>00993255</v>
      </c>
    </row>
    <row r="23475" spans="1:2" x14ac:dyDescent="0.25">
      <c r="A23475" s="2">
        <v>23470</v>
      </c>
      <c r="B23475" s="11" t="str">
        <f>"00993281"</f>
        <v>00993281</v>
      </c>
    </row>
    <row r="23476" spans="1:2" x14ac:dyDescent="0.25">
      <c r="A23476" s="2">
        <v>23471</v>
      </c>
      <c r="B23476" s="11" t="str">
        <f>"00993291"</f>
        <v>00993291</v>
      </c>
    </row>
    <row r="23477" spans="1:2" x14ac:dyDescent="0.25">
      <c r="A23477" s="2">
        <v>23472</v>
      </c>
      <c r="B23477" s="11" t="str">
        <f>"00993293"</f>
        <v>00993293</v>
      </c>
    </row>
    <row r="23478" spans="1:2" x14ac:dyDescent="0.25">
      <c r="A23478" s="2">
        <v>23473</v>
      </c>
      <c r="B23478" s="11" t="str">
        <f>"00993298"</f>
        <v>00993298</v>
      </c>
    </row>
    <row r="23479" spans="1:2" x14ac:dyDescent="0.25">
      <c r="A23479" s="2">
        <v>23474</v>
      </c>
      <c r="B23479" s="11" t="str">
        <f>"00993307"</f>
        <v>00993307</v>
      </c>
    </row>
    <row r="23480" spans="1:2" x14ac:dyDescent="0.25">
      <c r="A23480" s="2">
        <v>23475</v>
      </c>
      <c r="B23480" s="11" t="str">
        <f>"00993315"</f>
        <v>00993315</v>
      </c>
    </row>
    <row r="23481" spans="1:2" x14ac:dyDescent="0.25">
      <c r="A23481" s="2">
        <v>23476</v>
      </c>
      <c r="B23481" s="11" t="str">
        <f>"00993330"</f>
        <v>00993330</v>
      </c>
    </row>
    <row r="23482" spans="1:2" x14ac:dyDescent="0.25">
      <c r="A23482" s="2">
        <v>23477</v>
      </c>
      <c r="B23482" s="11" t="str">
        <f>"00993375"</f>
        <v>00993375</v>
      </c>
    </row>
    <row r="23483" spans="1:2" x14ac:dyDescent="0.25">
      <c r="A23483" s="2">
        <v>23478</v>
      </c>
      <c r="B23483" s="11" t="str">
        <f>"00993385"</f>
        <v>00993385</v>
      </c>
    </row>
    <row r="23484" spans="1:2" x14ac:dyDescent="0.25">
      <c r="A23484" s="2">
        <v>23479</v>
      </c>
      <c r="B23484" s="11" t="str">
        <f>"00993395"</f>
        <v>00993395</v>
      </c>
    </row>
    <row r="23485" spans="1:2" x14ac:dyDescent="0.25">
      <c r="A23485" s="2">
        <v>23480</v>
      </c>
      <c r="B23485" s="11" t="str">
        <f>"00993399"</f>
        <v>00993399</v>
      </c>
    </row>
    <row r="23486" spans="1:2" x14ac:dyDescent="0.25">
      <c r="A23486" s="2">
        <v>23481</v>
      </c>
      <c r="B23486" s="11" t="str">
        <f>"00993451"</f>
        <v>00993451</v>
      </c>
    </row>
    <row r="23487" spans="1:2" x14ac:dyDescent="0.25">
      <c r="A23487" s="2">
        <v>23482</v>
      </c>
      <c r="B23487" s="11" t="str">
        <f>"00993457"</f>
        <v>00993457</v>
      </c>
    </row>
    <row r="23488" spans="1:2" x14ac:dyDescent="0.25">
      <c r="A23488" s="2">
        <v>23483</v>
      </c>
      <c r="B23488" s="11" t="str">
        <f>"00993527"</f>
        <v>00993527</v>
      </c>
    </row>
    <row r="23489" spans="1:2" x14ac:dyDescent="0.25">
      <c r="A23489" s="2">
        <v>23484</v>
      </c>
      <c r="B23489" s="11" t="str">
        <f>"00993535"</f>
        <v>00993535</v>
      </c>
    </row>
    <row r="23490" spans="1:2" x14ac:dyDescent="0.25">
      <c r="A23490" s="2">
        <v>23485</v>
      </c>
      <c r="B23490" s="11" t="str">
        <f>"00993553"</f>
        <v>00993553</v>
      </c>
    </row>
    <row r="23491" spans="1:2" x14ac:dyDescent="0.25">
      <c r="A23491" s="2">
        <v>23486</v>
      </c>
      <c r="B23491" s="11" t="str">
        <f>"00993578"</f>
        <v>00993578</v>
      </c>
    </row>
    <row r="23492" spans="1:2" x14ac:dyDescent="0.25">
      <c r="A23492" s="2">
        <v>23487</v>
      </c>
      <c r="B23492" s="11" t="str">
        <f>"00993608"</f>
        <v>00993608</v>
      </c>
    </row>
    <row r="23493" spans="1:2" x14ac:dyDescent="0.25">
      <c r="A23493" s="2">
        <v>23488</v>
      </c>
      <c r="B23493" s="11" t="str">
        <f>"00993635"</f>
        <v>00993635</v>
      </c>
    </row>
    <row r="23494" spans="1:2" x14ac:dyDescent="0.25">
      <c r="A23494" s="2">
        <v>23489</v>
      </c>
      <c r="B23494" s="11" t="str">
        <f>"00993650"</f>
        <v>00993650</v>
      </c>
    </row>
    <row r="23495" spans="1:2" x14ac:dyDescent="0.25">
      <c r="A23495" s="2">
        <v>23490</v>
      </c>
      <c r="B23495" s="11" t="str">
        <f>"00993670"</f>
        <v>00993670</v>
      </c>
    </row>
    <row r="23496" spans="1:2" x14ac:dyDescent="0.25">
      <c r="A23496" s="2">
        <v>23491</v>
      </c>
      <c r="B23496" s="11" t="str">
        <f>"00993671"</f>
        <v>00993671</v>
      </c>
    </row>
    <row r="23497" spans="1:2" x14ac:dyDescent="0.25">
      <c r="A23497" s="2">
        <v>23492</v>
      </c>
      <c r="B23497" s="11" t="str">
        <f>"00993707"</f>
        <v>00993707</v>
      </c>
    </row>
    <row r="23498" spans="1:2" x14ac:dyDescent="0.25">
      <c r="A23498" s="2">
        <v>23493</v>
      </c>
      <c r="B23498" s="11" t="str">
        <f>"00993719"</f>
        <v>00993719</v>
      </c>
    </row>
    <row r="23499" spans="1:2" x14ac:dyDescent="0.25">
      <c r="A23499" s="2">
        <v>23494</v>
      </c>
      <c r="B23499" s="11" t="str">
        <f>"00993727"</f>
        <v>00993727</v>
      </c>
    </row>
    <row r="23500" spans="1:2" x14ac:dyDescent="0.25">
      <c r="A23500" s="2">
        <v>23495</v>
      </c>
      <c r="B23500" s="11" t="str">
        <f>"00993748"</f>
        <v>00993748</v>
      </c>
    </row>
    <row r="23501" spans="1:2" x14ac:dyDescent="0.25">
      <c r="A23501" s="2">
        <v>23496</v>
      </c>
      <c r="B23501" s="11" t="str">
        <f>"00993803"</f>
        <v>00993803</v>
      </c>
    </row>
    <row r="23502" spans="1:2" x14ac:dyDescent="0.25">
      <c r="A23502" s="2">
        <v>23497</v>
      </c>
      <c r="B23502" s="11" t="str">
        <f>"00993836"</f>
        <v>00993836</v>
      </c>
    </row>
    <row r="23503" spans="1:2" x14ac:dyDescent="0.25">
      <c r="A23503" s="2">
        <v>23498</v>
      </c>
      <c r="B23503" s="11" t="str">
        <f>"00993842"</f>
        <v>00993842</v>
      </c>
    </row>
    <row r="23504" spans="1:2" x14ac:dyDescent="0.25">
      <c r="A23504" s="2">
        <v>23499</v>
      </c>
      <c r="B23504" s="11" t="str">
        <f>"00993849"</f>
        <v>00993849</v>
      </c>
    </row>
    <row r="23505" spans="1:2" x14ac:dyDescent="0.25">
      <c r="A23505" s="2">
        <v>23500</v>
      </c>
      <c r="B23505" s="11" t="str">
        <f>"00993869"</f>
        <v>00993869</v>
      </c>
    </row>
    <row r="23506" spans="1:2" x14ac:dyDescent="0.25">
      <c r="A23506" s="2">
        <v>23501</v>
      </c>
      <c r="B23506" s="11" t="str">
        <f>"00993871"</f>
        <v>00993871</v>
      </c>
    </row>
    <row r="23507" spans="1:2" x14ac:dyDescent="0.25">
      <c r="A23507" s="2">
        <v>23502</v>
      </c>
      <c r="B23507" s="11" t="str">
        <f>"00993913"</f>
        <v>00993913</v>
      </c>
    </row>
    <row r="23508" spans="1:2" x14ac:dyDescent="0.25">
      <c r="A23508" s="2">
        <v>23503</v>
      </c>
      <c r="B23508" s="11" t="str">
        <f>"00993922"</f>
        <v>00993922</v>
      </c>
    </row>
    <row r="23509" spans="1:2" x14ac:dyDescent="0.25">
      <c r="A23509" s="2">
        <v>23504</v>
      </c>
      <c r="B23509" s="11" t="str">
        <f>"00993923"</f>
        <v>00993923</v>
      </c>
    </row>
    <row r="23510" spans="1:2" x14ac:dyDescent="0.25">
      <c r="A23510" s="2">
        <v>23505</v>
      </c>
      <c r="B23510" s="11" t="str">
        <f>"00993971"</f>
        <v>00993971</v>
      </c>
    </row>
    <row r="23511" spans="1:2" x14ac:dyDescent="0.25">
      <c r="A23511" s="2">
        <v>23506</v>
      </c>
      <c r="B23511" s="11" t="str">
        <f>"00993993"</f>
        <v>00993993</v>
      </c>
    </row>
    <row r="23512" spans="1:2" x14ac:dyDescent="0.25">
      <c r="A23512" s="2">
        <v>23507</v>
      </c>
      <c r="B23512" s="11" t="str">
        <f>"00994011"</f>
        <v>00994011</v>
      </c>
    </row>
    <row r="23513" spans="1:2" x14ac:dyDescent="0.25">
      <c r="A23513" s="2">
        <v>23508</v>
      </c>
      <c r="B23513" s="11" t="str">
        <f>"00994027"</f>
        <v>00994027</v>
      </c>
    </row>
    <row r="23514" spans="1:2" x14ac:dyDescent="0.25">
      <c r="A23514" s="2">
        <v>23509</v>
      </c>
      <c r="B23514" s="11" t="str">
        <f>"00994028"</f>
        <v>00994028</v>
      </c>
    </row>
    <row r="23515" spans="1:2" x14ac:dyDescent="0.25">
      <c r="A23515" s="2">
        <v>23510</v>
      </c>
      <c r="B23515" s="11" t="str">
        <f>"00994046"</f>
        <v>00994046</v>
      </c>
    </row>
    <row r="23516" spans="1:2" x14ac:dyDescent="0.25">
      <c r="A23516" s="2">
        <v>23511</v>
      </c>
      <c r="B23516" s="11" t="str">
        <f>"00994079"</f>
        <v>00994079</v>
      </c>
    </row>
    <row r="23517" spans="1:2" x14ac:dyDescent="0.25">
      <c r="A23517" s="2">
        <v>23512</v>
      </c>
      <c r="B23517" s="11" t="str">
        <f>"00994082"</f>
        <v>00994082</v>
      </c>
    </row>
    <row r="23518" spans="1:2" x14ac:dyDescent="0.25">
      <c r="A23518" s="2">
        <v>23513</v>
      </c>
      <c r="B23518" s="11" t="str">
        <f>"00994122"</f>
        <v>00994122</v>
      </c>
    </row>
    <row r="23519" spans="1:2" x14ac:dyDescent="0.25">
      <c r="A23519" s="2">
        <v>23514</v>
      </c>
      <c r="B23519" s="11" t="str">
        <f>"00994123"</f>
        <v>00994123</v>
      </c>
    </row>
    <row r="23520" spans="1:2" x14ac:dyDescent="0.25">
      <c r="A23520" s="2">
        <v>23515</v>
      </c>
      <c r="B23520" s="11" t="str">
        <f>"00994127"</f>
        <v>00994127</v>
      </c>
    </row>
    <row r="23521" spans="1:2" x14ac:dyDescent="0.25">
      <c r="A23521" s="2">
        <v>23516</v>
      </c>
      <c r="B23521" s="11" t="str">
        <f>"00994131"</f>
        <v>00994131</v>
      </c>
    </row>
    <row r="23522" spans="1:2" x14ac:dyDescent="0.25">
      <c r="A23522" s="2">
        <v>23517</v>
      </c>
      <c r="B23522" s="11" t="str">
        <f>"00994142"</f>
        <v>00994142</v>
      </c>
    </row>
    <row r="23523" spans="1:2" x14ac:dyDescent="0.25">
      <c r="A23523" s="2">
        <v>23518</v>
      </c>
      <c r="B23523" s="11" t="str">
        <f>"00994148"</f>
        <v>00994148</v>
      </c>
    </row>
    <row r="23524" spans="1:2" x14ac:dyDescent="0.25">
      <c r="A23524" s="2">
        <v>23519</v>
      </c>
      <c r="B23524" s="11" t="str">
        <f>"00994165"</f>
        <v>00994165</v>
      </c>
    </row>
    <row r="23525" spans="1:2" x14ac:dyDescent="0.25">
      <c r="A23525" s="2">
        <v>23520</v>
      </c>
      <c r="B23525" s="11" t="str">
        <f>"00994178"</f>
        <v>00994178</v>
      </c>
    </row>
    <row r="23526" spans="1:2" x14ac:dyDescent="0.25">
      <c r="A23526" s="2">
        <v>23521</v>
      </c>
      <c r="B23526" s="11" t="str">
        <f>"00994191"</f>
        <v>00994191</v>
      </c>
    </row>
    <row r="23527" spans="1:2" x14ac:dyDescent="0.25">
      <c r="A23527" s="2">
        <v>23522</v>
      </c>
      <c r="B23527" s="11" t="str">
        <f>"00994192"</f>
        <v>00994192</v>
      </c>
    </row>
    <row r="23528" spans="1:2" x14ac:dyDescent="0.25">
      <c r="A23528" s="2">
        <v>23523</v>
      </c>
      <c r="B23528" s="11" t="str">
        <f>"00994208"</f>
        <v>00994208</v>
      </c>
    </row>
    <row r="23529" spans="1:2" x14ac:dyDescent="0.25">
      <c r="A23529" s="2">
        <v>23524</v>
      </c>
      <c r="B23529" s="11" t="str">
        <f>"00994221"</f>
        <v>00994221</v>
      </c>
    </row>
    <row r="23530" spans="1:2" x14ac:dyDescent="0.25">
      <c r="A23530" s="2">
        <v>23525</v>
      </c>
      <c r="B23530" s="11" t="str">
        <f>"00994228"</f>
        <v>00994228</v>
      </c>
    </row>
    <row r="23531" spans="1:2" x14ac:dyDescent="0.25">
      <c r="A23531" s="2">
        <v>23526</v>
      </c>
      <c r="B23531" s="11" t="str">
        <f>"00994235"</f>
        <v>00994235</v>
      </c>
    </row>
    <row r="23532" spans="1:2" x14ac:dyDescent="0.25">
      <c r="A23532" s="2">
        <v>23527</v>
      </c>
      <c r="B23532" s="11" t="str">
        <f>"00994261"</f>
        <v>00994261</v>
      </c>
    </row>
    <row r="23533" spans="1:2" x14ac:dyDescent="0.25">
      <c r="A23533" s="2">
        <v>23528</v>
      </c>
      <c r="B23533" s="11" t="str">
        <f>"00994262"</f>
        <v>00994262</v>
      </c>
    </row>
    <row r="23534" spans="1:2" x14ac:dyDescent="0.25">
      <c r="A23534" s="2">
        <v>23529</v>
      </c>
      <c r="B23534" s="11" t="str">
        <f>"00994267"</f>
        <v>00994267</v>
      </c>
    </row>
    <row r="23535" spans="1:2" x14ac:dyDescent="0.25">
      <c r="A23535" s="2">
        <v>23530</v>
      </c>
      <c r="B23535" s="11" t="str">
        <f>"00994269"</f>
        <v>00994269</v>
      </c>
    </row>
    <row r="23536" spans="1:2" x14ac:dyDescent="0.25">
      <c r="A23536" s="2">
        <v>23531</v>
      </c>
      <c r="B23536" s="11" t="str">
        <f>"00994271"</f>
        <v>00994271</v>
      </c>
    </row>
    <row r="23537" spans="1:2" x14ac:dyDescent="0.25">
      <c r="A23537" s="2">
        <v>23532</v>
      </c>
      <c r="B23537" s="11" t="str">
        <f>"00994312"</f>
        <v>00994312</v>
      </c>
    </row>
    <row r="23538" spans="1:2" x14ac:dyDescent="0.25">
      <c r="A23538" s="2">
        <v>23533</v>
      </c>
      <c r="B23538" s="11" t="str">
        <f>"00994326"</f>
        <v>00994326</v>
      </c>
    </row>
    <row r="23539" spans="1:2" x14ac:dyDescent="0.25">
      <c r="A23539" s="2">
        <v>23534</v>
      </c>
      <c r="B23539" s="11" t="str">
        <f>"00994334"</f>
        <v>00994334</v>
      </c>
    </row>
    <row r="23540" spans="1:2" x14ac:dyDescent="0.25">
      <c r="A23540" s="2">
        <v>23535</v>
      </c>
      <c r="B23540" s="11" t="str">
        <f>"00994363"</f>
        <v>00994363</v>
      </c>
    </row>
    <row r="23541" spans="1:2" x14ac:dyDescent="0.25">
      <c r="A23541" s="2">
        <v>23536</v>
      </c>
      <c r="B23541" s="11" t="str">
        <f>"00994372"</f>
        <v>00994372</v>
      </c>
    </row>
    <row r="23542" spans="1:2" x14ac:dyDescent="0.25">
      <c r="A23542" s="2">
        <v>23537</v>
      </c>
      <c r="B23542" s="11" t="str">
        <f>"00994377"</f>
        <v>00994377</v>
      </c>
    </row>
    <row r="23543" spans="1:2" x14ac:dyDescent="0.25">
      <c r="A23543" s="2">
        <v>23538</v>
      </c>
      <c r="B23543" s="11" t="str">
        <f>"00994384"</f>
        <v>00994384</v>
      </c>
    </row>
    <row r="23544" spans="1:2" x14ac:dyDescent="0.25">
      <c r="A23544" s="2">
        <v>23539</v>
      </c>
      <c r="B23544" s="11" t="str">
        <f>"00994390"</f>
        <v>00994390</v>
      </c>
    </row>
    <row r="23545" spans="1:2" x14ac:dyDescent="0.25">
      <c r="A23545" s="2">
        <v>23540</v>
      </c>
      <c r="B23545" s="11" t="str">
        <f>"00994407"</f>
        <v>00994407</v>
      </c>
    </row>
    <row r="23546" spans="1:2" x14ac:dyDescent="0.25">
      <c r="A23546" s="2">
        <v>23541</v>
      </c>
      <c r="B23546" s="11" t="str">
        <f>"00994427"</f>
        <v>00994427</v>
      </c>
    </row>
    <row r="23547" spans="1:2" x14ac:dyDescent="0.25">
      <c r="A23547" s="2">
        <v>23542</v>
      </c>
      <c r="B23547" s="11" t="str">
        <f>"00994488"</f>
        <v>00994488</v>
      </c>
    </row>
    <row r="23548" spans="1:2" x14ac:dyDescent="0.25">
      <c r="A23548" s="2">
        <v>23543</v>
      </c>
      <c r="B23548" s="11" t="str">
        <f>"00994515"</f>
        <v>00994515</v>
      </c>
    </row>
    <row r="23549" spans="1:2" x14ac:dyDescent="0.25">
      <c r="A23549" s="2">
        <v>23544</v>
      </c>
      <c r="B23549" s="11" t="str">
        <f>"00994517"</f>
        <v>00994517</v>
      </c>
    </row>
    <row r="23550" spans="1:2" x14ac:dyDescent="0.25">
      <c r="A23550" s="2">
        <v>23545</v>
      </c>
      <c r="B23550" s="11" t="str">
        <f>"00994525"</f>
        <v>00994525</v>
      </c>
    </row>
    <row r="23551" spans="1:2" x14ac:dyDescent="0.25">
      <c r="A23551" s="2">
        <v>23546</v>
      </c>
      <c r="B23551" s="11" t="str">
        <f>"00994544"</f>
        <v>00994544</v>
      </c>
    </row>
    <row r="23552" spans="1:2" x14ac:dyDescent="0.25">
      <c r="A23552" s="2">
        <v>23547</v>
      </c>
      <c r="B23552" s="11" t="str">
        <f>"00994548"</f>
        <v>00994548</v>
      </c>
    </row>
    <row r="23553" spans="1:2" x14ac:dyDescent="0.25">
      <c r="A23553" s="2">
        <v>23548</v>
      </c>
      <c r="B23553" s="11" t="str">
        <f>"00994577"</f>
        <v>00994577</v>
      </c>
    </row>
    <row r="23554" spans="1:2" x14ac:dyDescent="0.25">
      <c r="A23554" s="2">
        <v>23549</v>
      </c>
      <c r="B23554" s="11" t="str">
        <f>"00994589"</f>
        <v>00994589</v>
      </c>
    </row>
    <row r="23555" spans="1:2" x14ac:dyDescent="0.25">
      <c r="A23555" s="2">
        <v>23550</v>
      </c>
      <c r="B23555" s="11" t="str">
        <f>"00994616"</f>
        <v>00994616</v>
      </c>
    </row>
    <row r="23556" spans="1:2" x14ac:dyDescent="0.25">
      <c r="A23556" s="2">
        <v>23551</v>
      </c>
      <c r="B23556" s="11" t="str">
        <f>"00994692"</f>
        <v>00994692</v>
      </c>
    </row>
    <row r="23557" spans="1:2" x14ac:dyDescent="0.25">
      <c r="A23557" s="2">
        <v>23552</v>
      </c>
      <c r="B23557" s="11" t="str">
        <f>"00994715"</f>
        <v>00994715</v>
      </c>
    </row>
    <row r="23558" spans="1:2" x14ac:dyDescent="0.25">
      <c r="A23558" s="2">
        <v>23553</v>
      </c>
      <c r="B23558" s="11" t="str">
        <f>"00994723"</f>
        <v>00994723</v>
      </c>
    </row>
    <row r="23559" spans="1:2" x14ac:dyDescent="0.25">
      <c r="A23559" s="2">
        <v>23554</v>
      </c>
      <c r="B23559" s="11" t="str">
        <f>"00994740"</f>
        <v>00994740</v>
      </c>
    </row>
    <row r="23560" spans="1:2" x14ac:dyDescent="0.25">
      <c r="A23560" s="2">
        <v>23555</v>
      </c>
      <c r="B23560" s="11" t="str">
        <f>"00994769"</f>
        <v>00994769</v>
      </c>
    </row>
    <row r="23561" spans="1:2" x14ac:dyDescent="0.25">
      <c r="A23561" s="2">
        <v>23556</v>
      </c>
      <c r="B23561" s="11" t="str">
        <f>"00994779"</f>
        <v>00994779</v>
      </c>
    </row>
    <row r="23562" spans="1:2" x14ac:dyDescent="0.25">
      <c r="A23562" s="2">
        <v>23557</v>
      </c>
      <c r="B23562" s="11" t="str">
        <f>"00994835"</f>
        <v>00994835</v>
      </c>
    </row>
    <row r="23563" spans="1:2" x14ac:dyDescent="0.25">
      <c r="A23563" s="2">
        <v>23558</v>
      </c>
      <c r="B23563" s="11" t="str">
        <f>"00994836"</f>
        <v>00994836</v>
      </c>
    </row>
    <row r="23564" spans="1:2" x14ac:dyDescent="0.25">
      <c r="A23564" s="2">
        <v>23559</v>
      </c>
      <c r="B23564" s="11" t="str">
        <f>"00994878"</f>
        <v>00994878</v>
      </c>
    </row>
    <row r="23565" spans="1:2" x14ac:dyDescent="0.25">
      <c r="A23565" s="2">
        <v>23560</v>
      </c>
      <c r="B23565" s="11" t="str">
        <f>"00994886"</f>
        <v>00994886</v>
      </c>
    </row>
    <row r="23566" spans="1:2" x14ac:dyDescent="0.25">
      <c r="A23566" s="2">
        <v>23561</v>
      </c>
      <c r="B23566" s="11" t="str">
        <f>"00994888"</f>
        <v>00994888</v>
      </c>
    </row>
    <row r="23567" spans="1:2" x14ac:dyDescent="0.25">
      <c r="A23567" s="2">
        <v>23562</v>
      </c>
      <c r="B23567" s="11" t="str">
        <f>"00994917"</f>
        <v>00994917</v>
      </c>
    </row>
    <row r="23568" spans="1:2" x14ac:dyDescent="0.25">
      <c r="A23568" s="2">
        <v>23563</v>
      </c>
      <c r="B23568" s="11" t="str">
        <f>"00994937"</f>
        <v>00994937</v>
      </c>
    </row>
    <row r="23569" spans="1:2" x14ac:dyDescent="0.25">
      <c r="A23569" s="2">
        <v>23564</v>
      </c>
      <c r="B23569" s="11" t="str">
        <f>"00994944"</f>
        <v>00994944</v>
      </c>
    </row>
    <row r="23570" spans="1:2" x14ac:dyDescent="0.25">
      <c r="A23570" s="2">
        <v>23565</v>
      </c>
      <c r="B23570" s="11" t="str">
        <f>"00994962"</f>
        <v>00994962</v>
      </c>
    </row>
    <row r="23571" spans="1:2" x14ac:dyDescent="0.25">
      <c r="A23571" s="2">
        <v>23566</v>
      </c>
      <c r="B23571" s="11" t="str">
        <f>"00995126"</f>
        <v>00995126</v>
      </c>
    </row>
    <row r="23572" spans="1:2" x14ac:dyDescent="0.25">
      <c r="A23572" s="2">
        <v>23567</v>
      </c>
      <c r="B23572" s="11" t="str">
        <f>"00995128"</f>
        <v>00995128</v>
      </c>
    </row>
    <row r="23573" spans="1:2" x14ac:dyDescent="0.25">
      <c r="A23573" s="2">
        <v>23568</v>
      </c>
      <c r="B23573" s="11" t="str">
        <f>"00995137"</f>
        <v>00995137</v>
      </c>
    </row>
    <row r="23574" spans="1:2" x14ac:dyDescent="0.25">
      <c r="A23574" s="2">
        <v>23569</v>
      </c>
      <c r="B23574" s="11" t="str">
        <f>"00995143"</f>
        <v>00995143</v>
      </c>
    </row>
    <row r="23575" spans="1:2" x14ac:dyDescent="0.25">
      <c r="A23575" s="2">
        <v>23570</v>
      </c>
      <c r="B23575" s="11" t="str">
        <f>"00995164"</f>
        <v>00995164</v>
      </c>
    </row>
    <row r="23576" spans="1:2" x14ac:dyDescent="0.25">
      <c r="A23576" s="2">
        <v>23571</v>
      </c>
      <c r="B23576" s="11" t="str">
        <f>"00995169"</f>
        <v>00995169</v>
      </c>
    </row>
    <row r="23577" spans="1:2" x14ac:dyDescent="0.25">
      <c r="A23577" s="2">
        <v>23572</v>
      </c>
      <c r="B23577" s="11" t="str">
        <f>"00995179"</f>
        <v>00995179</v>
      </c>
    </row>
    <row r="23578" spans="1:2" x14ac:dyDescent="0.25">
      <c r="A23578" s="2">
        <v>23573</v>
      </c>
      <c r="B23578" s="11" t="str">
        <f>"00995196"</f>
        <v>00995196</v>
      </c>
    </row>
    <row r="23579" spans="1:2" x14ac:dyDescent="0.25">
      <c r="A23579" s="2">
        <v>23574</v>
      </c>
      <c r="B23579" s="11" t="str">
        <f>"00995214"</f>
        <v>00995214</v>
      </c>
    </row>
    <row r="23580" spans="1:2" x14ac:dyDescent="0.25">
      <c r="A23580" s="2">
        <v>23575</v>
      </c>
      <c r="B23580" s="11" t="str">
        <f>"00995271"</f>
        <v>00995271</v>
      </c>
    </row>
    <row r="23581" spans="1:2" x14ac:dyDescent="0.25">
      <c r="A23581" s="2">
        <v>23576</v>
      </c>
      <c r="B23581" s="11" t="str">
        <f>"00995275"</f>
        <v>00995275</v>
      </c>
    </row>
    <row r="23582" spans="1:2" x14ac:dyDescent="0.25">
      <c r="A23582" s="2">
        <v>23577</v>
      </c>
      <c r="B23582" s="11" t="str">
        <f>"00995332"</f>
        <v>00995332</v>
      </c>
    </row>
    <row r="23583" spans="1:2" x14ac:dyDescent="0.25">
      <c r="A23583" s="2">
        <v>23578</v>
      </c>
      <c r="B23583" s="11" t="str">
        <f>"00995342"</f>
        <v>00995342</v>
      </c>
    </row>
    <row r="23584" spans="1:2" x14ac:dyDescent="0.25">
      <c r="A23584" s="2">
        <v>23579</v>
      </c>
      <c r="B23584" s="11" t="str">
        <f>"00995357"</f>
        <v>00995357</v>
      </c>
    </row>
    <row r="23585" spans="1:2" x14ac:dyDescent="0.25">
      <c r="A23585" s="2">
        <v>23580</v>
      </c>
      <c r="B23585" s="11" t="str">
        <f>"00995365"</f>
        <v>00995365</v>
      </c>
    </row>
    <row r="23586" spans="1:2" x14ac:dyDescent="0.25">
      <c r="A23586" s="2">
        <v>23581</v>
      </c>
      <c r="B23586" s="11" t="str">
        <f>"00995388"</f>
        <v>00995388</v>
      </c>
    </row>
    <row r="23587" spans="1:2" x14ac:dyDescent="0.25">
      <c r="A23587" s="2">
        <v>23582</v>
      </c>
      <c r="B23587" s="11" t="str">
        <f>"00995392"</f>
        <v>00995392</v>
      </c>
    </row>
    <row r="23588" spans="1:2" x14ac:dyDescent="0.25">
      <c r="A23588" s="2">
        <v>23583</v>
      </c>
      <c r="B23588" s="11" t="str">
        <f>"00995408"</f>
        <v>00995408</v>
      </c>
    </row>
    <row r="23589" spans="1:2" x14ac:dyDescent="0.25">
      <c r="A23589" s="2">
        <v>23584</v>
      </c>
      <c r="B23589" s="11" t="str">
        <f>"00995481"</f>
        <v>00995481</v>
      </c>
    </row>
    <row r="23590" spans="1:2" x14ac:dyDescent="0.25">
      <c r="A23590" s="2">
        <v>23585</v>
      </c>
      <c r="B23590" s="11" t="str">
        <f>"00995539"</f>
        <v>00995539</v>
      </c>
    </row>
    <row r="23591" spans="1:2" x14ac:dyDescent="0.25">
      <c r="A23591" s="2">
        <v>23586</v>
      </c>
      <c r="B23591" s="11" t="str">
        <f>"00995569"</f>
        <v>00995569</v>
      </c>
    </row>
    <row r="23592" spans="1:2" x14ac:dyDescent="0.25">
      <c r="A23592" s="2">
        <v>23587</v>
      </c>
      <c r="B23592" s="11" t="str">
        <f>"00995578"</f>
        <v>00995578</v>
      </c>
    </row>
    <row r="23593" spans="1:2" x14ac:dyDescent="0.25">
      <c r="A23593" s="2">
        <v>23588</v>
      </c>
      <c r="B23593" s="11" t="str">
        <f>"00995609"</f>
        <v>00995609</v>
      </c>
    </row>
    <row r="23594" spans="1:2" x14ac:dyDescent="0.25">
      <c r="A23594" s="2">
        <v>23589</v>
      </c>
      <c r="B23594" s="11" t="str">
        <f>"00995687"</f>
        <v>00995687</v>
      </c>
    </row>
    <row r="23595" spans="1:2" x14ac:dyDescent="0.25">
      <c r="A23595" s="2">
        <v>23590</v>
      </c>
      <c r="B23595" s="11" t="str">
        <f>"00995707"</f>
        <v>00995707</v>
      </c>
    </row>
    <row r="23596" spans="1:2" x14ac:dyDescent="0.25">
      <c r="A23596" s="2">
        <v>23591</v>
      </c>
      <c r="B23596" s="11" t="str">
        <f>"00995761"</f>
        <v>00995761</v>
      </c>
    </row>
    <row r="23597" spans="1:2" x14ac:dyDescent="0.25">
      <c r="A23597" s="2">
        <v>23592</v>
      </c>
      <c r="B23597" s="11" t="str">
        <f>"00995762"</f>
        <v>00995762</v>
      </c>
    </row>
    <row r="23598" spans="1:2" x14ac:dyDescent="0.25">
      <c r="A23598" s="2">
        <v>23593</v>
      </c>
      <c r="B23598" s="11" t="str">
        <f>"00995775"</f>
        <v>00995775</v>
      </c>
    </row>
    <row r="23599" spans="1:2" x14ac:dyDescent="0.25">
      <c r="A23599" s="2">
        <v>23594</v>
      </c>
      <c r="B23599" s="11" t="str">
        <f>"00995812"</f>
        <v>00995812</v>
      </c>
    </row>
    <row r="23600" spans="1:2" x14ac:dyDescent="0.25">
      <c r="A23600" s="2">
        <v>23595</v>
      </c>
      <c r="B23600" s="11" t="str">
        <f>"00995856"</f>
        <v>00995856</v>
      </c>
    </row>
    <row r="23601" spans="1:2" x14ac:dyDescent="0.25">
      <c r="A23601" s="2">
        <v>23596</v>
      </c>
      <c r="B23601" s="11" t="str">
        <f>"00995864"</f>
        <v>00995864</v>
      </c>
    </row>
    <row r="23602" spans="1:2" x14ac:dyDescent="0.25">
      <c r="A23602" s="2">
        <v>23597</v>
      </c>
      <c r="B23602" s="11" t="str">
        <f>"00995917"</f>
        <v>00995917</v>
      </c>
    </row>
    <row r="23603" spans="1:2" x14ac:dyDescent="0.25">
      <c r="A23603" s="2">
        <v>23598</v>
      </c>
      <c r="B23603" s="11" t="str">
        <f>"00995923"</f>
        <v>00995923</v>
      </c>
    </row>
    <row r="23604" spans="1:2" x14ac:dyDescent="0.25">
      <c r="A23604" s="2">
        <v>23599</v>
      </c>
      <c r="B23604" s="11" t="str">
        <f>"00995925"</f>
        <v>00995925</v>
      </c>
    </row>
    <row r="23605" spans="1:2" x14ac:dyDescent="0.25">
      <c r="A23605" s="2">
        <v>23600</v>
      </c>
      <c r="B23605" s="11" t="str">
        <f>"00995953"</f>
        <v>00995953</v>
      </c>
    </row>
    <row r="23606" spans="1:2" x14ac:dyDescent="0.25">
      <c r="A23606" s="2">
        <v>23601</v>
      </c>
      <c r="B23606" s="11" t="str">
        <f>"00995982"</f>
        <v>00995982</v>
      </c>
    </row>
    <row r="23607" spans="1:2" x14ac:dyDescent="0.25">
      <c r="A23607" s="2">
        <v>23602</v>
      </c>
      <c r="B23607" s="11" t="str">
        <f>"00996000"</f>
        <v>00996000</v>
      </c>
    </row>
    <row r="23608" spans="1:2" x14ac:dyDescent="0.25">
      <c r="A23608" s="2">
        <v>23603</v>
      </c>
      <c r="B23608" s="11" t="str">
        <f>"00996028"</f>
        <v>00996028</v>
      </c>
    </row>
    <row r="23609" spans="1:2" x14ac:dyDescent="0.25">
      <c r="A23609" s="2">
        <v>23604</v>
      </c>
      <c r="B23609" s="11" t="str">
        <f>"00996032"</f>
        <v>00996032</v>
      </c>
    </row>
    <row r="23610" spans="1:2" x14ac:dyDescent="0.25">
      <c r="A23610" s="2">
        <v>23605</v>
      </c>
      <c r="B23610" s="11" t="str">
        <f>"00996042"</f>
        <v>00996042</v>
      </c>
    </row>
    <row r="23611" spans="1:2" x14ac:dyDescent="0.25">
      <c r="A23611" s="2">
        <v>23606</v>
      </c>
      <c r="B23611" s="11" t="str">
        <f>"00996053"</f>
        <v>00996053</v>
      </c>
    </row>
    <row r="23612" spans="1:2" x14ac:dyDescent="0.25">
      <c r="A23612" s="2">
        <v>23607</v>
      </c>
      <c r="B23612" s="11" t="str">
        <f>"00996061"</f>
        <v>00996061</v>
      </c>
    </row>
    <row r="23613" spans="1:2" x14ac:dyDescent="0.25">
      <c r="A23613" s="2">
        <v>23608</v>
      </c>
      <c r="B23613" s="11" t="str">
        <f>"00996069"</f>
        <v>00996069</v>
      </c>
    </row>
    <row r="23614" spans="1:2" x14ac:dyDescent="0.25">
      <c r="A23614" s="2">
        <v>23609</v>
      </c>
      <c r="B23614" s="11" t="str">
        <f>"00996088"</f>
        <v>00996088</v>
      </c>
    </row>
    <row r="23615" spans="1:2" x14ac:dyDescent="0.25">
      <c r="A23615" s="2">
        <v>23610</v>
      </c>
      <c r="B23615" s="11" t="str">
        <f>"00996095"</f>
        <v>00996095</v>
      </c>
    </row>
    <row r="23616" spans="1:2" x14ac:dyDescent="0.25">
      <c r="A23616" s="2">
        <v>23611</v>
      </c>
      <c r="B23616" s="11" t="str">
        <f>"00996130"</f>
        <v>00996130</v>
      </c>
    </row>
    <row r="23617" spans="1:2" x14ac:dyDescent="0.25">
      <c r="A23617" s="2">
        <v>23612</v>
      </c>
      <c r="B23617" s="11" t="str">
        <f>"00996139"</f>
        <v>00996139</v>
      </c>
    </row>
    <row r="23618" spans="1:2" x14ac:dyDescent="0.25">
      <c r="A23618" s="2">
        <v>23613</v>
      </c>
      <c r="B23618" s="11" t="str">
        <f>"00996169"</f>
        <v>00996169</v>
      </c>
    </row>
    <row r="23619" spans="1:2" x14ac:dyDescent="0.25">
      <c r="A23619" s="2">
        <v>23614</v>
      </c>
      <c r="B23619" s="11" t="str">
        <f>"00996185"</f>
        <v>00996185</v>
      </c>
    </row>
    <row r="23620" spans="1:2" x14ac:dyDescent="0.25">
      <c r="A23620" s="2">
        <v>23615</v>
      </c>
      <c r="B23620" s="11" t="str">
        <f>"00996188"</f>
        <v>00996188</v>
      </c>
    </row>
    <row r="23621" spans="1:2" x14ac:dyDescent="0.25">
      <c r="A23621" s="2">
        <v>23616</v>
      </c>
      <c r="B23621" s="11" t="str">
        <f>"00996205"</f>
        <v>00996205</v>
      </c>
    </row>
    <row r="23622" spans="1:2" x14ac:dyDescent="0.25">
      <c r="A23622" s="2">
        <v>23617</v>
      </c>
      <c r="B23622" s="11" t="str">
        <f>"00996240"</f>
        <v>00996240</v>
      </c>
    </row>
    <row r="23623" spans="1:2" x14ac:dyDescent="0.25">
      <c r="A23623" s="2">
        <v>23618</v>
      </c>
      <c r="B23623" s="11" t="str">
        <f>"00996251"</f>
        <v>00996251</v>
      </c>
    </row>
    <row r="23624" spans="1:2" x14ac:dyDescent="0.25">
      <c r="A23624" s="2">
        <v>23619</v>
      </c>
      <c r="B23624" s="11" t="str">
        <f>"00996273"</f>
        <v>00996273</v>
      </c>
    </row>
    <row r="23625" spans="1:2" x14ac:dyDescent="0.25">
      <c r="A23625" s="2">
        <v>23620</v>
      </c>
      <c r="B23625" s="11" t="str">
        <f>"00996282"</f>
        <v>00996282</v>
      </c>
    </row>
    <row r="23626" spans="1:2" x14ac:dyDescent="0.25">
      <c r="A23626" s="2">
        <v>23621</v>
      </c>
      <c r="B23626" s="11" t="str">
        <f>"00996293"</f>
        <v>00996293</v>
      </c>
    </row>
    <row r="23627" spans="1:2" x14ac:dyDescent="0.25">
      <c r="A23627" s="2">
        <v>23622</v>
      </c>
      <c r="B23627" s="11" t="str">
        <f>"00996360"</f>
        <v>00996360</v>
      </c>
    </row>
    <row r="23628" spans="1:2" x14ac:dyDescent="0.25">
      <c r="A23628" s="2">
        <v>23623</v>
      </c>
      <c r="B23628" s="11" t="str">
        <f>"00996394"</f>
        <v>00996394</v>
      </c>
    </row>
    <row r="23629" spans="1:2" x14ac:dyDescent="0.25">
      <c r="A23629" s="2">
        <v>23624</v>
      </c>
      <c r="B23629" s="11" t="str">
        <f>"00996429"</f>
        <v>00996429</v>
      </c>
    </row>
    <row r="23630" spans="1:2" x14ac:dyDescent="0.25">
      <c r="A23630" s="2">
        <v>23625</v>
      </c>
      <c r="B23630" s="11" t="str">
        <f>"00996444"</f>
        <v>00996444</v>
      </c>
    </row>
    <row r="23631" spans="1:2" x14ac:dyDescent="0.25">
      <c r="A23631" s="2">
        <v>23626</v>
      </c>
      <c r="B23631" s="11" t="str">
        <f>"00996456"</f>
        <v>00996456</v>
      </c>
    </row>
    <row r="23632" spans="1:2" x14ac:dyDescent="0.25">
      <c r="A23632" s="2">
        <v>23627</v>
      </c>
      <c r="B23632" s="11" t="str">
        <f>"00996465"</f>
        <v>00996465</v>
      </c>
    </row>
    <row r="23633" spans="1:2" x14ac:dyDescent="0.25">
      <c r="A23633" s="2">
        <v>23628</v>
      </c>
      <c r="B23633" s="11" t="str">
        <f>"00996466"</f>
        <v>00996466</v>
      </c>
    </row>
    <row r="23634" spans="1:2" x14ac:dyDescent="0.25">
      <c r="A23634" s="2">
        <v>23629</v>
      </c>
      <c r="B23634" s="11" t="str">
        <f>"00996471"</f>
        <v>00996471</v>
      </c>
    </row>
    <row r="23635" spans="1:2" x14ac:dyDescent="0.25">
      <c r="A23635" s="2">
        <v>23630</v>
      </c>
      <c r="B23635" s="11" t="str">
        <f>"00996488"</f>
        <v>00996488</v>
      </c>
    </row>
    <row r="23636" spans="1:2" x14ac:dyDescent="0.25">
      <c r="A23636" s="2">
        <v>23631</v>
      </c>
      <c r="B23636" s="11" t="str">
        <f>"00996493"</f>
        <v>00996493</v>
      </c>
    </row>
    <row r="23637" spans="1:2" x14ac:dyDescent="0.25">
      <c r="A23637" s="2">
        <v>23632</v>
      </c>
      <c r="B23637" s="11" t="str">
        <f>"00996508"</f>
        <v>00996508</v>
      </c>
    </row>
    <row r="23638" spans="1:2" x14ac:dyDescent="0.25">
      <c r="A23638" s="2">
        <v>23633</v>
      </c>
      <c r="B23638" s="11" t="str">
        <f>"00996523"</f>
        <v>00996523</v>
      </c>
    </row>
    <row r="23639" spans="1:2" x14ac:dyDescent="0.25">
      <c r="A23639" s="2">
        <v>23634</v>
      </c>
      <c r="B23639" s="11" t="str">
        <f>"00996525"</f>
        <v>00996525</v>
      </c>
    </row>
    <row r="23640" spans="1:2" x14ac:dyDescent="0.25">
      <c r="A23640" s="2">
        <v>23635</v>
      </c>
      <c r="B23640" s="11" t="str">
        <f>"00996567"</f>
        <v>00996567</v>
      </c>
    </row>
    <row r="23641" spans="1:2" x14ac:dyDescent="0.25">
      <c r="A23641" s="2">
        <v>23636</v>
      </c>
      <c r="B23641" s="11" t="str">
        <f>"00996584"</f>
        <v>00996584</v>
      </c>
    </row>
    <row r="23642" spans="1:2" x14ac:dyDescent="0.25">
      <c r="A23642" s="2">
        <v>23637</v>
      </c>
      <c r="B23642" s="11" t="str">
        <f>"00996590"</f>
        <v>00996590</v>
      </c>
    </row>
    <row r="23643" spans="1:2" x14ac:dyDescent="0.25">
      <c r="A23643" s="2">
        <v>23638</v>
      </c>
      <c r="B23643" s="11" t="str">
        <f>"00996593"</f>
        <v>00996593</v>
      </c>
    </row>
    <row r="23644" spans="1:2" x14ac:dyDescent="0.25">
      <c r="A23644" s="2">
        <v>23639</v>
      </c>
      <c r="B23644" s="11" t="str">
        <f>"00996594"</f>
        <v>00996594</v>
      </c>
    </row>
    <row r="23645" spans="1:2" x14ac:dyDescent="0.25">
      <c r="A23645" s="2">
        <v>23640</v>
      </c>
      <c r="B23645" s="11" t="str">
        <f>"00996607"</f>
        <v>00996607</v>
      </c>
    </row>
    <row r="23646" spans="1:2" x14ac:dyDescent="0.25">
      <c r="A23646" s="2">
        <v>23641</v>
      </c>
      <c r="B23646" s="11" t="str">
        <f>"00996609"</f>
        <v>00996609</v>
      </c>
    </row>
    <row r="23647" spans="1:2" x14ac:dyDescent="0.25">
      <c r="A23647" s="2">
        <v>23642</v>
      </c>
      <c r="B23647" s="11" t="str">
        <f>"00996633"</f>
        <v>00996633</v>
      </c>
    </row>
    <row r="23648" spans="1:2" x14ac:dyDescent="0.25">
      <c r="A23648" s="2">
        <v>23643</v>
      </c>
      <c r="B23648" s="11" t="str">
        <f>"00996668"</f>
        <v>00996668</v>
      </c>
    </row>
    <row r="23649" spans="1:2" x14ac:dyDescent="0.25">
      <c r="A23649" s="2">
        <v>23644</v>
      </c>
      <c r="B23649" s="11" t="str">
        <f>"00996681"</f>
        <v>00996681</v>
      </c>
    </row>
    <row r="23650" spans="1:2" x14ac:dyDescent="0.25">
      <c r="A23650" s="2">
        <v>23645</v>
      </c>
      <c r="B23650" s="11" t="str">
        <f>"00996720"</f>
        <v>00996720</v>
      </c>
    </row>
    <row r="23651" spans="1:2" x14ac:dyDescent="0.25">
      <c r="A23651" s="2">
        <v>23646</v>
      </c>
      <c r="B23651" s="11" t="str">
        <f>"00996796"</f>
        <v>00996796</v>
      </c>
    </row>
    <row r="23652" spans="1:2" x14ac:dyDescent="0.25">
      <c r="A23652" s="2">
        <v>23647</v>
      </c>
      <c r="B23652" s="11" t="str">
        <f>"00996826"</f>
        <v>00996826</v>
      </c>
    </row>
    <row r="23653" spans="1:2" x14ac:dyDescent="0.25">
      <c r="A23653" s="2">
        <v>23648</v>
      </c>
      <c r="B23653" s="11" t="str">
        <f>"00996832"</f>
        <v>00996832</v>
      </c>
    </row>
    <row r="23654" spans="1:2" x14ac:dyDescent="0.25">
      <c r="A23654" s="2">
        <v>23649</v>
      </c>
      <c r="B23654" s="11" t="str">
        <f>"00996842"</f>
        <v>00996842</v>
      </c>
    </row>
    <row r="23655" spans="1:2" x14ac:dyDescent="0.25">
      <c r="A23655" s="2">
        <v>23650</v>
      </c>
      <c r="B23655" s="11" t="str">
        <f>"00996852"</f>
        <v>00996852</v>
      </c>
    </row>
    <row r="23656" spans="1:2" x14ac:dyDescent="0.25">
      <c r="A23656" s="2">
        <v>23651</v>
      </c>
      <c r="B23656" s="11" t="str">
        <f>"00996904"</f>
        <v>00996904</v>
      </c>
    </row>
    <row r="23657" spans="1:2" x14ac:dyDescent="0.25">
      <c r="A23657" s="2">
        <v>23652</v>
      </c>
      <c r="B23657" s="11" t="str">
        <f>"00996916"</f>
        <v>00996916</v>
      </c>
    </row>
    <row r="23658" spans="1:2" x14ac:dyDescent="0.25">
      <c r="A23658" s="2">
        <v>23653</v>
      </c>
      <c r="B23658" s="11" t="str">
        <f>"00996920"</f>
        <v>00996920</v>
      </c>
    </row>
    <row r="23659" spans="1:2" x14ac:dyDescent="0.25">
      <c r="A23659" s="2">
        <v>23654</v>
      </c>
      <c r="B23659" s="11" t="str">
        <f>"00996946"</f>
        <v>00996946</v>
      </c>
    </row>
    <row r="23660" spans="1:2" x14ac:dyDescent="0.25">
      <c r="A23660" s="2">
        <v>23655</v>
      </c>
      <c r="B23660" s="11" t="str">
        <f>"00996963"</f>
        <v>00996963</v>
      </c>
    </row>
    <row r="23661" spans="1:2" x14ac:dyDescent="0.25">
      <c r="A23661" s="2">
        <v>23656</v>
      </c>
      <c r="B23661" s="11" t="str">
        <f>"00996978"</f>
        <v>00996978</v>
      </c>
    </row>
    <row r="23662" spans="1:2" x14ac:dyDescent="0.25">
      <c r="A23662" s="2">
        <v>23657</v>
      </c>
      <c r="B23662" s="11" t="str">
        <f>"00996982"</f>
        <v>00996982</v>
      </c>
    </row>
    <row r="23663" spans="1:2" x14ac:dyDescent="0.25">
      <c r="A23663" s="2">
        <v>23658</v>
      </c>
      <c r="B23663" s="11" t="str">
        <f>"00996995"</f>
        <v>00996995</v>
      </c>
    </row>
    <row r="23664" spans="1:2" x14ac:dyDescent="0.25">
      <c r="A23664" s="2">
        <v>23659</v>
      </c>
      <c r="B23664" s="11" t="str">
        <f>"00997021"</f>
        <v>00997021</v>
      </c>
    </row>
    <row r="23665" spans="1:2" x14ac:dyDescent="0.25">
      <c r="A23665" s="2">
        <v>23660</v>
      </c>
      <c r="B23665" s="11" t="str">
        <f>"00997030"</f>
        <v>00997030</v>
      </c>
    </row>
    <row r="23666" spans="1:2" x14ac:dyDescent="0.25">
      <c r="A23666" s="2">
        <v>23661</v>
      </c>
      <c r="B23666" s="11" t="str">
        <f>"00997041"</f>
        <v>00997041</v>
      </c>
    </row>
    <row r="23667" spans="1:2" x14ac:dyDescent="0.25">
      <c r="A23667" s="2">
        <v>23662</v>
      </c>
      <c r="B23667" s="11" t="str">
        <f>"00997049"</f>
        <v>00997049</v>
      </c>
    </row>
    <row r="23668" spans="1:2" x14ac:dyDescent="0.25">
      <c r="A23668" s="2">
        <v>23663</v>
      </c>
      <c r="B23668" s="11" t="str">
        <f>"00997075"</f>
        <v>00997075</v>
      </c>
    </row>
    <row r="23669" spans="1:2" x14ac:dyDescent="0.25">
      <c r="A23669" s="2">
        <v>23664</v>
      </c>
      <c r="B23669" s="11" t="str">
        <f>"00997094"</f>
        <v>00997094</v>
      </c>
    </row>
    <row r="23670" spans="1:2" x14ac:dyDescent="0.25">
      <c r="A23670" s="2">
        <v>23665</v>
      </c>
      <c r="B23670" s="11" t="str">
        <f>"00997116"</f>
        <v>00997116</v>
      </c>
    </row>
    <row r="23671" spans="1:2" x14ac:dyDescent="0.25">
      <c r="A23671" s="2">
        <v>23666</v>
      </c>
      <c r="B23671" s="11" t="str">
        <f>"00997148"</f>
        <v>00997148</v>
      </c>
    </row>
    <row r="23672" spans="1:2" x14ac:dyDescent="0.25">
      <c r="A23672" s="2">
        <v>23667</v>
      </c>
      <c r="B23672" s="11" t="str">
        <f>"00997162"</f>
        <v>00997162</v>
      </c>
    </row>
    <row r="23673" spans="1:2" x14ac:dyDescent="0.25">
      <c r="A23673" s="2">
        <v>23668</v>
      </c>
      <c r="B23673" s="11" t="str">
        <f>"00997169"</f>
        <v>00997169</v>
      </c>
    </row>
    <row r="23674" spans="1:2" x14ac:dyDescent="0.25">
      <c r="A23674" s="2">
        <v>23669</v>
      </c>
      <c r="B23674" s="11" t="str">
        <f>"00997183"</f>
        <v>00997183</v>
      </c>
    </row>
    <row r="23675" spans="1:2" x14ac:dyDescent="0.25">
      <c r="A23675" s="2">
        <v>23670</v>
      </c>
      <c r="B23675" s="11" t="str">
        <f>"00997188"</f>
        <v>00997188</v>
      </c>
    </row>
    <row r="23676" spans="1:2" x14ac:dyDescent="0.25">
      <c r="A23676" s="2">
        <v>23671</v>
      </c>
      <c r="B23676" s="11" t="str">
        <f>"00997214"</f>
        <v>00997214</v>
      </c>
    </row>
    <row r="23677" spans="1:2" x14ac:dyDescent="0.25">
      <c r="A23677" s="2">
        <v>23672</v>
      </c>
      <c r="B23677" s="11" t="str">
        <f>"00997225"</f>
        <v>00997225</v>
      </c>
    </row>
    <row r="23678" spans="1:2" x14ac:dyDescent="0.25">
      <c r="A23678" s="2">
        <v>23673</v>
      </c>
      <c r="B23678" s="11" t="str">
        <f>"00997248"</f>
        <v>00997248</v>
      </c>
    </row>
    <row r="23679" spans="1:2" x14ac:dyDescent="0.25">
      <c r="A23679" s="2">
        <v>23674</v>
      </c>
      <c r="B23679" s="11" t="str">
        <f>"00997296"</f>
        <v>00997296</v>
      </c>
    </row>
    <row r="23680" spans="1:2" x14ac:dyDescent="0.25">
      <c r="A23680" s="2">
        <v>23675</v>
      </c>
      <c r="B23680" s="11" t="str">
        <f>"00997305"</f>
        <v>00997305</v>
      </c>
    </row>
    <row r="23681" spans="1:2" x14ac:dyDescent="0.25">
      <c r="A23681" s="2">
        <v>23676</v>
      </c>
      <c r="B23681" s="11" t="str">
        <f>"00997310"</f>
        <v>00997310</v>
      </c>
    </row>
    <row r="23682" spans="1:2" x14ac:dyDescent="0.25">
      <c r="A23682" s="2">
        <v>23677</v>
      </c>
      <c r="B23682" s="11" t="str">
        <f>"00997316"</f>
        <v>00997316</v>
      </c>
    </row>
    <row r="23683" spans="1:2" x14ac:dyDescent="0.25">
      <c r="A23683" s="2">
        <v>23678</v>
      </c>
      <c r="B23683" s="11" t="str">
        <f>"00997327"</f>
        <v>00997327</v>
      </c>
    </row>
    <row r="23684" spans="1:2" x14ac:dyDescent="0.25">
      <c r="A23684" s="2">
        <v>23679</v>
      </c>
      <c r="B23684" s="11" t="str">
        <f>"00997338"</f>
        <v>00997338</v>
      </c>
    </row>
    <row r="23685" spans="1:2" x14ac:dyDescent="0.25">
      <c r="A23685" s="2">
        <v>23680</v>
      </c>
      <c r="B23685" s="11" t="str">
        <f>"00997346"</f>
        <v>00997346</v>
      </c>
    </row>
    <row r="23686" spans="1:2" x14ac:dyDescent="0.25">
      <c r="A23686" s="2">
        <v>23681</v>
      </c>
      <c r="B23686" s="11" t="str">
        <f>"00997372"</f>
        <v>00997372</v>
      </c>
    </row>
    <row r="23687" spans="1:2" x14ac:dyDescent="0.25">
      <c r="A23687" s="2">
        <v>23682</v>
      </c>
      <c r="B23687" s="11" t="str">
        <f>"00997436"</f>
        <v>00997436</v>
      </c>
    </row>
    <row r="23688" spans="1:2" x14ac:dyDescent="0.25">
      <c r="A23688" s="2">
        <v>23683</v>
      </c>
      <c r="B23688" s="11" t="str">
        <f>"00997477"</f>
        <v>00997477</v>
      </c>
    </row>
    <row r="23689" spans="1:2" x14ac:dyDescent="0.25">
      <c r="A23689" s="2">
        <v>23684</v>
      </c>
      <c r="B23689" s="11" t="str">
        <f>"00997486"</f>
        <v>00997486</v>
      </c>
    </row>
    <row r="23690" spans="1:2" x14ac:dyDescent="0.25">
      <c r="A23690" s="2">
        <v>23685</v>
      </c>
      <c r="B23690" s="11" t="str">
        <f>"00997496"</f>
        <v>00997496</v>
      </c>
    </row>
    <row r="23691" spans="1:2" x14ac:dyDescent="0.25">
      <c r="A23691" s="2">
        <v>23686</v>
      </c>
      <c r="B23691" s="11" t="str">
        <f>"00997513"</f>
        <v>00997513</v>
      </c>
    </row>
    <row r="23692" spans="1:2" x14ac:dyDescent="0.25">
      <c r="A23692" s="2">
        <v>23687</v>
      </c>
      <c r="B23692" s="11" t="str">
        <f>"00997569"</f>
        <v>00997569</v>
      </c>
    </row>
    <row r="23693" spans="1:2" x14ac:dyDescent="0.25">
      <c r="A23693" s="2">
        <v>23688</v>
      </c>
      <c r="B23693" s="11" t="str">
        <f>"00997603"</f>
        <v>00997603</v>
      </c>
    </row>
    <row r="23694" spans="1:2" x14ac:dyDescent="0.25">
      <c r="A23694" s="2">
        <v>23689</v>
      </c>
      <c r="B23694" s="11" t="str">
        <f>"00997612"</f>
        <v>00997612</v>
      </c>
    </row>
    <row r="23695" spans="1:2" x14ac:dyDescent="0.25">
      <c r="A23695" s="2">
        <v>23690</v>
      </c>
      <c r="B23695" s="11" t="str">
        <f>"00997680"</f>
        <v>00997680</v>
      </c>
    </row>
    <row r="23696" spans="1:2" x14ac:dyDescent="0.25">
      <c r="A23696" s="2">
        <v>23691</v>
      </c>
      <c r="B23696" s="11" t="str">
        <f>"00997691"</f>
        <v>00997691</v>
      </c>
    </row>
    <row r="23697" spans="1:2" x14ac:dyDescent="0.25">
      <c r="A23697" s="2">
        <v>23692</v>
      </c>
      <c r="B23697" s="11" t="str">
        <f>"00997697"</f>
        <v>00997697</v>
      </c>
    </row>
    <row r="23698" spans="1:2" x14ac:dyDescent="0.25">
      <c r="A23698" s="2">
        <v>23693</v>
      </c>
      <c r="B23698" s="11" t="str">
        <f>"00997705"</f>
        <v>00997705</v>
      </c>
    </row>
    <row r="23699" spans="1:2" x14ac:dyDescent="0.25">
      <c r="A23699" s="2">
        <v>23694</v>
      </c>
      <c r="B23699" s="11" t="str">
        <f>"00997732"</f>
        <v>00997732</v>
      </c>
    </row>
    <row r="23700" spans="1:2" x14ac:dyDescent="0.25">
      <c r="A23700" s="2">
        <v>23695</v>
      </c>
      <c r="B23700" s="11" t="str">
        <f>"00997740"</f>
        <v>00997740</v>
      </c>
    </row>
    <row r="23701" spans="1:2" x14ac:dyDescent="0.25">
      <c r="A23701" s="2">
        <v>23696</v>
      </c>
      <c r="B23701" s="11" t="str">
        <f>"00997763"</f>
        <v>00997763</v>
      </c>
    </row>
    <row r="23702" spans="1:2" x14ac:dyDescent="0.25">
      <c r="A23702" s="2">
        <v>23697</v>
      </c>
      <c r="B23702" s="11" t="str">
        <f>"00997767"</f>
        <v>00997767</v>
      </c>
    </row>
    <row r="23703" spans="1:2" x14ac:dyDescent="0.25">
      <c r="A23703" s="2">
        <v>23698</v>
      </c>
      <c r="B23703" s="11" t="str">
        <f>"00997771"</f>
        <v>00997771</v>
      </c>
    </row>
    <row r="23704" spans="1:2" x14ac:dyDescent="0.25">
      <c r="A23704" s="2">
        <v>23699</v>
      </c>
      <c r="B23704" s="11" t="str">
        <f>"00997792"</f>
        <v>00997792</v>
      </c>
    </row>
    <row r="23705" spans="1:2" x14ac:dyDescent="0.25">
      <c r="A23705" s="2">
        <v>23700</v>
      </c>
      <c r="B23705" s="11" t="str">
        <f>"00997823"</f>
        <v>00997823</v>
      </c>
    </row>
    <row r="23706" spans="1:2" x14ac:dyDescent="0.25">
      <c r="A23706" s="2">
        <v>23701</v>
      </c>
      <c r="B23706" s="11" t="str">
        <f>"00997846"</f>
        <v>00997846</v>
      </c>
    </row>
    <row r="23707" spans="1:2" x14ac:dyDescent="0.25">
      <c r="A23707" s="2">
        <v>23702</v>
      </c>
      <c r="B23707" s="11" t="str">
        <f>"00997855"</f>
        <v>00997855</v>
      </c>
    </row>
    <row r="23708" spans="1:2" x14ac:dyDescent="0.25">
      <c r="A23708" s="2">
        <v>23703</v>
      </c>
      <c r="B23708" s="11" t="str">
        <f>"00997866"</f>
        <v>00997866</v>
      </c>
    </row>
    <row r="23709" spans="1:2" x14ac:dyDescent="0.25">
      <c r="A23709" s="2">
        <v>23704</v>
      </c>
      <c r="B23709" s="11" t="str">
        <f>"00997868"</f>
        <v>00997868</v>
      </c>
    </row>
    <row r="23710" spans="1:2" x14ac:dyDescent="0.25">
      <c r="A23710" s="2">
        <v>23705</v>
      </c>
      <c r="B23710" s="11" t="str">
        <f>"00997870"</f>
        <v>00997870</v>
      </c>
    </row>
    <row r="23711" spans="1:2" x14ac:dyDescent="0.25">
      <c r="A23711" s="2">
        <v>23706</v>
      </c>
      <c r="B23711" s="11" t="str">
        <f>"00997887"</f>
        <v>00997887</v>
      </c>
    </row>
    <row r="23712" spans="1:2" x14ac:dyDescent="0.25">
      <c r="A23712" s="2">
        <v>23707</v>
      </c>
      <c r="B23712" s="11" t="str">
        <f>"00997905"</f>
        <v>00997905</v>
      </c>
    </row>
    <row r="23713" spans="1:2" x14ac:dyDescent="0.25">
      <c r="A23713" s="2">
        <v>23708</v>
      </c>
      <c r="B23713" s="11" t="str">
        <f>"00997911"</f>
        <v>00997911</v>
      </c>
    </row>
    <row r="23714" spans="1:2" x14ac:dyDescent="0.25">
      <c r="A23714" s="2">
        <v>23709</v>
      </c>
      <c r="B23714" s="11" t="str">
        <f>"00997918"</f>
        <v>00997918</v>
      </c>
    </row>
    <row r="23715" spans="1:2" x14ac:dyDescent="0.25">
      <c r="A23715" s="2">
        <v>23710</v>
      </c>
      <c r="B23715" s="11" t="str">
        <f>"00997922"</f>
        <v>00997922</v>
      </c>
    </row>
    <row r="23716" spans="1:2" x14ac:dyDescent="0.25">
      <c r="A23716" s="2">
        <v>23711</v>
      </c>
      <c r="B23716" s="11" t="str">
        <f>"00997927"</f>
        <v>00997927</v>
      </c>
    </row>
    <row r="23717" spans="1:2" x14ac:dyDescent="0.25">
      <c r="A23717" s="2">
        <v>23712</v>
      </c>
      <c r="B23717" s="11" t="str">
        <f>"00997949"</f>
        <v>00997949</v>
      </c>
    </row>
    <row r="23718" spans="1:2" x14ac:dyDescent="0.25">
      <c r="A23718" s="2">
        <v>23713</v>
      </c>
      <c r="B23718" s="11" t="str">
        <f>"00997962"</f>
        <v>00997962</v>
      </c>
    </row>
    <row r="23719" spans="1:2" x14ac:dyDescent="0.25">
      <c r="A23719" s="2">
        <v>23714</v>
      </c>
      <c r="B23719" s="11" t="str">
        <f>"00997963"</f>
        <v>00997963</v>
      </c>
    </row>
    <row r="23720" spans="1:2" x14ac:dyDescent="0.25">
      <c r="A23720" s="2">
        <v>23715</v>
      </c>
      <c r="B23720" s="11" t="str">
        <f>"00998023"</f>
        <v>00998023</v>
      </c>
    </row>
    <row r="23721" spans="1:2" x14ac:dyDescent="0.25">
      <c r="A23721" s="2">
        <v>23716</v>
      </c>
      <c r="B23721" s="11" t="str">
        <f>"00998140"</f>
        <v>00998140</v>
      </c>
    </row>
    <row r="23722" spans="1:2" x14ac:dyDescent="0.25">
      <c r="A23722" s="2">
        <v>23717</v>
      </c>
      <c r="B23722" s="11" t="str">
        <f>"00998143"</f>
        <v>00998143</v>
      </c>
    </row>
    <row r="23723" spans="1:2" x14ac:dyDescent="0.25">
      <c r="A23723" s="2">
        <v>23718</v>
      </c>
      <c r="B23723" s="11" t="str">
        <f>"00998150"</f>
        <v>00998150</v>
      </c>
    </row>
    <row r="23724" spans="1:2" x14ac:dyDescent="0.25">
      <c r="A23724" s="2">
        <v>23719</v>
      </c>
      <c r="B23724" s="11" t="str">
        <f>"00998193"</f>
        <v>00998193</v>
      </c>
    </row>
    <row r="23725" spans="1:2" x14ac:dyDescent="0.25">
      <c r="A23725" s="2">
        <v>23720</v>
      </c>
      <c r="B23725" s="11" t="str">
        <f>"00998206"</f>
        <v>00998206</v>
      </c>
    </row>
    <row r="23726" spans="1:2" x14ac:dyDescent="0.25">
      <c r="A23726" s="2">
        <v>23721</v>
      </c>
      <c r="B23726" s="11" t="str">
        <f>"00998207"</f>
        <v>00998207</v>
      </c>
    </row>
    <row r="23727" spans="1:2" x14ac:dyDescent="0.25">
      <c r="A23727" s="2">
        <v>23722</v>
      </c>
      <c r="B23727" s="11" t="str">
        <f>"00998211"</f>
        <v>00998211</v>
      </c>
    </row>
    <row r="23728" spans="1:2" x14ac:dyDescent="0.25">
      <c r="A23728" s="2">
        <v>23723</v>
      </c>
      <c r="B23728" s="11" t="str">
        <f>"00998244"</f>
        <v>00998244</v>
      </c>
    </row>
    <row r="23729" spans="1:2" x14ac:dyDescent="0.25">
      <c r="A23729" s="2">
        <v>23724</v>
      </c>
      <c r="B23729" s="11" t="str">
        <f>"00998259"</f>
        <v>00998259</v>
      </c>
    </row>
    <row r="23730" spans="1:2" x14ac:dyDescent="0.25">
      <c r="A23730" s="2">
        <v>23725</v>
      </c>
      <c r="B23730" s="11" t="str">
        <f>"00998311"</f>
        <v>00998311</v>
      </c>
    </row>
    <row r="23731" spans="1:2" x14ac:dyDescent="0.25">
      <c r="A23731" s="2">
        <v>23726</v>
      </c>
      <c r="B23731" s="11" t="str">
        <f>"00998359"</f>
        <v>00998359</v>
      </c>
    </row>
    <row r="23732" spans="1:2" x14ac:dyDescent="0.25">
      <c r="A23732" s="2">
        <v>23727</v>
      </c>
      <c r="B23732" s="11" t="str">
        <f>"00998374"</f>
        <v>00998374</v>
      </c>
    </row>
    <row r="23733" spans="1:2" x14ac:dyDescent="0.25">
      <c r="A23733" s="2">
        <v>23728</v>
      </c>
      <c r="B23733" s="11" t="str">
        <f>"00998400"</f>
        <v>00998400</v>
      </c>
    </row>
    <row r="23734" spans="1:2" x14ac:dyDescent="0.25">
      <c r="A23734" s="2">
        <v>23729</v>
      </c>
      <c r="B23734" s="11" t="str">
        <f>"00998410"</f>
        <v>00998410</v>
      </c>
    </row>
    <row r="23735" spans="1:2" x14ac:dyDescent="0.25">
      <c r="A23735" s="2">
        <v>23730</v>
      </c>
      <c r="B23735" s="11" t="str">
        <f>"00998425"</f>
        <v>00998425</v>
      </c>
    </row>
    <row r="23736" spans="1:2" x14ac:dyDescent="0.25">
      <c r="A23736" s="2">
        <v>23731</v>
      </c>
      <c r="B23736" s="11" t="str">
        <f>"00998433"</f>
        <v>00998433</v>
      </c>
    </row>
    <row r="23737" spans="1:2" x14ac:dyDescent="0.25">
      <c r="A23737" s="2">
        <v>23732</v>
      </c>
      <c r="B23737" s="11" t="str">
        <f>"00998455"</f>
        <v>00998455</v>
      </c>
    </row>
    <row r="23738" spans="1:2" x14ac:dyDescent="0.25">
      <c r="A23738" s="2">
        <v>23733</v>
      </c>
      <c r="B23738" s="11" t="str">
        <f>"00998530"</f>
        <v>00998530</v>
      </c>
    </row>
    <row r="23739" spans="1:2" x14ac:dyDescent="0.25">
      <c r="A23739" s="2">
        <v>23734</v>
      </c>
      <c r="B23739" s="11" t="str">
        <f>"00998533"</f>
        <v>00998533</v>
      </c>
    </row>
    <row r="23740" spans="1:2" x14ac:dyDescent="0.25">
      <c r="A23740" s="2">
        <v>23735</v>
      </c>
      <c r="B23740" s="11" t="str">
        <f>"00998536"</f>
        <v>00998536</v>
      </c>
    </row>
    <row r="23741" spans="1:2" x14ac:dyDescent="0.25">
      <c r="A23741" s="2">
        <v>23736</v>
      </c>
      <c r="B23741" s="11" t="str">
        <f>"00998560"</f>
        <v>00998560</v>
      </c>
    </row>
    <row r="23742" spans="1:2" x14ac:dyDescent="0.25">
      <c r="A23742" s="2">
        <v>23737</v>
      </c>
      <c r="B23742" s="11" t="str">
        <f>"00998569"</f>
        <v>00998569</v>
      </c>
    </row>
    <row r="23743" spans="1:2" x14ac:dyDescent="0.25">
      <c r="A23743" s="2">
        <v>23738</v>
      </c>
      <c r="B23743" s="11" t="str">
        <f>"00998576"</f>
        <v>00998576</v>
      </c>
    </row>
    <row r="23744" spans="1:2" x14ac:dyDescent="0.25">
      <c r="A23744" s="2">
        <v>23739</v>
      </c>
      <c r="B23744" s="11" t="str">
        <f>"00998641"</f>
        <v>00998641</v>
      </c>
    </row>
    <row r="23745" spans="1:2" x14ac:dyDescent="0.25">
      <c r="A23745" s="2">
        <v>23740</v>
      </c>
      <c r="B23745" s="11" t="str">
        <f>"00998662"</f>
        <v>00998662</v>
      </c>
    </row>
    <row r="23746" spans="1:2" x14ac:dyDescent="0.25">
      <c r="A23746" s="2">
        <v>23741</v>
      </c>
      <c r="B23746" s="11" t="str">
        <f>"00998724"</f>
        <v>00998724</v>
      </c>
    </row>
    <row r="23747" spans="1:2" x14ac:dyDescent="0.25">
      <c r="A23747" s="2">
        <v>23742</v>
      </c>
      <c r="B23747" s="11" t="str">
        <f>"00998755"</f>
        <v>00998755</v>
      </c>
    </row>
    <row r="23748" spans="1:2" x14ac:dyDescent="0.25">
      <c r="A23748" s="2">
        <v>23743</v>
      </c>
      <c r="B23748" s="11" t="str">
        <f>"00998757"</f>
        <v>00998757</v>
      </c>
    </row>
    <row r="23749" spans="1:2" x14ac:dyDescent="0.25">
      <c r="A23749" s="2">
        <v>23744</v>
      </c>
      <c r="B23749" s="11" t="str">
        <f>"00998762"</f>
        <v>00998762</v>
      </c>
    </row>
    <row r="23750" spans="1:2" x14ac:dyDescent="0.25">
      <c r="A23750" s="2">
        <v>23745</v>
      </c>
      <c r="B23750" s="11" t="str">
        <f>"00998781"</f>
        <v>00998781</v>
      </c>
    </row>
    <row r="23751" spans="1:2" x14ac:dyDescent="0.25">
      <c r="A23751" s="2">
        <v>23746</v>
      </c>
      <c r="B23751" s="11" t="str">
        <f>"00998797"</f>
        <v>00998797</v>
      </c>
    </row>
    <row r="23752" spans="1:2" x14ac:dyDescent="0.25">
      <c r="A23752" s="2">
        <v>23747</v>
      </c>
      <c r="B23752" s="11" t="str">
        <f>"00998798"</f>
        <v>00998798</v>
      </c>
    </row>
    <row r="23753" spans="1:2" x14ac:dyDescent="0.25">
      <c r="A23753" s="2">
        <v>23748</v>
      </c>
      <c r="B23753" s="11" t="str">
        <f>"00998809"</f>
        <v>00998809</v>
      </c>
    </row>
    <row r="23754" spans="1:2" x14ac:dyDescent="0.25">
      <c r="A23754" s="2">
        <v>23749</v>
      </c>
      <c r="B23754" s="11" t="str">
        <f>"00998813"</f>
        <v>00998813</v>
      </c>
    </row>
    <row r="23755" spans="1:2" x14ac:dyDescent="0.25">
      <c r="A23755" s="2">
        <v>23750</v>
      </c>
      <c r="B23755" s="11" t="str">
        <f>"00998814"</f>
        <v>00998814</v>
      </c>
    </row>
    <row r="23756" spans="1:2" x14ac:dyDescent="0.25">
      <c r="A23756" s="2">
        <v>23751</v>
      </c>
      <c r="B23756" s="11" t="str">
        <f>"00998837"</f>
        <v>00998837</v>
      </c>
    </row>
    <row r="23757" spans="1:2" x14ac:dyDescent="0.25">
      <c r="A23757" s="2">
        <v>23752</v>
      </c>
      <c r="B23757" s="11" t="str">
        <f>"00998864"</f>
        <v>00998864</v>
      </c>
    </row>
    <row r="23758" spans="1:2" x14ac:dyDescent="0.25">
      <c r="A23758" s="2">
        <v>23753</v>
      </c>
      <c r="B23758" s="11" t="str">
        <f>"00998868"</f>
        <v>00998868</v>
      </c>
    </row>
    <row r="23759" spans="1:2" x14ac:dyDescent="0.25">
      <c r="A23759" s="2">
        <v>23754</v>
      </c>
      <c r="B23759" s="11" t="str">
        <f>"00998899"</f>
        <v>00998899</v>
      </c>
    </row>
    <row r="23760" spans="1:2" x14ac:dyDescent="0.25">
      <c r="A23760" s="2">
        <v>23755</v>
      </c>
      <c r="B23760" s="11" t="str">
        <f>"00998902"</f>
        <v>00998902</v>
      </c>
    </row>
    <row r="23761" spans="1:2" x14ac:dyDescent="0.25">
      <c r="A23761" s="2">
        <v>23756</v>
      </c>
      <c r="B23761" s="11" t="str">
        <f>"00998903"</f>
        <v>00998903</v>
      </c>
    </row>
    <row r="23762" spans="1:2" x14ac:dyDescent="0.25">
      <c r="A23762" s="2">
        <v>23757</v>
      </c>
      <c r="B23762" s="11" t="str">
        <f>"00998907"</f>
        <v>00998907</v>
      </c>
    </row>
    <row r="23763" spans="1:2" x14ac:dyDescent="0.25">
      <c r="A23763" s="2">
        <v>23758</v>
      </c>
      <c r="B23763" s="11" t="str">
        <f>"00998908"</f>
        <v>00998908</v>
      </c>
    </row>
    <row r="23764" spans="1:2" x14ac:dyDescent="0.25">
      <c r="A23764" s="2">
        <v>23759</v>
      </c>
      <c r="B23764" s="11" t="str">
        <f>"00998923"</f>
        <v>00998923</v>
      </c>
    </row>
    <row r="23765" spans="1:2" x14ac:dyDescent="0.25">
      <c r="A23765" s="2">
        <v>23760</v>
      </c>
      <c r="B23765" s="11" t="str">
        <f>"00998952"</f>
        <v>00998952</v>
      </c>
    </row>
    <row r="23766" spans="1:2" x14ac:dyDescent="0.25">
      <c r="A23766" s="2">
        <v>23761</v>
      </c>
      <c r="B23766" s="11" t="str">
        <f>"00998984"</f>
        <v>00998984</v>
      </c>
    </row>
    <row r="23767" spans="1:2" x14ac:dyDescent="0.25">
      <c r="A23767" s="2">
        <v>23762</v>
      </c>
      <c r="B23767" s="11" t="str">
        <f>"00998998"</f>
        <v>00998998</v>
      </c>
    </row>
    <row r="23768" spans="1:2" x14ac:dyDescent="0.25">
      <c r="A23768" s="2">
        <v>23763</v>
      </c>
      <c r="B23768" s="11" t="str">
        <f>"00999003"</f>
        <v>00999003</v>
      </c>
    </row>
    <row r="23769" spans="1:2" x14ac:dyDescent="0.25">
      <c r="A23769" s="2">
        <v>23764</v>
      </c>
      <c r="B23769" s="11" t="str">
        <f>"00999049"</f>
        <v>00999049</v>
      </c>
    </row>
    <row r="23770" spans="1:2" x14ac:dyDescent="0.25">
      <c r="A23770" s="2">
        <v>23765</v>
      </c>
      <c r="B23770" s="11" t="str">
        <f>"00999128"</f>
        <v>00999128</v>
      </c>
    </row>
    <row r="23771" spans="1:2" x14ac:dyDescent="0.25">
      <c r="A23771" s="2">
        <v>23766</v>
      </c>
      <c r="B23771" s="11" t="str">
        <f>"00999130"</f>
        <v>00999130</v>
      </c>
    </row>
    <row r="23772" spans="1:2" x14ac:dyDescent="0.25">
      <c r="A23772" s="2">
        <v>23767</v>
      </c>
      <c r="B23772" s="11" t="str">
        <f>"00999136"</f>
        <v>00999136</v>
      </c>
    </row>
    <row r="23773" spans="1:2" x14ac:dyDescent="0.25">
      <c r="A23773" s="2">
        <v>23768</v>
      </c>
      <c r="B23773" s="11" t="str">
        <f>"00999192"</f>
        <v>00999192</v>
      </c>
    </row>
    <row r="23774" spans="1:2" x14ac:dyDescent="0.25">
      <c r="A23774" s="2">
        <v>23769</v>
      </c>
      <c r="B23774" s="11" t="str">
        <f>"00999233"</f>
        <v>00999233</v>
      </c>
    </row>
    <row r="23775" spans="1:2" x14ac:dyDescent="0.25">
      <c r="A23775" s="2">
        <v>23770</v>
      </c>
      <c r="B23775" s="11" t="str">
        <f>"00999239"</f>
        <v>00999239</v>
      </c>
    </row>
    <row r="23776" spans="1:2" x14ac:dyDescent="0.25">
      <c r="A23776" s="2">
        <v>23771</v>
      </c>
      <c r="B23776" s="11" t="str">
        <f>"00999241"</f>
        <v>00999241</v>
      </c>
    </row>
    <row r="23777" spans="1:2" x14ac:dyDescent="0.25">
      <c r="A23777" s="2">
        <v>23772</v>
      </c>
      <c r="B23777" s="11" t="str">
        <f>"00999251"</f>
        <v>00999251</v>
      </c>
    </row>
    <row r="23778" spans="1:2" x14ac:dyDescent="0.25">
      <c r="A23778" s="2">
        <v>23773</v>
      </c>
      <c r="B23778" s="11" t="str">
        <f>"00999258"</f>
        <v>00999258</v>
      </c>
    </row>
    <row r="23779" spans="1:2" x14ac:dyDescent="0.25">
      <c r="A23779" s="2">
        <v>23774</v>
      </c>
      <c r="B23779" s="11" t="str">
        <f>"00999267"</f>
        <v>00999267</v>
      </c>
    </row>
    <row r="23780" spans="1:2" x14ac:dyDescent="0.25">
      <c r="A23780" s="2">
        <v>23775</v>
      </c>
      <c r="B23780" s="11" t="str">
        <f>"00999286"</f>
        <v>00999286</v>
      </c>
    </row>
    <row r="23781" spans="1:2" x14ac:dyDescent="0.25">
      <c r="A23781" s="2">
        <v>23776</v>
      </c>
      <c r="B23781" s="11" t="str">
        <f>"00999332"</f>
        <v>00999332</v>
      </c>
    </row>
    <row r="23782" spans="1:2" x14ac:dyDescent="0.25">
      <c r="A23782" s="2">
        <v>23777</v>
      </c>
      <c r="B23782" s="11" t="str">
        <f>"00999340"</f>
        <v>00999340</v>
      </c>
    </row>
    <row r="23783" spans="1:2" x14ac:dyDescent="0.25">
      <c r="A23783" s="2">
        <v>23778</v>
      </c>
      <c r="B23783" s="11" t="str">
        <f>"00999342"</f>
        <v>00999342</v>
      </c>
    </row>
    <row r="23784" spans="1:2" x14ac:dyDescent="0.25">
      <c r="A23784" s="2">
        <v>23779</v>
      </c>
      <c r="B23784" s="11" t="str">
        <f>"00999352"</f>
        <v>00999352</v>
      </c>
    </row>
    <row r="23785" spans="1:2" x14ac:dyDescent="0.25">
      <c r="A23785" s="2">
        <v>23780</v>
      </c>
      <c r="B23785" s="11" t="str">
        <f>"00999357"</f>
        <v>00999357</v>
      </c>
    </row>
    <row r="23786" spans="1:2" x14ac:dyDescent="0.25">
      <c r="A23786" s="2">
        <v>23781</v>
      </c>
      <c r="B23786" s="11" t="str">
        <f>"00999367"</f>
        <v>00999367</v>
      </c>
    </row>
    <row r="23787" spans="1:2" x14ac:dyDescent="0.25">
      <c r="A23787" s="2">
        <v>23782</v>
      </c>
      <c r="B23787" s="11" t="str">
        <f>"00999379"</f>
        <v>00999379</v>
      </c>
    </row>
    <row r="23788" spans="1:2" x14ac:dyDescent="0.25">
      <c r="A23788" s="2">
        <v>23783</v>
      </c>
      <c r="B23788" s="11" t="str">
        <f>"00999402"</f>
        <v>00999402</v>
      </c>
    </row>
    <row r="23789" spans="1:2" x14ac:dyDescent="0.25">
      <c r="A23789" s="2">
        <v>23784</v>
      </c>
      <c r="B23789" s="11" t="str">
        <f>"00999424"</f>
        <v>00999424</v>
      </c>
    </row>
    <row r="23790" spans="1:2" x14ac:dyDescent="0.25">
      <c r="A23790" s="2">
        <v>23785</v>
      </c>
      <c r="B23790" s="11" t="str">
        <f>"00999461"</f>
        <v>00999461</v>
      </c>
    </row>
    <row r="23791" spans="1:2" x14ac:dyDescent="0.25">
      <c r="A23791" s="2">
        <v>23786</v>
      </c>
      <c r="B23791" s="11" t="str">
        <f>"00999480"</f>
        <v>00999480</v>
      </c>
    </row>
    <row r="23792" spans="1:2" x14ac:dyDescent="0.25">
      <c r="A23792" s="2">
        <v>23787</v>
      </c>
      <c r="B23792" s="11" t="str">
        <f>"00999495"</f>
        <v>00999495</v>
      </c>
    </row>
    <row r="23793" spans="1:2" x14ac:dyDescent="0.25">
      <c r="A23793" s="2">
        <v>23788</v>
      </c>
      <c r="B23793" s="11" t="str">
        <f>"00999497"</f>
        <v>00999497</v>
      </c>
    </row>
    <row r="23794" spans="1:2" x14ac:dyDescent="0.25">
      <c r="A23794" s="2">
        <v>23789</v>
      </c>
      <c r="B23794" s="11" t="str">
        <f>"00999502"</f>
        <v>00999502</v>
      </c>
    </row>
    <row r="23795" spans="1:2" x14ac:dyDescent="0.25">
      <c r="A23795" s="2">
        <v>23790</v>
      </c>
      <c r="B23795" s="11" t="str">
        <f>"00999536"</f>
        <v>00999536</v>
      </c>
    </row>
    <row r="23796" spans="1:2" x14ac:dyDescent="0.25">
      <c r="A23796" s="2">
        <v>23791</v>
      </c>
      <c r="B23796" s="11" t="str">
        <f>"00999542"</f>
        <v>00999542</v>
      </c>
    </row>
    <row r="23797" spans="1:2" x14ac:dyDescent="0.25">
      <c r="A23797" s="2">
        <v>23792</v>
      </c>
      <c r="B23797" s="11" t="str">
        <f>"00999551"</f>
        <v>00999551</v>
      </c>
    </row>
    <row r="23798" spans="1:2" x14ac:dyDescent="0.25">
      <c r="A23798" s="2">
        <v>23793</v>
      </c>
      <c r="B23798" s="11" t="str">
        <f>"00999561"</f>
        <v>00999561</v>
      </c>
    </row>
    <row r="23799" spans="1:2" x14ac:dyDescent="0.25">
      <c r="A23799" s="2">
        <v>23794</v>
      </c>
      <c r="B23799" s="11" t="str">
        <f>"00999576"</f>
        <v>00999576</v>
      </c>
    </row>
    <row r="23800" spans="1:2" x14ac:dyDescent="0.25">
      <c r="A23800" s="2">
        <v>23795</v>
      </c>
      <c r="B23800" s="11" t="str">
        <f>"00999582"</f>
        <v>00999582</v>
      </c>
    </row>
    <row r="23801" spans="1:2" x14ac:dyDescent="0.25">
      <c r="A23801" s="2">
        <v>23796</v>
      </c>
      <c r="B23801" s="11" t="str">
        <f>"00999589"</f>
        <v>00999589</v>
      </c>
    </row>
    <row r="23802" spans="1:2" x14ac:dyDescent="0.25">
      <c r="A23802" s="2">
        <v>23797</v>
      </c>
      <c r="B23802" s="11" t="str">
        <f>"00999621"</f>
        <v>00999621</v>
      </c>
    </row>
    <row r="23803" spans="1:2" x14ac:dyDescent="0.25">
      <c r="A23803" s="2">
        <v>23798</v>
      </c>
      <c r="B23803" s="11" t="str">
        <f>"00999626"</f>
        <v>00999626</v>
      </c>
    </row>
    <row r="23804" spans="1:2" x14ac:dyDescent="0.25">
      <c r="A23804" s="2">
        <v>23799</v>
      </c>
      <c r="B23804" s="11" t="str">
        <f>"00999632"</f>
        <v>00999632</v>
      </c>
    </row>
    <row r="23805" spans="1:2" x14ac:dyDescent="0.25">
      <c r="A23805" s="2">
        <v>23800</v>
      </c>
      <c r="B23805" s="11" t="str">
        <f>"00999645"</f>
        <v>00999645</v>
      </c>
    </row>
    <row r="23806" spans="1:2" x14ac:dyDescent="0.25">
      <c r="A23806" s="2">
        <v>23801</v>
      </c>
      <c r="B23806" s="11" t="str">
        <f>"00999655"</f>
        <v>00999655</v>
      </c>
    </row>
    <row r="23807" spans="1:2" x14ac:dyDescent="0.25">
      <c r="A23807" s="2">
        <v>23802</v>
      </c>
      <c r="B23807" s="11" t="str">
        <f>"00999665"</f>
        <v>00999665</v>
      </c>
    </row>
    <row r="23808" spans="1:2" x14ac:dyDescent="0.25">
      <c r="A23808" s="2">
        <v>23803</v>
      </c>
      <c r="B23808" s="11" t="str">
        <f>"00999692"</f>
        <v>00999692</v>
      </c>
    </row>
    <row r="23809" spans="1:2" x14ac:dyDescent="0.25">
      <c r="A23809" s="2">
        <v>23804</v>
      </c>
      <c r="B23809" s="11" t="str">
        <f>"00999700"</f>
        <v>00999700</v>
      </c>
    </row>
    <row r="23810" spans="1:2" x14ac:dyDescent="0.25">
      <c r="A23810" s="2">
        <v>23805</v>
      </c>
      <c r="B23810" s="11" t="str">
        <f>"00999745"</f>
        <v>00999745</v>
      </c>
    </row>
    <row r="23811" spans="1:2" x14ac:dyDescent="0.25">
      <c r="A23811" s="2">
        <v>23806</v>
      </c>
      <c r="B23811" s="11" t="str">
        <f>"00999795"</f>
        <v>00999795</v>
      </c>
    </row>
    <row r="23812" spans="1:2" x14ac:dyDescent="0.25">
      <c r="A23812" s="2">
        <v>23807</v>
      </c>
      <c r="B23812" s="11" t="str">
        <f>"00999805"</f>
        <v>00999805</v>
      </c>
    </row>
    <row r="23813" spans="1:2" x14ac:dyDescent="0.25">
      <c r="A23813" s="2">
        <v>23808</v>
      </c>
      <c r="B23813" s="11" t="str">
        <f>"00999849"</f>
        <v>00999849</v>
      </c>
    </row>
    <row r="23814" spans="1:2" x14ac:dyDescent="0.25">
      <c r="A23814" s="2">
        <v>23809</v>
      </c>
      <c r="B23814" s="11" t="str">
        <f>"00999867"</f>
        <v>00999867</v>
      </c>
    </row>
    <row r="23815" spans="1:2" x14ac:dyDescent="0.25">
      <c r="A23815" s="2">
        <v>23810</v>
      </c>
      <c r="B23815" s="11" t="str">
        <f>"00999898"</f>
        <v>00999898</v>
      </c>
    </row>
    <row r="23816" spans="1:2" x14ac:dyDescent="0.25">
      <c r="A23816" s="2">
        <v>23811</v>
      </c>
      <c r="B23816" s="11" t="str">
        <f>"00999946"</f>
        <v>00999946</v>
      </c>
    </row>
    <row r="23817" spans="1:2" x14ac:dyDescent="0.25">
      <c r="A23817" s="2">
        <v>23812</v>
      </c>
      <c r="B23817" s="11" t="str">
        <f>"00999949"</f>
        <v>00999949</v>
      </c>
    </row>
    <row r="23818" spans="1:2" x14ac:dyDescent="0.25">
      <c r="A23818" s="2">
        <v>23813</v>
      </c>
      <c r="B23818" s="11" t="str">
        <f>"00999961"</f>
        <v>00999961</v>
      </c>
    </row>
    <row r="23819" spans="1:2" x14ac:dyDescent="0.25">
      <c r="A23819" s="2">
        <v>23814</v>
      </c>
      <c r="B23819" s="11" t="str">
        <f>"00999967"</f>
        <v>00999967</v>
      </c>
    </row>
    <row r="23820" spans="1:2" x14ac:dyDescent="0.25">
      <c r="A23820" s="2">
        <v>23815</v>
      </c>
      <c r="B23820" s="11" t="str">
        <f>"00999985"</f>
        <v>00999985</v>
      </c>
    </row>
    <row r="23821" spans="1:2" x14ac:dyDescent="0.25">
      <c r="A23821" s="2">
        <v>23816</v>
      </c>
      <c r="B23821" s="11" t="str">
        <f>"00999999"</f>
        <v>00999999</v>
      </c>
    </row>
    <row r="23822" spans="1:2" x14ac:dyDescent="0.25">
      <c r="A23822" s="2">
        <v>23817</v>
      </c>
      <c r="B23822" s="11" t="str">
        <f>"01000009"</f>
        <v>01000009</v>
      </c>
    </row>
    <row r="23823" spans="1:2" x14ac:dyDescent="0.25">
      <c r="A23823" s="2">
        <v>23818</v>
      </c>
      <c r="B23823" s="11" t="str">
        <f>"01000020"</f>
        <v>01000020</v>
      </c>
    </row>
    <row r="23824" spans="1:2" x14ac:dyDescent="0.25">
      <c r="A23824" s="2">
        <v>23819</v>
      </c>
      <c r="B23824" s="11" t="str">
        <f>"01000032"</f>
        <v>01000032</v>
      </c>
    </row>
    <row r="23825" spans="1:2" x14ac:dyDescent="0.25">
      <c r="A23825" s="2">
        <v>23820</v>
      </c>
      <c r="B23825" s="11" t="str">
        <f>"01000053"</f>
        <v>01000053</v>
      </c>
    </row>
    <row r="23826" spans="1:2" x14ac:dyDescent="0.25">
      <c r="A23826" s="2">
        <v>23821</v>
      </c>
      <c r="B23826" s="11" t="str">
        <f>"01000057"</f>
        <v>01000057</v>
      </c>
    </row>
    <row r="23827" spans="1:2" x14ac:dyDescent="0.25">
      <c r="A23827" s="2">
        <v>23822</v>
      </c>
      <c r="B23827" s="11" t="str">
        <f>"01000076"</f>
        <v>01000076</v>
      </c>
    </row>
    <row r="23828" spans="1:2" x14ac:dyDescent="0.25">
      <c r="A23828" s="2">
        <v>23823</v>
      </c>
      <c r="B23828" s="11" t="str">
        <f>"01000145"</f>
        <v>01000145</v>
      </c>
    </row>
    <row r="23829" spans="1:2" x14ac:dyDescent="0.25">
      <c r="A23829" s="2">
        <v>23824</v>
      </c>
      <c r="B23829" s="11" t="str">
        <f>"01000146"</f>
        <v>01000146</v>
      </c>
    </row>
    <row r="23830" spans="1:2" x14ac:dyDescent="0.25">
      <c r="A23830" s="2">
        <v>23825</v>
      </c>
      <c r="B23830" s="11" t="str">
        <f>"01000155"</f>
        <v>01000155</v>
      </c>
    </row>
    <row r="23831" spans="1:2" x14ac:dyDescent="0.25">
      <c r="A23831" s="2">
        <v>23826</v>
      </c>
      <c r="B23831" s="11" t="str">
        <f>"01000167"</f>
        <v>01000167</v>
      </c>
    </row>
    <row r="23832" spans="1:2" x14ac:dyDescent="0.25">
      <c r="A23832" s="2">
        <v>23827</v>
      </c>
      <c r="B23832" s="11" t="str">
        <f>"01000190"</f>
        <v>01000190</v>
      </c>
    </row>
    <row r="23833" spans="1:2" x14ac:dyDescent="0.25">
      <c r="A23833" s="2">
        <v>23828</v>
      </c>
      <c r="B23833" s="11" t="str">
        <f>"01000194"</f>
        <v>01000194</v>
      </c>
    </row>
    <row r="23834" spans="1:2" x14ac:dyDescent="0.25">
      <c r="A23834" s="2">
        <v>23829</v>
      </c>
      <c r="B23834" s="11" t="str">
        <f>"01000213"</f>
        <v>01000213</v>
      </c>
    </row>
    <row r="23835" spans="1:2" x14ac:dyDescent="0.25">
      <c r="A23835" s="2">
        <v>23830</v>
      </c>
      <c r="B23835" s="11" t="str">
        <f>"01000240"</f>
        <v>01000240</v>
      </c>
    </row>
    <row r="23836" spans="1:2" x14ac:dyDescent="0.25">
      <c r="A23836" s="2">
        <v>23831</v>
      </c>
      <c r="B23836" s="11" t="str">
        <f>"01000266"</f>
        <v>01000266</v>
      </c>
    </row>
    <row r="23837" spans="1:2" x14ac:dyDescent="0.25">
      <c r="A23837" s="2">
        <v>23832</v>
      </c>
      <c r="B23837" s="11" t="str">
        <f>"01000320"</f>
        <v>01000320</v>
      </c>
    </row>
    <row r="23838" spans="1:2" x14ac:dyDescent="0.25">
      <c r="A23838" s="2">
        <v>23833</v>
      </c>
      <c r="B23838" s="11" t="str">
        <f>"01000335"</f>
        <v>01000335</v>
      </c>
    </row>
    <row r="23839" spans="1:2" x14ac:dyDescent="0.25">
      <c r="A23839" s="2">
        <v>23834</v>
      </c>
      <c r="B23839" s="11" t="str">
        <f>"01000372"</f>
        <v>01000372</v>
      </c>
    </row>
    <row r="23840" spans="1:2" x14ac:dyDescent="0.25">
      <c r="A23840" s="2">
        <v>23835</v>
      </c>
      <c r="B23840" s="11" t="str">
        <f>"01000395"</f>
        <v>01000395</v>
      </c>
    </row>
    <row r="23841" spans="1:2" x14ac:dyDescent="0.25">
      <c r="A23841" s="2">
        <v>23836</v>
      </c>
      <c r="B23841" s="11" t="str">
        <f>"01000416"</f>
        <v>01000416</v>
      </c>
    </row>
    <row r="23842" spans="1:2" x14ac:dyDescent="0.25">
      <c r="A23842" s="2">
        <v>23837</v>
      </c>
      <c r="B23842" s="11" t="str">
        <f>"01000419"</f>
        <v>01000419</v>
      </c>
    </row>
    <row r="23843" spans="1:2" x14ac:dyDescent="0.25">
      <c r="A23843" s="2">
        <v>23838</v>
      </c>
      <c r="B23843" s="11" t="str">
        <f>"01000428"</f>
        <v>01000428</v>
      </c>
    </row>
    <row r="23844" spans="1:2" x14ac:dyDescent="0.25">
      <c r="A23844" s="2">
        <v>23839</v>
      </c>
      <c r="B23844" s="11" t="str">
        <f>"01000443"</f>
        <v>01000443</v>
      </c>
    </row>
    <row r="23845" spans="1:2" x14ac:dyDescent="0.25">
      <c r="A23845" s="2">
        <v>23840</v>
      </c>
      <c r="B23845" s="11" t="str">
        <f>"01000450"</f>
        <v>01000450</v>
      </c>
    </row>
    <row r="23846" spans="1:2" x14ac:dyDescent="0.25">
      <c r="A23846" s="2">
        <v>23841</v>
      </c>
      <c r="B23846" s="11" t="str">
        <f>"01000465"</f>
        <v>01000465</v>
      </c>
    </row>
    <row r="23847" spans="1:2" x14ac:dyDescent="0.25">
      <c r="A23847" s="2">
        <v>23842</v>
      </c>
      <c r="B23847" s="11" t="str">
        <f>"01000495"</f>
        <v>01000495</v>
      </c>
    </row>
    <row r="23848" spans="1:2" x14ac:dyDescent="0.25">
      <c r="A23848" s="2">
        <v>23843</v>
      </c>
      <c r="B23848" s="11" t="str">
        <f>"01000542"</f>
        <v>01000542</v>
      </c>
    </row>
    <row r="23849" spans="1:2" x14ac:dyDescent="0.25">
      <c r="A23849" s="2">
        <v>23844</v>
      </c>
      <c r="B23849" s="11" t="str">
        <f>"01000547"</f>
        <v>01000547</v>
      </c>
    </row>
    <row r="23850" spans="1:2" x14ac:dyDescent="0.25">
      <c r="A23850" s="2">
        <v>23845</v>
      </c>
      <c r="B23850" s="11" t="str">
        <f>"01000555"</f>
        <v>01000555</v>
      </c>
    </row>
    <row r="23851" spans="1:2" x14ac:dyDescent="0.25">
      <c r="A23851" s="2">
        <v>23846</v>
      </c>
      <c r="B23851" s="11" t="str">
        <f>"01000574"</f>
        <v>01000574</v>
      </c>
    </row>
    <row r="23852" spans="1:2" x14ac:dyDescent="0.25">
      <c r="A23852" s="2">
        <v>23847</v>
      </c>
      <c r="B23852" s="11" t="str">
        <f>"01000576"</f>
        <v>01000576</v>
      </c>
    </row>
    <row r="23853" spans="1:2" x14ac:dyDescent="0.25">
      <c r="A23853" s="2">
        <v>23848</v>
      </c>
      <c r="B23853" s="11" t="str">
        <f>"01000578"</f>
        <v>01000578</v>
      </c>
    </row>
    <row r="23854" spans="1:2" x14ac:dyDescent="0.25">
      <c r="A23854" s="2">
        <v>23849</v>
      </c>
      <c r="B23854" s="11" t="str">
        <f>"01000581"</f>
        <v>01000581</v>
      </c>
    </row>
    <row r="23855" spans="1:2" x14ac:dyDescent="0.25">
      <c r="A23855" s="2">
        <v>23850</v>
      </c>
      <c r="B23855" s="11" t="str">
        <f>"01000604"</f>
        <v>01000604</v>
      </c>
    </row>
    <row r="23856" spans="1:2" x14ac:dyDescent="0.25">
      <c r="A23856" s="2">
        <v>23851</v>
      </c>
      <c r="B23856" s="11" t="str">
        <f>"01000605"</f>
        <v>01000605</v>
      </c>
    </row>
    <row r="23857" spans="1:2" x14ac:dyDescent="0.25">
      <c r="A23857" s="2">
        <v>23852</v>
      </c>
      <c r="B23857" s="11" t="str">
        <f>"01000609"</f>
        <v>01000609</v>
      </c>
    </row>
    <row r="23858" spans="1:2" x14ac:dyDescent="0.25">
      <c r="A23858" s="2">
        <v>23853</v>
      </c>
      <c r="B23858" s="11" t="str">
        <f>"01000619"</f>
        <v>01000619</v>
      </c>
    </row>
    <row r="23859" spans="1:2" x14ac:dyDescent="0.25">
      <c r="A23859" s="2">
        <v>23854</v>
      </c>
      <c r="B23859" s="11" t="str">
        <f>"01000638"</f>
        <v>01000638</v>
      </c>
    </row>
    <row r="23860" spans="1:2" x14ac:dyDescent="0.25">
      <c r="A23860" s="2">
        <v>23855</v>
      </c>
      <c r="B23860" s="11" t="str">
        <f>"01000655"</f>
        <v>01000655</v>
      </c>
    </row>
    <row r="23861" spans="1:2" x14ac:dyDescent="0.25">
      <c r="A23861" s="2">
        <v>23856</v>
      </c>
      <c r="B23861" s="11" t="str">
        <f>"01000664"</f>
        <v>01000664</v>
      </c>
    </row>
    <row r="23862" spans="1:2" x14ac:dyDescent="0.25">
      <c r="A23862" s="2">
        <v>23857</v>
      </c>
      <c r="B23862" s="11" t="str">
        <f>"01000666"</f>
        <v>01000666</v>
      </c>
    </row>
    <row r="23863" spans="1:2" x14ac:dyDescent="0.25">
      <c r="A23863" s="2">
        <v>23858</v>
      </c>
      <c r="B23863" s="11" t="str">
        <f>"01000667"</f>
        <v>01000667</v>
      </c>
    </row>
    <row r="23864" spans="1:2" x14ac:dyDescent="0.25">
      <c r="A23864" s="2">
        <v>23859</v>
      </c>
      <c r="B23864" s="11" t="str">
        <f>"01000681"</f>
        <v>01000681</v>
      </c>
    </row>
    <row r="23865" spans="1:2" x14ac:dyDescent="0.25">
      <c r="A23865" s="2">
        <v>23860</v>
      </c>
      <c r="B23865" s="11" t="str">
        <f>"01000686"</f>
        <v>01000686</v>
      </c>
    </row>
    <row r="23866" spans="1:2" x14ac:dyDescent="0.25">
      <c r="A23866" s="2">
        <v>23861</v>
      </c>
      <c r="B23866" s="11" t="str">
        <f>"01000709"</f>
        <v>01000709</v>
      </c>
    </row>
    <row r="23867" spans="1:2" x14ac:dyDescent="0.25">
      <c r="A23867" s="2">
        <v>23862</v>
      </c>
      <c r="B23867" s="11" t="str">
        <f>"01000711"</f>
        <v>01000711</v>
      </c>
    </row>
    <row r="23868" spans="1:2" x14ac:dyDescent="0.25">
      <c r="A23868" s="2">
        <v>23863</v>
      </c>
      <c r="B23868" s="11" t="str">
        <f>"01000734"</f>
        <v>01000734</v>
      </c>
    </row>
    <row r="23869" spans="1:2" x14ac:dyDescent="0.25">
      <c r="A23869" s="2">
        <v>23864</v>
      </c>
      <c r="B23869" s="11" t="str">
        <f>"01000737"</f>
        <v>01000737</v>
      </c>
    </row>
    <row r="23870" spans="1:2" x14ac:dyDescent="0.25">
      <c r="A23870" s="2">
        <v>23865</v>
      </c>
      <c r="B23870" s="11" t="str">
        <f>"01000756"</f>
        <v>01000756</v>
      </c>
    </row>
    <row r="23871" spans="1:2" x14ac:dyDescent="0.25">
      <c r="A23871" s="2">
        <v>23866</v>
      </c>
      <c r="B23871" s="11" t="str">
        <f>"01000771"</f>
        <v>01000771</v>
      </c>
    </row>
    <row r="23872" spans="1:2" x14ac:dyDescent="0.25">
      <c r="A23872" s="2">
        <v>23867</v>
      </c>
      <c r="B23872" s="11" t="str">
        <f>"01000818"</f>
        <v>01000818</v>
      </c>
    </row>
    <row r="23873" spans="1:2" x14ac:dyDescent="0.25">
      <c r="A23873" s="2">
        <v>23868</v>
      </c>
      <c r="B23873" s="11" t="str">
        <f>"01000826"</f>
        <v>01000826</v>
      </c>
    </row>
    <row r="23874" spans="1:2" x14ac:dyDescent="0.25">
      <c r="A23874" s="2">
        <v>23869</v>
      </c>
      <c r="B23874" s="11" t="str">
        <f>"01000839"</f>
        <v>01000839</v>
      </c>
    </row>
    <row r="23875" spans="1:2" x14ac:dyDescent="0.25">
      <c r="A23875" s="2">
        <v>23870</v>
      </c>
      <c r="B23875" s="11" t="str">
        <f>"01000867"</f>
        <v>01000867</v>
      </c>
    </row>
    <row r="23876" spans="1:2" x14ac:dyDescent="0.25">
      <c r="A23876" s="2">
        <v>23871</v>
      </c>
      <c r="B23876" s="11" t="str">
        <f>"01000879"</f>
        <v>01000879</v>
      </c>
    </row>
    <row r="23877" spans="1:2" x14ac:dyDescent="0.25">
      <c r="A23877" s="2">
        <v>23872</v>
      </c>
      <c r="B23877" s="11" t="str">
        <f>"01000882"</f>
        <v>01000882</v>
      </c>
    </row>
    <row r="23878" spans="1:2" x14ac:dyDescent="0.25">
      <c r="A23878" s="2">
        <v>23873</v>
      </c>
      <c r="B23878" s="11" t="str">
        <f>"01000884"</f>
        <v>01000884</v>
      </c>
    </row>
    <row r="23879" spans="1:2" x14ac:dyDescent="0.25">
      <c r="A23879" s="2">
        <v>23874</v>
      </c>
      <c r="B23879" s="11" t="str">
        <f>"01000889"</f>
        <v>01000889</v>
      </c>
    </row>
    <row r="23880" spans="1:2" x14ac:dyDescent="0.25">
      <c r="A23880" s="2">
        <v>23875</v>
      </c>
      <c r="B23880" s="11" t="str">
        <f>"01000893"</f>
        <v>01000893</v>
      </c>
    </row>
    <row r="23881" spans="1:2" x14ac:dyDescent="0.25">
      <c r="A23881" s="2">
        <v>23876</v>
      </c>
      <c r="B23881" s="11" t="str">
        <f>"01000895"</f>
        <v>01000895</v>
      </c>
    </row>
    <row r="23882" spans="1:2" x14ac:dyDescent="0.25">
      <c r="A23882" s="2">
        <v>23877</v>
      </c>
      <c r="B23882" s="11" t="str">
        <f>"01000900"</f>
        <v>01000900</v>
      </c>
    </row>
    <row r="23883" spans="1:2" x14ac:dyDescent="0.25">
      <c r="A23883" s="2">
        <v>23878</v>
      </c>
      <c r="B23883" s="11" t="str">
        <f>"01000914"</f>
        <v>01000914</v>
      </c>
    </row>
    <row r="23884" spans="1:2" x14ac:dyDescent="0.25">
      <c r="A23884" s="2">
        <v>23879</v>
      </c>
      <c r="B23884" s="11" t="str">
        <f>"01000918"</f>
        <v>01000918</v>
      </c>
    </row>
    <row r="23885" spans="1:2" x14ac:dyDescent="0.25">
      <c r="A23885" s="2">
        <v>23880</v>
      </c>
      <c r="B23885" s="11" t="str">
        <f>"01000921"</f>
        <v>01000921</v>
      </c>
    </row>
    <row r="23886" spans="1:2" x14ac:dyDescent="0.25">
      <c r="A23886" s="2">
        <v>23881</v>
      </c>
      <c r="B23886" s="11" t="str">
        <f>"01000922"</f>
        <v>01000922</v>
      </c>
    </row>
    <row r="23887" spans="1:2" x14ac:dyDescent="0.25">
      <c r="A23887" s="2">
        <v>23882</v>
      </c>
      <c r="B23887" s="11" t="str">
        <f>"01000934"</f>
        <v>01000934</v>
      </c>
    </row>
    <row r="23888" spans="1:2" x14ac:dyDescent="0.25">
      <c r="A23888" s="2">
        <v>23883</v>
      </c>
      <c r="B23888" s="11" t="str">
        <f>"01000935"</f>
        <v>01000935</v>
      </c>
    </row>
    <row r="23889" spans="1:2" x14ac:dyDescent="0.25">
      <c r="A23889" s="2">
        <v>23884</v>
      </c>
      <c r="B23889" s="11" t="str">
        <f>"01000940"</f>
        <v>01000940</v>
      </c>
    </row>
    <row r="23890" spans="1:2" x14ac:dyDescent="0.25">
      <c r="A23890" s="2">
        <v>23885</v>
      </c>
      <c r="B23890" s="11" t="str">
        <f>"01000942"</f>
        <v>01000942</v>
      </c>
    </row>
    <row r="23891" spans="1:2" x14ac:dyDescent="0.25">
      <c r="A23891" s="2">
        <v>23886</v>
      </c>
      <c r="B23891" s="11" t="str">
        <f>"01000960"</f>
        <v>01000960</v>
      </c>
    </row>
    <row r="23892" spans="1:2" x14ac:dyDescent="0.25">
      <c r="A23892" s="2">
        <v>23887</v>
      </c>
      <c r="B23892" s="11" t="str">
        <f>"01000980"</f>
        <v>01000980</v>
      </c>
    </row>
    <row r="23893" spans="1:2" x14ac:dyDescent="0.25">
      <c r="A23893" s="2">
        <v>23888</v>
      </c>
      <c r="B23893" s="11" t="str">
        <f>"01000983"</f>
        <v>01000983</v>
      </c>
    </row>
    <row r="23894" spans="1:2" x14ac:dyDescent="0.25">
      <c r="A23894" s="2">
        <v>23889</v>
      </c>
      <c r="B23894" s="11" t="str">
        <f>"01001027"</f>
        <v>01001027</v>
      </c>
    </row>
    <row r="23895" spans="1:2" x14ac:dyDescent="0.25">
      <c r="A23895" s="2">
        <v>23890</v>
      </c>
      <c r="B23895" s="11" t="str">
        <f>"01001031"</f>
        <v>01001031</v>
      </c>
    </row>
    <row r="23896" spans="1:2" x14ac:dyDescent="0.25">
      <c r="A23896" s="2">
        <v>23891</v>
      </c>
      <c r="B23896" s="11" t="str">
        <f>"01001036"</f>
        <v>01001036</v>
      </c>
    </row>
    <row r="23897" spans="1:2" x14ac:dyDescent="0.25">
      <c r="A23897" s="2">
        <v>23892</v>
      </c>
      <c r="B23897" s="11" t="str">
        <f>"01001041"</f>
        <v>01001041</v>
      </c>
    </row>
    <row r="23898" spans="1:2" x14ac:dyDescent="0.25">
      <c r="A23898" s="2">
        <v>23893</v>
      </c>
      <c r="B23898" s="11" t="str">
        <f>"01001044"</f>
        <v>01001044</v>
      </c>
    </row>
    <row r="23899" spans="1:2" x14ac:dyDescent="0.25">
      <c r="A23899" s="2">
        <v>23894</v>
      </c>
      <c r="B23899" s="11" t="str">
        <f>"01001073"</f>
        <v>01001073</v>
      </c>
    </row>
    <row r="23900" spans="1:2" x14ac:dyDescent="0.25">
      <c r="A23900" s="2">
        <v>23895</v>
      </c>
      <c r="B23900" s="11" t="str">
        <f>"01001096"</f>
        <v>01001096</v>
      </c>
    </row>
    <row r="23901" spans="1:2" x14ac:dyDescent="0.25">
      <c r="A23901" s="2">
        <v>23896</v>
      </c>
      <c r="B23901" s="11" t="str">
        <f>"01001110"</f>
        <v>01001110</v>
      </c>
    </row>
    <row r="23902" spans="1:2" x14ac:dyDescent="0.25">
      <c r="A23902" s="2">
        <v>23897</v>
      </c>
      <c r="B23902" s="11" t="str">
        <f>"01001117"</f>
        <v>01001117</v>
      </c>
    </row>
    <row r="23903" spans="1:2" x14ac:dyDescent="0.25">
      <c r="A23903" s="2">
        <v>23898</v>
      </c>
      <c r="B23903" s="11" t="str">
        <f>"01001120"</f>
        <v>01001120</v>
      </c>
    </row>
    <row r="23904" spans="1:2" x14ac:dyDescent="0.25">
      <c r="A23904" s="2">
        <v>23899</v>
      </c>
      <c r="B23904" s="11" t="str">
        <f>"01001129"</f>
        <v>01001129</v>
      </c>
    </row>
    <row r="23905" spans="1:2" x14ac:dyDescent="0.25">
      <c r="A23905" s="2">
        <v>23900</v>
      </c>
      <c r="B23905" s="11" t="str">
        <f>"01001148"</f>
        <v>01001148</v>
      </c>
    </row>
    <row r="23906" spans="1:2" x14ac:dyDescent="0.25">
      <c r="A23906" s="2">
        <v>23901</v>
      </c>
      <c r="B23906" s="11" t="str">
        <f>"01001177"</f>
        <v>01001177</v>
      </c>
    </row>
    <row r="23907" spans="1:2" x14ac:dyDescent="0.25">
      <c r="A23907" s="2">
        <v>23902</v>
      </c>
      <c r="B23907" s="11" t="str">
        <f>"01001200"</f>
        <v>01001200</v>
      </c>
    </row>
    <row r="23908" spans="1:2" x14ac:dyDescent="0.25">
      <c r="A23908" s="2">
        <v>23903</v>
      </c>
      <c r="B23908" s="11" t="str">
        <f>"01001201"</f>
        <v>01001201</v>
      </c>
    </row>
    <row r="23909" spans="1:2" x14ac:dyDescent="0.25">
      <c r="A23909" s="2">
        <v>23904</v>
      </c>
      <c r="B23909" s="11" t="str">
        <f>"01001232"</f>
        <v>01001232</v>
      </c>
    </row>
    <row r="23910" spans="1:2" x14ac:dyDescent="0.25">
      <c r="A23910" s="2">
        <v>23905</v>
      </c>
      <c r="B23910" s="11" t="str">
        <f>"01001246"</f>
        <v>01001246</v>
      </c>
    </row>
    <row r="23911" spans="1:2" x14ac:dyDescent="0.25">
      <c r="A23911" s="2">
        <v>23906</v>
      </c>
      <c r="B23911" s="11" t="str">
        <f>"01001260"</f>
        <v>01001260</v>
      </c>
    </row>
    <row r="23912" spans="1:2" x14ac:dyDescent="0.25">
      <c r="A23912" s="2">
        <v>23907</v>
      </c>
      <c r="B23912" s="11" t="str">
        <f>"01001272"</f>
        <v>01001272</v>
      </c>
    </row>
    <row r="23913" spans="1:2" x14ac:dyDescent="0.25">
      <c r="A23913" s="2">
        <v>23908</v>
      </c>
      <c r="B23913" s="11" t="str">
        <f>"01001274"</f>
        <v>01001274</v>
      </c>
    </row>
    <row r="23914" spans="1:2" x14ac:dyDescent="0.25">
      <c r="A23914" s="2">
        <v>23909</v>
      </c>
      <c r="B23914" s="11" t="str">
        <f>"01001295"</f>
        <v>01001295</v>
      </c>
    </row>
    <row r="23915" spans="1:2" x14ac:dyDescent="0.25">
      <c r="A23915" s="2">
        <v>23910</v>
      </c>
      <c r="B23915" s="11" t="str">
        <f>"01001378"</f>
        <v>01001378</v>
      </c>
    </row>
    <row r="23916" spans="1:2" x14ac:dyDescent="0.25">
      <c r="A23916" s="2">
        <v>23911</v>
      </c>
      <c r="B23916" s="11" t="str">
        <f>"01001398"</f>
        <v>01001398</v>
      </c>
    </row>
    <row r="23917" spans="1:2" x14ac:dyDescent="0.25">
      <c r="A23917" s="2">
        <v>23912</v>
      </c>
      <c r="B23917" s="11" t="str">
        <f>"01001426"</f>
        <v>01001426</v>
      </c>
    </row>
    <row r="23918" spans="1:2" x14ac:dyDescent="0.25">
      <c r="A23918" s="2">
        <v>23913</v>
      </c>
      <c r="B23918" s="11" t="str">
        <f>"01001430"</f>
        <v>01001430</v>
      </c>
    </row>
    <row r="23919" spans="1:2" x14ac:dyDescent="0.25">
      <c r="A23919" s="2">
        <v>23914</v>
      </c>
      <c r="B23919" s="11" t="str">
        <f>"01001439"</f>
        <v>01001439</v>
      </c>
    </row>
    <row r="23920" spans="1:2" x14ac:dyDescent="0.25">
      <c r="A23920" s="2">
        <v>23915</v>
      </c>
      <c r="B23920" s="11" t="str">
        <f>"01001462"</f>
        <v>01001462</v>
      </c>
    </row>
    <row r="23921" spans="1:2" x14ac:dyDescent="0.25">
      <c r="A23921" s="2">
        <v>23916</v>
      </c>
      <c r="B23921" s="11" t="str">
        <f>"01001468"</f>
        <v>01001468</v>
      </c>
    </row>
    <row r="23922" spans="1:2" x14ac:dyDescent="0.25">
      <c r="A23922" s="2">
        <v>23917</v>
      </c>
      <c r="B23922" s="11" t="str">
        <f>"01001477"</f>
        <v>01001477</v>
      </c>
    </row>
    <row r="23923" spans="1:2" x14ac:dyDescent="0.25">
      <c r="A23923" s="2">
        <v>23918</v>
      </c>
      <c r="B23923" s="11" t="str">
        <f>"01001478"</f>
        <v>01001478</v>
      </c>
    </row>
    <row r="23924" spans="1:2" x14ac:dyDescent="0.25">
      <c r="A23924" s="2">
        <v>23919</v>
      </c>
      <c r="B23924" s="11" t="str">
        <f>"01001481"</f>
        <v>01001481</v>
      </c>
    </row>
    <row r="23925" spans="1:2" x14ac:dyDescent="0.25">
      <c r="A23925" s="2">
        <v>23920</v>
      </c>
      <c r="B23925" s="11" t="str">
        <f>"01001488"</f>
        <v>01001488</v>
      </c>
    </row>
    <row r="23926" spans="1:2" x14ac:dyDescent="0.25">
      <c r="A23926" s="2">
        <v>23921</v>
      </c>
      <c r="B23926" s="11" t="str">
        <f>"01001508"</f>
        <v>01001508</v>
      </c>
    </row>
    <row r="23927" spans="1:2" x14ac:dyDescent="0.25">
      <c r="A23927" s="2">
        <v>23922</v>
      </c>
      <c r="B23927" s="11" t="str">
        <f>"01001517"</f>
        <v>01001517</v>
      </c>
    </row>
    <row r="23928" spans="1:2" x14ac:dyDescent="0.25">
      <c r="A23928" s="2">
        <v>23923</v>
      </c>
      <c r="B23928" s="11" t="str">
        <f>"01001535"</f>
        <v>01001535</v>
      </c>
    </row>
    <row r="23929" spans="1:2" x14ac:dyDescent="0.25">
      <c r="A23929" s="2">
        <v>23924</v>
      </c>
      <c r="B23929" s="11" t="str">
        <f>"01001542"</f>
        <v>01001542</v>
      </c>
    </row>
    <row r="23930" spans="1:2" x14ac:dyDescent="0.25">
      <c r="A23930" s="2">
        <v>23925</v>
      </c>
      <c r="B23930" s="11" t="str">
        <f>"01001547"</f>
        <v>01001547</v>
      </c>
    </row>
    <row r="23931" spans="1:2" x14ac:dyDescent="0.25">
      <c r="A23931" s="2">
        <v>23926</v>
      </c>
      <c r="B23931" s="11" t="str">
        <f>"01001549"</f>
        <v>01001549</v>
      </c>
    </row>
    <row r="23932" spans="1:2" x14ac:dyDescent="0.25">
      <c r="A23932" s="2">
        <v>23927</v>
      </c>
      <c r="B23932" s="11" t="str">
        <f>"01001555"</f>
        <v>01001555</v>
      </c>
    </row>
    <row r="23933" spans="1:2" x14ac:dyDescent="0.25">
      <c r="A23933" s="2">
        <v>23928</v>
      </c>
      <c r="B23933" s="11" t="str">
        <f>"01001592"</f>
        <v>01001592</v>
      </c>
    </row>
    <row r="23934" spans="1:2" x14ac:dyDescent="0.25">
      <c r="A23934" s="2">
        <v>23929</v>
      </c>
      <c r="B23934" s="11" t="str">
        <f>"01001624"</f>
        <v>01001624</v>
      </c>
    </row>
    <row r="23935" spans="1:2" x14ac:dyDescent="0.25">
      <c r="A23935" s="2">
        <v>23930</v>
      </c>
      <c r="B23935" s="11" t="str">
        <f>"01001631"</f>
        <v>01001631</v>
      </c>
    </row>
    <row r="23936" spans="1:2" x14ac:dyDescent="0.25">
      <c r="A23936" s="2">
        <v>23931</v>
      </c>
      <c r="B23936" s="11" t="str">
        <f>"01001649"</f>
        <v>01001649</v>
      </c>
    </row>
    <row r="23937" spans="1:2" x14ac:dyDescent="0.25">
      <c r="A23937" s="2">
        <v>23932</v>
      </c>
      <c r="B23937" s="11" t="str">
        <f>"01001666"</f>
        <v>01001666</v>
      </c>
    </row>
    <row r="23938" spans="1:2" x14ac:dyDescent="0.25">
      <c r="A23938" s="2">
        <v>23933</v>
      </c>
      <c r="B23938" s="11" t="str">
        <f>"01001676"</f>
        <v>01001676</v>
      </c>
    </row>
    <row r="23939" spans="1:2" x14ac:dyDescent="0.25">
      <c r="A23939" s="2">
        <v>23934</v>
      </c>
      <c r="B23939" s="11" t="str">
        <f>"01001680"</f>
        <v>01001680</v>
      </c>
    </row>
    <row r="23940" spans="1:2" x14ac:dyDescent="0.25">
      <c r="A23940" s="2">
        <v>23935</v>
      </c>
      <c r="B23940" s="11" t="str">
        <f>"01001704"</f>
        <v>01001704</v>
      </c>
    </row>
    <row r="23941" spans="1:2" x14ac:dyDescent="0.25">
      <c r="A23941" s="2">
        <v>23936</v>
      </c>
      <c r="B23941" s="11" t="str">
        <f>"01001731"</f>
        <v>01001731</v>
      </c>
    </row>
    <row r="23942" spans="1:2" x14ac:dyDescent="0.25">
      <c r="A23942" s="2">
        <v>23937</v>
      </c>
      <c r="B23942" s="11" t="str">
        <f>"01001739"</f>
        <v>01001739</v>
      </c>
    </row>
    <row r="23943" spans="1:2" x14ac:dyDescent="0.25">
      <c r="A23943" s="2">
        <v>23938</v>
      </c>
      <c r="B23943" s="11" t="str">
        <f>"01001786"</f>
        <v>01001786</v>
      </c>
    </row>
    <row r="23944" spans="1:2" x14ac:dyDescent="0.25">
      <c r="A23944" s="2">
        <v>23939</v>
      </c>
      <c r="B23944" s="11" t="str">
        <f>"01001829"</f>
        <v>01001829</v>
      </c>
    </row>
    <row r="23945" spans="1:2" x14ac:dyDescent="0.25">
      <c r="A23945" s="2">
        <v>23940</v>
      </c>
      <c r="B23945" s="11" t="str">
        <f>"01001851"</f>
        <v>01001851</v>
      </c>
    </row>
    <row r="23946" spans="1:2" x14ac:dyDescent="0.25">
      <c r="A23946" s="2">
        <v>23941</v>
      </c>
      <c r="B23946" s="11" t="str">
        <f>"01001886"</f>
        <v>01001886</v>
      </c>
    </row>
    <row r="23947" spans="1:2" x14ac:dyDescent="0.25">
      <c r="A23947" s="2">
        <v>23942</v>
      </c>
      <c r="B23947" s="11" t="str">
        <f>"01001891"</f>
        <v>01001891</v>
      </c>
    </row>
    <row r="23948" spans="1:2" x14ac:dyDescent="0.25">
      <c r="A23948" s="2">
        <v>23943</v>
      </c>
      <c r="B23948" s="11" t="str">
        <f>"01001961"</f>
        <v>01001961</v>
      </c>
    </row>
    <row r="23949" spans="1:2" x14ac:dyDescent="0.25">
      <c r="A23949" s="2">
        <v>23944</v>
      </c>
      <c r="B23949" s="11" t="str">
        <f>"01002021"</f>
        <v>01002021</v>
      </c>
    </row>
    <row r="23950" spans="1:2" x14ac:dyDescent="0.25">
      <c r="A23950" s="2">
        <v>23945</v>
      </c>
      <c r="B23950" s="11" t="str">
        <f>"01002034"</f>
        <v>01002034</v>
      </c>
    </row>
    <row r="23951" spans="1:2" x14ac:dyDescent="0.25">
      <c r="A23951" s="2">
        <v>23946</v>
      </c>
      <c r="B23951" s="11" t="str">
        <f>"01002040"</f>
        <v>01002040</v>
      </c>
    </row>
    <row r="23952" spans="1:2" x14ac:dyDescent="0.25">
      <c r="A23952" s="2">
        <v>23947</v>
      </c>
      <c r="B23952" s="11" t="str">
        <f>"01002048"</f>
        <v>01002048</v>
      </c>
    </row>
    <row r="23953" spans="1:2" x14ac:dyDescent="0.25">
      <c r="A23953" s="2">
        <v>23948</v>
      </c>
      <c r="B23953" s="11" t="str">
        <f>"01002085"</f>
        <v>01002085</v>
      </c>
    </row>
    <row r="23954" spans="1:2" x14ac:dyDescent="0.25">
      <c r="A23954" s="2">
        <v>23949</v>
      </c>
      <c r="B23954" s="11" t="str">
        <f>"01002087"</f>
        <v>01002087</v>
      </c>
    </row>
    <row r="23955" spans="1:2" x14ac:dyDescent="0.25">
      <c r="A23955" s="2">
        <v>23950</v>
      </c>
      <c r="B23955" s="11" t="str">
        <f>"01002121"</f>
        <v>01002121</v>
      </c>
    </row>
    <row r="23956" spans="1:2" x14ac:dyDescent="0.25">
      <c r="A23956" s="2">
        <v>23951</v>
      </c>
      <c r="B23956" s="11" t="str">
        <f>"01002129"</f>
        <v>01002129</v>
      </c>
    </row>
    <row r="23957" spans="1:2" x14ac:dyDescent="0.25">
      <c r="A23957" s="2">
        <v>23952</v>
      </c>
      <c r="B23957" s="11" t="str">
        <f>"01002138"</f>
        <v>01002138</v>
      </c>
    </row>
    <row r="23958" spans="1:2" x14ac:dyDescent="0.25">
      <c r="A23958" s="2">
        <v>23953</v>
      </c>
      <c r="B23958" s="11" t="str">
        <f>"01002162"</f>
        <v>01002162</v>
      </c>
    </row>
    <row r="23959" spans="1:2" x14ac:dyDescent="0.25">
      <c r="A23959" s="2">
        <v>23954</v>
      </c>
      <c r="B23959" s="11" t="str">
        <f>"01002166"</f>
        <v>01002166</v>
      </c>
    </row>
    <row r="23960" spans="1:2" x14ac:dyDescent="0.25">
      <c r="A23960" s="2">
        <v>23955</v>
      </c>
      <c r="B23960" s="11" t="str">
        <f>"01002176"</f>
        <v>01002176</v>
      </c>
    </row>
    <row r="23961" spans="1:2" x14ac:dyDescent="0.25">
      <c r="A23961" s="2">
        <v>23956</v>
      </c>
      <c r="B23961" s="11" t="str">
        <f>"01002185"</f>
        <v>01002185</v>
      </c>
    </row>
    <row r="23962" spans="1:2" x14ac:dyDescent="0.25">
      <c r="A23962" s="2">
        <v>23957</v>
      </c>
      <c r="B23962" s="11" t="str">
        <f>"01002195"</f>
        <v>01002195</v>
      </c>
    </row>
    <row r="23963" spans="1:2" x14ac:dyDescent="0.25">
      <c r="A23963" s="2">
        <v>23958</v>
      </c>
      <c r="B23963" s="11" t="str">
        <f>"01002204"</f>
        <v>01002204</v>
      </c>
    </row>
    <row r="23964" spans="1:2" x14ac:dyDescent="0.25">
      <c r="A23964" s="2">
        <v>23959</v>
      </c>
      <c r="B23964" s="11" t="str">
        <f>"01002205"</f>
        <v>01002205</v>
      </c>
    </row>
    <row r="23965" spans="1:2" x14ac:dyDescent="0.25">
      <c r="A23965" s="2">
        <v>23960</v>
      </c>
      <c r="B23965" s="11" t="str">
        <f>"01002229"</f>
        <v>01002229</v>
      </c>
    </row>
    <row r="23966" spans="1:2" x14ac:dyDescent="0.25">
      <c r="A23966" s="2">
        <v>23961</v>
      </c>
      <c r="B23966" s="11" t="str">
        <f>"01002263"</f>
        <v>01002263</v>
      </c>
    </row>
    <row r="23967" spans="1:2" x14ac:dyDescent="0.25">
      <c r="A23967" s="2">
        <v>23962</v>
      </c>
      <c r="B23967" s="11" t="str">
        <f>"01002280"</f>
        <v>01002280</v>
      </c>
    </row>
    <row r="23968" spans="1:2" x14ac:dyDescent="0.25">
      <c r="A23968" s="2">
        <v>23963</v>
      </c>
      <c r="B23968" s="11" t="str">
        <f>"01002306"</f>
        <v>01002306</v>
      </c>
    </row>
    <row r="23969" spans="1:2" x14ac:dyDescent="0.25">
      <c r="A23969" s="2">
        <v>23964</v>
      </c>
      <c r="B23969" s="11" t="str">
        <f>"01002309"</f>
        <v>01002309</v>
      </c>
    </row>
    <row r="23970" spans="1:2" x14ac:dyDescent="0.25">
      <c r="A23970" s="2">
        <v>23965</v>
      </c>
      <c r="B23970" s="11" t="str">
        <f>"01002333"</f>
        <v>01002333</v>
      </c>
    </row>
    <row r="23971" spans="1:2" x14ac:dyDescent="0.25">
      <c r="A23971" s="2">
        <v>23966</v>
      </c>
      <c r="B23971" s="11" t="str">
        <f>"01002378"</f>
        <v>01002378</v>
      </c>
    </row>
    <row r="23972" spans="1:2" x14ac:dyDescent="0.25">
      <c r="A23972" s="2">
        <v>23967</v>
      </c>
      <c r="B23972" s="11" t="str">
        <f>"01002403"</f>
        <v>01002403</v>
      </c>
    </row>
    <row r="23973" spans="1:2" x14ac:dyDescent="0.25">
      <c r="A23973" s="2">
        <v>23968</v>
      </c>
      <c r="B23973" s="11" t="str">
        <f>"01002421"</f>
        <v>01002421</v>
      </c>
    </row>
    <row r="23974" spans="1:2" x14ac:dyDescent="0.25">
      <c r="A23974" s="2">
        <v>23969</v>
      </c>
      <c r="B23974" s="11" t="str">
        <f>"01002425"</f>
        <v>01002425</v>
      </c>
    </row>
    <row r="23975" spans="1:2" x14ac:dyDescent="0.25">
      <c r="A23975" s="2">
        <v>23970</v>
      </c>
      <c r="B23975" s="11" t="str">
        <f>"01002429"</f>
        <v>01002429</v>
      </c>
    </row>
    <row r="23976" spans="1:2" x14ac:dyDescent="0.25">
      <c r="A23976" s="2">
        <v>23971</v>
      </c>
      <c r="B23976" s="11" t="str">
        <f>"01002438"</f>
        <v>01002438</v>
      </c>
    </row>
    <row r="23977" spans="1:2" x14ac:dyDescent="0.25">
      <c r="A23977" s="2">
        <v>23972</v>
      </c>
      <c r="B23977" s="11" t="str">
        <f>"01002456"</f>
        <v>01002456</v>
      </c>
    </row>
    <row r="23978" spans="1:2" x14ac:dyDescent="0.25">
      <c r="A23978" s="2">
        <v>23973</v>
      </c>
      <c r="B23978" s="11" t="str">
        <f>"01002467"</f>
        <v>01002467</v>
      </c>
    </row>
    <row r="23979" spans="1:2" x14ac:dyDescent="0.25">
      <c r="A23979" s="2">
        <v>23974</v>
      </c>
      <c r="B23979" s="11" t="str">
        <f>"01002491"</f>
        <v>01002491</v>
      </c>
    </row>
    <row r="23980" spans="1:2" x14ac:dyDescent="0.25">
      <c r="A23980" s="2">
        <v>23975</v>
      </c>
      <c r="B23980" s="11" t="str">
        <f>"01002504"</f>
        <v>01002504</v>
      </c>
    </row>
    <row r="23981" spans="1:2" x14ac:dyDescent="0.25">
      <c r="A23981" s="2">
        <v>23976</v>
      </c>
      <c r="B23981" s="11" t="str">
        <f>"01002516"</f>
        <v>01002516</v>
      </c>
    </row>
    <row r="23982" spans="1:2" x14ac:dyDescent="0.25">
      <c r="A23982" s="2">
        <v>23977</v>
      </c>
      <c r="B23982" s="11" t="str">
        <f>"01002522"</f>
        <v>01002522</v>
      </c>
    </row>
    <row r="23983" spans="1:2" x14ac:dyDescent="0.25">
      <c r="A23983" s="2">
        <v>23978</v>
      </c>
      <c r="B23983" s="11" t="str">
        <f>"01002524"</f>
        <v>01002524</v>
      </c>
    </row>
    <row r="23984" spans="1:2" x14ac:dyDescent="0.25">
      <c r="A23984" s="2">
        <v>23979</v>
      </c>
      <c r="B23984" s="11" t="str">
        <f>"01002557"</f>
        <v>01002557</v>
      </c>
    </row>
    <row r="23985" spans="1:2" x14ac:dyDescent="0.25">
      <c r="A23985" s="2">
        <v>23980</v>
      </c>
      <c r="B23985" s="11" t="str">
        <f>"01002563"</f>
        <v>01002563</v>
      </c>
    </row>
    <row r="23986" spans="1:2" x14ac:dyDescent="0.25">
      <c r="A23986" s="2">
        <v>23981</v>
      </c>
      <c r="B23986" s="11" t="str">
        <f>"01002574"</f>
        <v>01002574</v>
      </c>
    </row>
    <row r="23987" spans="1:2" x14ac:dyDescent="0.25">
      <c r="A23987" s="2">
        <v>23982</v>
      </c>
      <c r="B23987" s="11" t="str">
        <f>"01002579"</f>
        <v>01002579</v>
      </c>
    </row>
    <row r="23988" spans="1:2" x14ac:dyDescent="0.25">
      <c r="A23988" s="2">
        <v>23983</v>
      </c>
      <c r="B23988" s="11" t="str">
        <f>"01002584"</f>
        <v>01002584</v>
      </c>
    </row>
    <row r="23989" spans="1:2" x14ac:dyDescent="0.25">
      <c r="A23989" s="2">
        <v>23984</v>
      </c>
      <c r="B23989" s="11" t="str">
        <f>"01002642"</f>
        <v>01002642</v>
      </c>
    </row>
    <row r="23990" spans="1:2" x14ac:dyDescent="0.25">
      <c r="A23990" s="2">
        <v>23985</v>
      </c>
      <c r="B23990" s="11" t="str">
        <f>"01002658"</f>
        <v>01002658</v>
      </c>
    </row>
    <row r="23991" spans="1:2" x14ac:dyDescent="0.25">
      <c r="A23991" s="2">
        <v>23986</v>
      </c>
      <c r="B23991" s="11" t="str">
        <f>"01002739"</f>
        <v>01002739</v>
      </c>
    </row>
    <row r="23992" spans="1:2" x14ac:dyDescent="0.25">
      <c r="A23992" s="2">
        <v>23987</v>
      </c>
      <c r="B23992" s="11" t="str">
        <f>"01002764"</f>
        <v>01002764</v>
      </c>
    </row>
    <row r="23993" spans="1:2" x14ac:dyDescent="0.25">
      <c r="A23993" s="2">
        <v>23988</v>
      </c>
      <c r="B23993" s="11" t="str">
        <f>"01002809"</f>
        <v>01002809</v>
      </c>
    </row>
    <row r="23994" spans="1:2" x14ac:dyDescent="0.25">
      <c r="A23994" s="2">
        <v>23989</v>
      </c>
      <c r="B23994" s="11" t="str">
        <f>"01002814"</f>
        <v>01002814</v>
      </c>
    </row>
    <row r="23995" spans="1:2" x14ac:dyDescent="0.25">
      <c r="A23995" s="2">
        <v>23990</v>
      </c>
      <c r="B23995" s="11" t="str">
        <f>"01002820"</f>
        <v>01002820</v>
      </c>
    </row>
    <row r="23996" spans="1:2" x14ac:dyDescent="0.25">
      <c r="A23996" s="2">
        <v>23991</v>
      </c>
      <c r="B23996" s="11" t="str">
        <f>"01002828"</f>
        <v>01002828</v>
      </c>
    </row>
    <row r="23997" spans="1:2" x14ac:dyDescent="0.25">
      <c r="A23997" s="2">
        <v>23992</v>
      </c>
      <c r="B23997" s="11" t="str">
        <f>"01002833"</f>
        <v>01002833</v>
      </c>
    </row>
    <row r="23998" spans="1:2" x14ac:dyDescent="0.25">
      <c r="A23998" s="2">
        <v>23993</v>
      </c>
      <c r="B23998" s="11" t="str">
        <f>"01002851"</f>
        <v>01002851</v>
      </c>
    </row>
    <row r="23999" spans="1:2" x14ac:dyDescent="0.25">
      <c r="A23999" s="2">
        <v>23994</v>
      </c>
      <c r="B23999" s="11" t="str">
        <f>"01002854"</f>
        <v>01002854</v>
      </c>
    </row>
    <row r="24000" spans="1:2" x14ac:dyDescent="0.25">
      <c r="A24000" s="2">
        <v>23995</v>
      </c>
      <c r="B24000" s="11" t="str">
        <f>"01002863"</f>
        <v>01002863</v>
      </c>
    </row>
    <row r="24001" spans="1:2" x14ac:dyDescent="0.25">
      <c r="A24001" s="2">
        <v>23996</v>
      </c>
      <c r="B24001" s="11" t="str">
        <f>"01002880"</f>
        <v>01002880</v>
      </c>
    </row>
    <row r="24002" spans="1:2" x14ac:dyDescent="0.25">
      <c r="A24002" s="2">
        <v>23997</v>
      </c>
      <c r="B24002" s="11" t="str">
        <f>"01002883"</f>
        <v>01002883</v>
      </c>
    </row>
    <row r="24003" spans="1:2" x14ac:dyDescent="0.25">
      <c r="A24003" s="2">
        <v>23998</v>
      </c>
      <c r="B24003" s="11" t="str">
        <f>"01002885"</f>
        <v>01002885</v>
      </c>
    </row>
    <row r="24004" spans="1:2" x14ac:dyDescent="0.25">
      <c r="A24004" s="2">
        <v>23999</v>
      </c>
      <c r="B24004" s="11" t="str">
        <f>"01002890"</f>
        <v>01002890</v>
      </c>
    </row>
    <row r="24005" spans="1:2" x14ac:dyDescent="0.25">
      <c r="A24005" s="2">
        <v>24000</v>
      </c>
      <c r="B24005" s="11" t="str">
        <f>"01002938"</f>
        <v>01002938</v>
      </c>
    </row>
    <row r="24006" spans="1:2" x14ac:dyDescent="0.25">
      <c r="A24006" s="2">
        <v>24001</v>
      </c>
      <c r="B24006" s="11" t="str">
        <f>"01002939"</f>
        <v>01002939</v>
      </c>
    </row>
    <row r="24007" spans="1:2" x14ac:dyDescent="0.25">
      <c r="A24007" s="2">
        <v>24002</v>
      </c>
      <c r="B24007" s="11" t="str">
        <f>"01002989"</f>
        <v>01002989</v>
      </c>
    </row>
    <row r="24008" spans="1:2" x14ac:dyDescent="0.25">
      <c r="A24008" s="2">
        <v>24003</v>
      </c>
      <c r="B24008" s="11" t="str">
        <f>"01003004"</f>
        <v>01003004</v>
      </c>
    </row>
    <row r="24009" spans="1:2" x14ac:dyDescent="0.25">
      <c r="A24009" s="2">
        <v>24004</v>
      </c>
      <c r="B24009" s="11" t="str">
        <f>"01003090"</f>
        <v>01003090</v>
      </c>
    </row>
    <row r="24010" spans="1:2" x14ac:dyDescent="0.25">
      <c r="A24010" s="2">
        <v>24005</v>
      </c>
      <c r="B24010" s="11" t="str">
        <f>"01003109"</f>
        <v>01003109</v>
      </c>
    </row>
    <row r="24011" spans="1:2" x14ac:dyDescent="0.25">
      <c r="A24011" s="2">
        <v>24006</v>
      </c>
      <c r="B24011" s="11" t="str">
        <f>"01003112"</f>
        <v>01003112</v>
      </c>
    </row>
    <row r="24012" spans="1:2" x14ac:dyDescent="0.25">
      <c r="A24012" s="2">
        <v>24007</v>
      </c>
      <c r="B24012" s="11" t="str">
        <f>"01003153"</f>
        <v>01003153</v>
      </c>
    </row>
    <row r="24013" spans="1:2" x14ac:dyDescent="0.25">
      <c r="A24013" s="2">
        <v>24008</v>
      </c>
      <c r="B24013" s="11" t="str">
        <f>"01003161"</f>
        <v>01003161</v>
      </c>
    </row>
    <row r="24014" spans="1:2" x14ac:dyDescent="0.25">
      <c r="A24014" s="2">
        <v>24009</v>
      </c>
      <c r="B24014" s="11" t="str">
        <f>"01003164"</f>
        <v>01003164</v>
      </c>
    </row>
    <row r="24015" spans="1:2" x14ac:dyDescent="0.25">
      <c r="A24015" s="2">
        <v>24010</v>
      </c>
      <c r="B24015" s="11" t="str">
        <f>"01003171"</f>
        <v>01003171</v>
      </c>
    </row>
    <row r="24016" spans="1:2" x14ac:dyDescent="0.25">
      <c r="A24016" s="2">
        <v>24011</v>
      </c>
      <c r="B24016" s="11" t="str">
        <f>"01003249"</f>
        <v>01003249</v>
      </c>
    </row>
    <row r="24017" spans="1:2" x14ac:dyDescent="0.25">
      <c r="A24017" s="2">
        <v>24012</v>
      </c>
      <c r="B24017" s="11" t="str">
        <f>"01003269"</f>
        <v>01003269</v>
      </c>
    </row>
    <row r="24018" spans="1:2" x14ac:dyDescent="0.25">
      <c r="A24018" s="2">
        <v>24013</v>
      </c>
      <c r="B24018" s="11" t="str">
        <f>"01003304"</f>
        <v>01003304</v>
      </c>
    </row>
    <row r="24019" spans="1:2" x14ac:dyDescent="0.25">
      <c r="A24019" s="2">
        <v>24014</v>
      </c>
      <c r="B24019" s="11" t="str">
        <f>"01003312"</f>
        <v>01003312</v>
      </c>
    </row>
    <row r="24020" spans="1:2" x14ac:dyDescent="0.25">
      <c r="A24020" s="2">
        <v>24015</v>
      </c>
      <c r="B24020" s="11" t="str">
        <f>"01003350"</f>
        <v>01003350</v>
      </c>
    </row>
    <row r="24021" spans="1:2" x14ac:dyDescent="0.25">
      <c r="A24021" s="2">
        <v>24016</v>
      </c>
      <c r="B24021" s="11" t="str">
        <f>"01003393"</f>
        <v>01003393</v>
      </c>
    </row>
    <row r="24022" spans="1:2" x14ac:dyDescent="0.25">
      <c r="A24022" s="2">
        <v>24017</v>
      </c>
      <c r="B24022" s="11" t="str">
        <f>"01003398"</f>
        <v>01003398</v>
      </c>
    </row>
    <row r="24023" spans="1:2" x14ac:dyDescent="0.25">
      <c r="A24023" s="2">
        <v>24018</v>
      </c>
      <c r="B24023" s="11" t="str">
        <f>"01003412"</f>
        <v>01003412</v>
      </c>
    </row>
    <row r="24024" spans="1:2" x14ac:dyDescent="0.25">
      <c r="A24024" s="2">
        <v>24019</v>
      </c>
      <c r="B24024" s="11" t="str">
        <f>"01003440"</f>
        <v>01003440</v>
      </c>
    </row>
    <row r="24025" spans="1:2" x14ac:dyDescent="0.25">
      <c r="A24025" s="2">
        <v>24020</v>
      </c>
      <c r="B24025" s="11" t="str">
        <f>"01003448"</f>
        <v>01003448</v>
      </c>
    </row>
    <row r="24026" spans="1:2" x14ac:dyDescent="0.25">
      <c r="A24026" s="2">
        <v>24021</v>
      </c>
      <c r="B24026" s="11" t="str">
        <f>"01003452"</f>
        <v>01003452</v>
      </c>
    </row>
    <row r="24027" spans="1:2" x14ac:dyDescent="0.25">
      <c r="A24027" s="2">
        <v>24022</v>
      </c>
      <c r="B24027" s="11" t="str">
        <f>"01003482"</f>
        <v>01003482</v>
      </c>
    </row>
    <row r="24028" spans="1:2" x14ac:dyDescent="0.25">
      <c r="A24028" s="2">
        <v>24023</v>
      </c>
      <c r="B24028" s="11" t="str">
        <f>"01003484"</f>
        <v>01003484</v>
      </c>
    </row>
    <row r="24029" spans="1:2" x14ac:dyDescent="0.25">
      <c r="A24029" s="2">
        <v>24024</v>
      </c>
      <c r="B24029" s="11" t="str">
        <f>"01003492"</f>
        <v>01003492</v>
      </c>
    </row>
    <row r="24030" spans="1:2" x14ac:dyDescent="0.25">
      <c r="A24030" s="2">
        <v>24025</v>
      </c>
      <c r="B24030" s="11" t="str">
        <f>"01003503"</f>
        <v>01003503</v>
      </c>
    </row>
    <row r="24031" spans="1:2" x14ac:dyDescent="0.25">
      <c r="A24031" s="2">
        <v>24026</v>
      </c>
      <c r="B24031" s="11" t="str">
        <f>"01003505"</f>
        <v>01003505</v>
      </c>
    </row>
    <row r="24032" spans="1:2" x14ac:dyDescent="0.25">
      <c r="A24032" s="2">
        <v>24027</v>
      </c>
      <c r="B24032" s="11" t="str">
        <f>"01003522"</f>
        <v>01003522</v>
      </c>
    </row>
    <row r="24033" spans="1:2" x14ac:dyDescent="0.25">
      <c r="A24033" s="2">
        <v>24028</v>
      </c>
      <c r="B24033" s="11" t="str">
        <f>"01003526"</f>
        <v>01003526</v>
      </c>
    </row>
    <row r="24034" spans="1:2" x14ac:dyDescent="0.25">
      <c r="A24034" s="2">
        <v>24029</v>
      </c>
      <c r="B24034" s="11" t="str">
        <f>"01003533"</f>
        <v>01003533</v>
      </c>
    </row>
    <row r="24035" spans="1:2" x14ac:dyDescent="0.25">
      <c r="A24035" s="2">
        <v>24030</v>
      </c>
      <c r="B24035" s="11" t="str">
        <f>"01003575"</f>
        <v>01003575</v>
      </c>
    </row>
    <row r="24036" spans="1:2" x14ac:dyDescent="0.25">
      <c r="A24036" s="2">
        <v>24031</v>
      </c>
      <c r="B24036" s="11" t="str">
        <f>"01003578"</f>
        <v>01003578</v>
      </c>
    </row>
    <row r="24037" spans="1:2" x14ac:dyDescent="0.25">
      <c r="A24037" s="2">
        <v>24032</v>
      </c>
      <c r="B24037" s="11" t="str">
        <f>"01003584"</f>
        <v>01003584</v>
      </c>
    </row>
    <row r="24038" spans="1:2" x14ac:dyDescent="0.25">
      <c r="A24038" s="2">
        <v>24033</v>
      </c>
      <c r="B24038" s="11" t="str">
        <f>"01003591"</f>
        <v>01003591</v>
      </c>
    </row>
    <row r="24039" spans="1:2" x14ac:dyDescent="0.25">
      <c r="A24039" s="2">
        <v>24034</v>
      </c>
      <c r="B24039" s="11" t="str">
        <f>"01003592"</f>
        <v>01003592</v>
      </c>
    </row>
    <row r="24040" spans="1:2" x14ac:dyDescent="0.25">
      <c r="A24040" s="2">
        <v>24035</v>
      </c>
      <c r="B24040" s="11" t="str">
        <f>"01003598"</f>
        <v>01003598</v>
      </c>
    </row>
    <row r="24041" spans="1:2" x14ac:dyDescent="0.25">
      <c r="A24041" s="2">
        <v>24036</v>
      </c>
      <c r="B24041" s="11" t="str">
        <f>"01003608"</f>
        <v>01003608</v>
      </c>
    </row>
    <row r="24042" spans="1:2" x14ac:dyDescent="0.25">
      <c r="A24042" s="2">
        <v>24037</v>
      </c>
      <c r="B24042" s="11" t="str">
        <f>"01003643"</f>
        <v>01003643</v>
      </c>
    </row>
    <row r="24043" spans="1:2" x14ac:dyDescent="0.25">
      <c r="A24043" s="2">
        <v>24038</v>
      </c>
      <c r="B24043" s="11" t="str">
        <f>"01003644"</f>
        <v>01003644</v>
      </c>
    </row>
    <row r="24044" spans="1:2" x14ac:dyDescent="0.25">
      <c r="A24044" s="2">
        <v>24039</v>
      </c>
      <c r="B24044" s="11" t="str">
        <f>"01003656"</f>
        <v>01003656</v>
      </c>
    </row>
    <row r="24045" spans="1:2" x14ac:dyDescent="0.25">
      <c r="A24045" s="2">
        <v>24040</v>
      </c>
      <c r="B24045" s="11" t="str">
        <f>"01003682"</f>
        <v>01003682</v>
      </c>
    </row>
    <row r="24046" spans="1:2" x14ac:dyDescent="0.25">
      <c r="A24046" s="2">
        <v>24041</v>
      </c>
      <c r="B24046" s="11" t="str">
        <f>"01003704"</f>
        <v>01003704</v>
      </c>
    </row>
    <row r="24047" spans="1:2" x14ac:dyDescent="0.25">
      <c r="A24047" s="2">
        <v>24042</v>
      </c>
      <c r="B24047" s="11" t="str">
        <f>"01003745"</f>
        <v>01003745</v>
      </c>
    </row>
    <row r="24048" spans="1:2" x14ac:dyDescent="0.25">
      <c r="A24048" s="2">
        <v>24043</v>
      </c>
      <c r="B24048" s="11" t="str">
        <f>"01003751"</f>
        <v>01003751</v>
      </c>
    </row>
    <row r="24049" spans="1:2" x14ac:dyDescent="0.25">
      <c r="A24049" s="2">
        <v>24044</v>
      </c>
      <c r="B24049" s="11" t="str">
        <f>"01003771"</f>
        <v>01003771</v>
      </c>
    </row>
    <row r="24050" spans="1:2" x14ac:dyDescent="0.25">
      <c r="A24050" s="2">
        <v>24045</v>
      </c>
      <c r="B24050" s="11" t="str">
        <f>"01003774"</f>
        <v>01003774</v>
      </c>
    </row>
    <row r="24051" spans="1:2" x14ac:dyDescent="0.25">
      <c r="A24051" s="2">
        <v>24046</v>
      </c>
      <c r="B24051" s="11" t="str">
        <f>"01003775"</f>
        <v>01003775</v>
      </c>
    </row>
    <row r="24052" spans="1:2" x14ac:dyDescent="0.25">
      <c r="A24052" s="2">
        <v>24047</v>
      </c>
      <c r="B24052" s="11" t="str">
        <f>"01003792"</f>
        <v>01003792</v>
      </c>
    </row>
    <row r="24053" spans="1:2" x14ac:dyDescent="0.25">
      <c r="A24053" s="2">
        <v>24048</v>
      </c>
      <c r="B24053" s="11" t="str">
        <f>"01003802"</f>
        <v>01003802</v>
      </c>
    </row>
    <row r="24054" spans="1:2" x14ac:dyDescent="0.25">
      <c r="A24054" s="2">
        <v>24049</v>
      </c>
      <c r="B24054" s="11" t="str">
        <f>"01003825"</f>
        <v>01003825</v>
      </c>
    </row>
    <row r="24055" spans="1:2" x14ac:dyDescent="0.25">
      <c r="A24055" s="2">
        <v>24050</v>
      </c>
      <c r="B24055" s="11" t="str">
        <f>"01003828"</f>
        <v>01003828</v>
      </c>
    </row>
    <row r="24056" spans="1:2" x14ac:dyDescent="0.25">
      <c r="A24056" s="2">
        <v>24051</v>
      </c>
      <c r="B24056" s="11" t="str">
        <f>"01003840"</f>
        <v>01003840</v>
      </c>
    </row>
    <row r="24057" spans="1:2" x14ac:dyDescent="0.25">
      <c r="A24057" s="2">
        <v>24052</v>
      </c>
      <c r="B24057" s="11" t="str">
        <f>"01003845"</f>
        <v>01003845</v>
      </c>
    </row>
    <row r="24058" spans="1:2" x14ac:dyDescent="0.25">
      <c r="A24058" s="2">
        <v>24053</v>
      </c>
      <c r="B24058" s="11" t="str">
        <f>"01003855"</f>
        <v>01003855</v>
      </c>
    </row>
    <row r="24059" spans="1:2" x14ac:dyDescent="0.25">
      <c r="A24059" s="2">
        <v>24054</v>
      </c>
      <c r="B24059" s="11" t="str">
        <f>"01003865"</f>
        <v>01003865</v>
      </c>
    </row>
    <row r="24060" spans="1:2" x14ac:dyDescent="0.25">
      <c r="A24060" s="2">
        <v>24055</v>
      </c>
      <c r="B24060" s="11" t="str">
        <f>"01003875"</f>
        <v>01003875</v>
      </c>
    </row>
    <row r="24061" spans="1:2" x14ac:dyDescent="0.25">
      <c r="A24061" s="2">
        <v>24056</v>
      </c>
      <c r="B24061" s="11" t="str">
        <f>"01003895"</f>
        <v>01003895</v>
      </c>
    </row>
    <row r="24062" spans="1:2" x14ac:dyDescent="0.25">
      <c r="A24062" s="2">
        <v>24057</v>
      </c>
      <c r="B24062" s="11" t="str">
        <f>"01003918"</f>
        <v>01003918</v>
      </c>
    </row>
    <row r="24063" spans="1:2" x14ac:dyDescent="0.25">
      <c r="A24063" s="2">
        <v>24058</v>
      </c>
      <c r="B24063" s="11" t="str">
        <f>"01003930"</f>
        <v>01003930</v>
      </c>
    </row>
    <row r="24064" spans="1:2" x14ac:dyDescent="0.25">
      <c r="A24064" s="2">
        <v>24059</v>
      </c>
      <c r="B24064" s="11" t="str">
        <f>"01003946"</f>
        <v>01003946</v>
      </c>
    </row>
    <row r="24065" spans="1:2" x14ac:dyDescent="0.25">
      <c r="A24065" s="2">
        <v>24060</v>
      </c>
      <c r="B24065" s="11" t="str">
        <f>"01003970"</f>
        <v>01003970</v>
      </c>
    </row>
    <row r="24066" spans="1:2" x14ac:dyDescent="0.25">
      <c r="A24066" s="2">
        <v>24061</v>
      </c>
      <c r="B24066" s="11" t="str">
        <f>"01003971"</f>
        <v>01003971</v>
      </c>
    </row>
    <row r="24067" spans="1:2" x14ac:dyDescent="0.25">
      <c r="A24067" s="2">
        <v>24062</v>
      </c>
      <c r="B24067" s="11" t="str">
        <f>"01003974"</f>
        <v>01003974</v>
      </c>
    </row>
    <row r="24068" spans="1:2" x14ac:dyDescent="0.25">
      <c r="A24068" s="2">
        <v>24063</v>
      </c>
      <c r="B24068" s="11" t="str">
        <f>"01003995"</f>
        <v>01003995</v>
      </c>
    </row>
    <row r="24069" spans="1:2" x14ac:dyDescent="0.25">
      <c r="A24069" s="2">
        <v>24064</v>
      </c>
      <c r="B24069" s="11" t="str">
        <f>"01004061"</f>
        <v>01004061</v>
      </c>
    </row>
    <row r="24070" spans="1:2" x14ac:dyDescent="0.25">
      <c r="A24070" s="2">
        <v>24065</v>
      </c>
      <c r="B24070" s="11" t="str">
        <f>"01004119"</f>
        <v>01004119</v>
      </c>
    </row>
    <row r="24071" spans="1:2" x14ac:dyDescent="0.25">
      <c r="A24071" s="2">
        <v>24066</v>
      </c>
      <c r="B24071" s="11" t="str">
        <f>"01004128"</f>
        <v>01004128</v>
      </c>
    </row>
    <row r="24072" spans="1:2" x14ac:dyDescent="0.25">
      <c r="A24072" s="2">
        <v>24067</v>
      </c>
      <c r="B24072" s="11" t="str">
        <f>"01004134"</f>
        <v>01004134</v>
      </c>
    </row>
    <row r="24073" spans="1:2" x14ac:dyDescent="0.25">
      <c r="A24073" s="2">
        <v>24068</v>
      </c>
      <c r="B24073" s="11" t="str">
        <f>"01004142"</f>
        <v>01004142</v>
      </c>
    </row>
    <row r="24074" spans="1:2" x14ac:dyDescent="0.25">
      <c r="A24074" s="2">
        <v>24069</v>
      </c>
      <c r="B24074" s="11" t="str">
        <f>"01004143"</f>
        <v>01004143</v>
      </c>
    </row>
    <row r="24075" spans="1:2" x14ac:dyDescent="0.25">
      <c r="A24075" s="2">
        <v>24070</v>
      </c>
      <c r="B24075" s="11" t="str">
        <f>"01004160"</f>
        <v>01004160</v>
      </c>
    </row>
    <row r="24076" spans="1:2" x14ac:dyDescent="0.25">
      <c r="A24076" s="2">
        <v>24071</v>
      </c>
      <c r="B24076" s="11" t="str">
        <f>"01004175"</f>
        <v>01004175</v>
      </c>
    </row>
    <row r="24077" spans="1:2" x14ac:dyDescent="0.25">
      <c r="A24077" s="2">
        <v>24072</v>
      </c>
      <c r="B24077" s="11" t="str">
        <f>"01004184"</f>
        <v>01004184</v>
      </c>
    </row>
    <row r="24078" spans="1:2" x14ac:dyDescent="0.25">
      <c r="A24078" s="2">
        <v>24073</v>
      </c>
      <c r="B24078" s="11" t="str">
        <f>"01004224"</f>
        <v>01004224</v>
      </c>
    </row>
    <row r="24079" spans="1:2" x14ac:dyDescent="0.25">
      <c r="A24079" s="2">
        <v>24074</v>
      </c>
      <c r="B24079" s="11" t="str">
        <f>"01004228"</f>
        <v>01004228</v>
      </c>
    </row>
    <row r="24080" spans="1:2" x14ac:dyDescent="0.25">
      <c r="A24080" s="2">
        <v>24075</v>
      </c>
      <c r="B24080" s="11" t="str">
        <f>"01004239"</f>
        <v>01004239</v>
      </c>
    </row>
    <row r="24081" spans="1:2" x14ac:dyDescent="0.25">
      <c r="A24081" s="2">
        <v>24076</v>
      </c>
      <c r="B24081" s="11" t="str">
        <f>"01004240"</f>
        <v>01004240</v>
      </c>
    </row>
    <row r="24082" spans="1:2" x14ac:dyDescent="0.25">
      <c r="A24082" s="2">
        <v>24077</v>
      </c>
      <c r="B24082" s="11" t="str">
        <f>"01004253"</f>
        <v>01004253</v>
      </c>
    </row>
    <row r="24083" spans="1:2" x14ac:dyDescent="0.25">
      <c r="A24083" s="2">
        <v>24078</v>
      </c>
      <c r="B24083" s="11" t="str">
        <f>"01004291"</f>
        <v>01004291</v>
      </c>
    </row>
    <row r="24084" spans="1:2" x14ac:dyDescent="0.25">
      <c r="A24084" s="2">
        <v>24079</v>
      </c>
      <c r="B24084" s="11" t="str">
        <f>"01004305"</f>
        <v>01004305</v>
      </c>
    </row>
    <row r="24085" spans="1:2" x14ac:dyDescent="0.25">
      <c r="A24085" s="2">
        <v>24080</v>
      </c>
      <c r="B24085" s="11" t="str">
        <f>"01004313"</f>
        <v>01004313</v>
      </c>
    </row>
    <row r="24086" spans="1:2" x14ac:dyDescent="0.25">
      <c r="A24086" s="2">
        <v>24081</v>
      </c>
      <c r="B24086" s="11" t="str">
        <f>"01004314"</f>
        <v>01004314</v>
      </c>
    </row>
    <row r="24087" spans="1:2" x14ac:dyDescent="0.25">
      <c r="A24087" s="2">
        <v>24082</v>
      </c>
      <c r="B24087" s="11" t="str">
        <f>"01004317"</f>
        <v>01004317</v>
      </c>
    </row>
    <row r="24088" spans="1:2" x14ac:dyDescent="0.25">
      <c r="A24088" s="2">
        <v>24083</v>
      </c>
      <c r="B24088" s="11" t="str">
        <f>"01004325"</f>
        <v>01004325</v>
      </c>
    </row>
    <row r="24089" spans="1:2" x14ac:dyDescent="0.25">
      <c r="A24089" s="2">
        <v>24084</v>
      </c>
      <c r="B24089" s="11" t="str">
        <f>"01004350"</f>
        <v>01004350</v>
      </c>
    </row>
    <row r="24090" spans="1:2" x14ac:dyDescent="0.25">
      <c r="A24090" s="2">
        <v>24085</v>
      </c>
      <c r="B24090" s="11" t="str">
        <f>"01004355"</f>
        <v>01004355</v>
      </c>
    </row>
    <row r="24091" spans="1:2" x14ac:dyDescent="0.25">
      <c r="A24091" s="2">
        <v>24086</v>
      </c>
      <c r="B24091" s="11" t="str">
        <f>"01004364"</f>
        <v>01004364</v>
      </c>
    </row>
    <row r="24092" spans="1:2" x14ac:dyDescent="0.25">
      <c r="A24092" s="2">
        <v>24087</v>
      </c>
      <c r="B24092" s="11" t="str">
        <f>"01004369"</f>
        <v>01004369</v>
      </c>
    </row>
    <row r="24093" spans="1:2" x14ac:dyDescent="0.25">
      <c r="A24093" s="2">
        <v>24088</v>
      </c>
      <c r="B24093" s="11" t="str">
        <f>"01004406"</f>
        <v>01004406</v>
      </c>
    </row>
    <row r="24094" spans="1:2" x14ac:dyDescent="0.25">
      <c r="A24094" s="2">
        <v>24089</v>
      </c>
      <c r="B24094" s="11" t="str">
        <f>"01004417"</f>
        <v>01004417</v>
      </c>
    </row>
    <row r="24095" spans="1:2" x14ac:dyDescent="0.25">
      <c r="A24095" s="2">
        <v>24090</v>
      </c>
      <c r="B24095" s="11" t="str">
        <f>"01004432"</f>
        <v>01004432</v>
      </c>
    </row>
    <row r="24096" spans="1:2" x14ac:dyDescent="0.25">
      <c r="A24096" s="2">
        <v>24091</v>
      </c>
      <c r="B24096" s="11" t="str">
        <f>"01004435"</f>
        <v>01004435</v>
      </c>
    </row>
    <row r="24097" spans="1:2" x14ac:dyDescent="0.25">
      <c r="A24097" s="2">
        <v>24092</v>
      </c>
      <c r="B24097" s="11" t="str">
        <f>"01004459"</f>
        <v>01004459</v>
      </c>
    </row>
    <row r="24098" spans="1:2" x14ac:dyDescent="0.25">
      <c r="A24098" s="2">
        <v>24093</v>
      </c>
      <c r="B24098" s="11" t="str">
        <f>"01004472"</f>
        <v>01004472</v>
      </c>
    </row>
    <row r="24099" spans="1:2" x14ac:dyDescent="0.25">
      <c r="A24099" s="2">
        <v>24094</v>
      </c>
      <c r="B24099" s="11" t="str">
        <f>"01004477"</f>
        <v>01004477</v>
      </c>
    </row>
    <row r="24100" spans="1:2" x14ac:dyDescent="0.25">
      <c r="A24100" s="2">
        <v>24095</v>
      </c>
      <c r="B24100" s="11" t="str">
        <f>"01004536"</f>
        <v>01004536</v>
      </c>
    </row>
    <row r="24101" spans="1:2" x14ac:dyDescent="0.25">
      <c r="A24101" s="2">
        <v>24096</v>
      </c>
      <c r="B24101" s="11" t="str">
        <f>"01004538"</f>
        <v>01004538</v>
      </c>
    </row>
    <row r="24102" spans="1:2" x14ac:dyDescent="0.25">
      <c r="A24102" s="2">
        <v>24097</v>
      </c>
      <c r="B24102" s="11" t="str">
        <f>"01004541"</f>
        <v>01004541</v>
      </c>
    </row>
    <row r="24103" spans="1:2" x14ac:dyDescent="0.25">
      <c r="A24103" s="2">
        <v>24098</v>
      </c>
      <c r="B24103" s="11" t="str">
        <f>"01004545"</f>
        <v>01004545</v>
      </c>
    </row>
    <row r="24104" spans="1:2" x14ac:dyDescent="0.25">
      <c r="A24104" s="2">
        <v>24099</v>
      </c>
      <c r="B24104" s="11" t="str">
        <f>"01004568"</f>
        <v>01004568</v>
      </c>
    </row>
    <row r="24105" spans="1:2" x14ac:dyDescent="0.25">
      <c r="A24105" s="2">
        <v>24100</v>
      </c>
      <c r="B24105" s="11" t="str">
        <f>"01004632"</f>
        <v>01004632</v>
      </c>
    </row>
    <row r="24106" spans="1:2" x14ac:dyDescent="0.25">
      <c r="A24106" s="2">
        <v>24101</v>
      </c>
      <c r="B24106" s="11" t="str">
        <f>"01004637"</f>
        <v>01004637</v>
      </c>
    </row>
    <row r="24107" spans="1:2" x14ac:dyDescent="0.25">
      <c r="A24107" s="2">
        <v>24102</v>
      </c>
      <c r="B24107" s="11" t="str">
        <f>"01004646"</f>
        <v>01004646</v>
      </c>
    </row>
    <row r="24108" spans="1:2" x14ac:dyDescent="0.25">
      <c r="A24108" s="2">
        <v>24103</v>
      </c>
      <c r="B24108" s="11" t="str">
        <f>"01004682"</f>
        <v>01004682</v>
      </c>
    </row>
    <row r="24109" spans="1:2" x14ac:dyDescent="0.25">
      <c r="A24109" s="2">
        <v>24104</v>
      </c>
      <c r="B24109" s="11" t="str">
        <f>"01004701"</f>
        <v>01004701</v>
      </c>
    </row>
    <row r="24110" spans="1:2" x14ac:dyDescent="0.25">
      <c r="A24110" s="2">
        <v>24105</v>
      </c>
      <c r="B24110" s="11" t="str">
        <f>"01004734"</f>
        <v>01004734</v>
      </c>
    </row>
    <row r="24111" spans="1:2" x14ac:dyDescent="0.25">
      <c r="A24111" s="2">
        <v>24106</v>
      </c>
      <c r="B24111" s="11" t="str">
        <f>"01004736"</f>
        <v>01004736</v>
      </c>
    </row>
    <row r="24112" spans="1:2" x14ac:dyDescent="0.25">
      <c r="A24112" s="2">
        <v>24107</v>
      </c>
      <c r="B24112" s="11" t="str">
        <f>"01004749"</f>
        <v>01004749</v>
      </c>
    </row>
    <row r="24113" spans="1:2" x14ac:dyDescent="0.25">
      <c r="A24113" s="2">
        <v>24108</v>
      </c>
      <c r="B24113" s="11" t="str">
        <f>"01004760"</f>
        <v>01004760</v>
      </c>
    </row>
    <row r="24114" spans="1:2" x14ac:dyDescent="0.25">
      <c r="A24114" s="2">
        <v>24109</v>
      </c>
      <c r="B24114" s="11" t="str">
        <f>"01004765"</f>
        <v>01004765</v>
      </c>
    </row>
    <row r="24115" spans="1:2" x14ac:dyDescent="0.25">
      <c r="A24115" s="2">
        <v>24110</v>
      </c>
      <c r="B24115" s="11" t="str">
        <f>"01004771"</f>
        <v>01004771</v>
      </c>
    </row>
    <row r="24116" spans="1:2" x14ac:dyDescent="0.25">
      <c r="A24116" s="2">
        <v>24111</v>
      </c>
      <c r="B24116" s="11" t="str">
        <f>"01004785"</f>
        <v>01004785</v>
      </c>
    </row>
    <row r="24117" spans="1:2" x14ac:dyDescent="0.25">
      <c r="A24117" s="2">
        <v>24112</v>
      </c>
      <c r="B24117" s="11" t="str">
        <f>"01004846"</f>
        <v>01004846</v>
      </c>
    </row>
    <row r="24118" spans="1:2" x14ac:dyDescent="0.25">
      <c r="A24118" s="2">
        <v>24113</v>
      </c>
      <c r="B24118" s="11" t="str">
        <f>"01004854"</f>
        <v>01004854</v>
      </c>
    </row>
    <row r="24119" spans="1:2" x14ac:dyDescent="0.25">
      <c r="A24119" s="2">
        <v>24114</v>
      </c>
      <c r="B24119" s="11" t="str">
        <f>"01004862"</f>
        <v>01004862</v>
      </c>
    </row>
    <row r="24120" spans="1:2" x14ac:dyDescent="0.25">
      <c r="A24120" s="2">
        <v>24115</v>
      </c>
      <c r="B24120" s="11" t="str">
        <f>"01004870"</f>
        <v>01004870</v>
      </c>
    </row>
    <row r="24121" spans="1:2" x14ac:dyDescent="0.25">
      <c r="A24121" s="2">
        <v>24116</v>
      </c>
      <c r="B24121" s="11" t="str">
        <f>"01004872"</f>
        <v>01004872</v>
      </c>
    </row>
    <row r="24122" spans="1:2" x14ac:dyDescent="0.25">
      <c r="A24122" s="2">
        <v>24117</v>
      </c>
      <c r="B24122" s="11" t="str">
        <f>"01004874"</f>
        <v>01004874</v>
      </c>
    </row>
    <row r="24123" spans="1:2" x14ac:dyDescent="0.25">
      <c r="A24123" s="2">
        <v>24118</v>
      </c>
      <c r="B24123" s="11" t="str">
        <f>"01004885"</f>
        <v>01004885</v>
      </c>
    </row>
    <row r="24124" spans="1:2" x14ac:dyDescent="0.25">
      <c r="A24124" s="2">
        <v>24119</v>
      </c>
      <c r="B24124" s="11" t="str">
        <f>"01004897"</f>
        <v>01004897</v>
      </c>
    </row>
    <row r="24125" spans="1:2" x14ac:dyDescent="0.25">
      <c r="A24125" s="2">
        <v>24120</v>
      </c>
      <c r="B24125" s="11" t="str">
        <f>"01004902"</f>
        <v>01004902</v>
      </c>
    </row>
    <row r="24126" spans="1:2" x14ac:dyDescent="0.25">
      <c r="A24126" s="2">
        <v>24121</v>
      </c>
      <c r="B24126" s="11" t="str">
        <f>"01004918"</f>
        <v>01004918</v>
      </c>
    </row>
    <row r="24127" spans="1:2" x14ac:dyDescent="0.25">
      <c r="A24127" s="2">
        <v>24122</v>
      </c>
      <c r="B24127" s="11" t="str">
        <f>"01004957"</f>
        <v>01004957</v>
      </c>
    </row>
    <row r="24128" spans="1:2" x14ac:dyDescent="0.25">
      <c r="A24128" s="2">
        <v>24123</v>
      </c>
      <c r="B24128" s="11" t="str">
        <f>"01004975"</f>
        <v>01004975</v>
      </c>
    </row>
    <row r="24129" spans="1:2" x14ac:dyDescent="0.25">
      <c r="A24129" s="2">
        <v>24124</v>
      </c>
      <c r="B24129" s="11" t="str">
        <f>"01004983"</f>
        <v>01004983</v>
      </c>
    </row>
    <row r="24130" spans="1:2" x14ac:dyDescent="0.25">
      <c r="A24130" s="2">
        <v>24125</v>
      </c>
      <c r="B24130" s="11" t="str">
        <f>"01004994"</f>
        <v>01004994</v>
      </c>
    </row>
    <row r="24131" spans="1:2" x14ac:dyDescent="0.25">
      <c r="A24131" s="2">
        <v>24126</v>
      </c>
      <c r="B24131" s="11" t="str">
        <f>"01004999"</f>
        <v>01004999</v>
      </c>
    </row>
    <row r="24132" spans="1:2" x14ac:dyDescent="0.25">
      <c r="A24132" s="2">
        <v>24127</v>
      </c>
      <c r="B24132" s="11" t="str">
        <f>"01005012"</f>
        <v>01005012</v>
      </c>
    </row>
    <row r="24133" spans="1:2" x14ac:dyDescent="0.25">
      <c r="A24133" s="2">
        <v>24128</v>
      </c>
      <c r="B24133" s="11" t="str">
        <f>"01005022"</f>
        <v>01005022</v>
      </c>
    </row>
    <row r="24134" spans="1:2" x14ac:dyDescent="0.25">
      <c r="A24134" s="2">
        <v>24129</v>
      </c>
      <c r="B24134" s="11" t="str">
        <f>"01005035"</f>
        <v>01005035</v>
      </c>
    </row>
    <row r="24135" spans="1:2" x14ac:dyDescent="0.25">
      <c r="A24135" s="2">
        <v>24130</v>
      </c>
      <c r="B24135" s="11" t="str">
        <f>"01005058"</f>
        <v>01005058</v>
      </c>
    </row>
    <row r="24136" spans="1:2" x14ac:dyDescent="0.25">
      <c r="A24136" s="2">
        <v>24131</v>
      </c>
      <c r="B24136" s="11" t="str">
        <f>"01005066"</f>
        <v>01005066</v>
      </c>
    </row>
    <row r="24137" spans="1:2" x14ac:dyDescent="0.25">
      <c r="A24137" s="2">
        <v>24132</v>
      </c>
      <c r="B24137" s="11" t="str">
        <f>"01005068"</f>
        <v>01005068</v>
      </c>
    </row>
    <row r="24138" spans="1:2" x14ac:dyDescent="0.25">
      <c r="A24138" s="2">
        <v>24133</v>
      </c>
      <c r="B24138" s="11" t="str">
        <f>"01005098"</f>
        <v>01005098</v>
      </c>
    </row>
    <row r="24139" spans="1:2" x14ac:dyDescent="0.25">
      <c r="A24139" s="2">
        <v>24134</v>
      </c>
      <c r="B24139" s="11" t="str">
        <f>"01005099"</f>
        <v>01005099</v>
      </c>
    </row>
    <row r="24140" spans="1:2" x14ac:dyDescent="0.25">
      <c r="A24140" s="2">
        <v>24135</v>
      </c>
      <c r="B24140" s="11" t="str">
        <f>"01005110"</f>
        <v>01005110</v>
      </c>
    </row>
    <row r="24141" spans="1:2" x14ac:dyDescent="0.25">
      <c r="A24141" s="2">
        <v>24136</v>
      </c>
      <c r="B24141" s="11" t="str">
        <f>"01005116"</f>
        <v>01005116</v>
      </c>
    </row>
    <row r="24142" spans="1:2" x14ac:dyDescent="0.25">
      <c r="A24142" s="2">
        <v>24137</v>
      </c>
      <c r="B24142" s="11" t="str">
        <f>"01005129"</f>
        <v>01005129</v>
      </c>
    </row>
    <row r="24143" spans="1:2" x14ac:dyDescent="0.25">
      <c r="A24143" s="2">
        <v>24138</v>
      </c>
      <c r="B24143" s="11" t="str">
        <f>"01005131"</f>
        <v>01005131</v>
      </c>
    </row>
    <row r="24144" spans="1:2" x14ac:dyDescent="0.25">
      <c r="A24144" s="2">
        <v>24139</v>
      </c>
      <c r="B24144" s="11" t="str">
        <f>"01005132"</f>
        <v>01005132</v>
      </c>
    </row>
    <row r="24145" spans="1:2" x14ac:dyDescent="0.25">
      <c r="A24145" s="2">
        <v>24140</v>
      </c>
      <c r="B24145" s="11" t="str">
        <f>"01005139"</f>
        <v>01005139</v>
      </c>
    </row>
    <row r="24146" spans="1:2" x14ac:dyDescent="0.25">
      <c r="A24146" s="2">
        <v>24141</v>
      </c>
      <c r="B24146" s="11" t="str">
        <f>"01005143"</f>
        <v>01005143</v>
      </c>
    </row>
    <row r="24147" spans="1:2" x14ac:dyDescent="0.25">
      <c r="A24147" s="2">
        <v>24142</v>
      </c>
      <c r="B24147" s="11" t="str">
        <f>"01005152"</f>
        <v>01005152</v>
      </c>
    </row>
    <row r="24148" spans="1:2" x14ac:dyDescent="0.25">
      <c r="A24148" s="2">
        <v>24143</v>
      </c>
      <c r="B24148" s="11" t="str">
        <f>"01005160"</f>
        <v>01005160</v>
      </c>
    </row>
    <row r="24149" spans="1:2" x14ac:dyDescent="0.25">
      <c r="A24149" s="2">
        <v>24144</v>
      </c>
      <c r="B24149" s="11" t="str">
        <f>"01005171"</f>
        <v>01005171</v>
      </c>
    </row>
    <row r="24150" spans="1:2" x14ac:dyDescent="0.25">
      <c r="A24150" s="2">
        <v>24145</v>
      </c>
      <c r="B24150" s="11" t="str">
        <f>"01005178"</f>
        <v>01005178</v>
      </c>
    </row>
    <row r="24151" spans="1:2" x14ac:dyDescent="0.25">
      <c r="A24151" s="2">
        <v>24146</v>
      </c>
      <c r="B24151" s="11" t="str">
        <f>"01005202"</f>
        <v>01005202</v>
      </c>
    </row>
    <row r="24152" spans="1:2" x14ac:dyDescent="0.25">
      <c r="A24152" s="2">
        <v>24147</v>
      </c>
      <c r="B24152" s="11" t="str">
        <f>"01005241"</f>
        <v>01005241</v>
      </c>
    </row>
    <row r="24153" spans="1:2" x14ac:dyDescent="0.25">
      <c r="A24153" s="2">
        <v>24148</v>
      </c>
      <c r="B24153" s="11" t="str">
        <f>"01005260"</f>
        <v>01005260</v>
      </c>
    </row>
    <row r="24154" spans="1:2" x14ac:dyDescent="0.25">
      <c r="A24154" s="2">
        <v>24149</v>
      </c>
      <c r="B24154" s="11" t="str">
        <f>"01005268"</f>
        <v>01005268</v>
      </c>
    </row>
    <row r="24155" spans="1:2" x14ac:dyDescent="0.25">
      <c r="A24155" s="2">
        <v>24150</v>
      </c>
      <c r="B24155" s="11" t="str">
        <f>"01005285"</f>
        <v>01005285</v>
      </c>
    </row>
    <row r="24156" spans="1:2" x14ac:dyDescent="0.25">
      <c r="A24156" s="2">
        <v>24151</v>
      </c>
      <c r="B24156" s="11" t="str">
        <f>"01005296"</f>
        <v>01005296</v>
      </c>
    </row>
    <row r="24157" spans="1:2" x14ac:dyDescent="0.25">
      <c r="A24157" s="2">
        <v>24152</v>
      </c>
      <c r="B24157" s="11" t="str">
        <f>"01005301"</f>
        <v>01005301</v>
      </c>
    </row>
    <row r="24158" spans="1:2" x14ac:dyDescent="0.25">
      <c r="A24158" s="2">
        <v>24153</v>
      </c>
      <c r="B24158" s="11" t="str">
        <f>"01005306"</f>
        <v>01005306</v>
      </c>
    </row>
    <row r="24159" spans="1:2" x14ac:dyDescent="0.25">
      <c r="A24159" s="2">
        <v>24154</v>
      </c>
      <c r="B24159" s="11" t="str">
        <f>"01005339"</f>
        <v>01005339</v>
      </c>
    </row>
    <row r="24160" spans="1:2" x14ac:dyDescent="0.25">
      <c r="A24160" s="2">
        <v>24155</v>
      </c>
      <c r="B24160" s="11" t="str">
        <f>"01005349"</f>
        <v>01005349</v>
      </c>
    </row>
    <row r="24161" spans="1:2" x14ac:dyDescent="0.25">
      <c r="A24161" s="2">
        <v>24156</v>
      </c>
      <c r="B24161" s="11" t="str">
        <f>"01005367"</f>
        <v>01005367</v>
      </c>
    </row>
    <row r="24162" spans="1:2" x14ac:dyDescent="0.25">
      <c r="A24162" s="2">
        <v>24157</v>
      </c>
      <c r="B24162" s="11" t="str">
        <f>"01005387"</f>
        <v>01005387</v>
      </c>
    </row>
    <row r="24163" spans="1:2" x14ac:dyDescent="0.25">
      <c r="A24163" s="2">
        <v>24158</v>
      </c>
      <c r="B24163" s="11" t="str">
        <f>"01005400"</f>
        <v>01005400</v>
      </c>
    </row>
    <row r="24164" spans="1:2" x14ac:dyDescent="0.25">
      <c r="A24164" s="2">
        <v>24159</v>
      </c>
      <c r="B24164" s="11" t="str">
        <f>"01005431"</f>
        <v>01005431</v>
      </c>
    </row>
    <row r="24165" spans="1:2" x14ac:dyDescent="0.25">
      <c r="A24165" s="2">
        <v>24160</v>
      </c>
      <c r="B24165" s="11" t="str">
        <f>"01005504"</f>
        <v>01005504</v>
      </c>
    </row>
    <row r="24166" spans="1:2" x14ac:dyDescent="0.25">
      <c r="A24166" s="2">
        <v>24161</v>
      </c>
      <c r="B24166" s="11" t="str">
        <f>"01005534"</f>
        <v>01005534</v>
      </c>
    </row>
    <row r="24167" spans="1:2" x14ac:dyDescent="0.25">
      <c r="A24167" s="2">
        <v>24162</v>
      </c>
      <c r="B24167" s="11" t="str">
        <f>"01005548"</f>
        <v>01005548</v>
      </c>
    </row>
    <row r="24168" spans="1:2" x14ac:dyDescent="0.25">
      <c r="A24168" s="2">
        <v>24163</v>
      </c>
      <c r="B24168" s="11" t="str">
        <f>"01005574"</f>
        <v>01005574</v>
      </c>
    </row>
    <row r="24169" spans="1:2" x14ac:dyDescent="0.25">
      <c r="A24169" s="2">
        <v>24164</v>
      </c>
      <c r="B24169" s="11" t="str">
        <f>"01005575"</f>
        <v>01005575</v>
      </c>
    </row>
    <row r="24170" spans="1:2" x14ac:dyDescent="0.25">
      <c r="A24170" s="2">
        <v>24165</v>
      </c>
      <c r="B24170" s="11" t="str">
        <f>"01005580"</f>
        <v>01005580</v>
      </c>
    </row>
    <row r="24171" spans="1:2" x14ac:dyDescent="0.25">
      <c r="A24171" s="2">
        <v>24166</v>
      </c>
      <c r="B24171" s="11" t="str">
        <f>"01005587"</f>
        <v>01005587</v>
      </c>
    </row>
    <row r="24172" spans="1:2" x14ac:dyDescent="0.25">
      <c r="A24172" s="2">
        <v>24167</v>
      </c>
      <c r="B24172" s="11" t="str">
        <f>"01005599"</f>
        <v>01005599</v>
      </c>
    </row>
    <row r="24173" spans="1:2" x14ac:dyDescent="0.25">
      <c r="A24173" s="2">
        <v>24168</v>
      </c>
      <c r="B24173" s="11" t="str">
        <f>"01005625"</f>
        <v>01005625</v>
      </c>
    </row>
    <row r="24174" spans="1:2" x14ac:dyDescent="0.25">
      <c r="A24174" s="2">
        <v>24169</v>
      </c>
      <c r="B24174" s="11" t="str">
        <f>"01005632"</f>
        <v>01005632</v>
      </c>
    </row>
    <row r="24175" spans="1:2" x14ac:dyDescent="0.25">
      <c r="A24175" s="2">
        <v>24170</v>
      </c>
      <c r="B24175" s="11" t="str">
        <f>"01005642"</f>
        <v>01005642</v>
      </c>
    </row>
    <row r="24176" spans="1:2" x14ac:dyDescent="0.25">
      <c r="A24176" s="2">
        <v>24171</v>
      </c>
      <c r="B24176" s="11" t="str">
        <f>"01005662"</f>
        <v>01005662</v>
      </c>
    </row>
    <row r="24177" spans="1:2" x14ac:dyDescent="0.25">
      <c r="A24177" s="2">
        <v>24172</v>
      </c>
      <c r="B24177" s="11" t="str">
        <f>"01005670"</f>
        <v>01005670</v>
      </c>
    </row>
    <row r="24178" spans="1:2" x14ac:dyDescent="0.25">
      <c r="A24178" s="2">
        <v>24173</v>
      </c>
      <c r="B24178" s="11" t="str">
        <f>"01005676"</f>
        <v>01005676</v>
      </c>
    </row>
    <row r="24179" spans="1:2" x14ac:dyDescent="0.25">
      <c r="A24179" s="2">
        <v>24174</v>
      </c>
      <c r="B24179" s="11" t="str">
        <f>"01005683"</f>
        <v>01005683</v>
      </c>
    </row>
    <row r="24180" spans="1:2" x14ac:dyDescent="0.25">
      <c r="A24180" s="2">
        <v>24175</v>
      </c>
      <c r="B24180" s="11" t="str">
        <f>"01005704"</f>
        <v>01005704</v>
      </c>
    </row>
    <row r="24181" spans="1:2" x14ac:dyDescent="0.25">
      <c r="A24181" s="2">
        <v>24176</v>
      </c>
      <c r="B24181" s="11" t="str">
        <f>"01005734"</f>
        <v>01005734</v>
      </c>
    </row>
    <row r="24182" spans="1:2" x14ac:dyDescent="0.25">
      <c r="A24182" s="2">
        <v>24177</v>
      </c>
      <c r="B24182" s="11" t="str">
        <f>"01005777"</f>
        <v>01005777</v>
      </c>
    </row>
    <row r="24183" spans="1:2" x14ac:dyDescent="0.25">
      <c r="A24183" s="2">
        <v>24178</v>
      </c>
      <c r="B24183" s="11" t="str">
        <f>"01005792"</f>
        <v>01005792</v>
      </c>
    </row>
    <row r="24184" spans="1:2" x14ac:dyDescent="0.25">
      <c r="A24184" s="2">
        <v>24179</v>
      </c>
      <c r="B24184" s="11" t="str">
        <f>"01005811"</f>
        <v>01005811</v>
      </c>
    </row>
    <row r="24185" spans="1:2" x14ac:dyDescent="0.25">
      <c r="A24185" s="2">
        <v>24180</v>
      </c>
      <c r="B24185" s="11" t="str">
        <f>"01005814"</f>
        <v>01005814</v>
      </c>
    </row>
    <row r="24186" spans="1:2" x14ac:dyDescent="0.25">
      <c r="A24186" s="2">
        <v>24181</v>
      </c>
      <c r="B24186" s="11" t="str">
        <f>"01005850"</f>
        <v>01005850</v>
      </c>
    </row>
    <row r="24187" spans="1:2" x14ac:dyDescent="0.25">
      <c r="A24187" s="2">
        <v>24182</v>
      </c>
      <c r="B24187" s="11" t="str">
        <f>"01005879"</f>
        <v>01005879</v>
      </c>
    </row>
    <row r="24188" spans="1:2" x14ac:dyDescent="0.25">
      <c r="A24188" s="2">
        <v>24183</v>
      </c>
      <c r="B24188" s="11" t="str">
        <f>"01005880"</f>
        <v>01005880</v>
      </c>
    </row>
    <row r="24189" spans="1:2" x14ac:dyDescent="0.25">
      <c r="A24189" s="2">
        <v>24184</v>
      </c>
      <c r="B24189" s="11" t="str">
        <f>"01005887"</f>
        <v>01005887</v>
      </c>
    </row>
    <row r="24190" spans="1:2" x14ac:dyDescent="0.25">
      <c r="A24190" s="2">
        <v>24185</v>
      </c>
      <c r="B24190" s="11" t="str">
        <f>"01005893"</f>
        <v>01005893</v>
      </c>
    </row>
    <row r="24191" spans="1:2" x14ac:dyDescent="0.25">
      <c r="A24191" s="2">
        <v>24186</v>
      </c>
      <c r="B24191" s="11" t="str">
        <f>"01005939"</f>
        <v>01005939</v>
      </c>
    </row>
    <row r="24192" spans="1:2" x14ac:dyDescent="0.25">
      <c r="A24192" s="2">
        <v>24187</v>
      </c>
      <c r="B24192" s="11" t="str">
        <f>"01005952"</f>
        <v>01005952</v>
      </c>
    </row>
    <row r="24193" spans="1:2" x14ac:dyDescent="0.25">
      <c r="A24193" s="2">
        <v>24188</v>
      </c>
      <c r="B24193" s="11" t="str">
        <f>"01005955"</f>
        <v>01005955</v>
      </c>
    </row>
    <row r="24194" spans="1:2" x14ac:dyDescent="0.25">
      <c r="A24194" s="2">
        <v>24189</v>
      </c>
      <c r="B24194" s="11" t="str">
        <f>"01005958"</f>
        <v>01005958</v>
      </c>
    </row>
    <row r="24195" spans="1:2" x14ac:dyDescent="0.25">
      <c r="A24195" s="2">
        <v>24190</v>
      </c>
      <c r="B24195" s="11" t="str">
        <f>"01005980"</f>
        <v>01005980</v>
      </c>
    </row>
    <row r="24196" spans="1:2" x14ac:dyDescent="0.25">
      <c r="A24196" s="2">
        <v>24191</v>
      </c>
      <c r="B24196" s="11" t="str">
        <f>"01006005"</f>
        <v>01006005</v>
      </c>
    </row>
    <row r="24197" spans="1:2" x14ac:dyDescent="0.25">
      <c r="A24197" s="2">
        <v>24192</v>
      </c>
      <c r="B24197" s="11" t="str">
        <f>"01006059"</f>
        <v>01006059</v>
      </c>
    </row>
    <row r="24198" spans="1:2" x14ac:dyDescent="0.25">
      <c r="A24198" s="2">
        <v>24193</v>
      </c>
      <c r="B24198" s="11" t="str">
        <f>"01006060"</f>
        <v>01006060</v>
      </c>
    </row>
    <row r="24199" spans="1:2" x14ac:dyDescent="0.25">
      <c r="A24199" s="2">
        <v>24194</v>
      </c>
      <c r="B24199" s="11" t="str">
        <f>"01006064"</f>
        <v>01006064</v>
      </c>
    </row>
    <row r="24200" spans="1:2" x14ac:dyDescent="0.25">
      <c r="A24200" s="2">
        <v>24195</v>
      </c>
      <c r="B24200" s="11" t="str">
        <f>"01006104"</f>
        <v>01006104</v>
      </c>
    </row>
    <row r="24201" spans="1:2" x14ac:dyDescent="0.25">
      <c r="A24201" s="2">
        <v>24196</v>
      </c>
      <c r="B24201" s="11" t="str">
        <f>"01006128"</f>
        <v>01006128</v>
      </c>
    </row>
    <row r="24202" spans="1:2" x14ac:dyDescent="0.25">
      <c r="A24202" s="2">
        <v>24197</v>
      </c>
      <c r="B24202" s="11" t="str">
        <f>"01006154"</f>
        <v>01006154</v>
      </c>
    </row>
    <row r="24203" spans="1:2" x14ac:dyDescent="0.25">
      <c r="A24203" s="2">
        <v>24198</v>
      </c>
      <c r="B24203" s="11" t="str">
        <f>"01006155"</f>
        <v>01006155</v>
      </c>
    </row>
    <row r="24204" spans="1:2" x14ac:dyDescent="0.25">
      <c r="A24204" s="2">
        <v>24199</v>
      </c>
      <c r="B24204" s="11" t="str">
        <f>"01006175"</f>
        <v>01006175</v>
      </c>
    </row>
    <row r="24205" spans="1:2" x14ac:dyDescent="0.25">
      <c r="A24205" s="2">
        <v>24200</v>
      </c>
      <c r="B24205" s="11" t="str">
        <f>"01006189"</f>
        <v>01006189</v>
      </c>
    </row>
    <row r="24206" spans="1:2" x14ac:dyDescent="0.25">
      <c r="A24206" s="2">
        <v>24201</v>
      </c>
      <c r="B24206" s="11" t="str">
        <f>"01006212"</f>
        <v>01006212</v>
      </c>
    </row>
    <row r="24207" spans="1:2" x14ac:dyDescent="0.25">
      <c r="A24207" s="2">
        <v>24202</v>
      </c>
      <c r="B24207" s="11" t="str">
        <f>"01006216"</f>
        <v>01006216</v>
      </c>
    </row>
    <row r="24208" spans="1:2" x14ac:dyDescent="0.25">
      <c r="A24208" s="2">
        <v>24203</v>
      </c>
      <c r="B24208" s="11" t="str">
        <f>"01006220"</f>
        <v>01006220</v>
      </c>
    </row>
    <row r="24209" spans="1:2" x14ac:dyDescent="0.25">
      <c r="A24209" s="2">
        <v>24204</v>
      </c>
      <c r="B24209" s="11" t="str">
        <f>"01006243"</f>
        <v>01006243</v>
      </c>
    </row>
    <row r="24210" spans="1:2" x14ac:dyDescent="0.25">
      <c r="A24210" s="2">
        <v>24205</v>
      </c>
      <c r="B24210" s="11" t="str">
        <f>"01006290"</f>
        <v>01006290</v>
      </c>
    </row>
    <row r="24211" spans="1:2" x14ac:dyDescent="0.25">
      <c r="A24211" s="2">
        <v>24206</v>
      </c>
      <c r="B24211" s="11" t="str">
        <f>"01006329"</f>
        <v>01006329</v>
      </c>
    </row>
    <row r="24212" spans="1:2" x14ac:dyDescent="0.25">
      <c r="A24212" s="2">
        <v>24207</v>
      </c>
      <c r="B24212" s="11" t="str">
        <f>"01006351"</f>
        <v>01006351</v>
      </c>
    </row>
    <row r="24213" spans="1:2" x14ac:dyDescent="0.25">
      <c r="A24213" s="2">
        <v>24208</v>
      </c>
      <c r="B24213" s="11" t="str">
        <f>"01006354"</f>
        <v>01006354</v>
      </c>
    </row>
    <row r="24214" spans="1:2" x14ac:dyDescent="0.25">
      <c r="A24214" s="2">
        <v>24209</v>
      </c>
      <c r="B24214" s="11" t="str">
        <f>"01006361"</f>
        <v>01006361</v>
      </c>
    </row>
    <row r="24215" spans="1:2" x14ac:dyDescent="0.25">
      <c r="A24215" s="2">
        <v>24210</v>
      </c>
      <c r="B24215" s="11" t="str">
        <f>"01006376"</f>
        <v>01006376</v>
      </c>
    </row>
    <row r="24216" spans="1:2" x14ac:dyDescent="0.25">
      <c r="A24216" s="2">
        <v>24211</v>
      </c>
      <c r="B24216" s="11" t="str">
        <f>"01006378"</f>
        <v>01006378</v>
      </c>
    </row>
    <row r="24217" spans="1:2" x14ac:dyDescent="0.25">
      <c r="A24217" s="2">
        <v>24212</v>
      </c>
      <c r="B24217" s="11" t="str">
        <f>"01006380"</f>
        <v>01006380</v>
      </c>
    </row>
    <row r="24218" spans="1:2" x14ac:dyDescent="0.25">
      <c r="A24218" s="2">
        <v>24213</v>
      </c>
      <c r="B24218" s="11" t="str">
        <f>"01006382"</f>
        <v>01006382</v>
      </c>
    </row>
    <row r="24219" spans="1:2" x14ac:dyDescent="0.25">
      <c r="A24219" s="2">
        <v>24214</v>
      </c>
      <c r="B24219" s="11" t="str">
        <f>"01006408"</f>
        <v>01006408</v>
      </c>
    </row>
    <row r="24220" spans="1:2" x14ac:dyDescent="0.25">
      <c r="A24220" s="2">
        <v>24215</v>
      </c>
      <c r="B24220" s="11" t="str">
        <f>"01006461"</f>
        <v>01006461</v>
      </c>
    </row>
    <row r="24221" spans="1:2" x14ac:dyDescent="0.25">
      <c r="A24221" s="2">
        <v>24216</v>
      </c>
      <c r="B24221" s="11" t="str">
        <f>"01006476"</f>
        <v>01006476</v>
      </c>
    </row>
    <row r="24222" spans="1:2" x14ac:dyDescent="0.25">
      <c r="A24222" s="2">
        <v>24217</v>
      </c>
      <c r="B24222" s="11" t="str">
        <f>"01006477"</f>
        <v>01006477</v>
      </c>
    </row>
    <row r="24223" spans="1:2" x14ac:dyDescent="0.25">
      <c r="A24223" s="2">
        <v>24218</v>
      </c>
      <c r="B24223" s="11" t="str">
        <f>"01006507"</f>
        <v>01006507</v>
      </c>
    </row>
    <row r="24224" spans="1:2" x14ac:dyDescent="0.25">
      <c r="A24224" s="2">
        <v>24219</v>
      </c>
      <c r="B24224" s="11" t="str">
        <f>"01006531"</f>
        <v>01006531</v>
      </c>
    </row>
    <row r="24225" spans="1:2" x14ac:dyDescent="0.25">
      <c r="A24225" s="2">
        <v>24220</v>
      </c>
      <c r="B24225" s="11" t="str">
        <f>"01006532"</f>
        <v>01006532</v>
      </c>
    </row>
    <row r="24226" spans="1:2" x14ac:dyDescent="0.25">
      <c r="A24226" s="2">
        <v>24221</v>
      </c>
      <c r="B24226" s="11" t="str">
        <f>"01006650"</f>
        <v>01006650</v>
      </c>
    </row>
    <row r="24227" spans="1:2" x14ac:dyDescent="0.25">
      <c r="A24227" s="2">
        <v>24222</v>
      </c>
      <c r="B24227" s="11" t="str">
        <f>"01006654"</f>
        <v>01006654</v>
      </c>
    </row>
    <row r="24228" spans="1:2" x14ac:dyDescent="0.25">
      <c r="A24228" s="2">
        <v>24223</v>
      </c>
      <c r="B24228" s="11" t="str">
        <f>"01006658"</f>
        <v>01006658</v>
      </c>
    </row>
    <row r="24229" spans="1:2" x14ac:dyDescent="0.25">
      <c r="A24229" s="2">
        <v>24224</v>
      </c>
      <c r="B24229" s="11" t="str">
        <f>"01006669"</f>
        <v>01006669</v>
      </c>
    </row>
    <row r="24230" spans="1:2" x14ac:dyDescent="0.25">
      <c r="A24230" s="2">
        <v>24225</v>
      </c>
      <c r="B24230" s="11" t="str">
        <f>"01006702"</f>
        <v>01006702</v>
      </c>
    </row>
    <row r="24231" spans="1:2" x14ac:dyDescent="0.25">
      <c r="A24231" s="2">
        <v>24226</v>
      </c>
      <c r="B24231" s="11" t="str">
        <f>"01006716"</f>
        <v>01006716</v>
      </c>
    </row>
    <row r="24232" spans="1:2" x14ac:dyDescent="0.25">
      <c r="A24232" s="2">
        <v>24227</v>
      </c>
      <c r="B24232" s="11" t="str">
        <f>"01006726"</f>
        <v>01006726</v>
      </c>
    </row>
    <row r="24233" spans="1:2" x14ac:dyDescent="0.25">
      <c r="A24233" s="2">
        <v>24228</v>
      </c>
      <c r="B24233" s="11" t="str">
        <f>"01006883"</f>
        <v>01006883</v>
      </c>
    </row>
    <row r="24234" spans="1:2" x14ac:dyDescent="0.25">
      <c r="A24234" s="2">
        <v>24229</v>
      </c>
      <c r="B24234" s="11" t="str">
        <f>"01006916"</f>
        <v>01006916</v>
      </c>
    </row>
    <row r="24235" spans="1:2" x14ac:dyDescent="0.25">
      <c r="A24235" s="2">
        <v>24230</v>
      </c>
      <c r="B24235" s="11" t="str">
        <f>"01006926"</f>
        <v>01006926</v>
      </c>
    </row>
    <row r="24236" spans="1:2" x14ac:dyDescent="0.25">
      <c r="A24236" s="2">
        <v>24231</v>
      </c>
      <c r="B24236" s="11" t="str">
        <f>"01006959"</f>
        <v>01006959</v>
      </c>
    </row>
    <row r="24237" spans="1:2" x14ac:dyDescent="0.25">
      <c r="A24237" s="2">
        <v>24232</v>
      </c>
      <c r="B24237" s="11" t="str">
        <f>"01006968"</f>
        <v>01006968</v>
      </c>
    </row>
    <row r="24238" spans="1:2" x14ac:dyDescent="0.25">
      <c r="A24238" s="2">
        <v>24233</v>
      </c>
      <c r="B24238" s="11" t="str">
        <f>"01006988"</f>
        <v>01006988</v>
      </c>
    </row>
    <row r="24239" spans="1:2" x14ac:dyDescent="0.25">
      <c r="A24239" s="2">
        <v>24234</v>
      </c>
      <c r="B24239" s="11" t="str">
        <f>"01007000"</f>
        <v>01007000</v>
      </c>
    </row>
    <row r="24240" spans="1:2" x14ac:dyDescent="0.25">
      <c r="A24240" s="2">
        <v>24235</v>
      </c>
      <c r="B24240" s="11" t="str">
        <f>"01007005"</f>
        <v>01007005</v>
      </c>
    </row>
    <row r="24241" spans="1:2" x14ac:dyDescent="0.25">
      <c r="A24241" s="2">
        <v>24236</v>
      </c>
      <c r="B24241" s="11" t="str">
        <f>"01007041"</f>
        <v>01007041</v>
      </c>
    </row>
    <row r="24242" spans="1:2" x14ac:dyDescent="0.25">
      <c r="A24242" s="2">
        <v>24237</v>
      </c>
      <c r="B24242" s="11" t="str">
        <f>"01007065"</f>
        <v>01007065</v>
      </c>
    </row>
    <row r="24243" spans="1:2" x14ac:dyDescent="0.25">
      <c r="A24243" s="2">
        <v>24238</v>
      </c>
      <c r="B24243" s="11" t="str">
        <f>"01007085"</f>
        <v>01007085</v>
      </c>
    </row>
    <row r="24244" spans="1:2" x14ac:dyDescent="0.25">
      <c r="A24244" s="2">
        <v>24239</v>
      </c>
      <c r="B24244" s="11" t="str">
        <f>"01007101"</f>
        <v>01007101</v>
      </c>
    </row>
    <row r="24245" spans="1:2" x14ac:dyDescent="0.25">
      <c r="A24245" s="2">
        <v>24240</v>
      </c>
      <c r="B24245" s="11" t="str">
        <f>"01007116"</f>
        <v>01007116</v>
      </c>
    </row>
    <row r="24246" spans="1:2" x14ac:dyDescent="0.25">
      <c r="A24246" s="2">
        <v>24241</v>
      </c>
      <c r="B24246" s="11" t="str">
        <f>"01007119"</f>
        <v>01007119</v>
      </c>
    </row>
    <row r="24247" spans="1:2" x14ac:dyDescent="0.25">
      <c r="A24247" s="2">
        <v>24242</v>
      </c>
      <c r="B24247" s="11" t="str">
        <f>"01007120"</f>
        <v>01007120</v>
      </c>
    </row>
    <row r="24248" spans="1:2" x14ac:dyDescent="0.25">
      <c r="A24248" s="2">
        <v>24243</v>
      </c>
      <c r="B24248" s="11" t="str">
        <f>"01007121"</f>
        <v>01007121</v>
      </c>
    </row>
    <row r="24249" spans="1:2" x14ac:dyDescent="0.25">
      <c r="A24249" s="2">
        <v>24244</v>
      </c>
      <c r="B24249" s="11" t="str">
        <f>"01007130"</f>
        <v>01007130</v>
      </c>
    </row>
    <row r="24250" spans="1:2" x14ac:dyDescent="0.25">
      <c r="A24250" s="2">
        <v>24245</v>
      </c>
      <c r="B24250" s="11" t="str">
        <f>"01007167"</f>
        <v>01007167</v>
      </c>
    </row>
    <row r="24251" spans="1:2" x14ac:dyDescent="0.25">
      <c r="A24251" s="2">
        <v>24246</v>
      </c>
      <c r="B24251" s="11" t="str">
        <f>"01007218"</f>
        <v>01007218</v>
      </c>
    </row>
    <row r="24252" spans="1:2" x14ac:dyDescent="0.25">
      <c r="A24252" s="2">
        <v>24247</v>
      </c>
      <c r="B24252" s="11" t="str">
        <f>"01007227"</f>
        <v>01007227</v>
      </c>
    </row>
    <row r="24253" spans="1:2" x14ac:dyDescent="0.25">
      <c r="A24253" s="2">
        <v>24248</v>
      </c>
      <c r="B24253" s="11" t="str">
        <f>"01007232"</f>
        <v>01007232</v>
      </c>
    </row>
    <row r="24254" spans="1:2" x14ac:dyDescent="0.25">
      <c r="A24254" s="2">
        <v>24249</v>
      </c>
      <c r="B24254" s="11" t="str">
        <f>"01007237"</f>
        <v>01007237</v>
      </c>
    </row>
    <row r="24255" spans="1:2" x14ac:dyDescent="0.25">
      <c r="A24255" s="2">
        <v>24250</v>
      </c>
      <c r="B24255" s="11" t="str">
        <f>"01007244"</f>
        <v>01007244</v>
      </c>
    </row>
    <row r="24256" spans="1:2" x14ac:dyDescent="0.25">
      <c r="A24256" s="2">
        <v>24251</v>
      </c>
      <c r="B24256" s="11" t="str">
        <f>"01007248"</f>
        <v>01007248</v>
      </c>
    </row>
    <row r="24257" spans="1:2" x14ac:dyDescent="0.25">
      <c r="A24257" s="2">
        <v>24252</v>
      </c>
      <c r="B24257" s="11" t="str">
        <f>"01007250"</f>
        <v>01007250</v>
      </c>
    </row>
    <row r="24258" spans="1:2" x14ac:dyDescent="0.25">
      <c r="A24258" s="2">
        <v>24253</v>
      </c>
      <c r="B24258" s="11" t="str">
        <f>"01007256"</f>
        <v>01007256</v>
      </c>
    </row>
    <row r="24259" spans="1:2" x14ac:dyDescent="0.25">
      <c r="A24259" s="2">
        <v>24254</v>
      </c>
      <c r="B24259" s="11" t="str">
        <f>"01007258"</f>
        <v>01007258</v>
      </c>
    </row>
    <row r="24260" spans="1:2" x14ac:dyDescent="0.25">
      <c r="A24260" s="2">
        <v>24255</v>
      </c>
      <c r="B24260" s="11" t="str">
        <f>"01007280"</f>
        <v>01007280</v>
      </c>
    </row>
    <row r="24261" spans="1:2" x14ac:dyDescent="0.25">
      <c r="A24261" s="2">
        <v>24256</v>
      </c>
      <c r="B24261" s="11" t="str">
        <f>"01007282"</f>
        <v>01007282</v>
      </c>
    </row>
    <row r="24262" spans="1:2" x14ac:dyDescent="0.25">
      <c r="A24262" s="2">
        <v>24257</v>
      </c>
      <c r="B24262" s="11" t="str">
        <f>"01007305"</f>
        <v>01007305</v>
      </c>
    </row>
    <row r="24263" spans="1:2" x14ac:dyDescent="0.25">
      <c r="A24263" s="2">
        <v>24258</v>
      </c>
      <c r="B24263" s="11" t="str">
        <f>"01007321"</f>
        <v>01007321</v>
      </c>
    </row>
    <row r="24264" spans="1:2" x14ac:dyDescent="0.25">
      <c r="A24264" s="2">
        <v>24259</v>
      </c>
      <c r="B24264" s="11" t="str">
        <f>"01007347"</f>
        <v>01007347</v>
      </c>
    </row>
    <row r="24265" spans="1:2" x14ac:dyDescent="0.25">
      <c r="A24265" s="2">
        <v>24260</v>
      </c>
      <c r="B24265" s="11" t="str">
        <f>"01007353"</f>
        <v>01007353</v>
      </c>
    </row>
    <row r="24266" spans="1:2" x14ac:dyDescent="0.25">
      <c r="A24266" s="2">
        <v>24261</v>
      </c>
      <c r="B24266" s="11" t="str">
        <f>"01007354"</f>
        <v>01007354</v>
      </c>
    </row>
    <row r="24267" spans="1:2" x14ac:dyDescent="0.25">
      <c r="A24267" s="2">
        <v>24262</v>
      </c>
      <c r="B24267" s="11" t="str">
        <f>"01007357"</f>
        <v>01007357</v>
      </c>
    </row>
    <row r="24268" spans="1:2" x14ac:dyDescent="0.25">
      <c r="A24268" s="2">
        <v>24263</v>
      </c>
      <c r="B24268" s="11" t="str">
        <f>"01007363"</f>
        <v>01007363</v>
      </c>
    </row>
    <row r="24269" spans="1:2" x14ac:dyDescent="0.25">
      <c r="A24269" s="2">
        <v>24264</v>
      </c>
      <c r="B24269" s="11" t="str">
        <f>"01007365"</f>
        <v>01007365</v>
      </c>
    </row>
    <row r="24270" spans="1:2" x14ac:dyDescent="0.25">
      <c r="A24270" s="2">
        <v>24265</v>
      </c>
      <c r="B24270" s="11" t="str">
        <f>"01007394"</f>
        <v>01007394</v>
      </c>
    </row>
    <row r="24271" spans="1:2" x14ac:dyDescent="0.25">
      <c r="A24271" s="2">
        <v>24266</v>
      </c>
      <c r="B24271" s="11" t="str">
        <f>"01007403"</f>
        <v>01007403</v>
      </c>
    </row>
    <row r="24272" spans="1:2" x14ac:dyDescent="0.25">
      <c r="A24272" s="2">
        <v>24267</v>
      </c>
      <c r="B24272" s="11" t="str">
        <f>"01007410"</f>
        <v>01007410</v>
      </c>
    </row>
    <row r="24273" spans="1:2" x14ac:dyDescent="0.25">
      <c r="A24273" s="2">
        <v>24268</v>
      </c>
      <c r="B24273" s="11" t="str">
        <f>"01007425"</f>
        <v>01007425</v>
      </c>
    </row>
    <row r="24274" spans="1:2" x14ac:dyDescent="0.25">
      <c r="A24274" s="2">
        <v>24269</v>
      </c>
      <c r="B24274" s="11" t="str">
        <f>"01007442"</f>
        <v>01007442</v>
      </c>
    </row>
    <row r="24275" spans="1:2" x14ac:dyDescent="0.25">
      <c r="A24275" s="2">
        <v>24270</v>
      </c>
      <c r="B24275" s="11" t="str">
        <f>"01007447"</f>
        <v>01007447</v>
      </c>
    </row>
    <row r="24276" spans="1:2" x14ac:dyDescent="0.25">
      <c r="A24276" s="2">
        <v>24271</v>
      </c>
      <c r="B24276" s="11" t="str">
        <f>"01007460"</f>
        <v>01007460</v>
      </c>
    </row>
    <row r="24277" spans="1:2" x14ac:dyDescent="0.25">
      <c r="A24277" s="2">
        <v>24272</v>
      </c>
      <c r="B24277" s="11" t="str">
        <f>"01007478"</f>
        <v>01007478</v>
      </c>
    </row>
    <row r="24278" spans="1:2" x14ac:dyDescent="0.25">
      <c r="A24278" s="2">
        <v>24273</v>
      </c>
      <c r="B24278" s="11" t="str">
        <f>"01007490"</f>
        <v>01007490</v>
      </c>
    </row>
    <row r="24279" spans="1:2" x14ac:dyDescent="0.25">
      <c r="A24279" s="2">
        <v>24274</v>
      </c>
      <c r="B24279" s="11" t="str">
        <f>"01007504"</f>
        <v>01007504</v>
      </c>
    </row>
    <row r="24280" spans="1:2" x14ac:dyDescent="0.25">
      <c r="A24280" s="2">
        <v>24275</v>
      </c>
      <c r="B24280" s="11" t="str">
        <f>"01007514"</f>
        <v>01007514</v>
      </c>
    </row>
    <row r="24281" spans="1:2" x14ac:dyDescent="0.25">
      <c r="A24281" s="2">
        <v>24276</v>
      </c>
      <c r="B24281" s="11" t="str">
        <f>"01007525"</f>
        <v>01007525</v>
      </c>
    </row>
    <row r="24282" spans="1:2" x14ac:dyDescent="0.25">
      <c r="A24282" s="2">
        <v>24277</v>
      </c>
      <c r="B24282" s="11" t="str">
        <f>"01007529"</f>
        <v>01007529</v>
      </c>
    </row>
    <row r="24283" spans="1:2" x14ac:dyDescent="0.25">
      <c r="A24283" s="2">
        <v>24278</v>
      </c>
      <c r="B24283" s="11" t="str">
        <f>"01007553"</f>
        <v>01007553</v>
      </c>
    </row>
    <row r="24284" spans="1:2" x14ac:dyDescent="0.25">
      <c r="A24284" s="2">
        <v>24279</v>
      </c>
      <c r="B24284" s="11" t="str">
        <f>"01007569"</f>
        <v>01007569</v>
      </c>
    </row>
    <row r="24285" spans="1:2" x14ac:dyDescent="0.25">
      <c r="A24285" s="2">
        <v>24280</v>
      </c>
      <c r="B24285" s="11" t="str">
        <f>"01007587"</f>
        <v>01007587</v>
      </c>
    </row>
    <row r="24286" spans="1:2" x14ac:dyDescent="0.25">
      <c r="A24286" s="2">
        <v>24281</v>
      </c>
      <c r="B24286" s="11" t="str">
        <f>"01007633"</f>
        <v>01007633</v>
      </c>
    </row>
    <row r="24287" spans="1:2" x14ac:dyDescent="0.25">
      <c r="A24287" s="2">
        <v>24282</v>
      </c>
      <c r="B24287" s="11" t="str">
        <f>"01007637"</f>
        <v>01007637</v>
      </c>
    </row>
    <row r="24288" spans="1:2" x14ac:dyDescent="0.25">
      <c r="A24288" s="2">
        <v>24283</v>
      </c>
      <c r="B24288" s="11" t="str">
        <f>"01007676"</f>
        <v>01007676</v>
      </c>
    </row>
    <row r="24289" spans="1:2" x14ac:dyDescent="0.25">
      <c r="A24289" s="2">
        <v>24284</v>
      </c>
      <c r="B24289" s="11" t="str">
        <f>"01007686"</f>
        <v>01007686</v>
      </c>
    </row>
    <row r="24290" spans="1:2" x14ac:dyDescent="0.25">
      <c r="A24290" s="2">
        <v>24285</v>
      </c>
      <c r="B24290" s="11" t="str">
        <f>"01007732"</f>
        <v>01007732</v>
      </c>
    </row>
    <row r="24291" spans="1:2" x14ac:dyDescent="0.25">
      <c r="A24291" s="2">
        <v>24286</v>
      </c>
      <c r="B24291" s="11" t="str">
        <f>"01007736"</f>
        <v>01007736</v>
      </c>
    </row>
    <row r="24292" spans="1:2" x14ac:dyDescent="0.25">
      <c r="A24292" s="2">
        <v>24287</v>
      </c>
      <c r="B24292" s="11" t="str">
        <f>"01007759"</f>
        <v>01007759</v>
      </c>
    </row>
    <row r="24293" spans="1:2" x14ac:dyDescent="0.25">
      <c r="A24293" s="2">
        <v>24288</v>
      </c>
      <c r="B24293" s="11" t="str">
        <f>"01007761"</f>
        <v>01007761</v>
      </c>
    </row>
    <row r="24294" spans="1:2" x14ac:dyDescent="0.25">
      <c r="A24294" s="2">
        <v>24289</v>
      </c>
      <c r="B24294" s="11" t="str">
        <f>"01007796"</f>
        <v>01007796</v>
      </c>
    </row>
    <row r="24295" spans="1:2" x14ac:dyDescent="0.25">
      <c r="A24295" s="2">
        <v>24290</v>
      </c>
      <c r="B24295" s="11" t="str">
        <f>"01007797"</f>
        <v>01007797</v>
      </c>
    </row>
    <row r="24296" spans="1:2" x14ac:dyDescent="0.25">
      <c r="A24296" s="2">
        <v>24291</v>
      </c>
      <c r="B24296" s="11" t="str">
        <f>"01007816"</f>
        <v>01007816</v>
      </c>
    </row>
    <row r="24297" spans="1:2" x14ac:dyDescent="0.25">
      <c r="A24297" s="2">
        <v>24292</v>
      </c>
      <c r="B24297" s="11" t="str">
        <f>"01007843"</f>
        <v>01007843</v>
      </c>
    </row>
    <row r="24298" spans="1:2" x14ac:dyDescent="0.25">
      <c r="A24298" s="2">
        <v>24293</v>
      </c>
      <c r="B24298" s="11" t="str">
        <f>"01007859"</f>
        <v>01007859</v>
      </c>
    </row>
    <row r="24299" spans="1:2" x14ac:dyDescent="0.25">
      <c r="A24299" s="2">
        <v>24294</v>
      </c>
      <c r="B24299" s="11" t="str">
        <f>"01007880"</f>
        <v>01007880</v>
      </c>
    </row>
    <row r="24300" spans="1:2" x14ac:dyDescent="0.25">
      <c r="A24300" s="2">
        <v>24295</v>
      </c>
      <c r="B24300" s="11" t="str">
        <f>"01007904"</f>
        <v>01007904</v>
      </c>
    </row>
    <row r="24301" spans="1:2" x14ac:dyDescent="0.25">
      <c r="A24301" s="2">
        <v>24296</v>
      </c>
      <c r="B24301" s="11" t="str">
        <f>"01007923"</f>
        <v>01007923</v>
      </c>
    </row>
    <row r="24302" spans="1:2" x14ac:dyDescent="0.25">
      <c r="A24302" s="2">
        <v>24297</v>
      </c>
      <c r="B24302" s="11" t="str">
        <f>"01007926"</f>
        <v>01007926</v>
      </c>
    </row>
    <row r="24303" spans="1:2" x14ac:dyDescent="0.25">
      <c r="A24303" s="2">
        <v>24298</v>
      </c>
      <c r="B24303" s="11" t="str">
        <f>"01007929"</f>
        <v>01007929</v>
      </c>
    </row>
    <row r="24304" spans="1:2" x14ac:dyDescent="0.25">
      <c r="A24304" s="2">
        <v>24299</v>
      </c>
      <c r="B24304" s="11" t="str">
        <f>"01007934"</f>
        <v>01007934</v>
      </c>
    </row>
    <row r="24305" spans="1:2" x14ac:dyDescent="0.25">
      <c r="A24305" s="2">
        <v>24300</v>
      </c>
      <c r="B24305" s="11" t="str">
        <f>"01007983"</f>
        <v>01007983</v>
      </c>
    </row>
    <row r="24306" spans="1:2" x14ac:dyDescent="0.25">
      <c r="A24306" s="2">
        <v>24301</v>
      </c>
      <c r="B24306" s="11" t="str">
        <f>"01007993"</f>
        <v>01007993</v>
      </c>
    </row>
    <row r="24307" spans="1:2" x14ac:dyDescent="0.25">
      <c r="A24307" s="2">
        <v>24302</v>
      </c>
      <c r="B24307" s="11" t="str">
        <f>"01008030"</f>
        <v>01008030</v>
      </c>
    </row>
    <row r="24308" spans="1:2" x14ac:dyDescent="0.25">
      <c r="A24308" s="2">
        <v>24303</v>
      </c>
      <c r="B24308" s="11" t="str">
        <f>"01008045"</f>
        <v>01008045</v>
      </c>
    </row>
    <row r="24309" spans="1:2" x14ac:dyDescent="0.25">
      <c r="A24309" s="2">
        <v>24304</v>
      </c>
      <c r="B24309" s="11" t="str">
        <f>"01008060"</f>
        <v>01008060</v>
      </c>
    </row>
    <row r="24310" spans="1:2" x14ac:dyDescent="0.25">
      <c r="A24310" s="2">
        <v>24305</v>
      </c>
      <c r="B24310" s="11" t="str">
        <f>"01008072"</f>
        <v>01008072</v>
      </c>
    </row>
    <row r="24311" spans="1:2" x14ac:dyDescent="0.25">
      <c r="A24311" s="2">
        <v>24306</v>
      </c>
      <c r="B24311" s="11" t="str">
        <f>"01008105"</f>
        <v>01008105</v>
      </c>
    </row>
    <row r="24312" spans="1:2" x14ac:dyDescent="0.25">
      <c r="A24312" s="2">
        <v>24307</v>
      </c>
      <c r="B24312" s="11" t="str">
        <f>"01008121"</f>
        <v>01008121</v>
      </c>
    </row>
    <row r="24313" spans="1:2" x14ac:dyDescent="0.25">
      <c r="A24313" s="2">
        <v>24308</v>
      </c>
      <c r="B24313" s="11" t="str">
        <f>"01008131"</f>
        <v>01008131</v>
      </c>
    </row>
    <row r="24314" spans="1:2" x14ac:dyDescent="0.25">
      <c r="A24314" s="2">
        <v>24309</v>
      </c>
      <c r="B24314" s="11" t="str">
        <f>"01008161"</f>
        <v>01008161</v>
      </c>
    </row>
    <row r="24315" spans="1:2" x14ac:dyDescent="0.25">
      <c r="A24315" s="2">
        <v>24310</v>
      </c>
      <c r="B24315" s="11" t="str">
        <f>"01008164"</f>
        <v>01008164</v>
      </c>
    </row>
    <row r="24316" spans="1:2" x14ac:dyDescent="0.25">
      <c r="A24316" s="2">
        <v>24311</v>
      </c>
      <c r="B24316" s="11" t="str">
        <f>"01008175"</f>
        <v>01008175</v>
      </c>
    </row>
    <row r="24317" spans="1:2" x14ac:dyDescent="0.25">
      <c r="A24317" s="2">
        <v>24312</v>
      </c>
      <c r="B24317" s="11" t="str">
        <f>"01008197"</f>
        <v>01008197</v>
      </c>
    </row>
    <row r="24318" spans="1:2" x14ac:dyDescent="0.25">
      <c r="A24318" s="2">
        <v>24313</v>
      </c>
      <c r="B24318" s="11" t="str">
        <f>"01008204"</f>
        <v>01008204</v>
      </c>
    </row>
    <row r="24319" spans="1:2" x14ac:dyDescent="0.25">
      <c r="A24319" s="2">
        <v>24314</v>
      </c>
      <c r="B24319" s="11" t="str">
        <f>"01008215"</f>
        <v>01008215</v>
      </c>
    </row>
    <row r="24320" spans="1:2" x14ac:dyDescent="0.25">
      <c r="A24320" s="2">
        <v>24315</v>
      </c>
      <c r="B24320" s="11" t="str">
        <f>"01008219"</f>
        <v>01008219</v>
      </c>
    </row>
    <row r="24321" spans="1:2" x14ac:dyDescent="0.25">
      <c r="A24321" s="2">
        <v>24316</v>
      </c>
      <c r="B24321" s="11" t="str">
        <f>"01008224"</f>
        <v>01008224</v>
      </c>
    </row>
    <row r="24322" spans="1:2" x14ac:dyDescent="0.25">
      <c r="A24322" s="2">
        <v>24317</v>
      </c>
      <c r="B24322" s="11" t="str">
        <f>"01008277"</f>
        <v>01008277</v>
      </c>
    </row>
    <row r="24323" spans="1:2" x14ac:dyDescent="0.25">
      <c r="A24323" s="2">
        <v>24318</v>
      </c>
      <c r="B24323" s="11" t="str">
        <f>"01008281"</f>
        <v>01008281</v>
      </c>
    </row>
    <row r="24324" spans="1:2" x14ac:dyDescent="0.25">
      <c r="A24324" s="2">
        <v>24319</v>
      </c>
      <c r="B24324" s="11" t="str">
        <f>"01008302"</f>
        <v>01008302</v>
      </c>
    </row>
    <row r="24325" spans="1:2" x14ac:dyDescent="0.25">
      <c r="A24325" s="2">
        <v>24320</v>
      </c>
      <c r="B24325" s="11" t="str">
        <f>"01008307"</f>
        <v>01008307</v>
      </c>
    </row>
    <row r="24326" spans="1:2" x14ac:dyDescent="0.25">
      <c r="A24326" s="2">
        <v>24321</v>
      </c>
      <c r="B24326" s="11" t="str">
        <f>"01008320"</f>
        <v>01008320</v>
      </c>
    </row>
    <row r="24327" spans="1:2" x14ac:dyDescent="0.25">
      <c r="A24327" s="2">
        <v>24322</v>
      </c>
      <c r="B24327" s="11" t="str">
        <f>"01008331"</f>
        <v>01008331</v>
      </c>
    </row>
    <row r="24328" spans="1:2" x14ac:dyDescent="0.25">
      <c r="A24328" s="2">
        <v>24323</v>
      </c>
      <c r="B24328" s="11" t="str">
        <f>"01008351"</f>
        <v>01008351</v>
      </c>
    </row>
    <row r="24329" spans="1:2" x14ac:dyDescent="0.25">
      <c r="A24329" s="2">
        <v>24324</v>
      </c>
      <c r="B24329" s="11" t="str">
        <f>"01008375"</f>
        <v>01008375</v>
      </c>
    </row>
    <row r="24330" spans="1:2" x14ac:dyDescent="0.25">
      <c r="A24330" s="2">
        <v>24325</v>
      </c>
      <c r="B24330" s="11" t="str">
        <f>"01008384"</f>
        <v>01008384</v>
      </c>
    </row>
    <row r="24331" spans="1:2" x14ac:dyDescent="0.25">
      <c r="A24331" s="2">
        <v>24326</v>
      </c>
      <c r="B24331" s="11" t="str">
        <f>"01008401"</f>
        <v>01008401</v>
      </c>
    </row>
    <row r="24332" spans="1:2" x14ac:dyDescent="0.25">
      <c r="A24332" s="2">
        <v>24327</v>
      </c>
      <c r="B24332" s="11" t="str">
        <f>"01008411"</f>
        <v>01008411</v>
      </c>
    </row>
    <row r="24333" spans="1:2" x14ac:dyDescent="0.25">
      <c r="A24333" s="2">
        <v>24328</v>
      </c>
      <c r="B24333" s="11" t="str">
        <f>"01008413"</f>
        <v>01008413</v>
      </c>
    </row>
    <row r="24334" spans="1:2" x14ac:dyDescent="0.25">
      <c r="A24334" s="2">
        <v>24329</v>
      </c>
      <c r="B24334" s="11" t="str">
        <f>"01008423"</f>
        <v>01008423</v>
      </c>
    </row>
    <row r="24335" spans="1:2" x14ac:dyDescent="0.25">
      <c r="A24335" s="2">
        <v>24330</v>
      </c>
      <c r="B24335" s="11" t="str">
        <f>"01008439"</f>
        <v>01008439</v>
      </c>
    </row>
    <row r="24336" spans="1:2" x14ac:dyDescent="0.25">
      <c r="A24336" s="2">
        <v>24331</v>
      </c>
      <c r="B24336" s="11" t="str">
        <f>"01008440"</f>
        <v>01008440</v>
      </c>
    </row>
    <row r="24337" spans="1:2" x14ac:dyDescent="0.25">
      <c r="A24337" s="2">
        <v>24332</v>
      </c>
      <c r="B24337" s="11" t="str">
        <f>"01008446"</f>
        <v>01008446</v>
      </c>
    </row>
    <row r="24338" spans="1:2" x14ac:dyDescent="0.25">
      <c r="A24338" s="2">
        <v>24333</v>
      </c>
      <c r="B24338" s="11" t="str">
        <f>"01008454"</f>
        <v>01008454</v>
      </c>
    </row>
    <row r="24339" spans="1:2" x14ac:dyDescent="0.25">
      <c r="A24339" s="2">
        <v>24334</v>
      </c>
      <c r="B24339" s="11" t="str">
        <f>"01008477"</f>
        <v>01008477</v>
      </c>
    </row>
    <row r="24340" spans="1:2" x14ac:dyDescent="0.25">
      <c r="A24340" s="2">
        <v>24335</v>
      </c>
      <c r="B24340" s="11" t="str">
        <f>"01008505"</f>
        <v>01008505</v>
      </c>
    </row>
    <row r="24341" spans="1:2" x14ac:dyDescent="0.25">
      <c r="A24341" s="2">
        <v>24336</v>
      </c>
      <c r="B24341" s="11" t="str">
        <f>"01008574"</f>
        <v>01008574</v>
      </c>
    </row>
    <row r="24342" spans="1:2" x14ac:dyDescent="0.25">
      <c r="A24342" s="2">
        <v>24337</v>
      </c>
      <c r="B24342" s="11" t="str">
        <f>"01008576"</f>
        <v>01008576</v>
      </c>
    </row>
    <row r="24343" spans="1:2" x14ac:dyDescent="0.25">
      <c r="A24343" s="2">
        <v>24338</v>
      </c>
      <c r="B24343" s="11" t="str">
        <f>"01008594"</f>
        <v>01008594</v>
      </c>
    </row>
    <row r="24344" spans="1:2" x14ac:dyDescent="0.25">
      <c r="A24344" s="2">
        <v>24339</v>
      </c>
      <c r="B24344" s="11" t="str">
        <f>"01008610"</f>
        <v>01008610</v>
      </c>
    </row>
    <row r="24345" spans="1:2" x14ac:dyDescent="0.25">
      <c r="A24345" s="2">
        <v>24340</v>
      </c>
      <c r="B24345" s="11" t="str">
        <f>"01008621"</f>
        <v>01008621</v>
      </c>
    </row>
    <row r="24346" spans="1:2" x14ac:dyDescent="0.25">
      <c r="A24346" s="2">
        <v>24341</v>
      </c>
      <c r="B24346" s="11" t="str">
        <f>"01008622"</f>
        <v>01008622</v>
      </c>
    </row>
    <row r="24347" spans="1:2" x14ac:dyDescent="0.25">
      <c r="A24347" s="2">
        <v>24342</v>
      </c>
      <c r="B24347" s="11" t="str">
        <f>"01008627"</f>
        <v>01008627</v>
      </c>
    </row>
    <row r="24348" spans="1:2" x14ac:dyDescent="0.25">
      <c r="A24348" s="2">
        <v>24343</v>
      </c>
      <c r="B24348" s="11" t="str">
        <f>"01008633"</f>
        <v>01008633</v>
      </c>
    </row>
    <row r="24349" spans="1:2" x14ac:dyDescent="0.25">
      <c r="A24349" s="2">
        <v>24344</v>
      </c>
      <c r="B24349" s="11" t="str">
        <f>"01008638"</f>
        <v>01008638</v>
      </c>
    </row>
    <row r="24350" spans="1:2" x14ac:dyDescent="0.25">
      <c r="A24350" s="2">
        <v>24345</v>
      </c>
      <c r="B24350" s="11" t="str">
        <f>"01008639"</f>
        <v>01008639</v>
      </c>
    </row>
    <row r="24351" spans="1:2" x14ac:dyDescent="0.25">
      <c r="A24351" s="2">
        <v>24346</v>
      </c>
      <c r="B24351" s="11" t="str">
        <f>"01008644"</f>
        <v>01008644</v>
      </c>
    </row>
    <row r="24352" spans="1:2" x14ac:dyDescent="0.25">
      <c r="A24352" s="2">
        <v>24347</v>
      </c>
      <c r="B24352" s="11" t="str">
        <f>"01008649"</f>
        <v>01008649</v>
      </c>
    </row>
    <row r="24353" spans="1:2" x14ac:dyDescent="0.25">
      <c r="A24353" s="2">
        <v>24348</v>
      </c>
      <c r="B24353" s="11" t="str">
        <f>"01008671"</f>
        <v>01008671</v>
      </c>
    </row>
    <row r="24354" spans="1:2" x14ac:dyDescent="0.25">
      <c r="A24354" s="2">
        <v>24349</v>
      </c>
      <c r="B24354" s="11" t="str">
        <f>"01008696"</f>
        <v>01008696</v>
      </c>
    </row>
    <row r="24355" spans="1:2" x14ac:dyDescent="0.25">
      <c r="A24355" s="2">
        <v>24350</v>
      </c>
      <c r="B24355" s="11" t="str">
        <f>"01008734"</f>
        <v>01008734</v>
      </c>
    </row>
    <row r="24356" spans="1:2" x14ac:dyDescent="0.25">
      <c r="A24356" s="2">
        <v>24351</v>
      </c>
      <c r="B24356" s="11" t="str">
        <f>"01008735"</f>
        <v>01008735</v>
      </c>
    </row>
    <row r="24357" spans="1:2" x14ac:dyDescent="0.25">
      <c r="A24357" s="2">
        <v>24352</v>
      </c>
      <c r="B24357" s="11" t="str">
        <f>"01008744"</f>
        <v>01008744</v>
      </c>
    </row>
    <row r="24358" spans="1:2" x14ac:dyDescent="0.25">
      <c r="A24358" s="2">
        <v>24353</v>
      </c>
      <c r="B24358" s="11" t="str">
        <f>"01008756"</f>
        <v>01008756</v>
      </c>
    </row>
    <row r="24359" spans="1:2" x14ac:dyDescent="0.25">
      <c r="A24359" s="2">
        <v>24354</v>
      </c>
      <c r="B24359" s="11" t="str">
        <f>"01008783"</f>
        <v>01008783</v>
      </c>
    </row>
    <row r="24360" spans="1:2" x14ac:dyDescent="0.25">
      <c r="A24360" s="2">
        <v>24355</v>
      </c>
      <c r="B24360" s="11" t="str">
        <f>"01008786"</f>
        <v>01008786</v>
      </c>
    </row>
    <row r="24361" spans="1:2" x14ac:dyDescent="0.25">
      <c r="A24361" s="2">
        <v>24356</v>
      </c>
      <c r="B24361" s="11" t="str">
        <f>"01008805"</f>
        <v>01008805</v>
      </c>
    </row>
    <row r="24362" spans="1:2" x14ac:dyDescent="0.25">
      <c r="A24362" s="2">
        <v>24357</v>
      </c>
      <c r="B24362" s="11" t="str">
        <f>"01008823"</f>
        <v>01008823</v>
      </c>
    </row>
    <row r="24363" spans="1:2" x14ac:dyDescent="0.25">
      <c r="A24363" s="2">
        <v>24358</v>
      </c>
      <c r="B24363" s="11" t="str">
        <f>"01008827"</f>
        <v>01008827</v>
      </c>
    </row>
    <row r="24364" spans="1:2" x14ac:dyDescent="0.25">
      <c r="A24364" s="2">
        <v>24359</v>
      </c>
      <c r="B24364" s="11" t="str">
        <f>"01008835"</f>
        <v>01008835</v>
      </c>
    </row>
    <row r="24365" spans="1:2" x14ac:dyDescent="0.25">
      <c r="A24365" s="2">
        <v>24360</v>
      </c>
      <c r="B24365" s="11" t="str">
        <f>"01008838"</f>
        <v>01008838</v>
      </c>
    </row>
    <row r="24366" spans="1:2" x14ac:dyDescent="0.25">
      <c r="A24366" s="2">
        <v>24361</v>
      </c>
      <c r="B24366" s="11" t="str">
        <f>"01008864"</f>
        <v>01008864</v>
      </c>
    </row>
    <row r="24367" spans="1:2" x14ac:dyDescent="0.25">
      <c r="A24367" s="2">
        <v>24362</v>
      </c>
      <c r="B24367" s="11" t="str">
        <f>"01008865"</f>
        <v>01008865</v>
      </c>
    </row>
    <row r="24368" spans="1:2" x14ac:dyDescent="0.25">
      <c r="A24368" s="2">
        <v>24363</v>
      </c>
      <c r="B24368" s="11" t="str">
        <f>"01008885"</f>
        <v>01008885</v>
      </c>
    </row>
    <row r="24369" spans="1:2" x14ac:dyDescent="0.25">
      <c r="A24369" s="2">
        <v>24364</v>
      </c>
      <c r="B24369" s="11" t="str">
        <f>"01008888"</f>
        <v>01008888</v>
      </c>
    </row>
    <row r="24370" spans="1:2" x14ac:dyDescent="0.25">
      <c r="A24370" s="2">
        <v>24365</v>
      </c>
      <c r="B24370" s="11" t="str">
        <f>"01008894"</f>
        <v>01008894</v>
      </c>
    </row>
    <row r="24371" spans="1:2" x14ac:dyDescent="0.25">
      <c r="A24371" s="2">
        <v>24366</v>
      </c>
      <c r="B24371" s="11" t="str">
        <f>"01008914"</f>
        <v>01008914</v>
      </c>
    </row>
    <row r="24372" spans="1:2" x14ac:dyDescent="0.25">
      <c r="A24372" s="2">
        <v>24367</v>
      </c>
      <c r="B24372" s="11" t="str">
        <f>"01008916"</f>
        <v>01008916</v>
      </c>
    </row>
    <row r="24373" spans="1:2" x14ac:dyDescent="0.25">
      <c r="A24373" s="2">
        <v>24368</v>
      </c>
      <c r="B24373" s="11" t="str">
        <f>"01008919"</f>
        <v>01008919</v>
      </c>
    </row>
    <row r="24374" spans="1:2" x14ac:dyDescent="0.25">
      <c r="A24374" s="2">
        <v>24369</v>
      </c>
      <c r="B24374" s="11" t="str">
        <f>"01008949"</f>
        <v>01008949</v>
      </c>
    </row>
    <row r="24375" spans="1:2" x14ac:dyDescent="0.25">
      <c r="A24375" s="2">
        <v>24370</v>
      </c>
      <c r="B24375" s="11" t="str">
        <f>"01009000"</f>
        <v>01009000</v>
      </c>
    </row>
    <row r="24376" spans="1:2" x14ac:dyDescent="0.25">
      <c r="A24376" s="2">
        <v>24371</v>
      </c>
      <c r="B24376" s="11" t="str">
        <f>"01009021"</f>
        <v>01009021</v>
      </c>
    </row>
    <row r="24377" spans="1:2" x14ac:dyDescent="0.25">
      <c r="A24377" s="2">
        <v>24372</v>
      </c>
      <c r="B24377" s="11" t="str">
        <f>"01009073"</f>
        <v>01009073</v>
      </c>
    </row>
    <row r="24378" spans="1:2" x14ac:dyDescent="0.25">
      <c r="A24378" s="2">
        <v>24373</v>
      </c>
      <c r="B24378" s="11" t="str">
        <f>"01009098"</f>
        <v>01009098</v>
      </c>
    </row>
    <row r="24379" spans="1:2" x14ac:dyDescent="0.25">
      <c r="A24379" s="2">
        <v>24374</v>
      </c>
      <c r="B24379" s="11" t="str">
        <f>"01009110"</f>
        <v>01009110</v>
      </c>
    </row>
    <row r="24380" spans="1:2" x14ac:dyDescent="0.25">
      <c r="A24380" s="2">
        <v>24375</v>
      </c>
      <c r="B24380" s="11" t="str">
        <f>"01009126"</f>
        <v>01009126</v>
      </c>
    </row>
    <row r="24381" spans="1:2" x14ac:dyDescent="0.25">
      <c r="A24381" s="2">
        <v>24376</v>
      </c>
      <c r="B24381" s="11" t="str">
        <f>"01009134"</f>
        <v>01009134</v>
      </c>
    </row>
    <row r="24382" spans="1:2" x14ac:dyDescent="0.25">
      <c r="A24382" s="2">
        <v>24377</v>
      </c>
      <c r="B24382" s="11" t="str">
        <f>"01009138"</f>
        <v>01009138</v>
      </c>
    </row>
    <row r="24383" spans="1:2" x14ac:dyDescent="0.25">
      <c r="A24383" s="2">
        <v>24378</v>
      </c>
      <c r="B24383" s="11" t="str">
        <f>"01009140"</f>
        <v>01009140</v>
      </c>
    </row>
    <row r="24384" spans="1:2" x14ac:dyDescent="0.25">
      <c r="A24384" s="2">
        <v>24379</v>
      </c>
      <c r="B24384" s="11" t="str">
        <f>"01009142"</f>
        <v>01009142</v>
      </c>
    </row>
    <row r="24385" spans="1:2" x14ac:dyDescent="0.25">
      <c r="A24385" s="2">
        <v>24380</v>
      </c>
      <c r="B24385" s="11" t="str">
        <f>"01009144"</f>
        <v>01009144</v>
      </c>
    </row>
    <row r="24386" spans="1:2" x14ac:dyDescent="0.25">
      <c r="A24386" s="2">
        <v>24381</v>
      </c>
      <c r="B24386" s="11" t="str">
        <f>"01009164"</f>
        <v>01009164</v>
      </c>
    </row>
    <row r="24387" spans="1:2" x14ac:dyDescent="0.25">
      <c r="A24387" s="2">
        <v>24382</v>
      </c>
      <c r="B24387" s="11" t="str">
        <f>"01009166"</f>
        <v>01009166</v>
      </c>
    </row>
    <row r="24388" spans="1:2" x14ac:dyDescent="0.25">
      <c r="A24388" s="2">
        <v>24383</v>
      </c>
      <c r="B24388" s="11" t="str">
        <f>"01009167"</f>
        <v>01009167</v>
      </c>
    </row>
    <row r="24389" spans="1:2" x14ac:dyDescent="0.25">
      <c r="A24389" s="2">
        <v>24384</v>
      </c>
      <c r="B24389" s="11" t="str">
        <f>"01009172"</f>
        <v>01009172</v>
      </c>
    </row>
    <row r="24390" spans="1:2" x14ac:dyDescent="0.25">
      <c r="A24390" s="2">
        <v>24385</v>
      </c>
      <c r="B24390" s="11" t="str">
        <f>"01009180"</f>
        <v>01009180</v>
      </c>
    </row>
    <row r="24391" spans="1:2" x14ac:dyDescent="0.25">
      <c r="A24391" s="2">
        <v>24386</v>
      </c>
      <c r="B24391" s="11" t="str">
        <f>"01009193"</f>
        <v>01009193</v>
      </c>
    </row>
    <row r="24392" spans="1:2" x14ac:dyDescent="0.25">
      <c r="A24392" s="2">
        <v>24387</v>
      </c>
      <c r="B24392" s="11" t="str">
        <f>"01009206"</f>
        <v>01009206</v>
      </c>
    </row>
    <row r="24393" spans="1:2" x14ac:dyDescent="0.25">
      <c r="A24393" s="2">
        <v>24388</v>
      </c>
      <c r="B24393" s="11" t="str">
        <f>"01009228"</f>
        <v>01009228</v>
      </c>
    </row>
    <row r="24394" spans="1:2" x14ac:dyDescent="0.25">
      <c r="A24394" s="2">
        <v>24389</v>
      </c>
      <c r="B24394" s="11" t="str">
        <f>"01009232"</f>
        <v>01009232</v>
      </c>
    </row>
    <row r="24395" spans="1:2" x14ac:dyDescent="0.25">
      <c r="A24395" s="2">
        <v>24390</v>
      </c>
      <c r="B24395" s="11" t="str">
        <f>"01009237"</f>
        <v>01009237</v>
      </c>
    </row>
    <row r="24396" spans="1:2" x14ac:dyDescent="0.25">
      <c r="A24396" s="2">
        <v>24391</v>
      </c>
      <c r="B24396" s="11" t="str">
        <f>"01009270"</f>
        <v>01009270</v>
      </c>
    </row>
    <row r="24397" spans="1:2" x14ac:dyDescent="0.25">
      <c r="A24397" s="2">
        <v>24392</v>
      </c>
      <c r="B24397" s="11" t="str">
        <f>"01009278"</f>
        <v>01009278</v>
      </c>
    </row>
    <row r="24398" spans="1:2" x14ac:dyDescent="0.25">
      <c r="A24398" s="2">
        <v>24393</v>
      </c>
      <c r="B24398" s="11" t="str">
        <f>"01009290"</f>
        <v>01009290</v>
      </c>
    </row>
    <row r="24399" spans="1:2" x14ac:dyDescent="0.25">
      <c r="A24399" s="2">
        <v>24394</v>
      </c>
      <c r="B24399" s="11" t="str">
        <f>"01009301"</f>
        <v>01009301</v>
      </c>
    </row>
    <row r="24400" spans="1:2" x14ac:dyDescent="0.25">
      <c r="A24400" s="2">
        <v>24395</v>
      </c>
      <c r="B24400" s="11" t="str">
        <f>"01009317"</f>
        <v>01009317</v>
      </c>
    </row>
    <row r="24401" spans="1:2" x14ac:dyDescent="0.25">
      <c r="A24401" s="2">
        <v>24396</v>
      </c>
      <c r="B24401" s="11" t="str">
        <f>"01009323"</f>
        <v>01009323</v>
      </c>
    </row>
    <row r="24402" spans="1:2" x14ac:dyDescent="0.25">
      <c r="A24402" s="2">
        <v>24397</v>
      </c>
      <c r="B24402" s="11" t="str">
        <f>"01009335"</f>
        <v>01009335</v>
      </c>
    </row>
    <row r="24403" spans="1:2" x14ac:dyDescent="0.25">
      <c r="A24403" s="2">
        <v>24398</v>
      </c>
      <c r="B24403" s="11" t="str">
        <f>"01009345"</f>
        <v>01009345</v>
      </c>
    </row>
    <row r="24404" spans="1:2" x14ac:dyDescent="0.25">
      <c r="A24404" s="2">
        <v>24399</v>
      </c>
      <c r="B24404" s="11" t="str">
        <f>"01009360"</f>
        <v>01009360</v>
      </c>
    </row>
    <row r="24405" spans="1:2" x14ac:dyDescent="0.25">
      <c r="A24405" s="2">
        <v>24400</v>
      </c>
      <c r="B24405" s="11" t="str">
        <f>"01009363"</f>
        <v>01009363</v>
      </c>
    </row>
    <row r="24406" spans="1:2" x14ac:dyDescent="0.25">
      <c r="A24406" s="2">
        <v>24401</v>
      </c>
      <c r="B24406" s="11" t="str">
        <f>"01009381"</f>
        <v>01009381</v>
      </c>
    </row>
    <row r="24407" spans="1:2" x14ac:dyDescent="0.25">
      <c r="A24407" s="2">
        <v>24402</v>
      </c>
      <c r="B24407" s="11" t="str">
        <f>"01009407"</f>
        <v>01009407</v>
      </c>
    </row>
    <row r="24408" spans="1:2" x14ac:dyDescent="0.25">
      <c r="A24408" s="2">
        <v>24403</v>
      </c>
      <c r="B24408" s="11" t="str">
        <f>"01009470"</f>
        <v>01009470</v>
      </c>
    </row>
    <row r="24409" spans="1:2" x14ac:dyDescent="0.25">
      <c r="A24409" s="2">
        <v>24404</v>
      </c>
      <c r="B24409" s="11" t="str">
        <f>"01009475"</f>
        <v>01009475</v>
      </c>
    </row>
    <row r="24410" spans="1:2" x14ac:dyDescent="0.25">
      <c r="A24410" s="2">
        <v>24405</v>
      </c>
      <c r="B24410" s="11" t="str">
        <f>"01009477"</f>
        <v>01009477</v>
      </c>
    </row>
    <row r="24411" spans="1:2" x14ac:dyDescent="0.25">
      <c r="A24411" s="2">
        <v>24406</v>
      </c>
      <c r="B24411" s="11" t="str">
        <f>"01009524"</f>
        <v>01009524</v>
      </c>
    </row>
    <row r="24412" spans="1:2" x14ac:dyDescent="0.25">
      <c r="A24412" s="2">
        <v>24407</v>
      </c>
      <c r="B24412" s="11" t="str">
        <f>"01009548"</f>
        <v>01009548</v>
      </c>
    </row>
    <row r="24413" spans="1:2" x14ac:dyDescent="0.25">
      <c r="A24413" s="2">
        <v>24408</v>
      </c>
      <c r="B24413" s="11" t="str">
        <f>"01009554"</f>
        <v>01009554</v>
      </c>
    </row>
    <row r="24414" spans="1:2" x14ac:dyDescent="0.25">
      <c r="A24414" s="2">
        <v>24409</v>
      </c>
      <c r="B24414" s="11" t="str">
        <f>"01009587"</f>
        <v>01009587</v>
      </c>
    </row>
    <row r="24415" spans="1:2" x14ac:dyDescent="0.25">
      <c r="A24415" s="2">
        <v>24410</v>
      </c>
      <c r="B24415" s="11" t="str">
        <f>"01009601"</f>
        <v>01009601</v>
      </c>
    </row>
    <row r="24416" spans="1:2" x14ac:dyDescent="0.25">
      <c r="A24416" s="2">
        <v>24411</v>
      </c>
      <c r="B24416" s="11" t="str">
        <f>"01009629"</f>
        <v>01009629</v>
      </c>
    </row>
    <row r="24417" spans="1:2" x14ac:dyDescent="0.25">
      <c r="A24417" s="2">
        <v>24412</v>
      </c>
      <c r="B24417" s="11" t="str">
        <f>"01009656"</f>
        <v>01009656</v>
      </c>
    </row>
    <row r="24418" spans="1:2" x14ac:dyDescent="0.25">
      <c r="A24418" s="2">
        <v>24413</v>
      </c>
      <c r="B24418" s="11" t="str">
        <f>"01009658"</f>
        <v>01009658</v>
      </c>
    </row>
    <row r="24419" spans="1:2" x14ac:dyDescent="0.25">
      <c r="A24419" s="2">
        <v>24414</v>
      </c>
      <c r="B24419" s="11" t="str">
        <f>"01009685"</f>
        <v>01009685</v>
      </c>
    </row>
    <row r="24420" spans="1:2" x14ac:dyDescent="0.25">
      <c r="A24420" s="2">
        <v>24415</v>
      </c>
      <c r="B24420" s="11" t="str">
        <f>"01009701"</f>
        <v>01009701</v>
      </c>
    </row>
    <row r="24421" spans="1:2" x14ac:dyDescent="0.25">
      <c r="A24421" s="2">
        <v>24416</v>
      </c>
      <c r="B24421" s="11" t="str">
        <f>"01009744"</f>
        <v>01009744</v>
      </c>
    </row>
    <row r="24422" spans="1:2" x14ac:dyDescent="0.25">
      <c r="A24422" s="2">
        <v>24417</v>
      </c>
      <c r="B24422" s="11" t="str">
        <f>"01009752"</f>
        <v>01009752</v>
      </c>
    </row>
    <row r="24423" spans="1:2" x14ac:dyDescent="0.25">
      <c r="A24423" s="2">
        <v>24418</v>
      </c>
      <c r="B24423" s="11" t="str">
        <f>"01009769"</f>
        <v>01009769</v>
      </c>
    </row>
    <row r="24424" spans="1:2" x14ac:dyDescent="0.25">
      <c r="A24424" s="2">
        <v>24419</v>
      </c>
      <c r="B24424" s="11" t="str">
        <f>"01009784"</f>
        <v>01009784</v>
      </c>
    </row>
    <row r="24425" spans="1:2" x14ac:dyDescent="0.25">
      <c r="A24425" s="2">
        <v>24420</v>
      </c>
      <c r="B24425" s="11" t="str">
        <f>"01009785"</f>
        <v>01009785</v>
      </c>
    </row>
    <row r="24426" spans="1:2" x14ac:dyDescent="0.25">
      <c r="A24426" s="2">
        <v>24421</v>
      </c>
      <c r="B24426" s="11" t="str">
        <f>"01009795"</f>
        <v>01009795</v>
      </c>
    </row>
    <row r="24427" spans="1:2" x14ac:dyDescent="0.25">
      <c r="A24427" s="2">
        <v>24422</v>
      </c>
      <c r="B24427" s="11" t="str">
        <f>"01009811"</f>
        <v>01009811</v>
      </c>
    </row>
    <row r="24428" spans="1:2" x14ac:dyDescent="0.25">
      <c r="A24428" s="2">
        <v>24423</v>
      </c>
      <c r="B24428" s="11" t="str">
        <f>"01009815"</f>
        <v>01009815</v>
      </c>
    </row>
    <row r="24429" spans="1:2" x14ac:dyDescent="0.25">
      <c r="A24429" s="2">
        <v>24424</v>
      </c>
      <c r="B24429" s="11" t="str">
        <f>"01009822"</f>
        <v>01009822</v>
      </c>
    </row>
    <row r="24430" spans="1:2" x14ac:dyDescent="0.25">
      <c r="A24430" s="2">
        <v>24425</v>
      </c>
      <c r="B24430" s="11" t="str">
        <f>"01009844"</f>
        <v>01009844</v>
      </c>
    </row>
    <row r="24431" spans="1:2" x14ac:dyDescent="0.25">
      <c r="A24431" s="2">
        <v>24426</v>
      </c>
      <c r="B24431" s="11" t="str">
        <f>"01009856"</f>
        <v>01009856</v>
      </c>
    </row>
    <row r="24432" spans="1:2" x14ac:dyDescent="0.25">
      <c r="A24432" s="2">
        <v>24427</v>
      </c>
      <c r="B24432" s="11" t="str">
        <f>"01009869"</f>
        <v>01009869</v>
      </c>
    </row>
    <row r="24433" spans="1:2" x14ac:dyDescent="0.25">
      <c r="A24433" s="2">
        <v>24428</v>
      </c>
      <c r="B24433" s="11" t="str">
        <f>"01009870"</f>
        <v>01009870</v>
      </c>
    </row>
    <row r="24434" spans="1:2" x14ac:dyDescent="0.25">
      <c r="A24434" s="2">
        <v>24429</v>
      </c>
      <c r="B24434" s="11" t="str">
        <f>"01009892"</f>
        <v>01009892</v>
      </c>
    </row>
    <row r="24435" spans="1:2" x14ac:dyDescent="0.25">
      <c r="A24435" s="2">
        <v>24430</v>
      </c>
      <c r="B24435" s="11" t="str">
        <f>"01009899"</f>
        <v>01009899</v>
      </c>
    </row>
    <row r="24436" spans="1:2" x14ac:dyDescent="0.25">
      <c r="A24436" s="2">
        <v>24431</v>
      </c>
      <c r="B24436" s="11" t="str">
        <f>"01009923"</f>
        <v>01009923</v>
      </c>
    </row>
    <row r="24437" spans="1:2" x14ac:dyDescent="0.25">
      <c r="A24437" s="2">
        <v>24432</v>
      </c>
      <c r="B24437" s="11" t="str">
        <f>"01009935"</f>
        <v>01009935</v>
      </c>
    </row>
    <row r="24438" spans="1:2" x14ac:dyDescent="0.25">
      <c r="A24438" s="2">
        <v>24433</v>
      </c>
      <c r="B24438" s="11" t="str">
        <f>"01009945"</f>
        <v>01009945</v>
      </c>
    </row>
    <row r="24439" spans="1:2" x14ac:dyDescent="0.25">
      <c r="A24439" s="2">
        <v>24434</v>
      </c>
      <c r="B24439" s="11" t="str">
        <f>"01009961"</f>
        <v>01009961</v>
      </c>
    </row>
    <row r="24440" spans="1:2" x14ac:dyDescent="0.25">
      <c r="A24440" s="2">
        <v>24435</v>
      </c>
      <c r="B24440" s="11" t="str">
        <f>"01010063"</f>
        <v>01010063</v>
      </c>
    </row>
    <row r="24441" spans="1:2" x14ac:dyDescent="0.25">
      <c r="A24441" s="2">
        <v>24436</v>
      </c>
      <c r="B24441" s="11" t="str">
        <f>"01010064"</f>
        <v>01010064</v>
      </c>
    </row>
    <row r="24442" spans="1:2" x14ac:dyDescent="0.25">
      <c r="A24442" s="2">
        <v>24437</v>
      </c>
      <c r="B24442" s="11" t="str">
        <f>"01010115"</f>
        <v>01010115</v>
      </c>
    </row>
    <row r="24443" spans="1:2" x14ac:dyDescent="0.25">
      <c r="A24443" s="2">
        <v>24438</v>
      </c>
      <c r="B24443" s="11" t="str">
        <f>"01010125"</f>
        <v>01010125</v>
      </c>
    </row>
    <row r="24444" spans="1:2" x14ac:dyDescent="0.25">
      <c r="A24444" s="2">
        <v>24439</v>
      </c>
      <c r="B24444" s="11" t="str">
        <f>"01010130"</f>
        <v>01010130</v>
      </c>
    </row>
    <row r="24445" spans="1:2" x14ac:dyDescent="0.25">
      <c r="A24445" s="2">
        <v>24440</v>
      </c>
      <c r="B24445" s="11" t="str">
        <f>"01010219"</f>
        <v>01010219</v>
      </c>
    </row>
    <row r="24446" spans="1:2" x14ac:dyDescent="0.25">
      <c r="A24446" s="2">
        <v>24441</v>
      </c>
      <c r="B24446" s="11" t="str">
        <f>"01010230"</f>
        <v>01010230</v>
      </c>
    </row>
    <row r="24447" spans="1:2" x14ac:dyDescent="0.25">
      <c r="A24447" s="2">
        <v>24442</v>
      </c>
      <c r="B24447" s="11" t="str">
        <f>"01010262"</f>
        <v>01010262</v>
      </c>
    </row>
    <row r="24448" spans="1:2" x14ac:dyDescent="0.25">
      <c r="A24448" s="2">
        <v>24443</v>
      </c>
      <c r="B24448" s="11" t="str">
        <f>"01010364"</f>
        <v>01010364</v>
      </c>
    </row>
    <row r="24449" spans="1:2" x14ac:dyDescent="0.25">
      <c r="A24449" s="2">
        <v>24444</v>
      </c>
      <c r="B24449" s="11" t="str">
        <f>"01010368"</f>
        <v>01010368</v>
      </c>
    </row>
    <row r="24450" spans="1:2" x14ac:dyDescent="0.25">
      <c r="A24450" s="2">
        <v>24445</v>
      </c>
      <c r="B24450" s="11" t="str">
        <f>"01010378"</f>
        <v>01010378</v>
      </c>
    </row>
    <row r="24451" spans="1:2" x14ac:dyDescent="0.25">
      <c r="A24451" s="2">
        <v>24446</v>
      </c>
      <c r="B24451" s="11" t="str">
        <f>"01010379"</f>
        <v>01010379</v>
      </c>
    </row>
    <row r="24452" spans="1:2" x14ac:dyDescent="0.25">
      <c r="A24452" s="2">
        <v>24447</v>
      </c>
      <c r="B24452" s="11" t="str">
        <f>"01010381"</f>
        <v>01010381</v>
      </c>
    </row>
    <row r="24453" spans="1:2" x14ac:dyDescent="0.25">
      <c r="A24453" s="2">
        <v>24448</v>
      </c>
      <c r="B24453" s="11" t="str">
        <f>"01010383"</f>
        <v>01010383</v>
      </c>
    </row>
    <row r="24454" spans="1:2" x14ac:dyDescent="0.25">
      <c r="A24454" s="2">
        <v>24449</v>
      </c>
      <c r="B24454" s="11" t="str">
        <f>"01010407"</f>
        <v>01010407</v>
      </c>
    </row>
    <row r="24455" spans="1:2" x14ac:dyDescent="0.25">
      <c r="A24455" s="2">
        <v>24450</v>
      </c>
      <c r="B24455" s="11" t="str">
        <f>"01010504"</f>
        <v>01010504</v>
      </c>
    </row>
    <row r="24456" spans="1:2" x14ac:dyDescent="0.25">
      <c r="A24456" s="2">
        <v>24451</v>
      </c>
      <c r="B24456" s="11" t="str">
        <f>"01010575"</f>
        <v>01010575</v>
      </c>
    </row>
    <row r="24457" spans="1:2" x14ac:dyDescent="0.25">
      <c r="A24457" s="2">
        <v>24452</v>
      </c>
      <c r="B24457" s="11" t="str">
        <f>"01010621"</f>
        <v>01010621</v>
      </c>
    </row>
    <row r="24458" spans="1:2" x14ac:dyDescent="0.25">
      <c r="A24458" s="2">
        <v>24453</v>
      </c>
      <c r="B24458" s="11" t="str">
        <f>"01010624"</f>
        <v>01010624</v>
      </c>
    </row>
    <row r="24459" spans="1:2" x14ac:dyDescent="0.25">
      <c r="A24459" s="2">
        <v>24454</v>
      </c>
      <c r="B24459" s="11" t="str">
        <f>"01010644"</f>
        <v>01010644</v>
      </c>
    </row>
    <row r="24460" spans="1:2" x14ac:dyDescent="0.25">
      <c r="A24460" s="2">
        <v>24455</v>
      </c>
      <c r="B24460" s="11" t="str">
        <f>"01010656"</f>
        <v>01010656</v>
      </c>
    </row>
    <row r="24461" spans="1:2" x14ac:dyDescent="0.25">
      <c r="A24461" s="2">
        <v>24456</v>
      </c>
      <c r="B24461" s="11" t="str">
        <f>"01010678"</f>
        <v>01010678</v>
      </c>
    </row>
    <row r="24462" spans="1:2" x14ac:dyDescent="0.25">
      <c r="A24462" s="2">
        <v>24457</v>
      </c>
      <c r="B24462" s="11" t="str">
        <f>"01010680"</f>
        <v>01010680</v>
      </c>
    </row>
    <row r="24463" spans="1:2" x14ac:dyDescent="0.25">
      <c r="A24463" s="2">
        <v>24458</v>
      </c>
      <c r="B24463" s="11" t="str">
        <f>"01010730"</f>
        <v>01010730</v>
      </c>
    </row>
    <row r="24464" spans="1:2" x14ac:dyDescent="0.25">
      <c r="A24464" s="2">
        <v>24459</v>
      </c>
      <c r="B24464" s="11" t="str">
        <f>"01010742"</f>
        <v>01010742</v>
      </c>
    </row>
    <row r="24465" spans="1:2" x14ac:dyDescent="0.25">
      <c r="A24465" s="2">
        <v>24460</v>
      </c>
      <c r="B24465" s="11" t="str">
        <f>"01010765"</f>
        <v>01010765</v>
      </c>
    </row>
    <row r="24466" spans="1:2" x14ac:dyDescent="0.25">
      <c r="A24466" s="2">
        <v>24461</v>
      </c>
      <c r="B24466" s="11" t="str">
        <f>"01010773"</f>
        <v>01010773</v>
      </c>
    </row>
    <row r="24467" spans="1:2" x14ac:dyDescent="0.25">
      <c r="A24467" s="2">
        <v>24462</v>
      </c>
      <c r="B24467" s="11" t="str">
        <f>"01010849"</f>
        <v>01010849</v>
      </c>
    </row>
    <row r="24468" spans="1:2" x14ac:dyDescent="0.25">
      <c r="A24468" s="2">
        <v>24463</v>
      </c>
      <c r="B24468" s="11" t="str">
        <f>"01010858"</f>
        <v>01010858</v>
      </c>
    </row>
    <row r="24469" spans="1:2" x14ac:dyDescent="0.25">
      <c r="A24469" s="2">
        <v>24464</v>
      </c>
      <c r="B24469" s="11" t="str">
        <f>"01010860"</f>
        <v>01010860</v>
      </c>
    </row>
    <row r="24470" spans="1:2" x14ac:dyDescent="0.25">
      <c r="A24470" s="2">
        <v>24465</v>
      </c>
      <c r="B24470" s="11" t="str">
        <f>"01010865"</f>
        <v>01010865</v>
      </c>
    </row>
    <row r="24471" spans="1:2" x14ac:dyDescent="0.25">
      <c r="A24471" s="2">
        <v>24466</v>
      </c>
      <c r="B24471" s="11" t="str">
        <f>"01010875"</f>
        <v>01010875</v>
      </c>
    </row>
    <row r="24472" spans="1:2" x14ac:dyDescent="0.25">
      <c r="A24472" s="2">
        <v>24467</v>
      </c>
      <c r="B24472" s="11" t="str">
        <f>"01010907"</f>
        <v>01010907</v>
      </c>
    </row>
    <row r="24473" spans="1:2" x14ac:dyDescent="0.25">
      <c r="A24473" s="2">
        <v>24468</v>
      </c>
      <c r="B24473" s="11" t="str">
        <f>"01011003"</f>
        <v>01011003</v>
      </c>
    </row>
    <row r="24474" spans="1:2" x14ac:dyDescent="0.25">
      <c r="A24474" s="2">
        <v>24469</v>
      </c>
      <c r="B24474" s="11" t="str">
        <f>"01011012"</f>
        <v>01011012</v>
      </c>
    </row>
    <row r="24475" spans="1:2" x14ac:dyDescent="0.25">
      <c r="A24475" s="2">
        <v>24470</v>
      </c>
      <c r="B24475" s="11" t="str">
        <f>"01011017"</f>
        <v>01011017</v>
      </c>
    </row>
    <row r="24476" spans="1:2" x14ac:dyDescent="0.25">
      <c r="A24476" s="2">
        <v>24471</v>
      </c>
      <c r="B24476" s="11" t="str">
        <f>"01011056"</f>
        <v>01011056</v>
      </c>
    </row>
    <row r="24477" spans="1:2" x14ac:dyDescent="0.25">
      <c r="A24477" s="2">
        <v>24472</v>
      </c>
      <c r="B24477" s="11" t="str">
        <f>"01011100"</f>
        <v>01011100</v>
      </c>
    </row>
    <row r="24478" spans="1:2" x14ac:dyDescent="0.25">
      <c r="A24478" s="2">
        <v>24473</v>
      </c>
      <c r="B24478" s="11" t="str">
        <f>"01011111"</f>
        <v>01011111</v>
      </c>
    </row>
    <row r="24479" spans="1:2" x14ac:dyDescent="0.25">
      <c r="A24479" s="2">
        <v>24474</v>
      </c>
      <c r="B24479" s="11" t="str">
        <f>"01011118"</f>
        <v>01011118</v>
      </c>
    </row>
    <row r="24480" spans="1:2" x14ac:dyDescent="0.25">
      <c r="A24480" s="2">
        <v>24475</v>
      </c>
      <c r="B24480" s="11" t="str">
        <f>"01011134"</f>
        <v>01011134</v>
      </c>
    </row>
    <row r="24481" spans="1:2" x14ac:dyDescent="0.25">
      <c r="A24481" s="2">
        <v>24476</v>
      </c>
      <c r="B24481" s="11" t="str">
        <f>"01011176"</f>
        <v>01011176</v>
      </c>
    </row>
    <row r="24482" spans="1:2" x14ac:dyDescent="0.25">
      <c r="A24482" s="2">
        <v>24477</v>
      </c>
      <c r="B24482" s="11" t="str">
        <f>"01011241"</f>
        <v>01011241</v>
      </c>
    </row>
    <row r="24483" spans="1:2" x14ac:dyDescent="0.25">
      <c r="A24483" s="2">
        <v>24478</v>
      </c>
      <c r="B24483" s="11" t="str">
        <f>"01011247"</f>
        <v>01011247</v>
      </c>
    </row>
    <row r="24484" spans="1:2" x14ac:dyDescent="0.25">
      <c r="A24484" s="2">
        <v>24479</v>
      </c>
      <c r="B24484" s="11" t="str">
        <f>"01011313"</f>
        <v>01011313</v>
      </c>
    </row>
    <row r="24485" spans="1:2" x14ac:dyDescent="0.25">
      <c r="A24485" s="2">
        <v>24480</v>
      </c>
      <c r="B24485" s="11" t="str">
        <f>"01011376"</f>
        <v>01011376</v>
      </c>
    </row>
    <row r="24486" spans="1:2" x14ac:dyDescent="0.25">
      <c r="A24486" s="2">
        <v>24481</v>
      </c>
      <c r="B24486" s="11" t="str">
        <f>"01011393"</f>
        <v>01011393</v>
      </c>
    </row>
    <row r="24487" spans="1:2" x14ac:dyDescent="0.25">
      <c r="A24487" s="2">
        <v>24482</v>
      </c>
      <c r="B24487" s="11" t="str">
        <f>"01011418"</f>
        <v>01011418</v>
      </c>
    </row>
    <row r="24488" spans="1:2" x14ac:dyDescent="0.25">
      <c r="A24488" s="2">
        <v>24483</v>
      </c>
      <c r="B24488" s="11" t="str">
        <f>"01011419"</f>
        <v>01011419</v>
      </c>
    </row>
    <row r="24489" spans="1:2" x14ac:dyDescent="0.25">
      <c r="A24489" s="2">
        <v>24484</v>
      </c>
      <c r="B24489" s="11" t="str">
        <f>"01011592"</f>
        <v>01011592</v>
      </c>
    </row>
    <row r="24490" spans="1:2" x14ac:dyDescent="0.25">
      <c r="A24490" s="2">
        <v>24485</v>
      </c>
      <c r="B24490" s="11" t="str">
        <f>"01011726"</f>
        <v>01011726</v>
      </c>
    </row>
    <row r="24491" spans="1:2" x14ac:dyDescent="0.25">
      <c r="A24491" s="2">
        <v>24486</v>
      </c>
      <c r="B24491" s="11" t="str">
        <f>"01011727"</f>
        <v>01011727</v>
      </c>
    </row>
    <row r="24492" spans="1:2" x14ac:dyDescent="0.25">
      <c r="A24492" s="2">
        <v>24487</v>
      </c>
      <c r="B24492" s="11" t="str">
        <f>"01011730"</f>
        <v>01011730</v>
      </c>
    </row>
    <row r="24493" spans="1:2" x14ac:dyDescent="0.25">
      <c r="A24493" s="2">
        <v>24488</v>
      </c>
      <c r="B24493" s="11" t="str">
        <f>"01011862"</f>
        <v>01011862</v>
      </c>
    </row>
    <row r="24494" spans="1:2" x14ac:dyDescent="0.25">
      <c r="A24494" s="2">
        <v>24489</v>
      </c>
      <c r="B24494" s="11" t="str">
        <f>"01011876"</f>
        <v>01011876</v>
      </c>
    </row>
    <row r="24495" spans="1:2" x14ac:dyDescent="0.25">
      <c r="A24495" s="2">
        <v>24490</v>
      </c>
      <c r="B24495" s="11" t="str">
        <f>"01011877"</f>
        <v>01011877</v>
      </c>
    </row>
    <row r="24496" spans="1:2" x14ac:dyDescent="0.25">
      <c r="A24496" s="2">
        <v>24491</v>
      </c>
      <c r="B24496" s="11" t="str">
        <f>"01011883"</f>
        <v>01011883</v>
      </c>
    </row>
    <row r="24497" spans="1:2" x14ac:dyDescent="0.25">
      <c r="A24497" s="2">
        <v>24492</v>
      </c>
      <c r="B24497" s="11" t="str">
        <f>"01011887"</f>
        <v>01011887</v>
      </c>
    </row>
    <row r="24498" spans="1:2" x14ac:dyDescent="0.25">
      <c r="A24498" s="2">
        <v>24493</v>
      </c>
      <c r="B24498" s="11" t="str">
        <f>"01011902"</f>
        <v>01011902</v>
      </c>
    </row>
    <row r="24499" spans="1:2" x14ac:dyDescent="0.25">
      <c r="A24499" s="2">
        <v>24494</v>
      </c>
      <c r="B24499" s="11" t="str">
        <f>"01011903"</f>
        <v>01011903</v>
      </c>
    </row>
    <row r="24500" spans="1:2" x14ac:dyDescent="0.25">
      <c r="A24500" s="2">
        <v>24495</v>
      </c>
      <c r="B24500" s="11" t="str">
        <f>"01011918"</f>
        <v>01011918</v>
      </c>
    </row>
    <row r="24501" spans="1:2" x14ac:dyDescent="0.25">
      <c r="A24501" s="2">
        <v>24496</v>
      </c>
      <c r="B24501" s="11" t="str">
        <f>"01011919"</f>
        <v>01011919</v>
      </c>
    </row>
    <row r="24502" spans="1:2" x14ac:dyDescent="0.25">
      <c r="A24502" s="2">
        <v>24497</v>
      </c>
      <c r="B24502" s="11" t="str">
        <f>"01011933"</f>
        <v>01011933</v>
      </c>
    </row>
    <row r="24503" spans="1:2" x14ac:dyDescent="0.25">
      <c r="A24503" s="2">
        <v>24498</v>
      </c>
      <c r="B24503" s="11" t="str">
        <f>"01011939"</f>
        <v>01011939</v>
      </c>
    </row>
    <row r="24504" spans="1:2" x14ac:dyDescent="0.25">
      <c r="A24504" s="2">
        <v>24499</v>
      </c>
      <c r="B24504" s="11" t="str">
        <f>"01011945"</f>
        <v>01011945</v>
      </c>
    </row>
    <row r="24505" spans="1:2" x14ac:dyDescent="0.25">
      <c r="A24505" s="2">
        <v>24500</v>
      </c>
      <c r="B24505" s="11" t="str">
        <f>"01011946"</f>
        <v>01011946</v>
      </c>
    </row>
    <row r="24506" spans="1:2" x14ac:dyDescent="0.25">
      <c r="A24506" s="2">
        <v>24501</v>
      </c>
      <c r="B24506" s="11" t="str">
        <f>"01011966"</f>
        <v>01011966</v>
      </c>
    </row>
    <row r="24507" spans="1:2" x14ac:dyDescent="0.25">
      <c r="A24507" s="2">
        <v>24502</v>
      </c>
      <c r="B24507" s="11" t="str">
        <f>"01012010"</f>
        <v>01012010</v>
      </c>
    </row>
    <row r="24508" spans="1:2" x14ac:dyDescent="0.25">
      <c r="A24508" s="2">
        <v>24503</v>
      </c>
      <c r="B24508" s="11" t="str">
        <f>"01012043"</f>
        <v>01012043</v>
      </c>
    </row>
    <row r="24509" spans="1:2" x14ac:dyDescent="0.25">
      <c r="A24509" s="2">
        <v>24504</v>
      </c>
      <c r="B24509" s="11" t="str">
        <f>"01012051"</f>
        <v>01012051</v>
      </c>
    </row>
    <row r="24510" spans="1:2" x14ac:dyDescent="0.25">
      <c r="A24510" s="2">
        <v>24505</v>
      </c>
      <c r="B24510" s="11" t="str">
        <f>"01012093"</f>
        <v>01012093</v>
      </c>
    </row>
    <row r="24511" spans="1:2" x14ac:dyDescent="0.25">
      <c r="A24511" s="2">
        <v>24506</v>
      </c>
      <c r="B24511" s="11" t="str">
        <f>"01012099"</f>
        <v>01012099</v>
      </c>
    </row>
    <row r="24512" spans="1:2" x14ac:dyDescent="0.25">
      <c r="A24512" s="2">
        <v>24507</v>
      </c>
      <c r="B24512" s="11" t="str">
        <f>"01012163"</f>
        <v>01012163</v>
      </c>
    </row>
    <row r="24513" spans="1:2" x14ac:dyDescent="0.25">
      <c r="A24513" s="2">
        <v>24508</v>
      </c>
      <c r="B24513" s="11" t="str">
        <f>"01012196"</f>
        <v>01012196</v>
      </c>
    </row>
    <row r="24514" spans="1:2" x14ac:dyDescent="0.25">
      <c r="A24514" s="2">
        <v>24509</v>
      </c>
      <c r="B24514" s="11" t="str">
        <f>"01012210"</f>
        <v>01012210</v>
      </c>
    </row>
    <row r="24515" spans="1:2" x14ac:dyDescent="0.25">
      <c r="A24515" s="2">
        <v>24510</v>
      </c>
      <c r="B24515" s="11" t="str">
        <f>"01012213"</f>
        <v>01012213</v>
      </c>
    </row>
    <row r="24516" spans="1:2" x14ac:dyDescent="0.25">
      <c r="A24516" s="2">
        <v>24511</v>
      </c>
      <c r="B24516" s="11" t="str">
        <f>"01012221"</f>
        <v>01012221</v>
      </c>
    </row>
    <row r="24517" spans="1:2" x14ac:dyDescent="0.25">
      <c r="A24517" s="2">
        <v>24512</v>
      </c>
      <c r="B24517" s="11" t="str">
        <f>"01012222"</f>
        <v>01012222</v>
      </c>
    </row>
    <row r="24518" spans="1:2" x14ac:dyDescent="0.25">
      <c r="A24518" s="2">
        <v>24513</v>
      </c>
      <c r="B24518" s="11" t="str">
        <f>"01012224"</f>
        <v>01012224</v>
      </c>
    </row>
    <row r="24519" spans="1:2" x14ac:dyDescent="0.25">
      <c r="A24519" s="2">
        <v>24514</v>
      </c>
      <c r="B24519" s="11" t="str">
        <f>"01012275"</f>
        <v>01012275</v>
      </c>
    </row>
    <row r="24520" spans="1:2" x14ac:dyDescent="0.25">
      <c r="A24520" s="2">
        <v>24515</v>
      </c>
      <c r="B24520" s="11" t="str">
        <f>"01012276"</f>
        <v>01012276</v>
      </c>
    </row>
    <row r="24521" spans="1:2" x14ac:dyDescent="0.25">
      <c r="A24521" s="2">
        <v>24516</v>
      </c>
      <c r="B24521" s="11" t="str">
        <f>"01012283"</f>
        <v>01012283</v>
      </c>
    </row>
    <row r="24522" spans="1:2" x14ac:dyDescent="0.25">
      <c r="A24522" s="2">
        <v>24517</v>
      </c>
      <c r="B24522" s="11" t="str">
        <f>"01012292"</f>
        <v>01012292</v>
      </c>
    </row>
    <row r="24523" spans="1:2" x14ac:dyDescent="0.25">
      <c r="A24523" s="2">
        <v>24518</v>
      </c>
      <c r="B24523" s="11" t="str">
        <f>"01012300"</f>
        <v>01012300</v>
      </c>
    </row>
    <row r="24524" spans="1:2" x14ac:dyDescent="0.25">
      <c r="A24524" s="2">
        <v>24519</v>
      </c>
      <c r="B24524" s="11" t="str">
        <f>"01012314"</f>
        <v>01012314</v>
      </c>
    </row>
    <row r="24525" spans="1:2" x14ac:dyDescent="0.25">
      <c r="A24525" s="2">
        <v>24520</v>
      </c>
      <c r="B24525" s="11" t="str">
        <f>"01012315"</f>
        <v>01012315</v>
      </c>
    </row>
    <row r="24526" spans="1:2" x14ac:dyDescent="0.25">
      <c r="A24526" s="2">
        <v>24521</v>
      </c>
      <c r="B24526" s="11" t="str">
        <f>"01012375"</f>
        <v>01012375</v>
      </c>
    </row>
    <row r="24527" spans="1:2" x14ac:dyDescent="0.25">
      <c r="A24527" s="2">
        <v>24522</v>
      </c>
      <c r="B24527" s="11" t="str">
        <f>"01012411"</f>
        <v>01012411</v>
      </c>
    </row>
    <row r="24528" spans="1:2" x14ac:dyDescent="0.25">
      <c r="A24528" s="2">
        <v>24523</v>
      </c>
      <c r="B24528" s="11" t="str">
        <f>"01012533"</f>
        <v>01012533</v>
      </c>
    </row>
    <row r="24529" spans="1:2" x14ac:dyDescent="0.25">
      <c r="A24529" s="2">
        <v>24524</v>
      </c>
      <c r="B24529" s="11" t="str">
        <f>"01012553"</f>
        <v>01012553</v>
      </c>
    </row>
    <row r="24530" spans="1:2" x14ac:dyDescent="0.25">
      <c r="A24530" s="2">
        <v>24525</v>
      </c>
      <c r="B24530" s="11" t="str">
        <f>"01012590"</f>
        <v>01012590</v>
      </c>
    </row>
    <row r="24531" spans="1:2" x14ac:dyDescent="0.25">
      <c r="A24531" s="2">
        <v>24526</v>
      </c>
      <c r="B24531" s="11" t="str">
        <f>"01012593"</f>
        <v>01012593</v>
      </c>
    </row>
    <row r="24532" spans="1:2" x14ac:dyDescent="0.25">
      <c r="A24532" s="2">
        <v>24527</v>
      </c>
      <c r="B24532" s="11" t="str">
        <f>"01012599"</f>
        <v>01012599</v>
      </c>
    </row>
    <row r="24533" spans="1:2" x14ac:dyDescent="0.25">
      <c r="A24533" s="2">
        <v>24528</v>
      </c>
      <c r="B24533" s="11" t="str">
        <f>"01012605"</f>
        <v>01012605</v>
      </c>
    </row>
    <row r="24534" spans="1:2" x14ac:dyDescent="0.25">
      <c r="A24534" s="2">
        <v>24529</v>
      </c>
      <c r="B24534" s="11" t="str">
        <f>"01012618"</f>
        <v>01012618</v>
      </c>
    </row>
    <row r="24535" spans="1:2" x14ac:dyDescent="0.25">
      <c r="A24535" s="2">
        <v>24530</v>
      </c>
      <c r="B24535" s="11" t="str">
        <f>"01012622"</f>
        <v>01012622</v>
      </c>
    </row>
    <row r="24536" spans="1:2" x14ac:dyDescent="0.25">
      <c r="A24536" s="2">
        <v>24531</v>
      </c>
      <c r="B24536" s="11" t="str">
        <f>"01012653"</f>
        <v>01012653</v>
      </c>
    </row>
    <row r="24537" spans="1:2" x14ac:dyDescent="0.25">
      <c r="A24537" s="2">
        <v>24532</v>
      </c>
      <c r="B24537" s="11" t="str">
        <f>"01012654"</f>
        <v>01012654</v>
      </c>
    </row>
    <row r="24538" spans="1:2" x14ac:dyDescent="0.25">
      <c r="A24538" s="2">
        <v>24533</v>
      </c>
      <c r="B24538" s="11" t="str">
        <f>"01012657"</f>
        <v>01012657</v>
      </c>
    </row>
    <row r="24539" spans="1:2" x14ac:dyDescent="0.25">
      <c r="A24539" s="2">
        <v>24534</v>
      </c>
      <c r="B24539" s="11" t="str">
        <f>"01012668"</f>
        <v>01012668</v>
      </c>
    </row>
    <row r="24540" spans="1:2" x14ac:dyDescent="0.25">
      <c r="A24540" s="2">
        <v>24535</v>
      </c>
      <c r="B24540" s="11" t="str">
        <f>"01012695"</f>
        <v>01012695</v>
      </c>
    </row>
    <row r="24541" spans="1:2" x14ac:dyDescent="0.25">
      <c r="A24541" s="2">
        <v>24536</v>
      </c>
      <c r="B24541" s="11" t="str">
        <f>"01012712"</f>
        <v>01012712</v>
      </c>
    </row>
    <row r="24542" spans="1:2" x14ac:dyDescent="0.25">
      <c r="A24542" s="2">
        <v>24537</v>
      </c>
      <c r="B24542" s="11" t="str">
        <f>"01012753"</f>
        <v>01012753</v>
      </c>
    </row>
    <row r="24543" spans="1:2" x14ac:dyDescent="0.25">
      <c r="A24543" s="2">
        <v>24538</v>
      </c>
      <c r="B24543" s="11" t="str">
        <f>"01012764"</f>
        <v>01012764</v>
      </c>
    </row>
    <row r="24544" spans="1:2" x14ac:dyDescent="0.25">
      <c r="A24544" s="2">
        <v>24539</v>
      </c>
      <c r="B24544" s="11" t="str">
        <f>"01012784"</f>
        <v>01012784</v>
      </c>
    </row>
    <row r="24545" spans="1:2" x14ac:dyDescent="0.25">
      <c r="A24545" s="2">
        <v>24540</v>
      </c>
      <c r="B24545" s="11" t="str">
        <f>"01012785"</f>
        <v>01012785</v>
      </c>
    </row>
    <row r="24546" spans="1:2" x14ac:dyDescent="0.25">
      <c r="A24546" s="2">
        <v>24541</v>
      </c>
      <c r="B24546" s="11" t="str">
        <f>"01012798"</f>
        <v>01012798</v>
      </c>
    </row>
    <row r="24547" spans="1:2" x14ac:dyDescent="0.25">
      <c r="A24547" s="2">
        <v>24542</v>
      </c>
      <c r="B24547" s="11" t="str">
        <f>"01012823"</f>
        <v>01012823</v>
      </c>
    </row>
    <row r="24548" spans="1:2" x14ac:dyDescent="0.25">
      <c r="A24548" s="2">
        <v>24543</v>
      </c>
      <c r="B24548" s="11" t="str">
        <f>"01012826"</f>
        <v>01012826</v>
      </c>
    </row>
    <row r="24549" spans="1:2" x14ac:dyDescent="0.25">
      <c r="A24549" s="2">
        <v>24544</v>
      </c>
      <c r="B24549" s="11" t="str">
        <f>"01012827"</f>
        <v>01012827</v>
      </c>
    </row>
    <row r="24550" spans="1:2" x14ac:dyDescent="0.25">
      <c r="A24550" s="2">
        <v>24545</v>
      </c>
      <c r="B24550" s="11" t="str">
        <f>"01012883"</f>
        <v>01012883</v>
      </c>
    </row>
    <row r="24551" spans="1:2" x14ac:dyDescent="0.25">
      <c r="A24551" s="2">
        <v>24546</v>
      </c>
      <c r="B24551" s="11" t="str">
        <f>"01012922"</f>
        <v>01012922</v>
      </c>
    </row>
    <row r="24552" spans="1:2" x14ac:dyDescent="0.25">
      <c r="A24552" s="2">
        <v>24547</v>
      </c>
      <c r="B24552" s="11" t="str">
        <f>"01012945"</f>
        <v>01012945</v>
      </c>
    </row>
    <row r="24553" spans="1:2" x14ac:dyDescent="0.25">
      <c r="A24553" s="2">
        <v>24548</v>
      </c>
      <c r="B24553" s="11" t="str">
        <f>"01012961"</f>
        <v>01012961</v>
      </c>
    </row>
    <row r="24554" spans="1:2" x14ac:dyDescent="0.25">
      <c r="A24554" s="2">
        <v>24549</v>
      </c>
      <c r="B24554" s="11" t="str">
        <f>"01012981"</f>
        <v>01012981</v>
      </c>
    </row>
    <row r="24555" spans="1:2" x14ac:dyDescent="0.25">
      <c r="A24555" s="2">
        <v>24550</v>
      </c>
      <c r="B24555" s="11" t="str">
        <f>"01013002"</f>
        <v>01013002</v>
      </c>
    </row>
    <row r="24556" spans="1:2" x14ac:dyDescent="0.25">
      <c r="A24556" s="2">
        <v>24551</v>
      </c>
      <c r="B24556" s="11" t="str">
        <f>"01013005"</f>
        <v>01013005</v>
      </c>
    </row>
    <row r="24557" spans="1:2" x14ac:dyDescent="0.25">
      <c r="A24557" s="2">
        <v>24552</v>
      </c>
      <c r="B24557" s="11" t="str">
        <f>"01013014"</f>
        <v>01013014</v>
      </c>
    </row>
    <row r="24558" spans="1:2" x14ac:dyDescent="0.25">
      <c r="A24558" s="2">
        <v>24553</v>
      </c>
      <c r="B24558" s="11" t="str">
        <f>"01013090"</f>
        <v>01013090</v>
      </c>
    </row>
    <row r="24559" spans="1:2" x14ac:dyDescent="0.25">
      <c r="A24559" s="2">
        <v>24554</v>
      </c>
      <c r="B24559" s="11" t="str">
        <f>"01013094"</f>
        <v>01013094</v>
      </c>
    </row>
    <row r="24560" spans="1:2" x14ac:dyDescent="0.25">
      <c r="A24560" s="2">
        <v>24555</v>
      </c>
      <c r="B24560" s="11" t="str">
        <f>"01013097"</f>
        <v>01013097</v>
      </c>
    </row>
    <row r="24561" spans="1:2" x14ac:dyDescent="0.25">
      <c r="A24561" s="2">
        <v>24556</v>
      </c>
      <c r="B24561" s="11" t="str">
        <f>"01013099"</f>
        <v>01013099</v>
      </c>
    </row>
    <row r="24562" spans="1:2" x14ac:dyDescent="0.25">
      <c r="A24562" s="2">
        <v>24557</v>
      </c>
      <c r="B24562" s="11" t="str">
        <f>"01013122"</f>
        <v>01013122</v>
      </c>
    </row>
    <row r="24563" spans="1:2" x14ac:dyDescent="0.25">
      <c r="A24563" s="2">
        <v>24558</v>
      </c>
      <c r="B24563" s="11" t="str">
        <f>"01013127"</f>
        <v>01013127</v>
      </c>
    </row>
    <row r="24564" spans="1:2" x14ac:dyDescent="0.25">
      <c r="A24564" s="2">
        <v>24559</v>
      </c>
      <c r="B24564" s="11" t="str">
        <f>"01013171"</f>
        <v>01013171</v>
      </c>
    </row>
    <row r="24565" spans="1:2" x14ac:dyDescent="0.25">
      <c r="A24565" s="2">
        <v>24560</v>
      </c>
      <c r="B24565" s="11" t="str">
        <f>"01013191"</f>
        <v>01013191</v>
      </c>
    </row>
    <row r="24566" spans="1:2" x14ac:dyDescent="0.25">
      <c r="A24566" s="2">
        <v>24561</v>
      </c>
      <c r="B24566" s="11" t="str">
        <f>"01013192"</f>
        <v>01013192</v>
      </c>
    </row>
    <row r="24567" spans="1:2" x14ac:dyDescent="0.25">
      <c r="A24567" s="2">
        <v>24562</v>
      </c>
      <c r="B24567" s="11" t="str">
        <f>"01013197"</f>
        <v>01013197</v>
      </c>
    </row>
    <row r="24568" spans="1:2" x14ac:dyDescent="0.25">
      <c r="A24568" s="2">
        <v>24563</v>
      </c>
      <c r="B24568" s="11" t="str">
        <f>"01013230"</f>
        <v>01013230</v>
      </c>
    </row>
    <row r="24569" spans="1:2" x14ac:dyDescent="0.25">
      <c r="A24569" s="2">
        <v>24564</v>
      </c>
      <c r="B24569" s="11" t="str">
        <f>"01013243"</f>
        <v>01013243</v>
      </c>
    </row>
    <row r="24570" spans="1:2" x14ac:dyDescent="0.25">
      <c r="A24570" s="2">
        <v>24565</v>
      </c>
      <c r="B24570" s="11" t="str">
        <f>"01013273"</f>
        <v>01013273</v>
      </c>
    </row>
    <row r="24571" spans="1:2" x14ac:dyDescent="0.25">
      <c r="A24571" s="2">
        <v>24566</v>
      </c>
      <c r="B24571" s="11" t="str">
        <f>"01013396"</f>
        <v>01013396</v>
      </c>
    </row>
    <row r="24572" spans="1:2" x14ac:dyDescent="0.25">
      <c r="A24572" s="2">
        <v>24567</v>
      </c>
      <c r="B24572" s="11" t="str">
        <f>"01013408"</f>
        <v>01013408</v>
      </c>
    </row>
    <row r="24573" spans="1:2" x14ac:dyDescent="0.25">
      <c r="A24573" s="2">
        <v>24568</v>
      </c>
      <c r="B24573" s="11" t="str">
        <f>"01013416"</f>
        <v>01013416</v>
      </c>
    </row>
    <row r="24574" spans="1:2" x14ac:dyDescent="0.25">
      <c r="A24574" s="2">
        <v>24569</v>
      </c>
      <c r="B24574" s="11" t="str">
        <f>"01013421"</f>
        <v>01013421</v>
      </c>
    </row>
    <row r="24575" spans="1:2" x14ac:dyDescent="0.25">
      <c r="A24575" s="2">
        <v>24570</v>
      </c>
      <c r="B24575" s="11" t="str">
        <f>"01013453"</f>
        <v>01013453</v>
      </c>
    </row>
    <row r="24576" spans="1:2" x14ac:dyDescent="0.25">
      <c r="A24576" s="2">
        <v>24571</v>
      </c>
      <c r="B24576" s="11" t="str">
        <f>"01013456"</f>
        <v>01013456</v>
      </c>
    </row>
    <row r="24577" spans="1:2" x14ac:dyDescent="0.25">
      <c r="A24577" s="2">
        <v>24572</v>
      </c>
      <c r="B24577" s="11" t="str">
        <f>"01013461"</f>
        <v>01013461</v>
      </c>
    </row>
    <row r="24578" spans="1:2" x14ac:dyDescent="0.25">
      <c r="A24578" s="2">
        <v>24573</v>
      </c>
      <c r="B24578" s="11" t="str">
        <f>"01013478"</f>
        <v>01013478</v>
      </c>
    </row>
    <row r="24579" spans="1:2" x14ac:dyDescent="0.25">
      <c r="A24579" s="2">
        <v>24574</v>
      </c>
      <c r="B24579" s="11" t="str">
        <f>"01013498"</f>
        <v>01013498</v>
      </c>
    </row>
    <row r="24580" spans="1:2" x14ac:dyDescent="0.25">
      <c r="A24580" s="2">
        <v>24575</v>
      </c>
      <c r="B24580" s="11" t="str">
        <f>"01013520"</f>
        <v>01013520</v>
      </c>
    </row>
    <row r="24581" spans="1:2" x14ac:dyDescent="0.25">
      <c r="A24581" s="2">
        <v>24576</v>
      </c>
      <c r="B24581" s="11" t="str">
        <f>"01013522"</f>
        <v>01013522</v>
      </c>
    </row>
    <row r="24582" spans="1:2" x14ac:dyDescent="0.25">
      <c r="A24582" s="2">
        <v>24577</v>
      </c>
      <c r="B24582" s="11" t="str">
        <f>"01013544"</f>
        <v>01013544</v>
      </c>
    </row>
    <row r="24583" spans="1:2" x14ac:dyDescent="0.25">
      <c r="A24583" s="2">
        <v>24578</v>
      </c>
      <c r="B24583" s="11" t="str">
        <f>"01013548"</f>
        <v>01013548</v>
      </c>
    </row>
    <row r="24584" spans="1:2" x14ac:dyDescent="0.25">
      <c r="A24584" s="2">
        <v>24579</v>
      </c>
      <c r="B24584" s="11" t="str">
        <f>"01013553"</f>
        <v>01013553</v>
      </c>
    </row>
    <row r="24585" spans="1:2" x14ac:dyDescent="0.25">
      <c r="A24585" s="2">
        <v>24580</v>
      </c>
      <c r="B24585" s="11" t="str">
        <f>"01013580"</f>
        <v>01013580</v>
      </c>
    </row>
    <row r="24586" spans="1:2" x14ac:dyDescent="0.25">
      <c r="A24586" s="2">
        <v>24581</v>
      </c>
      <c r="B24586" s="11" t="str">
        <f>"01013589"</f>
        <v>01013589</v>
      </c>
    </row>
    <row r="24587" spans="1:2" x14ac:dyDescent="0.25">
      <c r="A24587" s="2">
        <v>24582</v>
      </c>
      <c r="B24587" s="11" t="str">
        <f>"01013607"</f>
        <v>01013607</v>
      </c>
    </row>
    <row r="24588" spans="1:2" x14ac:dyDescent="0.25">
      <c r="A24588" s="2">
        <v>24583</v>
      </c>
      <c r="B24588" s="11" t="str">
        <f>"01013634"</f>
        <v>01013634</v>
      </c>
    </row>
    <row r="24589" spans="1:2" x14ac:dyDescent="0.25">
      <c r="A24589" s="2">
        <v>24584</v>
      </c>
      <c r="B24589" s="11" t="str">
        <f>"01013645"</f>
        <v>01013645</v>
      </c>
    </row>
    <row r="24590" spans="1:2" x14ac:dyDescent="0.25">
      <c r="A24590" s="2">
        <v>24585</v>
      </c>
      <c r="B24590" s="11" t="str">
        <f>"01013664"</f>
        <v>01013664</v>
      </c>
    </row>
    <row r="24591" spans="1:2" x14ac:dyDescent="0.25">
      <c r="A24591" s="2">
        <v>24586</v>
      </c>
      <c r="B24591" s="11" t="str">
        <f>"01013715"</f>
        <v>01013715</v>
      </c>
    </row>
    <row r="24592" spans="1:2" x14ac:dyDescent="0.25">
      <c r="A24592" s="2">
        <v>24587</v>
      </c>
      <c r="B24592" s="11" t="str">
        <f>"01013730"</f>
        <v>01013730</v>
      </c>
    </row>
    <row r="24593" spans="1:2" x14ac:dyDescent="0.25">
      <c r="A24593" s="2">
        <v>24588</v>
      </c>
      <c r="B24593" s="11" t="str">
        <f>"01013747"</f>
        <v>01013747</v>
      </c>
    </row>
    <row r="24594" spans="1:2" x14ac:dyDescent="0.25">
      <c r="A24594" s="2">
        <v>24589</v>
      </c>
      <c r="B24594" s="11" t="str">
        <f>"01013756"</f>
        <v>01013756</v>
      </c>
    </row>
    <row r="24595" spans="1:2" x14ac:dyDescent="0.25">
      <c r="A24595" s="2">
        <v>24590</v>
      </c>
      <c r="B24595" s="11" t="str">
        <f>"01013766"</f>
        <v>01013766</v>
      </c>
    </row>
    <row r="24596" spans="1:2" x14ac:dyDescent="0.25">
      <c r="A24596" s="2">
        <v>24591</v>
      </c>
      <c r="B24596" s="11" t="str">
        <f>"01013777"</f>
        <v>01013777</v>
      </c>
    </row>
    <row r="24597" spans="1:2" x14ac:dyDescent="0.25">
      <c r="A24597" s="2">
        <v>24592</v>
      </c>
      <c r="B24597" s="11" t="str">
        <f>"01013786"</f>
        <v>01013786</v>
      </c>
    </row>
    <row r="24598" spans="1:2" x14ac:dyDescent="0.25">
      <c r="A24598" s="2">
        <v>24593</v>
      </c>
      <c r="B24598" s="11" t="str">
        <f>"01013799"</f>
        <v>01013799</v>
      </c>
    </row>
    <row r="24599" spans="1:2" x14ac:dyDescent="0.25">
      <c r="A24599" s="2">
        <v>24594</v>
      </c>
      <c r="B24599" s="11" t="str">
        <f>"01013826"</f>
        <v>01013826</v>
      </c>
    </row>
    <row r="24600" spans="1:2" x14ac:dyDescent="0.25">
      <c r="A24600" s="2">
        <v>24595</v>
      </c>
      <c r="B24600" s="11" t="str">
        <f>"01013844"</f>
        <v>01013844</v>
      </c>
    </row>
    <row r="24601" spans="1:2" x14ac:dyDescent="0.25">
      <c r="A24601" s="2">
        <v>24596</v>
      </c>
      <c r="B24601" s="11" t="str">
        <f>"01013845"</f>
        <v>01013845</v>
      </c>
    </row>
    <row r="24602" spans="1:2" x14ac:dyDescent="0.25">
      <c r="A24602" s="2">
        <v>24597</v>
      </c>
      <c r="B24602" s="11" t="str">
        <f>"01013848"</f>
        <v>01013848</v>
      </c>
    </row>
    <row r="24603" spans="1:2" x14ac:dyDescent="0.25">
      <c r="A24603" s="2">
        <v>24598</v>
      </c>
      <c r="B24603" s="11" t="str">
        <f>"01013849"</f>
        <v>01013849</v>
      </c>
    </row>
    <row r="24604" spans="1:2" x14ac:dyDescent="0.25">
      <c r="A24604" s="2">
        <v>24599</v>
      </c>
      <c r="B24604" s="11" t="str">
        <f>"01013855"</f>
        <v>01013855</v>
      </c>
    </row>
    <row r="24605" spans="1:2" x14ac:dyDescent="0.25">
      <c r="A24605" s="2">
        <v>24600</v>
      </c>
      <c r="B24605" s="11" t="str">
        <f>"01013859"</f>
        <v>01013859</v>
      </c>
    </row>
    <row r="24606" spans="1:2" x14ac:dyDescent="0.25">
      <c r="A24606" s="2">
        <v>24601</v>
      </c>
      <c r="B24606" s="11" t="str">
        <f>"01013869"</f>
        <v>01013869</v>
      </c>
    </row>
    <row r="24607" spans="1:2" x14ac:dyDescent="0.25">
      <c r="A24607" s="2">
        <v>24602</v>
      </c>
      <c r="B24607" s="11" t="str">
        <f>"01013892"</f>
        <v>01013892</v>
      </c>
    </row>
    <row r="24608" spans="1:2" x14ac:dyDescent="0.25">
      <c r="A24608" s="2">
        <v>24603</v>
      </c>
      <c r="B24608" s="11" t="str">
        <f>"01013929"</f>
        <v>01013929</v>
      </c>
    </row>
    <row r="24609" spans="1:2" x14ac:dyDescent="0.25">
      <c r="A24609" s="2">
        <v>24604</v>
      </c>
      <c r="B24609" s="11" t="str">
        <f>"01013983"</f>
        <v>01013983</v>
      </c>
    </row>
    <row r="24610" spans="1:2" x14ac:dyDescent="0.25">
      <c r="A24610" s="2">
        <v>24605</v>
      </c>
      <c r="B24610" s="11" t="str">
        <f>"01013989"</f>
        <v>01013989</v>
      </c>
    </row>
    <row r="24611" spans="1:2" x14ac:dyDescent="0.25">
      <c r="A24611" s="2">
        <v>24606</v>
      </c>
      <c r="B24611" s="11" t="str">
        <f>"01013997"</f>
        <v>01013997</v>
      </c>
    </row>
    <row r="24612" spans="1:2" x14ac:dyDescent="0.25">
      <c r="A24612" s="2">
        <v>24607</v>
      </c>
      <c r="B24612" s="11" t="str">
        <f>"01014034"</f>
        <v>01014034</v>
      </c>
    </row>
    <row r="24613" spans="1:2" x14ac:dyDescent="0.25">
      <c r="A24613" s="2">
        <v>24608</v>
      </c>
      <c r="B24613" s="11" t="str">
        <f>"01014054"</f>
        <v>01014054</v>
      </c>
    </row>
    <row r="24614" spans="1:2" x14ac:dyDescent="0.25">
      <c r="A24614" s="2">
        <v>24609</v>
      </c>
      <c r="B24614" s="11" t="str">
        <f>"01014066"</f>
        <v>01014066</v>
      </c>
    </row>
    <row r="24615" spans="1:2" x14ac:dyDescent="0.25">
      <c r="A24615" s="2">
        <v>24610</v>
      </c>
      <c r="B24615" s="11" t="str">
        <f>"01014077"</f>
        <v>01014077</v>
      </c>
    </row>
    <row r="24616" spans="1:2" x14ac:dyDescent="0.25">
      <c r="A24616" s="2">
        <v>24611</v>
      </c>
      <c r="B24616" s="11" t="str">
        <f>"01014091"</f>
        <v>01014091</v>
      </c>
    </row>
    <row r="24617" spans="1:2" x14ac:dyDescent="0.25">
      <c r="A24617" s="2">
        <v>24612</v>
      </c>
      <c r="B24617" s="11" t="str">
        <f>"01014092"</f>
        <v>01014092</v>
      </c>
    </row>
    <row r="24618" spans="1:2" x14ac:dyDescent="0.25">
      <c r="A24618" s="2">
        <v>24613</v>
      </c>
      <c r="B24618" s="11" t="str">
        <f>"01014108"</f>
        <v>01014108</v>
      </c>
    </row>
    <row r="24619" spans="1:2" x14ac:dyDescent="0.25">
      <c r="A24619" s="2">
        <v>24614</v>
      </c>
      <c r="B24619" s="11" t="str">
        <f>"01014134"</f>
        <v>01014134</v>
      </c>
    </row>
    <row r="24620" spans="1:2" x14ac:dyDescent="0.25">
      <c r="A24620" s="2">
        <v>24615</v>
      </c>
      <c r="B24620" s="11" t="str">
        <f>"01014140"</f>
        <v>01014140</v>
      </c>
    </row>
    <row r="24621" spans="1:2" x14ac:dyDescent="0.25">
      <c r="A24621" s="2">
        <v>24616</v>
      </c>
      <c r="B24621" s="11" t="str">
        <f>"01014142"</f>
        <v>01014142</v>
      </c>
    </row>
    <row r="24622" spans="1:2" x14ac:dyDescent="0.25">
      <c r="A24622" s="2">
        <v>24617</v>
      </c>
      <c r="B24622" s="11" t="str">
        <f>"01014158"</f>
        <v>01014158</v>
      </c>
    </row>
    <row r="24623" spans="1:2" x14ac:dyDescent="0.25">
      <c r="A24623" s="2">
        <v>24618</v>
      </c>
      <c r="B24623" s="11" t="str">
        <f>"01014161"</f>
        <v>01014161</v>
      </c>
    </row>
    <row r="24624" spans="1:2" x14ac:dyDescent="0.25">
      <c r="A24624" s="2">
        <v>24619</v>
      </c>
      <c r="B24624" s="11" t="str">
        <f>"01014164"</f>
        <v>01014164</v>
      </c>
    </row>
    <row r="24625" spans="1:2" x14ac:dyDescent="0.25">
      <c r="A24625" s="2">
        <v>24620</v>
      </c>
      <c r="B24625" s="11" t="str">
        <f>"01014213"</f>
        <v>01014213</v>
      </c>
    </row>
    <row r="24626" spans="1:2" x14ac:dyDescent="0.25">
      <c r="A24626" s="2">
        <v>24621</v>
      </c>
      <c r="B24626" s="11" t="str">
        <f>"01014222"</f>
        <v>01014222</v>
      </c>
    </row>
    <row r="24627" spans="1:2" x14ac:dyDescent="0.25">
      <c r="A24627" s="2">
        <v>24622</v>
      </c>
      <c r="B24627" s="11" t="str">
        <f>"01014249"</f>
        <v>01014249</v>
      </c>
    </row>
    <row r="24628" spans="1:2" x14ac:dyDescent="0.25">
      <c r="A24628" s="2">
        <v>24623</v>
      </c>
      <c r="B24628" s="11" t="str">
        <f>"01014262"</f>
        <v>01014262</v>
      </c>
    </row>
    <row r="24629" spans="1:2" x14ac:dyDescent="0.25">
      <c r="A24629" s="2">
        <v>24624</v>
      </c>
      <c r="B24629" s="11" t="str">
        <f>"01014273"</f>
        <v>01014273</v>
      </c>
    </row>
    <row r="24630" spans="1:2" x14ac:dyDescent="0.25">
      <c r="A24630" s="2">
        <v>24625</v>
      </c>
      <c r="B24630" s="11" t="str">
        <f>"01014290"</f>
        <v>01014290</v>
      </c>
    </row>
    <row r="24631" spans="1:2" x14ac:dyDescent="0.25">
      <c r="A24631" s="2">
        <v>24626</v>
      </c>
      <c r="B24631" s="11" t="str">
        <f>"01014292"</f>
        <v>01014292</v>
      </c>
    </row>
    <row r="24632" spans="1:2" x14ac:dyDescent="0.25">
      <c r="A24632" s="2">
        <v>24627</v>
      </c>
      <c r="B24632" s="11" t="str">
        <f>"01014298"</f>
        <v>01014298</v>
      </c>
    </row>
    <row r="24633" spans="1:2" x14ac:dyDescent="0.25">
      <c r="A24633" s="2">
        <v>24628</v>
      </c>
      <c r="B24633" s="11" t="str">
        <f>"01014306"</f>
        <v>01014306</v>
      </c>
    </row>
    <row r="24634" spans="1:2" x14ac:dyDescent="0.25">
      <c r="A24634" s="2">
        <v>24629</v>
      </c>
      <c r="B24634" s="11" t="str">
        <f>"01014309"</f>
        <v>01014309</v>
      </c>
    </row>
    <row r="24635" spans="1:2" x14ac:dyDescent="0.25">
      <c r="A24635" s="2">
        <v>24630</v>
      </c>
      <c r="B24635" s="11" t="str">
        <f>"01014318"</f>
        <v>01014318</v>
      </c>
    </row>
    <row r="24636" spans="1:2" x14ac:dyDescent="0.25">
      <c r="A24636" s="2">
        <v>24631</v>
      </c>
      <c r="B24636" s="11" t="str">
        <f>"01014326"</f>
        <v>01014326</v>
      </c>
    </row>
    <row r="24637" spans="1:2" x14ac:dyDescent="0.25">
      <c r="A24637" s="2">
        <v>24632</v>
      </c>
      <c r="B24637" s="11" t="str">
        <f>"01014329"</f>
        <v>01014329</v>
      </c>
    </row>
    <row r="24638" spans="1:2" x14ac:dyDescent="0.25">
      <c r="A24638" s="2">
        <v>24633</v>
      </c>
      <c r="B24638" s="11" t="str">
        <f>"01014393"</f>
        <v>01014393</v>
      </c>
    </row>
    <row r="24639" spans="1:2" x14ac:dyDescent="0.25">
      <c r="A24639" s="2">
        <v>24634</v>
      </c>
      <c r="B24639" s="11" t="str">
        <f>"01014419"</f>
        <v>01014419</v>
      </c>
    </row>
    <row r="24640" spans="1:2" x14ac:dyDescent="0.25">
      <c r="A24640" s="2">
        <v>24635</v>
      </c>
      <c r="B24640" s="11" t="str">
        <f>"01014498"</f>
        <v>01014498</v>
      </c>
    </row>
    <row r="24641" spans="1:2" x14ac:dyDescent="0.25">
      <c r="A24641" s="2">
        <v>24636</v>
      </c>
      <c r="B24641" s="11" t="str">
        <f>"01014518"</f>
        <v>01014518</v>
      </c>
    </row>
    <row r="24642" spans="1:2" x14ac:dyDescent="0.25">
      <c r="A24642" s="2">
        <v>24637</v>
      </c>
      <c r="B24642" s="11" t="str">
        <f>"01014520"</f>
        <v>01014520</v>
      </c>
    </row>
    <row r="24643" spans="1:2" x14ac:dyDescent="0.25">
      <c r="A24643" s="2">
        <v>24638</v>
      </c>
      <c r="B24643" s="11" t="str">
        <f>"01014537"</f>
        <v>01014537</v>
      </c>
    </row>
    <row r="24644" spans="1:2" x14ac:dyDescent="0.25">
      <c r="A24644" s="2">
        <v>24639</v>
      </c>
      <c r="B24644" s="11" t="str">
        <f>"01014607"</f>
        <v>01014607</v>
      </c>
    </row>
    <row r="24645" spans="1:2" x14ac:dyDescent="0.25">
      <c r="A24645" s="2">
        <v>24640</v>
      </c>
      <c r="B24645" s="11" t="str">
        <f>"01014618"</f>
        <v>01014618</v>
      </c>
    </row>
    <row r="24646" spans="1:2" x14ac:dyDescent="0.25">
      <c r="A24646" s="2">
        <v>24641</v>
      </c>
      <c r="B24646" s="11" t="str">
        <f>"01014635"</f>
        <v>01014635</v>
      </c>
    </row>
    <row r="24647" spans="1:2" x14ac:dyDescent="0.25">
      <c r="A24647" s="2">
        <v>24642</v>
      </c>
      <c r="B24647" s="11" t="str">
        <f>"01014671"</f>
        <v>01014671</v>
      </c>
    </row>
    <row r="24648" spans="1:2" x14ac:dyDescent="0.25">
      <c r="A24648" s="2">
        <v>24643</v>
      </c>
      <c r="B24648" s="11" t="str">
        <f>"01014687"</f>
        <v>01014687</v>
      </c>
    </row>
    <row r="24649" spans="1:2" x14ac:dyDescent="0.25">
      <c r="A24649" s="2">
        <v>24644</v>
      </c>
      <c r="B24649" s="11" t="str">
        <f>"01014695"</f>
        <v>01014695</v>
      </c>
    </row>
    <row r="24650" spans="1:2" x14ac:dyDescent="0.25">
      <c r="A24650" s="2">
        <v>24645</v>
      </c>
      <c r="B24650" s="11" t="str">
        <f>"01014696"</f>
        <v>01014696</v>
      </c>
    </row>
    <row r="24651" spans="1:2" x14ac:dyDescent="0.25">
      <c r="A24651" s="2">
        <v>24646</v>
      </c>
      <c r="B24651" s="11" t="str">
        <f>"01014701"</f>
        <v>01014701</v>
      </c>
    </row>
    <row r="24652" spans="1:2" x14ac:dyDescent="0.25">
      <c r="A24652" s="2">
        <v>24647</v>
      </c>
      <c r="B24652" s="11" t="str">
        <f>"01014724"</f>
        <v>01014724</v>
      </c>
    </row>
    <row r="24653" spans="1:2" x14ac:dyDescent="0.25">
      <c r="A24653" s="2">
        <v>24648</v>
      </c>
      <c r="B24653" s="11" t="str">
        <f>"01014744"</f>
        <v>01014744</v>
      </c>
    </row>
    <row r="24654" spans="1:2" x14ac:dyDescent="0.25">
      <c r="A24654" s="2">
        <v>24649</v>
      </c>
      <c r="B24654" s="11" t="str">
        <f>"01014758"</f>
        <v>01014758</v>
      </c>
    </row>
    <row r="24655" spans="1:2" x14ac:dyDescent="0.25">
      <c r="A24655" s="2">
        <v>24650</v>
      </c>
      <c r="B24655" s="11" t="str">
        <f>"01014760"</f>
        <v>01014760</v>
      </c>
    </row>
    <row r="24656" spans="1:2" x14ac:dyDescent="0.25">
      <c r="A24656" s="2">
        <v>24651</v>
      </c>
      <c r="B24656" s="11" t="str">
        <f>"01014778"</f>
        <v>01014778</v>
      </c>
    </row>
    <row r="24657" spans="1:2" x14ac:dyDescent="0.25">
      <c r="A24657" s="2">
        <v>24652</v>
      </c>
      <c r="B24657" s="11" t="str">
        <f>"01014791"</f>
        <v>01014791</v>
      </c>
    </row>
    <row r="24658" spans="1:2" x14ac:dyDescent="0.25">
      <c r="A24658" s="2">
        <v>24653</v>
      </c>
      <c r="B24658" s="11" t="str">
        <f>"01014799"</f>
        <v>01014799</v>
      </c>
    </row>
    <row r="24659" spans="1:2" x14ac:dyDescent="0.25">
      <c r="A24659" s="2">
        <v>24654</v>
      </c>
      <c r="B24659" s="11" t="str">
        <f>"01014844"</f>
        <v>01014844</v>
      </c>
    </row>
    <row r="24660" spans="1:2" x14ac:dyDescent="0.25">
      <c r="A24660" s="2">
        <v>24655</v>
      </c>
      <c r="B24660" s="11" t="str">
        <f>"01014847"</f>
        <v>01014847</v>
      </c>
    </row>
    <row r="24661" spans="1:2" x14ac:dyDescent="0.25">
      <c r="A24661" s="2">
        <v>24656</v>
      </c>
      <c r="B24661" s="11" t="str">
        <f>"01014848"</f>
        <v>01014848</v>
      </c>
    </row>
    <row r="24662" spans="1:2" x14ac:dyDescent="0.25">
      <c r="A24662" s="2">
        <v>24657</v>
      </c>
      <c r="B24662" s="11" t="str">
        <f>"01014859"</f>
        <v>01014859</v>
      </c>
    </row>
    <row r="24663" spans="1:2" x14ac:dyDescent="0.25">
      <c r="A24663" s="2">
        <v>24658</v>
      </c>
      <c r="B24663" s="11" t="str">
        <f>"01014898"</f>
        <v>01014898</v>
      </c>
    </row>
    <row r="24664" spans="1:2" x14ac:dyDescent="0.25">
      <c r="A24664" s="2">
        <v>24659</v>
      </c>
      <c r="B24664" s="11" t="str">
        <f>"01014930"</f>
        <v>01014930</v>
      </c>
    </row>
    <row r="24665" spans="1:2" x14ac:dyDescent="0.25">
      <c r="A24665" s="2">
        <v>24660</v>
      </c>
      <c r="B24665" s="11" t="str">
        <f>"01014939"</f>
        <v>01014939</v>
      </c>
    </row>
    <row r="24666" spans="1:2" x14ac:dyDescent="0.25">
      <c r="A24666" s="2">
        <v>24661</v>
      </c>
      <c r="B24666" s="11" t="str">
        <f>"01014948"</f>
        <v>01014948</v>
      </c>
    </row>
    <row r="24667" spans="1:2" x14ac:dyDescent="0.25">
      <c r="A24667" s="2">
        <v>24662</v>
      </c>
      <c r="B24667" s="11" t="str">
        <f>"01014959"</f>
        <v>01014959</v>
      </c>
    </row>
    <row r="24668" spans="1:2" x14ac:dyDescent="0.25">
      <c r="A24668" s="2">
        <v>24663</v>
      </c>
      <c r="B24668" s="11" t="str">
        <f>"01014982"</f>
        <v>01014982</v>
      </c>
    </row>
    <row r="24669" spans="1:2" x14ac:dyDescent="0.25">
      <c r="A24669" s="2">
        <v>24664</v>
      </c>
      <c r="B24669" s="11" t="str">
        <f>"01014985"</f>
        <v>01014985</v>
      </c>
    </row>
    <row r="24670" spans="1:2" x14ac:dyDescent="0.25">
      <c r="A24670" s="2">
        <v>24665</v>
      </c>
      <c r="B24670" s="11" t="str">
        <f>"01015011"</f>
        <v>01015011</v>
      </c>
    </row>
    <row r="24671" spans="1:2" x14ac:dyDescent="0.25">
      <c r="A24671" s="2">
        <v>24666</v>
      </c>
      <c r="B24671" s="11" t="str">
        <f>"01015056"</f>
        <v>01015056</v>
      </c>
    </row>
    <row r="24672" spans="1:2" x14ac:dyDescent="0.25">
      <c r="A24672" s="2">
        <v>24667</v>
      </c>
      <c r="B24672" s="11" t="str">
        <f>"01015084"</f>
        <v>01015084</v>
      </c>
    </row>
    <row r="24673" spans="1:2" x14ac:dyDescent="0.25">
      <c r="A24673" s="2">
        <v>24668</v>
      </c>
      <c r="B24673" s="11" t="str">
        <f>"01015093"</f>
        <v>01015093</v>
      </c>
    </row>
    <row r="24674" spans="1:2" x14ac:dyDescent="0.25">
      <c r="A24674" s="2">
        <v>24669</v>
      </c>
      <c r="B24674" s="11" t="str">
        <f>"01015111"</f>
        <v>01015111</v>
      </c>
    </row>
    <row r="24675" spans="1:2" x14ac:dyDescent="0.25">
      <c r="A24675" s="2">
        <v>24670</v>
      </c>
      <c r="B24675" s="11" t="str">
        <f>"01015132"</f>
        <v>01015132</v>
      </c>
    </row>
    <row r="24676" spans="1:2" x14ac:dyDescent="0.25">
      <c r="A24676" s="2">
        <v>24671</v>
      </c>
      <c r="B24676" s="11" t="str">
        <f>"01015144"</f>
        <v>01015144</v>
      </c>
    </row>
    <row r="24677" spans="1:2" x14ac:dyDescent="0.25">
      <c r="A24677" s="2">
        <v>24672</v>
      </c>
      <c r="B24677" s="11" t="str">
        <f>"01015151"</f>
        <v>01015151</v>
      </c>
    </row>
    <row r="24678" spans="1:2" x14ac:dyDescent="0.25">
      <c r="A24678" s="2">
        <v>24673</v>
      </c>
      <c r="B24678" s="11" t="str">
        <f>"01015152"</f>
        <v>01015152</v>
      </c>
    </row>
    <row r="24679" spans="1:2" x14ac:dyDescent="0.25">
      <c r="A24679" s="2">
        <v>24674</v>
      </c>
      <c r="B24679" s="11" t="str">
        <f>"01015167"</f>
        <v>01015167</v>
      </c>
    </row>
    <row r="24680" spans="1:2" x14ac:dyDescent="0.25">
      <c r="A24680" s="2">
        <v>24675</v>
      </c>
      <c r="B24680" s="11" t="str">
        <f>"01015173"</f>
        <v>01015173</v>
      </c>
    </row>
    <row r="24681" spans="1:2" x14ac:dyDescent="0.25">
      <c r="A24681" s="2">
        <v>24676</v>
      </c>
      <c r="B24681" s="11" t="str">
        <f>"01015177"</f>
        <v>01015177</v>
      </c>
    </row>
    <row r="24682" spans="1:2" x14ac:dyDescent="0.25">
      <c r="A24682" s="2">
        <v>24677</v>
      </c>
      <c r="B24682" s="11" t="str">
        <f>"01015186"</f>
        <v>01015186</v>
      </c>
    </row>
    <row r="24683" spans="1:2" x14ac:dyDescent="0.25">
      <c r="A24683" s="2">
        <v>24678</v>
      </c>
      <c r="B24683" s="11" t="str">
        <f>"01015203"</f>
        <v>01015203</v>
      </c>
    </row>
    <row r="24684" spans="1:2" x14ac:dyDescent="0.25">
      <c r="A24684" s="2">
        <v>24679</v>
      </c>
      <c r="B24684" s="11" t="str">
        <f>"01015205"</f>
        <v>01015205</v>
      </c>
    </row>
    <row r="24685" spans="1:2" x14ac:dyDescent="0.25">
      <c r="A24685" s="2">
        <v>24680</v>
      </c>
      <c r="B24685" s="11" t="str">
        <f>"01015259"</f>
        <v>01015259</v>
      </c>
    </row>
    <row r="24686" spans="1:2" x14ac:dyDescent="0.25">
      <c r="A24686" s="2">
        <v>24681</v>
      </c>
      <c r="B24686" s="11" t="str">
        <f>"01015267"</f>
        <v>01015267</v>
      </c>
    </row>
    <row r="24687" spans="1:2" x14ac:dyDescent="0.25">
      <c r="A24687" s="2">
        <v>24682</v>
      </c>
      <c r="B24687" s="11" t="str">
        <f>"01015277"</f>
        <v>01015277</v>
      </c>
    </row>
    <row r="24688" spans="1:2" x14ac:dyDescent="0.25">
      <c r="A24688" s="2">
        <v>24683</v>
      </c>
      <c r="B24688" s="11" t="str">
        <f>"01015319"</f>
        <v>01015319</v>
      </c>
    </row>
    <row r="24689" spans="1:2" x14ac:dyDescent="0.25">
      <c r="A24689" s="2">
        <v>24684</v>
      </c>
      <c r="B24689" s="11" t="str">
        <f>"01015330"</f>
        <v>01015330</v>
      </c>
    </row>
    <row r="24690" spans="1:2" x14ac:dyDescent="0.25">
      <c r="A24690" s="2">
        <v>24685</v>
      </c>
      <c r="B24690" s="11" t="str">
        <f>"01015331"</f>
        <v>01015331</v>
      </c>
    </row>
    <row r="24691" spans="1:2" x14ac:dyDescent="0.25">
      <c r="A24691" s="2">
        <v>24686</v>
      </c>
      <c r="B24691" s="11" t="str">
        <f>"01015332"</f>
        <v>01015332</v>
      </c>
    </row>
    <row r="24692" spans="1:2" x14ac:dyDescent="0.25">
      <c r="A24692" s="2">
        <v>24687</v>
      </c>
      <c r="B24692" s="11" t="str">
        <f>"01015340"</f>
        <v>01015340</v>
      </c>
    </row>
    <row r="24693" spans="1:2" x14ac:dyDescent="0.25">
      <c r="A24693" s="2">
        <v>24688</v>
      </c>
      <c r="B24693" s="11" t="str">
        <f>"01015444"</f>
        <v>01015444</v>
      </c>
    </row>
    <row r="24694" spans="1:2" x14ac:dyDescent="0.25">
      <c r="A24694" s="2">
        <v>24689</v>
      </c>
      <c r="B24694" s="11" t="str">
        <f>"01015455"</f>
        <v>01015455</v>
      </c>
    </row>
    <row r="24695" spans="1:2" x14ac:dyDescent="0.25">
      <c r="A24695" s="2">
        <v>24690</v>
      </c>
      <c r="B24695" s="11" t="str">
        <f>"01015527"</f>
        <v>01015527</v>
      </c>
    </row>
    <row r="24696" spans="1:2" x14ac:dyDescent="0.25">
      <c r="A24696" s="2">
        <v>24691</v>
      </c>
      <c r="B24696" s="11" t="str">
        <f>"01015538"</f>
        <v>01015538</v>
      </c>
    </row>
    <row r="24697" spans="1:2" x14ac:dyDescent="0.25">
      <c r="A24697" s="2">
        <v>24692</v>
      </c>
      <c r="B24697" s="11" t="str">
        <f>"01015545"</f>
        <v>01015545</v>
      </c>
    </row>
    <row r="24698" spans="1:2" x14ac:dyDescent="0.25">
      <c r="A24698" s="2">
        <v>24693</v>
      </c>
      <c r="B24698" s="11" t="str">
        <f>"01015550"</f>
        <v>01015550</v>
      </c>
    </row>
    <row r="24699" spans="1:2" x14ac:dyDescent="0.25">
      <c r="A24699" s="2">
        <v>24694</v>
      </c>
      <c r="B24699" s="11" t="str">
        <f>"01015551"</f>
        <v>01015551</v>
      </c>
    </row>
    <row r="24700" spans="1:2" x14ac:dyDescent="0.25">
      <c r="A24700" s="2">
        <v>24695</v>
      </c>
      <c r="B24700" s="11" t="str">
        <f>"01015553"</f>
        <v>01015553</v>
      </c>
    </row>
    <row r="24701" spans="1:2" x14ac:dyDescent="0.25">
      <c r="A24701" s="2">
        <v>24696</v>
      </c>
      <c r="B24701" s="11" t="str">
        <f>"01015577"</f>
        <v>01015577</v>
      </c>
    </row>
    <row r="24702" spans="1:2" x14ac:dyDescent="0.25">
      <c r="A24702" s="2">
        <v>24697</v>
      </c>
      <c r="B24702" s="11" t="str">
        <f>"01015612"</f>
        <v>01015612</v>
      </c>
    </row>
    <row r="24703" spans="1:2" x14ac:dyDescent="0.25">
      <c r="A24703" s="2">
        <v>24698</v>
      </c>
      <c r="B24703" s="11" t="str">
        <f>"01015620"</f>
        <v>01015620</v>
      </c>
    </row>
    <row r="24704" spans="1:2" x14ac:dyDescent="0.25">
      <c r="A24704" s="2">
        <v>24699</v>
      </c>
      <c r="B24704" s="11" t="str">
        <f>"01015625"</f>
        <v>01015625</v>
      </c>
    </row>
    <row r="24705" spans="1:2" x14ac:dyDescent="0.25">
      <c r="A24705" s="2">
        <v>24700</v>
      </c>
      <c r="B24705" s="11" t="str">
        <f>"01015650"</f>
        <v>01015650</v>
      </c>
    </row>
    <row r="24706" spans="1:2" x14ac:dyDescent="0.25">
      <c r="A24706" s="2">
        <v>24701</v>
      </c>
      <c r="B24706" s="11" t="str">
        <f>"01015655"</f>
        <v>01015655</v>
      </c>
    </row>
    <row r="24707" spans="1:2" x14ac:dyDescent="0.25">
      <c r="A24707" s="2">
        <v>24702</v>
      </c>
      <c r="B24707" s="11" t="str">
        <f>"01015660"</f>
        <v>01015660</v>
      </c>
    </row>
    <row r="24708" spans="1:2" x14ac:dyDescent="0.25">
      <c r="A24708" s="2">
        <v>24703</v>
      </c>
      <c r="B24708" s="11" t="str">
        <f>"01015665"</f>
        <v>01015665</v>
      </c>
    </row>
    <row r="24709" spans="1:2" x14ac:dyDescent="0.25">
      <c r="A24709" s="2">
        <v>24704</v>
      </c>
      <c r="B24709" s="11" t="str">
        <f>"01015674"</f>
        <v>01015674</v>
      </c>
    </row>
    <row r="24710" spans="1:2" x14ac:dyDescent="0.25">
      <c r="A24710" s="2">
        <v>24705</v>
      </c>
      <c r="B24710" s="11" t="str">
        <f>"01015678"</f>
        <v>01015678</v>
      </c>
    </row>
    <row r="24711" spans="1:2" x14ac:dyDescent="0.25">
      <c r="A24711" s="2">
        <v>24706</v>
      </c>
      <c r="B24711" s="11" t="str">
        <f>"01015686"</f>
        <v>01015686</v>
      </c>
    </row>
    <row r="24712" spans="1:2" x14ac:dyDescent="0.25">
      <c r="A24712" s="2">
        <v>24707</v>
      </c>
      <c r="B24712" s="11" t="str">
        <f>"01015700"</f>
        <v>01015700</v>
      </c>
    </row>
    <row r="24713" spans="1:2" x14ac:dyDescent="0.25">
      <c r="A24713" s="2">
        <v>24708</v>
      </c>
      <c r="B24713" s="11" t="str">
        <f>"01015733"</f>
        <v>01015733</v>
      </c>
    </row>
    <row r="24714" spans="1:2" x14ac:dyDescent="0.25">
      <c r="A24714" s="2">
        <v>24709</v>
      </c>
      <c r="B24714" s="11" t="str">
        <f>"01015749"</f>
        <v>01015749</v>
      </c>
    </row>
    <row r="24715" spans="1:2" x14ac:dyDescent="0.25">
      <c r="A24715" s="2">
        <v>24710</v>
      </c>
      <c r="B24715" s="11" t="str">
        <f>"01015755"</f>
        <v>01015755</v>
      </c>
    </row>
    <row r="24716" spans="1:2" x14ac:dyDescent="0.25">
      <c r="A24716" s="2">
        <v>24711</v>
      </c>
      <c r="B24716" s="11" t="str">
        <f>"01015763"</f>
        <v>01015763</v>
      </c>
    </row>
    <row r="24717" spans="1:2" x14ac:dyDescent="0.25">
      <c r="A24717" s="2">
        <v>24712</v>
      </c>
      <c r="B24717" s="11" t="str">
        <f>"01015777"</f>
        <v>01015777</v>
      </c>
    </row>
    <row r="24718" spans="1:2" x14ac:dyDescent="0.25">
      <c r="A24718" s="2">
        <v>24713</v>
      </c>
      <c r="B24718" s="11" t="str">
        <f>"01015806"</f>
        <v>01015806</v>
      </c>
    </row>
    <row r="24719" spans="1:2" x14ac:dyDescent="0.25">
      <c r="A24719" s="2">
        <v>24714</v>
      </c>
      <c r="B24719" s="11" t="str">
        <f>"01015810"</f>
        <v>01015810</v>
      </c>
    </row>
    <row r="24720" spans="1:2" x14ac:dyDescent="0.25">
      <c r="A24720" s="2">
        <v>24715</v>
      </c>
      <c r="B24720" s="11" t="str">
        <f>"01015827"</f>
        <v>01015827</v>
      </c>
    </row>
    <row r="24721" spans="1:2" x14ac:dyDescent="0.25">
      <c r="A24721" s="2">
        <v>24716</v>
      </c>
      <c r="B24721" s="11" t="str">
        <f>"01015831"</f>
        <v>01015831</v>
      </c>
    </row>
    <row r="24722" spans="1:2" x14ac:dyDescent="0.25">
      <c r="A24722" s="2">
        <v>24717</v>
      </c>
      <c r="B24722" s="11" t="str">
        <f>"01015837"</f>
        <v>01015837</v>
      </c>
    </row>
    <row r="24723" spans="1:2" x14ac:dyDescent="0.25">
      <c r="A24723" s="2">
        <v>24718</v>
      </c>
      <c r="B24723" s="11" t="str">
        <f>"01015933"</f>
        <v>01015933</v>
      </c>
    </row>
    <row r="24724" spans="1:2" x14ac:dyDescent="0.25">
      <c r="A24724" s="2">
        <v>24719</v>
      </c>
      <c r="B24724" s="11" t="str">
        <f>"01015940"</f>
        <v>01015940</v>
      </c>
    </row>
    <row r="24725" spans="1:2" x14ac:dyDescent="0.25">
      <c r="A24725" s="2">
        <v>24720</v>
      </c>
      <c r="B24725" s="11" t="str">
        <f>"01015993"</f>
        <v>01015993</v>
      </c>
    </row>
    <row r="24726" spans="1:2" x14ac:dyDescent="0.25">
      <c r="A24726" s="2">
        <v>24721</v>
      </c>
      <c r="B24726" s="11" t="str">
        <f>"01016004"</f>
        <v>01016004</v>
      </c>
    </row>
    <row r="24727" spans="1:2" x14ac:dyDescent="0.25">
      <c r="A24727" s="2">
        <v>24722</v>
      </c>
      <c r="B24727" s="11" t="str">
        <f>"01016013"</f>
        <v>01016013</v>
      </c>
    </row>
    <row r="24728" spans="1:2" x14ac:dyDescent="0.25">
      <c r="A24728" s="2">
        <v>24723</v>
      </c>
      <c r="B24728" s="11" t="str">
        <f>"01016046"</f>
        <v>01016046</v>
      </c>
    </row>
    <row r="24729" spans="1:2" x14ac:dyDescent="0.25">
      <c r="A24729" s="2">
        <v>24724</v>
      </c>
      <c r="B24729" s="11" t="str">
        <f>"01016064"</f>
        <v>01016064</v>
      </c>
    </row>
    <row r="24730" spans="1:2" x14ac:dyDescent="0.25">
      <c r="A24730" s="2">
        <v>24725</v>
      </c>
      <c r="B24730" s="11" t="str">
        <f>"01016067"</f>
        <v>01016067</v>
      </c>
    </row>
    <row r="24731" spans="1:2" x14ac:dyDescent="0.25">
      <c r="A24731" s="2">
        <v>24726</v>
      </c>
      <c r="B24731" s="11" t="str">
        <f>"01016072"</f>
        <v>01016072</v>
      </c>
    </row>
    <row r="24732" spans="1:2" x14ac:dyDescent="0.25">
      <c r="A24732" s="2">
        <v>24727</v>
      </c>
      <c r="B24732" s="11" t="str">
        <f>"01016079"</f>
        <v>01016079</v>
      </c>
    </row>
    <row r="24733" spans="1:2" x14ac:dyDescent="0.25">
      <c r="A24733" s="2">
        <v>24728</v>
      </c>
      <c r="B24733" s="11" t="str">
        <f>"01016096"</f>
        <v>01016096</v>
      </c>
    </row>
    <row r="24734" spans="1:2" x14ac:dyDescent="0.25">
      <c r="A24734" s="2">
        <v>24729</v>
      </c>
      <c r="B24734" s="11" t="str">
        <f>"01016103"</f>
        <v>01016103</v>
      </c>
    </row>
    <row r="24735" spans="1:2" x14ac:dyDescent="0.25">
      <c r="A24735" s="2">
        <v>24730</v>
      </c>
      <c r="B24735" s="11" t="str">
        <f>"01016106"</f>
        <v>01016106</v>
      </c>
    </row>
    <row r="24736" spans="1:2" x14ac:dyDescent="0.25">
      <c r="A24736" s="2">
        <v>24731</v>
      </c>
      <c r="B24736" s="11" t="str">
        <f>"01016170"</f>
        <v>01016170</v>
      </c>
    </row>
    <row r="24737" spans="1:2" x14ac:dyDescent="0.25">
      <c r="A24737" s="2">
        <v>24732</v>
      </c>
      <c r="B24737" s="11" t="str">
        <f>"01016186"</f>
        <v>01016186</v>
      </c>
    </row>
    <row r="24738" spans="1:2" x14ac:dyDescent="0.25">
      <c r="A24738" s="2">
        <v>24733</v>
      </c>
      <c r="B24738" s="11" t="str">
        <f>"01016197"</f>
        <v>01016197</v>
      </c>
    </row>
    <row r="24739" spans="1:2" x14ac:dyDescent="0.25">
      <c r="A24739" s="2">
        <v>24734</v>
      </c>
      <c r="B24739" s="11" t="str">
        <f>"01016209"</f>
        <v>01016209</v>
      </c>
    </row>
    <row r="24740" spans="1:2" x14ac:dyDescent="0.25">
      <c r="A24740" s="2">
        <v>24735</v>
      </c>
      <c r="B24740" s="11" t="str">
        <f>"01016230"</f>
        <v>01016230</v>
      </c>
    </row>
    <row r="24741" spans="1:2" x14ac:dyDescent="0.25">
      <c r="A24741" s="2">
        <v>24736</v>
      </c>
      <c r="B24741" s="11" t="str">
        <f>"01016249"</f>
        <v>01016249</v>
      </c>
    </row>
    <row r="24742" spans="1:2" x14ac:dyDescent="0.25">
      <c r="A24742" s="2">
        <v>24737</v>
      </c>
      <c r="B24742" s="11" t="str">
        <f>"01016276"</f>
        <v>01016276</v>
      </c>
    </row>
    <row r="24743" spans="1:2" x14ac:dyDescent="0.25">
      <c r="A24743" s="2">
        <v>24738</v>
      </c>
      <c r="B24743" s="11" t="str">
        <f>"01016284"</f>
        <v>01016284</v>
      </c>
    </row>
    <row r="24744" spans="1:2" x14ac:dyDescent="0.25">
      <c r="A24744" s="2">
        <v>24739</v>
      </c>
      <c r="B24744" s="11" t="str">
        <f>"01016285"</f>
        <v>01016285</v>
      </c>
    </row>
    <row r="24745" spans="1:2" x14ac:dyDescent="0.25">
      <c r="A24745" s="2">
        <v>24740</v>
      </c>
      <c r="B24745" s="11" t="str">
        <f>"01016292"</f>
        <v>01016292</v>
      </c>
    </row>
    <row r="24746" spans="1:2" x14ac:dyDescent="0.25">
      <c r="A24746" s="2">
        <v>24741</v>
      </c>
      <c r="B24746" s="11" t="str">
        <f>"01016312"</f>
        <v>01016312</v>
      </c>
    </row>
    <row r="24747" spans="1:2" x14ac:dyDescent="0.25">
      <c r="A24747" s="2">
        <v>24742</v>
      </c>
      <c r="B24747" s="11" t="str">
        <f>"01016315"</f>
        <v>01016315</v>
      </c>
    </row>
    <row r="24748" spans="1:2" x14ac:dyDescent="0.25">
      <c r="A24748" s="2">
        <v>24743</v>
      </c>
      <c r="B24748" s="11" t="str">
        <f>"01016321"</f>
        <v>01016321</v>
      </c>
    </row>
    <row r="24749" spans="1:2" x14ac:dyDescent="0.25">
      <c r="A24749" s="2">
        <v>24744</v>
      </c>
      <c r="B24749" s="11" t="str">
        <f>"01016325"</f>
        <v>01016325</v>
      </c>
    </row>
    <row r="24750" spans="1:2" x14ac:dyDescent="0.25">
      <c r="A24750" s="2">
        <v>24745</v>
      </c>
      <c r="B24750" s="11" t="str">
        <f>"01016343"</f>
        <v>01016343</v>
      </c>
    </row>
    <row r="24751" spans="1:2" x14ac:dyDescent="0.25">
      <c r="A24751" s="2">
        <v>24746</v>
      </c>
      <c r="B24751" s="11" t="str">
        <f>"01016363"</f>
        <v>01016363</v>
      </c>
    </row>
    <row r="24752" spans="1:2" x14ac:dyDescent="0.25">
      <c r="A24752" s="2">
        <v>24747</v>
      </c>
      <c r="B24752" s="11" t="str">
        <f>"01016380"</f>
        <v>01016380</v>
      </c>
    </row>
    <row r="24753" spans="1:2" x14ac:dyDescent="0.25">
      <c r="A24753" s="2">
        <v>24748</v>
      </c>
      <c r="B24753" s="11" t="str">
        <f>"01016381"</f>
        <v>01016381</v>
      </c>
    </row>
    <row r="24754" spans="1:2" x14ac:dyDescent="0.25">
      <c r="A24754" s="2">
        <v>24749</v>
      </c>
      <c r="B24754" s="11" t="str">
        <f>"01016415"</f>
        <v>01016415</v>
      </c>
    </row>
    <row r="24755" spans="1:2" x14ac:dyDescent="0.25">
      <c r="A24755" s="2">
        <v>24750</v>
      </c>
      <c r="B24755" s="11" t="str">
        <f>"01016418"</f>
        <v>01016418</v>
      </c>
    </row>
    <row r="24756" spans="1:2" x14ac:dyDescent="0.25">
      <c r="A24756" s="2">
        <v>24751</v>
      </c>
      <c r="B24756" s="11" t="str">
        <f>"01016422"</f>
        <v>01016422</v>
      </c>
    </row>
    <row r="24757" spans="1:2" x14ac:dyDescent="0.25">
      <c r="A24757" s="2">
        <v>24752</v>
      </c>
      <c r="B24757" s="11" t="str">
        <f>"01016441"</f>
        <v>01016441</v>
      </c>
    </row>
    <row r="24758" spans="1:2" x14ac:dyDescent="0.25">
      <c r="A24758" s="2">
        <v>24753</v>
      </c>
      <c r="B24758" s="11" t="str">
        <f>"01016444"</f>
        <v>01016444</v>
      </c>
    </row>
    <row r="24759" spans="1:2" x14ac:dyDescent="0.25">
      <c r="A24759" s="2">
        <v>24754</v>
      </c>
      <c r="B24759" s="11" t="str">
        <f>"01016461"</f>
        <v>01016461</v>
      </c>
    </row>
    <row r="24760" spans="1:2" x14ac:dyDescent="0.25">
      <c r="A24760" s="2">
        <v>24755</v>
      </c>
      <c r="B24760" s="11" t="str">
        <f>"01016471"</f>
        <v>01016471</v>
      </c>
    </row>
    <row r="24761" spans="1:2" x14ac:dyDescent="0.25">
      <c r="A24761" s="2">
        <v>24756</v>
      </c>
      <c r="B24761" s="11" t="str">
        <f>"01016472"</f>
        <v>01016472</v>
      </c>
    </row>
    <row r="24762" spans="1:2" x14ac:dyDescent="0.25">
      <c r="A24762" s="2">
        <v>24757</v>
      </c>
      <c r="B24762" s="11" t="str">
        <f>"01016476"</f>
        <v>01016476</v>
      </c>
    </row>
    <row r="24763" spans="1:2" x14ac:dyDescent="0.25">
      <c r="A24763" s="2">
        <v>24758</v>
      </c>
      <c r="B24763" s="11" t="str">
        <f>"01016488"</f>
        <v>01016488</v>
      </c>
    </row>
    <row r="24764" spans="1:2" x14ac:dyDescent="0.25">
      <c r="A24764" s="2">
        <v>24759</v>
      </c>
      <c r="B24764" s="11" t="str">
        <f>"01016501"</f>
        <v>01016501</v>
      </c>
    </row>
    <row r="24765" spans="1:2" x14ac:dyDescent="0.25">
      <c r="A24765" s="2">
        <v>24760</v>
      </c>
      <c r="B24765" s="11" t="str">
        <f>"01016503"</f>
        <v>01016503</v>
      </c>
    </row>
    <row r="24766" spans="1:2" x14ac:dyDescent="0.25">
      <c r="A24766" s="2">
        <v>24761</v>
      </c>
      <c r="B24766" s="11" t="str">
        <f>"01016517"</f>
        <v>01016517</v>
      </c>
    </row>
    <row r="24767" spans="1:2" x14ac:dyDescent="0.25">
      <c r="A24767" s="2">
        <v>24762</v>
      </c>
      <c r="B24767" s="11" t="str">
        <f>"01016519"</f>
        <v>01016519</v>
      </c>
    </row>
    <row r="24768" spans="1:2" x14ac:dyDescent="0.25">
      <c r="A24768" s="2">
        <v>24763</v>
      </c>
      <c r="B24768" s="11" t="str">
        <f>"01016520"</f>
        <v>01016520</v>
      </c>
    </row>
    <row r="24769" spans="1:2" x14ac:dyDescent="0.25">
      <c r="A24769" s="2">
        <v>24764</v>
      </c>
      <c r="B24769" s="11" t="str">
        <f>"01016525"</f>
        <v>01016525</v>
      </c>
    </row>
    <row r="24770" spans="1:2" x14ac:dyDescent="0.25">
      <c r="A24770" s="2">
        <v>24765</v>
      </c>
      <c r="B24770" s="11" t="str">
        <f>"01016531"</f>
        <v>01016531</v>
      </c>
    </row>
    <row r="24771" spans="1:2" x14ac:dyDescent="0.25">
      <c r="A24771" s="2">
        <v>24766</v>
      </c>
      <c r="B24771" s="11" t="str">
        <f>"01016541"</f>
        <v>01016541</v>
      </c>
    </row>
    <row r="24772" spans="1:2" x14ac:dyDescent="0.25">
      <c r="A24772" s="2">
        <v>24767</v>
      </c>
      <c r="B24772" s="11" t="str">
        <f>"01016550"</f>
        <v>01016550</v>
      </c>
    </row>
    <row r="24773" spans="1:2" x14ac:dyDescent="0.25">
      <c r="A24773" s="2">
        <v>24768</v>
      </c>
      <c r="B24773" s="11" t="str">
        <f>"01016553"</f>
        <v>01016553</v>
      </c>
    </row>
    <row r="24774" spans="1:2" x14ac:dyDescent="0.25">
      <c r="A24774" s="2">
        <v>24769</v>
      </c>
      <c r="B24774" s="11" t="str">
        <f>"01016569"</f>
        <v>01016569</v>
      </c>
    </row>
    <row r="24775" spans="1:2" x14ac:dyDescent="0.25">
      <c r="A24775" s="2">
        <v>24770</v>
      </c>
      <c r="B24775" s="11" t="str">
        <f>"01016592"</f>
        <v>01016592</v>
      </c>
    </row>
    <row r="24776" spans="1:2" x14ac:dyDescent="0.25">
      <c r="A24776" s="2">
        <v>24771</v>
      </c>
      <c r="B24776" s="11" t="str">
        <f>"01016602"</f>
        <v>01016602</v>
      </c>
    </row>
    <row r="24777" spans="1:2" x14ac:dyDescent="0.25">
      <c r="A24777" s="2">
        <v>24772</v>
      </c>
      <c r="B24777" s="11" t="str">
        <f>"01016643"</f>
        <v>01016643</v>
      </c>
    </row>
    <row r="24778" spans="1:2" x14ac:dyDescent="0.25">
      <c r="A24778" s="2">
        <v>24773</v>
      </c>
      <c r="B24778" s="11" t="str">
        <f>"01016663"</f>
        <v>01016663</v>
      </c>
    </row>
    <row r="24779" spans="1:2" x14ac:dyDescent="0.25">
      <c r="A24779" s="2">
        <v>24774</v>
      </c>
      <c r="B24779" s="11" t="str">
        <f>"01016677"</f>
        <v>01016677</v>
      </c>
    </row>
    <row r="24780" spans="1:2" x14ac:dyDescent="0.25">
      <c r="A24780" s="2">
        <v>24775</v>
      </c>
      <c r="B24780" s="11" t="str">
        <f>"01016702"</f>
        <v>01016702</v>
      </c>
    </row>
    <row r="24781" spans="1:2" x14ac:dyDescent="0.25">
      <c r="A24781" s="2">
        <v>24776</v>
      </c>
      <c r="B24781" s="11" t="str">
        <f>"01016707"</f>
        <v>01016707</v>
      </c>
    </row>
    <row r="24782" spans="1:2" x14ac:dyDescent="0.25">
      <c r="A24782" s="2">
        <v>24777</v>
      </c>
      <c r="B24782" s="11" t="str">
        <f>"01016726"</f>
        <v>01016726</v>
      </c>
    </row>
    <row r="24783" spans="1:2" x14ac:dyDescent="0.25">
      <c r="A24783" s="2">
        <v>24778</v>
      </c>
      <c r="B24783" s="11" t="str">
        <f>"01016728"</f>
        <v>01016728</v>
      </c>
    </row>
    <row r="24784" spans="1:2" x14ac:dyDescent="0.25">
      <c r="A24784" s="2">
        <v>24779</v>
      </c>
      <c r="B24784" s="11" t="str">
        <f>"01016746"</f>
        <v>01016746</v>
      </c>
    </row>
    <row r="24785" spans="1:2" x14ac:dyDescent="0.25">
      <c r="A24785" s="2">
        <v>24780</v>
      </c>
      <c r="B24785" s="11" t="str">
        <f>"01016752"</f>
        <v>01016752</v>
      </c>
    </row>
    <row r="24786" spans="1:2" x14ac:dyDescent="0.25">
      <c r="A24786" s="2">
        <v>24781</v>
      </c>
      <c r="B24786" s="11" t="str">
        <f>"01016774"</f>
        <v>01016774</v>
      </c>
    </row>
    <row r="24787" spans="1:2" x14ac:dyDescent="0.25">
      <c r="A24787" s="2">
        <v>24782</v>
      </c>
      <c r="B24787" s="11" t="str">
        <f>"01016810"</f>
        <v>01016810</v>
      </c>
    </row>
    <row r="24788" spans="1:2" x14ac:dyDescent="0.25">
      <c r="A24788" s="2">
        <v>24783</v>
      </c>
      <c r="B24788" s="11" t="str">
        <f>"01016814"</f>
        <v>01016814</v>
      </c>
    </row>
    <row r="24789" spans="1:2" x14ac:dyDescent="0.25">
      <c r="A24789" s="2">
        <v>24784</v>
      </c>
      <c r="B24789" s="11" t="str">
        <f>"01016837"</f>
        <v>01016837</v>
      </c>
    </row>
    <row r="24790" spans="1:2" x14ac:dyDescent="0.25">
      <c r="A24790" s="2">
        <v>24785</v>
      </c>
      <c r="B24790" s="11" t="str">
        <f>"01016846"</f>
        <v>01016846</v>
      </c>
    </row>
    <row r="24791" spans="1:2" x14ac:dyDescent="0.25">
      <c r="A24791" s="2">
        <v>24786</v>
      </c>
      <c r="B24791" s="11" t="str">
        <f>"01016862"</f>
        <v>01016862</v>
      </c>
    </row>
    <row r="24792" spans="1:2" x14ac:dyDescent="0.25">
      <c r="A24792" s="2">
        <v>24787</v>
      </c>
      <c r="B24792" s="11" t="str">
        <f>"01016863"</f>
        <v>01016863</v>
      </c>
    </row>
    <row r="24793" spans="1:2" x14ac:dyDescent="0.25">
      <c r="A24793" s="2">
        <v>24788</v>
      </c>
      <c r="B24793" s="11" t="str">
        <f>"01016899"</f>
        <v>01016899</v>
      </c>
    </row>
    <row r="24794" spans="1:2" x14ac:dyDescent="0.25">
      <c r="A24794" s="2">
        <v>24789</v>
      </c>
      <c r="B24794" s="11" t="str">
        <f>"01016918"</f>
        <v>01016918</v>
      </c>
    </row>
    <row r="24795" spans="1:2" x14ac:dyDescent="0.25">
      <c r="A24795" s="2">
        <v>24790</v>
      </c>
      <c r="B24795" s="11" t="str">
        <f>"01016921"</f>
        <v>01016921</v>
      </c>
    </row>
    <row r="24796" spans="1:2" x14ac:dyDescent="0.25">
      <c r="A24796" s="2">
        <v>24791</v>
      </c>
      <c r="B24796" s="11" t="str">
        <f>"01016963"</f>
        <v>01016963</v>
      </c>
    </row>
    <row r="24797" spans="1:2" x14ac:dyDescent="0.25">
      <c r="A24797" s="2">
        <v>24792</v>
      </c>
      <c r="B24797" s="11" t="str">
        <f>"01016978"</f>
        <v>01016978</v>
      </c>
    </row>
    <row r="24798" spans="1:2" x14ac:dyDescent="0.25">
      <c r="A24798" s="2">
        <v>24793</v>
      </c>
      <c r="B24798" s="11" t="str">
        <f>"01016990"</f>
        <v>01016990</v>
      </c>
    </row>
    <row r="24799" spans="1:2" x14ac:dyDescent="0.25">
      <c r="A24799" s="2">
        <v>24794</v>
      </c>
      <c r="B24799" s="11" t="str">
        <f>"01016996"</f>
        <v>01016996</v>
      </c>
    </row>
    <row r="24800" spans="1:2" x14ac:dyDescent="0.25">
      <c r="A24800" s="2">
        <v>24795</v>
      </c>
      <c r="B24800" s="11" t="str">
        <f>"01017017"</f>
        <v>01017017</v>
      </c>
    </row>
    <row r="24801" spans="1:2" x14ac:dyDescent="0.25">
      <c r="A24801" s="2">
        <v>24796</v>
      </c>
      <c r="B24801" s="11" t="str">
        <f>"01017038"</f>
        <v>01017038</v>
      </c>
    </row>
    <row r="24802" spans="1:2" x14ac:dyDescent="0.25">
      <c r="A24802" s="2">
        <v>24797</v>
      </c>
      <c r="B24802" s="11" t="str">
        <f>"01017050"</f>
        <v>01017050</v>
      </c>
    </row>
    <row r="24803" spans="1:2" x14ac:dyDescent="0.25">
      <c r="A24803" s="2">
        <v>24798</v>
      </c>
      <c r="B24803" s="11" t="str">
        <f>"01017058"</f>
        <v>01017058</v>
      </c>
    </row>
    <row r="24804" spans="1:2" x14ac:dyDescent="0.25">
      <c r="A24804" s="2">
        <v>24799</v>
      </c>
      <c r="B24804" s="11" t="str">
        <f>"01017063"</f>
        <v>01017063</v>
      </c>
    </row>
    <row r="24805" spans="1:2" x14ac:dyDescent="0.25">
      <c r="A24805" s="2">
        <v>24800</v>
      </c>
      <c r="B24805" s="11" t="str">
        <f>"01017067"</f>
        <v>01017067</v>
      </c>
    </row>
    <row r="24806" spans="1:2" x14ac:dyDescent="0.25">
      <c r="A24806" s="2">
        <v>24801</v>
      </c>
      <c r="B24806" s="11" t="str">
        <f>"01017071"</f>
        <v>01017071</v>
      </c>
    </row>
    <row r="24807" spans="1:2" x14ac:dyDescent="0.25">
      <c r="A24807" s="2">
        <v>24802</v>
      </c>
      <c r="B24807" s="11" t="str">
        <f>"01017110"</f>
        <v>01017110</v>
      </c>
    </row>
    <row r="24808" spans="1:2" x14ac:dyDescent="0.25">
      <c r="A24808" s="2">
        <v>24803</v>
      </c>
      <c r="B24808" s="11" t="str">
        <f>"01017171"</f>
        <v>01017171</v>
      </c>
    </row>
    <row r="24809" spans="1:2" x14ac:dyDescent="0.25">
      <c r="A24809" s="2">
        <v>24804</v>
      </c>
      <c r="B24809" s="11" t="str">
        <f>"01017172"</f>
        <v>01017172</v>
      </c>
    </row>
    <row r="24810" spans="1:2" x14ac:dyDescent="0.25">
      <c r="A24810" s="2">
        <v>24805</v>
      </c>
      <c r="B24810" s="11" t="str">
        <f>"01017174"</f>
        <v>01017174</v>
      </c>
    </row>
    <row r="24811" spans="1:2" x14ac:dyDescent="0.25">
      <c r="A24811" s="2">
        <v>24806</v>
      </c>
      <c r="B24811" s="11" t="str">
        <f>"01017192"</f>
        <v>01017192</v>
      </c>
    </row>
    <row r="24812" spans="1:2" x14ac:dyDescent="0.25">
      <c r="A24812" s="2">
        <v>24807</v>
      </c>
      <c r="B24812" s="11" t="str">
        <f>"01017206"</f>
        <v>01017206</v>
      </c>
    </row>
    <row r="24813" spans="1:2" x14ac:dyDescent="0.25">
      <c r="A24813" s="2">
        <v>24808</v>
      </c>
      <c r="B24813" s="11" t="str">
        <f>"01017213"</f>
        <v>01017213</v>
      </c>
    </row>
    <row r="24814" spans="1:2" x14ac:dyDescent="0.25">
      <c r="A24814" s="2">
        <v>24809</v>
      </c>
      <c r="B24814" s="11" t="str">
        <f>"01017215"</f>
        <v>01017215</v>
      </c>
    </row>
    <row r="24815" spans="1:2" x14ac:dyDescent="0.25">
      <c r="A24815" s="2">
        <v>24810</v>
      </c>
      <c r="B24815" s="11" t="str">
        <f>"01017248"</f>
        <v>01017248</v>
      </c>
    </row>
    <row r="24816" spans="1:2" x14ac:dyDescent="0.25">
      <c r="A24816" s="2">
        <v>24811</v>
      </c>
      <c r="B24816" s="11" t="str">
        <f>"01017251"</f>
        <v>01017251</v>
      </c>
    </row>
    <row r="24817" spans="1:2" x14ac:dyDescent="0.25">
      <c r="A24817" s="2">
        <v>24812</v>
      </c>
      <c r="B24817" s="11" t="str">
        <f>"01017275"</f>
        <v>01017275</v>
      </c>
    </row>
    <row r="24818" spans="1:2" x14ac:dyDescent="0.25">
      <c r="A24818" s="2">
        <v>24813</v>
      </c>
      <c r="B24818" s="11" t="str">
        <f>"01017320"</f>
        <v>01017320</v>
      </c>
    </row>
    <row r="24819" spans="1:2" x14ac:dyDescent="0.25">
      <c r="A24819" s="2">
        <v>24814</v>
      </c>
      <c r="B24819" s="11" t="str">
        <f>"01017331"</f>
        <v>01017331</v>
      </c>
    </row>
    <row r="24820" spans="1:2" x14ac:dyDescent="0.25">
      <c r="A24820" s="2">
        <v>24815</v>
      </c>
      <c r="B24820" s="11" t="str">
        <f>"01017360"</f>
        <v>01017360</v>
      </c>
    </row>
    <row r="24821" spans="1:2" x14ac:dyDescent="0.25">
      <c r="A24821" s="2">
        <v>24816</v>
      </c>
      <c r="B24821" s="11" t="str">
        <f>"01017370"</f>
        <v>01017370</v>
      </c>
    </row>
    <row r="24822" spans="1:2" x14ac:dyDescent="0.25">
      <c r="A24822" s="2">
        <v>24817</v>
      </c>
      <c r="B24822" s="11" t="str">
        <f>"01017411"</f>
        <v>01017411</v>
      </c>
    </row>
    <row r="24823" spans="1:2" x14ac:dyDescent="0.25">
      <c r="A24823" s="2">
        <v>24818</v>
      </c>
      <c r="B24823" s="11" t="str">
        <f>"01017440"</f>
        <v>01017440</v>
      </c>
    </row>
    <row r="24824" spans="1:2" x14ac:dyDescent="0.25">
      <c r="A24824" s="2">
        <v>24819</v>
      </c>
      <c r="B24824" s="11" t="str">
        <f>"01017495"</f>
        <v>01017495</v>
      </c>
    </row>
    <row r="24825" spans="1:2" x14ac:dyDescent="0.25">
      <c r="A24825" s="2">
        <v>24820</v>
      </c>
      <c r="B24825" s="11" t="str">
        <f>"01017505"</f>
        <v>01017505</v>
      </c>
    </row>
    <row r="24826" spans="1:2" x14ac:dyDescent="0.25">
      <c r="A24826" s="2">
        <v>24821</v>
      </c>
      <c r="B24826" s="11" t="str">
        <f>"01017515"</f>
        <v>01017515</v>
      </c>
    </row>
    <row r="24827" spans="1:2" x14ac:dyDescent="0.25">
      <c r="A24827" s="2">
        <v>24822</v>
      </c>
      <c r="B24827" s="11" t="str">
        <f>"01017566"</f>
        <v>01017566</v>
      </c>
    </row>
    <row r="24828" spans="1:2" x14ac:dyDescent="0.25">
      <c r="A24828" s="2">
        <v>24823</v>
      </c>
      <c r="B24828" s="11" t="str">
        <f>"01017596"</f>
        <v>01017596</v>
      </c>
    </row>
    <row r="24829" spans="1:2" x14ac:dyDescent="0.25">
      <c r="A24829" s="2">
        <v>24824</v>
      </c>
      <c r="B24829" s="11" t="str">
        <f>"01017612"</f>
        <v>01017612</v>
      </c>
    </row>
    <row r="24830" spans="1:2" x14ac:dyDescent="0.25">
      <c r="A24830" s="2">
        <v>24825</v>
      </c>
      <c r="B24830" s="11" t="str">
        <f>"01017646"</f>
        <v>01017646</v>
      </c>
    </row>
    <row r="24831" spans="1:2" x14ac:dyDescent="0.25">
      <c r="A24831" s="2">
        <v>24826</v>
      </c>
      <c r="B24831" s="11" t="str">
        <f>"01017680"</f>
        <v>01017680</v>
      </c>
    </row>
    <row r="24832" spans="1:2" x14ac:dyDescent="0.25">
      <c r="A24832" s="2">
        <v>24827</v>
      </c>
      <c r="B24832" s="11" t="str">
        <f>"01017694"</f>
        <v>01017694</v>
      </c>
    </row>
    <row r="24833" spans="1:2" x14ac:dyDescent="0.25">
      <c r="A24833" s="2">
        <v>24828</v>
      </c>
      <c r="B24833" s="11" t="str">
        <f>"01017878"</f>
        <v>01017878</v>
      </c>
    </row>
    <row r="24834" spans="1:2" x14ac:dyDescent="0.25">
      <c r="A24834" s="2">
        <v>24829</v>
      </c>
      <c r="B24834" s="11" t="str">
        <f>"01017894"</f>
        <v>01017894</v>
      </c>
    </row>
    <row r="24835" spans="1:2" x14ac:dyDescent="0.25">
      <c r="A24835" s="2">
        <v>24830</v>
      </c>
      <c r="B24835" s="11" t="str">
        <f>"01017905"</f>
        <v>01017905</v>
      </c>
    </row>
    <row r="24836" spans="1:2" x14ac:dyDescent="0.25">
      <c r="A24836" s="2">
        <v>24831</v>
      </c>
      <c r="B24836" s="11" t="str">
        <f>"01017910"</f>
        <v>01017910</v>
      </c>
    </row>
    <row r="24837" spans="1:2" x14ac:dyDescent="0.25">
      <c r="A24837" s="2">
        <v>24832</v>
      </c>
      <c r="B24837" s="11" t="str">
        <f>"01017943"</f>
        <v>01017943</v>
      </c>
    </row>
    <row r="24838" spans="1:2" x14ac:dyDescent="0.25">
      <c r="A24838" s="2">
        <v>24833</v>
      </c>
      <c r="B24838" s="11" t="str">
        <f>"01017952"</f>
        <v>01017952</v>
      </c>
    </row>
    <row r="24839" spans="1:2" x14ac:dyDescent="0.25">
      <c r="A24839" s="2">
        <v>24834</v>
      </c>
      <c r="B24839" s="11" t="str">
        <f>"01017971"</f>
        <v>01017971</v>
      </c>
    </row>
    <row r="24840" spans="1:2" x14ac:dyDescent="0.25">
      <c r="A24840" s="2">
        <v>24835</v>
      </c>
      <c r="B24840" s="11" t="str">
        <f>"01017997"</f>
        <v>01017997</v>
      </c>
    </row>
    <row r="24841" spans="1:2" x14ac:dyDescent="0.25">
      <c r="A24841" s="2">
        <v>24836</v>
      </c>
      <c r="B24841" s="11" t="str">
        <f>"01018120"</f>
        <v>01018120</v>
      </c>
    </row>
    <row r="24842" spans="1:2" x14ac:dyDescent="0.25">
      <c r="A24842" s="2">
        <v>24837</v>
      </c>
      <c r="B24842" s="11" t="str">
        <f>"01018124"</f>
        <v>01018124</v>
      </c>
    </row>
    <row r="24843" spans="1:2" x14ac:dyDescent="0.25">
      <c r="A24843" s="2">
        <v>24838</v>
      </c>
      <c r="B24843" s="11" t="str">
        <f>"01018141"</f>
        <v>01018141</v>
      </c>
    </row>
    <row r="24844" spans="1:2" x14ac:dyDescent="0.25">
      <c r="A24844" s="2">
        <v>24839</v>
      </c>
      <c r="B24844" s="11" t="str">
        <f>"01018163"</f>
        <v>01018163</v>
      </c>
    </row>
    <row r="24845" spans="1:2" x14ac:dyDescent="0.25">
      <c r="A24845" s="2">
        <v>24840</v>
      </c>
      <c r="B24845" s="11" t="str">
        <f>"01018168"</f>
        <v>01018168</v>
      </c>
    </row>
    <row r="24846" spans="1:2" x14ac:dyDescent="0.25">
      <c r="A24846" s="2">
        <v>24841</v>
      </c>
      <c r="B24846" s="11" t="str">
        <f>"01018250"</f>
        <v>01018250</v>
      </c>
    </row>
    <row r="24847" spans="1:2" x14ac:dyDescent="0.25">
      <c r="A24847" s="2">
        <v>24842</v>
      </c>
      <c r="B24847" s="11" t="str">
        <f>"01018260"</f>
        <v>01018260</v>
      </c>
    </row>
    <row r="24848" spans="1:2" x14ac:dyDescent="0.25">
      <c r="A24848" s="2">
        <v>24843</v>
      </c>
      <c r="B24848" s="11" t="str">
        <f>"01018295"</f>
        <v>01018295</v>
      </c>
    </row>
    <row r="24849" spans="1:2" x14ac:dyDescent="0.25">
      <c r="A24849" s="2">
        <v>24844</v>
      </c>
      <c r="B24849" s="11" t="str">
        <f>"01018296"</f>
        <v>01018296</v>
      </c>
    </row>
    <row r="24850" spans="1:2" x14ac:dyDescent="0.25">
      <c r="A24850" s="2">
        <v>24845</v>
      </c>
      <c r="B24850" s="11" t="str">
        <f>"01018309"</f>
        <v>01018309</v>
      </c>
    </row>
    <row r="24851" spans="1:2" x14ac:dyDescent="0.25">
      <c r="A24851" s="2">
        <v>24846</v>
      </c>
      <c r="B24851" s="11" t="str">
        <f>"01018334"</f>
        <v>01018334</v>
      </c>
    </row>
    <row r="24852" spans="1:2" x14ac:dyDescent="0.25">
      <c r="A24852" s="2">
        <v>24847</v>
      </c>
      <c r="B24852" s="11" t="str">
        <f>"01018381"</f>
        <v>01018381</v>
      </c>
    </row>
    <row r="24853" spans="1:2" x14ac:dyDescent="0.25">
      <c r="A24853" s="2">
        <v>24848</v>
      </c>
      <c r="B24853" s="11" t="str">
        <f>"01018382"</f>
        <v>01018382</v>
      </c>
    </row>
    <row r="24854" spans="1:2" x14ac:dyDescent="0.25">
      <c r="A24854" s="2">
        <v>24849</v>
      </c>
      <c r="B24854" s="11" t="str">
        <f>"01018385"</f>
        <v>01018385</v>
      </c>
    </row>
    <row r="24855" spans="1:2" x14ac:dyDescent="0.25">
      <c r="A24855" s="2">
        <v>24850</v>
      </c>
      <c r="B24855" s="11" t="str">
        <f>"01018403"</f>
        <v>01018403</v>
      </c>
    </row>
    <row r="24856" spans="1:2" x14ac:dyDescent="0.25">
      <c r="A24856" s="2">
        <v>24851</v>
      </c>
      <c r="B24856" s="11" t="str">
        <f>"01018416"</f>
        <v>01018416</v>
      </c>
    </row>
    <row r="24857" spans="1:2" x14ac:dyDescent="0.25">
      <c r="A24857" s="2">
        <v>24852</v>
      </c>
      <c r="B24857" s="11" t="str">
        <f>"01018434"</f>
        <v>01018434</v>
      </c>
    </row>
    <row r="24858" spans="1:2" x14ac:dyDescent="0.25">
      <c r="A24858" s="2">
        <v>24853</v>
      </c>
      <c r="B24858" s="11" t="str">
        <f>"01018453"</f>
        <v>01018453</v>
      </c>
    </row>
    <row r="24859" spans="1:2" x14ac:dyDescent="0.25">
      <c r="A24859" s="2">
        <v>24854</v>
      </c>
      <c r="B24859" s="11" t="str">
        <f>"01018562"</f>
        <v>01018562</v>
      </c>
    </row>
    <row r="24860" spans="1:2" x14ac:dyDescent="0.25">
      <c r="A24860" s="2">
        <v>24855</v>
      </c>
      <c r="B24860" s="11" t="str">
        <f>"01018593"</f>
        <v>01018593</v>
      </c>
    </row>
    <row r="24861" spans="1:2" x14ac:dyDescent="0.25">
      <c r="A24861" s="2">
        <v>24856</v>
      </c>
      <c r="B24861" s="11" t="str">
        <f>"01018636"</f>
        <v>01018636</v>
      </c>
    </row>
    <row r="24862" spans="1:2" x14ac:dyDescent="0.25">
      <c r="A24862" s="2">
        <v>24857</v>
      </c>
      <c r="B24862" s="11" t="str">
        <f>"01018657"</f>
        <v>01018657</v>
      </c>
    </row>
    <row r="24863" spans="1:2" x14ac:dyDescent="0.25">
      <c r="A24863" s="2">
        <v>24858</v>
      </c>
      <c r="B24863" s="11" t="str">
        <f>"01018682"</f>
        <v>01018682</v>
      </c>
    </row>
    <row r="24864" spans="1:2" x14ac:dyDescent="0.25">
      <c r="A24864" s="2">
        <v>24859</v>
      </c>
      <c r="B24864" s="11" t="str">
        <f>"01018695"</f>
        <v>01018695</v>
      </c>
    </row>
    <row r="24865" spans="1:2" x14ac:dyDescent="0.25">
      <c r="A24865" s="2">
        <v>24860</v>
      </c>
      <c r="B24865" s="11" t="str">
        <f>"01018707"</f>
        <v>01018707</v>
      </c>
    </row>
    <row r="24866" spans="1:2" x14ac:dyDescent="0.25">
      <c r="A24866" s="2">
        <v>24861</v>
      </c>
      <c r="B24866" s="11" t="str">
        <f>"01018712"</f>
        <v>01018712</v>
      </c>
    </row>
    <row r="24867" spans="1:2" x14ac:dyDescent="0.25">
      <c r="A24867" s="2">
        <v>24862</v>
      </c>
      <c r="B24867" s="11" t="str">
        <f>"01018745"</f>
        <v>01018745</v>
      </c>
    </row>
    <row r="24868" spans="1:2" x14ac:dyDescent="0.25">
      <c r="A24868" s="2">
        <v>24863</v>
      </c>
      <c r="B24868" s="11" t="str">
        <f>"01018907"</f>
        <v>01018907</v>
      </c>
    </row>
    <row r="24869" spans="1:2" x14ac:dyDescent="0.25">
      <c r="A24869" s="2">
        <v>24864</v>
      </c>
      <c r="B24869" s="11" t="str">
        <f>"01018928"</f>
        <v>01018928</v>
      </c>
    </row>
    <row r="24870" spans="1:2" x14ac:dyDescent="0.25">
      <c r="A24870" s="2">
        <v>24865</v>
      </c>
      <c r="B24870" s="11" t="str">
        <f>"01018940"</f>
        <v>01018940</v>
      </c>
    </row>
    <row r="24871" spans="1:2" x14ac:dyDescent="0.25">
      <c r="A24871" s="2">
        <v>24866</v>
      </c>
      <c r="B24871" s="11" t="str">
        <f>"01018996"</f>
        <v>01018996</v>
      </c>
    </row>
    <row r="24872" spans="1:2" x14ac:dyDescent="0.25">
      <c r="A24872" s="2">
        <v>24867</v>
      </c>
      <c r="B24872" s="11" t="str">
        <f>"01018998"</f>
        <v>01018998</v>
      </c>
    </row>
    <row r="24873" spans="1:2" x14ac:dyDescent="0.25">
      <c r="A24873" s="2">
        <v>24868</v>
      </c>
      <c r="B24873" s="11" t="str">
        <f>"01019029"</f>
        <v>01019029</v>
      </c>
    </row>
    <row r="24874" spans="1:2" x14ac:dyDescent="0.25">
      <c r="A24874" s="2">
        <v>24869</v>
      </c>
      <c r="B24874" s="11" t="str">
        <f>"01019041"</f>
        <v>01019041</v>
      </c>
    </row>
    <row r="24875" spans="1:2" x14ac:dyDescent="0.25">
      <c r="A24875" s="2">
        <v>24870</v>
      </c>
      <c r="B24875" s="11" t="str">
        <f>"01019045"</f>
        <v>01019045</v>
      </c>
    </row>
    <row r="24876" spans="1:2" x14ac:dyDescent="0.25">
      <c r="A24876" s="2">
        <v>24871</v>
      </c>
      <c r="B24876" s="11" t="str">
        <f>"01019054"</f>
        <v>01019054</v>
      </c>
    </row>
    <row r="24877" spans="1:2" x14ac:dyDescent="0.25">
      <c r="A24877" s="2">
        <v>24872</v>
      </c>
      <c r="B24877" s="11" t="str">
        <f>"01019117"</f>
        <v>01019117</v>
      </c>
    </row>
    <row r="24878" spans="1:2" x14ac:dyDescent="0.25">
      <c r="A24878" s="2">
        <v>24873</v>
      </c>
      <c r="B24878" s="11" t="str">
        <f>"01019127"</f>
        <v>01019127</v>
      </c>
    </row>
    <row r="24879" spans="1:2" x14ac:dyDescent="0.25">
      <c r="A24879" s="2">
        <v>24874</v>
      </c>
      <c r="B24879" s="11" t="str">
        <f>"01019135"</f>
        <v>01019135</v>
      </c>
    </row>
    <row r="24880" spans="1:2" x14ac:dyDescent="0.25">
      <c r="A24880" s="2">
        <v>24875</v>
      </c>
      <c r="B24880" s="11" t="str">
        <f>"01019136"</f>
        <v>01019136</v>
      </c>
    </row>
    <row r="24881" spans="1:2" x14ac:dyDescent="0.25">
      <c r="A24881" s="2">
        <v>24876</v>
      </c>
      <c r="B24881" s="11" t="str">
        <f>"01019200"</f>
        <v>01019200</v>
      </c>
    </row>
    <row r="24882" spans="1:2" x14ac:dyDescent="0.25">
      <c r="A24882" s="2">
        <v>24877</v>
      </c>
      <c r="B24882" s="11" t="str">
        <f>"01019241"</f>
        <v>01019241</v>
      </c>
    </row>
    <row r="24883" spans="1:2" x14ac:dyDescent="0.25">
      <c r="A24883" s="2">
        <v>24878</v>
      </c>
      <c r="B24883" s="11" t="str">
        <f>"01019259"</f>
        <v>01019259</v>
      </c>
    </row>
    <row r="24884" spans="1:2" x14ac:dyDescent="0.25">
      <c r="A24884" s="2">
        <v>24879</v>
      </c>
      <c r="B24884" s="11" t="str">
        <f>"01019260"</f>
        <v>01019260</v>
      </c>
    </row>
    <row r="24885" spans="1:2" x14ac:dyDescent="0.25">
      <c r="A24885" s="2">
        <v>24880</v>
      </c>
      <c r="B24885" s="11" t="str">
        <f>"01019263"</f>
        <v>01019263</v>
      </c>
    </row>
    <row r="24886" spans="1:2" x14ac:dyDescent="0.25">
      <c r="A24886" s="2">
        <v>24881</v>
      </c>
      <c r="B24886" s="11" t="str">
        <f>"01019264"</f>
        <v>01019264</v>
      </c>
    </row>
    <row r="24887" spans="1:2" x14ac:dyDescent="0.25">
      <c r="A24887" s="2">
        <v>24882</v>
      </c>
      <c r="B24887" s="11" t="str">
        <f>"01019308"</f>
        <v>01019308</v>
      </c>
    </row>
    <row r="24888" spans="1:2" x14ac:dyDescent="0.25">
      <c r="A24888" s="2">
        <v>24883</v>
      </c>
      <c r="B24888" s="11" t="str">
        <f>"01019309"</f>
        <v>01019309</v>
      </c>
    </row>
    <row r="24889" spans="1:2" x14ac:dyDescent="0.25">
      <c r="A24889" s="2">
        <v>24884</v>
      </c>
      <c r="B24889" s="11" t="str">
        <f>"01019365"</f>
        <v>01019365</v>
      </c>
    </row>
    <row r="24890" spans="1:2" x14ac:dyDescent="0.25">
      <c r="A24890" s="2">
        <v>24885</v>
      </c>
      <c r="B24890" s="11" t="str">
        <f>"01019399"</f>
        <v>01019399</v>
      </c>
    </row>
    <row r="24891" spans="1:2" x14ac:dyDescent="0.25">
      <c r="A24891" s="2">
        <v>24886</v>
      </c>
      <c r="B24891" s="11" t="str">
        <f>"01019423"</f>
        <v>01019423</v>
      </c>
    </row>
    <row r="24892" spans="1:2" x14ac:dyDescent="0.25">
      <c r="A24892" s="2">
        <v>24887</v>
      </c>
      <c r="B24892" s="11" t="str">
        <f>"01019429"</f>
        <v>01019429</v>
      </c>
    </row>
    <row r="24893" spans="1:2" x14ac:dyDescent="0.25">
      <c r="A24893" s="2">
        <v>24888</v>
      </c>
      <c r="B24893" s="11" t="str">
        <f>"01019441"</f>
        <v>01019441</v>
      </c>
    </row>
    <row r="24894" spans="1:2" x14ac:dyDescent="0.25">
      <c r="A24894" s="2">
        <v>24889</v>
      </c>
      <c r="B24894" s="11" t="str">
        <f>"01019454"</f>
        <v>01019454</v>
      </c>
    </row>
    <row r="24895" spans="1:2" x14ac:dyDescent="0.25">
      <c r="A24895" s="2">
        <v>24890</v>
      </c>
      <c r="B24895" s="11" t="str">
        <f>"01019473"</f>
        <v>01019473</v>
      </c>
    </row>
    <row r="24896" spans="1:2" x14ac:dyDescent="0.25">
      <c r="A24896" s="2">
        <v>24891</v>
      </c>
      <c r="B24896" s="11" t="str">
        <f>"01019474"</f>
        <v>01019474</v>
      </c>
    </row>
    <row r="24897" spans="1:2" x14ac:dyDescent="0.25">
      <c r="A24897" s="2">
        <v>24892</v>
      </c>
      <c r="B24897" s="11" t="str">
        <f>"01019476"</f>
        <v>01019476</v>
      </c>
    </row>
    <row r="24898" spans="1:2" x14ac:dyDescent="0.25">
      <c r="A24898" s="2">
        <v>24893</v>
      </c>
      <c r="B24898" s="11" t="str">
        <f>"01019477"</f>
        <v>01019477</v>
      </c>
    </row>
    <row r="24899" spans="1:2" x14ac:dyDescent="0.25">
      <c r="A24899" s="2">
        <v>24894</v>
      </c>
      <c r="B24899" s="11" t="str">
        <f>"01019587"</f>
        <v>01019587</v>
      </c>
    </row>
    <row r="24900" spans="1:2" x14ac:dyDescent="0.25">
      <c r="A24900" s="2">
        <v>24895</v>
      </c>
      <c r="B24900" s="11" t="str">
        <f>"01019597"</f>
        <v>01019597</v>
      </c>
    </row>
    <row r="24901" spans="1:2" x14ac:dyDescent="0.25">
      <c r="A24901" s="2">
        <v>24896</v>
      </c>
      <c r="B24901" s="11" t="str">
        <f>"01019616"</f>
        <v>01019616</v>
      </c>
    </row>
    <row r="24902" spans="1:2" x14ac:dyDescent="0.25">
      <c r="A24902" s="2">
        <v>24897</v>
      </c>
      <c r="B24902" s="11" t="str">
        <f>"01019623"</f>
        <v>01019623</v>
      </c>
    </row>
    <row r="24903" spans="1:2" x14ac:dyDescent="0.25">
      <c r="A24903" s="2">
        <v>24898</v>
      </c>
      <c r="B24903" s="11" t="str">
        <f>"01019636"</f>
        <v>01019636</v>
      </c>
    </row>
    <row r="24904" spans="1:2" x14ac:dyDescent="0.25">
      <c r="A24904" s="2">
        <v>24899</v>
      </c>
      <c r="B24904" s="11" t="str">
        <f>"01019644"</f>
        <v>01019644</v>
      </c>
    </row>
    <row r="24905" spans="1:2" x14ac:dyDescent="0.25">
      <c r="A24905" s="2">
        <v>24900</v>
      </c>
      <c r="B24905" s="11" t="str">
        <f>"01019651"</f>
        <v>01019651</v>
      </c>
    </row>
    <row r="24906" spans="1:2" x14ac:dyDescent="0.25">
      <c r="A24906" s="2">
        <v>24901</v>
      </c>
      <c r="B24906" s="11" t="str">
        <f>"01019652"</f>
        <v>01019652</v>
      </c>
    </row>
    <row r="24907" spans="1:2" x14ac:dyDescent="0.25">
      <c r="A24907" s="2">
        <v>24902</v>
      </c>
      <c r="B24907" s="11" t="str">
        <f>"01019699"</f>
        <v>01019699</v>
      </c>
    </row>
    <row r="24908" spans="1:2" x14ac:dyDescent="0.25">
      <c r="A24908" s="2">
        <v>24903</v>
      </c>
      <c r="B24908" s="11" t="str">
        <f>"01019728"</f>
        <v>01019728</v>
      </c>
    </row>
    <row r="24909" spans="1:2" x14ac:dyDescent="0.25">
      <c r="A24909" s="2">
        <v>24904</v>
      </c>
      <c r="B24909" s="11" t="str">
        <f>"01019734"</f>
        <v>01019734</v>
      </c>
    </row>
    <row r="24910" spans="1:2" x14ac:dyDescent="0.25">
      <c r="A24910" s="2">
        <v>24905</v>
      </c>
      <c r="B24910" s="11" t="str">
        <f>"01019764"</f>
        <v>01019764</v>
      </c>
    </row>
    <row r="24911" spans="1:2" x14ac:dyDescent="0.25">
      <c r="A24911" s="2">
        <v>24906</v>
      </c>
      <c r="B24911" s="11" t="str">
        <f>"01019791"</f>
        <v>01019791</v>
      </c>
    </row>
    <row r="24912" spans="1:2" x14ac:dyDescent="0.25">
      <c r="A24912" s="2">
        <v>24907</v>
      </c>
      <c r="B24912" s="11" t="str">
        <f>"01019830"</f>
        <v>01019830</v>
      </c>
    </row>
    <row r="24913" spans="1:2" x14ac:dyDescent="0.25">
      <c r="A24913" s="2">
        <v>24908</v>
      </c>
      <c r="B24913" s="11" t="str">
        <f>"01019898"</f>
        <v>01019898</v>
      </c>
    </row>
    <row r="24914" spans="1:2" x14ac:dyDescent="0.25">
      <c r="A24914" s="2">
        <v>24909</v>
      </c>
      <c r="B24914" s="11" t="str">
        <f>"01019910"</f>
        <v>01019910</v>
      </c>
    </row>
    <row r="24915" spans="1:2" x14ac:dyDescent="0.25">
      <c r="A24915" s="2">
        <v>24910</v>
      </c>
      <c r="B24915" s="11" t="str">
        <f>"01019919"</f>
        <v>01019919</v>
      </c>
    </row>
    <row r="24916" spans="1:2" x14ac:dyDescent="0.25">
      <c r="A24916" s="2">
        <v>24911</v>
      </c>
      <c r="B24916" s="11" t="str">
        <f>"01019943"</f>
        <v>01019943</v>
      </c>
    </row>
    <row r="24917" spans="1:2" x14ac:dyDescent="0.25">
      <c r="A24917" s="2">
        <v>24912</v>
      </c>
      <c r="B24917" s="11" t="str">
        <f>"01019972"</f>
        <v>01019972</v>
      </c>
    </row>
    <row r="24918" spans="1:2" x14ac:dyDescent="0.25">
      <c r="A24918" s="2">
        <v>24913</v>
      </c>
      <c r="B24918" s="11" t="str">
        <f>"01019988"</f>
        <v>01019988</v>
      </c>
    </row>
    <row r="24919" spans="1:2" x14ac:dyDescent="0.25">
      <c r="A24919" s="2">
        <v>24914</v>
      </c>
      <c r="B24919" s="11" t="str">
        <f>"01020008"</f>
        <v>01020008</v>
      </c>
    </row>
    <row r="24920" spans="1:2" x14ac:dyDescent="0.25">
      <c r="A24920" s="2">
        <v>24915</v>
      </c>
      <c r="B24920" s="11" t="str">
        <f>"01020023"</f>
        <v>01020023</v>
      </c>
    </row>
    <row r="24921" spans="1:2" x14ac:dyDescent="0.25">
      <c r="A24921" s="2">
        <v>24916</v>
      </c>
      <c r="B24921" s="11" t="str">
        <f>"01020030"</f>
        <v>01020030</v>
      </c>
    </row>
    <row r="24922" spans="1:2" x14ac:dyDescent="0.25">
      <c r="A24922" s="2">
        <v>24917</v>
      </c>
      <c r="B24922" s="11" t="str">
        <f>"01020039"</f>
        <v>01020039</v>
      </c>
    </row>
    <row r="24923" spans="1:2" x14ac:dyDescent="0.25">
      <c r="A24923" s="2">
        <v>24918</v>
      </c>
      <c r="B24923" s="11" t="str">
        <f>"01020085"</f>
        <v>01020085</v>
      </c>
    </row>
    <row r="24924" spans="1:2" x14ac:dyDescent="0.25">
      <c r="A24924" s="2">
        <v>24919</v>
      </c>
      <c r="B24924" s="11" t="str">
        <f>"01020092"</f>
        <v>01020092</v>
      </c>
    </row>
    <row r="24925" spans="1:2" x14ac:dyDescent="0.25">
      <c r="A24925" s="2">
        <v>24920</v>
      </c>
      <c r="B24925" s="11" t="str">
        <f>"01020214"</f>
        <v>01020214</v>
      </c>
    </row>
    <row r="24926" spans="1:2" x14ac:dyDescent="0.25">
      <c r="A24926" s="2">
        <v>24921</v>
      </c>
      <c r="B24926" s="11" t="str">
        <f>"01020217"</f>
        <v>01020217</v>
      </c>
    </row>
    <row r="24927" spans="1:2" x14ac:dyDescent="0.25">
      <c r="A24927" s="2">
        <v>24922</v>
      </c>
      <c r="B24927" s="11" t="str">
        <f>"01020242"</f>
        <v>01020242</v>
      </c>
    </row>
    <row r="24928" spans="1:2" x14ac:dyDescent="0.25">
      <c r="A24928" s="2">
        <v>24923</v>
      </c>
      <c r="B24928" s="11" t="str">
        <f>"01020283"</f>
        <v>01020283</v>
      </c>
    </row>
    <row r="24929" spans="1:2" x14ac:dyDescent="0.25">
      <c r="A24929" s="2">
        <v>24924</v>
      </c>
      <c r="B24929" s="11" t="str">
        <f>"01020300"</f>
        <v>01020300</v>
      </c>
    </row>
    <row r="24930" spans="1:2" x14ac:dyDescent="0.25">
      <c r="A24930" s="2">
        <v>24925</v>
      </c>
      <c r="B24930" s="11" t="str">
        <f>"01020342"</f>
        <v>01020342</v>
      </c>
    </row>
    <row r="24931" spans="1:2" x14ac:dyDescent="0.25">
      <c r="A24931" s="2">
        <v>24926</v>
      </c>
      <c r="B24931" s="11" t="str">
        <f>"01020420"</f>
        <v>01020420</v>
      </c>
    </row>
    <row r="24932" spans="1:2" x14ac:dyDescent="0.25">
      <c r="A24932" s="2">
        <v>24927</v>
      </c>
      <c r="B24932" s="11" t="str">
        <f>"01020475"</f>
        <v>01020475</v>
      </c>
    </row>
    <row r="24933" spans="1:2" x14ac:dyDescent="0.25">
      <c r="A24933" s="2">
        <v>24928</v>
      </c>
      <c r="B24933" s="11" t="str">
        <f>"01020533"</f>
        <v>01020533</v>
      </c>
    </row>
    <row r="24934" spans="1:2" x14ac:dyDescent="0.25">
      <c r="A24934" s="2">
        <v>24929</v>
      </c>
      <c r="B24934" s="11" t="str">
        <f>"01020601"</f>
        <v>01020601</v>
      </c>
    </row>
    <row r="24935" spans="1:2" x14ac:dyDescent="0.25">
      <c r="A24935" s="2">
        <v>24930</v>
      </c>
      <c r="B24935" s="11" t="str">
        <f>"01020612"</f>
        <v>01020612</v>
      </c>
    </row>
    <row r="24936" spans="1:2" x14ac:dyDescent="0.25">
      <c r="A24936" s="2">
        <v>24931</v>
      </c>
      <c r="B24936" s="11" t="str">
        <f>"01020614"</f>
        <v>01020614</v>
      </c>
    </row>
    <row r="24937" spans="1:2" x14ac:dyDescent="0.25">
      <c r="A24937" s="2">
        <v>24932</v>
      </c>
      <c r="B24937" s="11" t="str">
        <f>"01020623"</f>
        <v>01020623</v>
      </c>
    </row>
    <row r="24938" spans="1:2" x14ac:dyDescent="0.25">
      <c r="A24938" s="2">
        <v>24933</v>
      </c>
      <c r="B24938" s="11" t="str">
        <f>"01020665"</f>
        <v>01020665</v>
      </c>
    </row>
    <row r="24939" spans="1:2" x14ac:dyDescent="0.25">
      <c r="A24939" s="2">
        <v>24934</v>
      </c>
      <c r="B24939" s="11" t="str">
        <f>"01020687"</f>
        <v>01020687</v>
      </c>
    </row>
    <row r="24940" spans="1:2" x14ac:dyDescent="0.25">
      <c r="A24940" s="2">
        <v>24935</v>
      </c>
      <c r="B24940" s="11" t="str">
        <f>"01020796"</f>
        <v>01020796</v>
      </c>
    </row>
    <row r="24941" spans="1:2" x14ac:dyDescent="0.25">
      <c r="A24941" s="2">
        <v>24936</v>
      </c>
      <c r="B24941" s="11" t="str">
        <f>"01020804"</f>
        <v>01020804</v>
      </c>
    </row>
    <row r="24942" spans="1:2" x14ac:dyDescent="0.25">
      <c r="A24942" s="2">
        <v>24937</v>
      </c>
      <c r="B24942" s="11" t="str">
        <f>"01020811"</f>
        <v>01020811</v>
      </c>
    </row>
    <row r="24943" spans="1:2" x14ac:dyDescent="0.25">
      <c r="A24943" s="2">
        <v>24938</v>
      </c>
      <c r="B24943" s="11" t="str">
        <f>"01020814"</f>
        <v>01020814</v>
      </c>
    </row>
    <row r="24944" spans="1:2" x14ac:dyDescent="0.25">
      <c r="A24944" s="2">
        <v>24939</v>
      </c>
      <c r="B24944" s="11" t="str">
        <f>"01020839"</f>
        <v>01020839</v>
      </c>
    </row>
    <row r="24945" spans="1:2" x14ac:dyDescent="0.25">
      <c r="A24945" s="2">
        <v>24940</v>
      </c>
      <c r="B24945" s="11" t="str">
        <f>"01020881"</f>
        <v>01020881</v>
      </c>
    </row>
    <row r="24946" spans="1:2" x14ac:dyDescent="0.25">
      <c r="A24946" s="2">
        <v>24941</v>
      </c>
      <c r="B24946" s="11" t="str">
        <f>"01020891"</f>
        <v>01020891</v>
      </c>
    </row>
    <row r="24947" spans="1:2" x14ac:dyDescent="0.25">
      <c r="A24947" s="2">
        <v>24942</v>
      </c>
      <c r="B24947" s="11" t="str">
        <f>"01020903"</f>
        <v>01020903</v>
      </c>
    </row>
    <row r="24948" spans="1:2" x14ac:dyDescent="0.25">
      <c r="A24948" s="2">
        <v>24943</v>
      </c>
      <c r="B24948" s="11" t="str">
        <f>"01020909"</f>
        <v>01020909</v>
      </c>
    </row>
    <row r="24949" spans="1:2" x14ac:dyDescent="0.25">
      <c r="A24949" s="2">
        <v>24944</v>
      </c>
      <c r="B24949" s="11" t="str">
        <f>"01020934"</f>
        <v>01020934</v>
      </c>
    </row>
    <row r="24950" spans="1:2" x14ac:dyDescent="0.25">
      <c r="A24950" s="2">
        <v>24945</v>
      </c>
      <c r="B24950" s="11" t="str">
        <f>"01020947"</f>
        <v>01020947</v>
      </c>
    </row>
    <row r="24951" spans="1:2" x14ac:dyDescent="0.25">
      <c r="A24951" s="2">
        <v>24946</v>
      </c>
      <c r="B24951" s="11" t="str">
        <f>"01020962"</f>
        <v>01020962</v>
      </c>
    </row>
    <row r="24952" spans="1:2" x14ac:dyDescent="0.25">
      <c r="A24952" s="2">
        <v>24947</v>
      </c>
      <c r="B24952" s="11" t="str">
        <f>"01021063"</f>
        <v>01021063</v>
      </c>
    </row>
    <row r="24953" spans="1:2" x14ac:dyDescent="0.25">
      <c r="A24953" s="2">
        <v>24948</v>
      </c>
      <c r="B24953" s="11" t="str">
        <f>"01021089"</f>
        <v>01021089</v>
      </c>
    </row>
    <row r="24954" spans="1:2" x14ac:dyDescent="0.25">
      <c r="A24954" s="2">
        <v>24949</v>
      </c>
      <c r="B24954" s="11" t="str">
        <f>"01021094"</f>
        <v>01021094</v>
      </c>
    </row>
    <row r="24955" spans="1:2" x14ac:dyDescent="0.25">
      <c r="A24955" s="2">
        <v>24950</v>
      </c>
      <c r="B24955" s="11" t="str">
        <f>"01021118"</f>
        <v>01021118</v>
      </c>
    </row>
    <row r="24956" spans="1:2" x14ac:dyDescent="0.25">
      <c r="A24956" s="2">
        <v>24951</v>
      </c>
      <c r="B24956" s="11" t="str">
        <f>"01021161"</f>
        <v>01021161</v>
      </c>
    </row>
    <row r="24957" spans="1:2" x14ac:dyDescent="0.25">
      <c r="A24957" s="2">
        <v>24952</v>
      </c>
      <c r="B24957" s="11" t="str">
        <f>"01021167"</f>
        <v>01021167</v>
      </c>
    </row>
    <row r="24958" spans="1:2" x14ac:dyDescent="0.25">
      <c r="A24958" s="2">
        <v>24953</v>
      </c>
      <c r="B24958" s="11" t="str">
        <f>"01021175"</f>
        <v>01021175</v>
      </c>
    </row>
    <row r="24959" spans="1:2" x14ac:dyDescent="0.25">
      <c r="A24959" s="2">
        <v>24954</v>
      </c>
      <c r="B24959" s="11" t="str">
        <f>"01021205"</f>
        <v>01021205</v>
      </c>
    </row>
    <row r="24960" spans="1:2" x14ac:dyDescent="0.25">
      <c r="A24960" s="2">
        <v>24955</v>
      </c>
      <c r="B24960" s="11" t="str">
        <f>"01021227"</f>
        <v>01021227</v>
      </c>
    </row>
    <row r="24961" spans="1:2" x14ac:dyDescent="0.25">
      <c r="A24961" s="2">
        <v>24956</v>
      </c>
      <c r="B24961" s="11" t="str">
        <f>"01021236"</f>
        <v>01021236</v>
      </c>
    </row>
    <row r="24962" spans="1:2" x14ac:dyDescent="0.25">
      <c r="A24962" s="2">
        <v>24957</v>
      </c>
      <c r="B24962" s="11" t="str">
        <f>"01021266"</f>
        <v>01021266</v>
      </c>
    </row>
    <row r="24963" spans="1:2" x14ac:dyDescent="0.25">
      <c r="A24963" s="2">
        <v>24958</v>
      </c>
      <c r="B24963" s="11" t="str">
        <f>"01021281"</f>
        <v>01021281</v>
      </c>
    </row>
    <row r="24964" spans="1:2" x14ac:dyDescent="0.25">
      <c r="A24964" s="2">
        <v>24959</v>
      </c>
      <c r="B24964" s="11" t="str">
        <f>"01021327"</f>
        <v>01021327</v>
      </c>
    </row>
    <row r="24965" spans="1:2" x14ac:dyDescent="0.25">
      <c r="A24965" s="2">
        <v>24960</v>
      </c>
      <c r="B24965" s="11" t="str">
        <f>"01021366"</f>
        <v>01021366</v>
      </c>
    </row>
    <row r="24966" spans="1:2" x14ac:dyDescent="0.25">
      <c r="A24966" s="2">
        <v>24961</v>
      </c>
      <c r="B24966" s="11" t="str">
        <f>"01021379"</f>
        <v>01021379</v>
      </c>
    </row>
    <row r="24967" spans="1:2" x14ac:dyDescent="0.25">
      <c r="A24967" s="2">
        <v>24962</v>
      </c>
      <c r="B24967" s="11" t="str">
        <f>"01021436"</f>
        <v>01021436</v>
      </c>
    </row>
    <row r="24968" spans="1:2" x14ac:dyDescent="0.25">
      <c r="A24968" s="2">
        <v>24963</v>
      </c>
      <c r="B24968" s="11" t="str">
        <f>"01021457"</f>
        <v>01021457</v>
      </c>
    </row>
    <row r="24969" spans="1:2" x14ac:dyDescent="0.25">
      <c r="A24969" s="2">
        <v>24964</v>
      </c>
      <c r="B24969" s="11" t="str">
        <f>"01021460"</f>
        <v>01021460</v>
      </c>
    </row>
    <row r="24970" spans="1:2" x14ac:dyDescent="0.25">
      <c r="A24970" s="2">
        <v>24965</v>
      </c>
      <c r="B24970" s="11" t="str">
        <f>"01021495"</f>
        <v>01021495</v>
      </c>
    </row>
    <row r="24971" spans="1:2" x14ac:dyDescent="0.25">
      <c r="A24971" s="2">
        <v>24966</v>
      </c>
      <c r="B24971" s="11" t="str">
        <f>"01021542"</f>
        <v>01021542</v>
      </c>
    </row>
    <row r="24972" spans="1:2" x14ac:dyDescent="0.25">
      <c r="A24972" s="2">
        <v>24967</v>
      </c>
      <c r="B24972" s="11" t="str">
        <f>"01021566"</f>
        <v>01021566</v>
      </c>
    </row>
    <row r="24973" spans="1:2" x14ac:dyDescent="0.25">
      <c r="A24973" s="2">
        <v>24968</v>
      </c>
      <c r="B24973" s="11" t="str">
        <f>"01021592"</f>
        <v>01021592</v>
      </c>
    </row>
    <row r="24974" spans="1:2" x14ac:dyDescent="0.25">
      <c r="A24974" s="2">
        <v>24969</v>
      </c>
      <c r="B24974" s="11" t="str">
        <f>"01021598"</f>
        <v>01021598</v>
      </c>
    </row>
    <row r="24975" spans="1:2" x14ac:dyDescent="0.25">
      <c r="A24975" s="2">
        <v>24970</v>
      </c>
      <c r="B24975" s="11" t="str">
        <f>"01021600"</f>
        <v>01021600</v>
      </c>
    </row>
    <row r="24976" spans="1:2" x14ac:dyDescent="0.25">
      <c r="A24976" s="2">
        <v>24971</v>
      </c>
      <c r="B24976" s="11" t="str">
        <f>"01021640"</f>
        <v>01021640</v>
      </c>
    </row>
    <row r="24977" spans="1:2" x14ac:dyDescent="0.25">
      <c r="A24977" s="2">
        <v>24972</v>
      </c>
      <c r="B24977" s="11" t="str">
        <f>"01021750"</f>
        <v>01021750</v>
      </c>
    </row>
    <row r="24978" spans="1:2" x14ac:dyDescent="0.25">
      <c r="A24978" s="2">
        <v>24973</v>
      </c>
      <c r="B24978" s="11" t="str">
        <f>"01021766"</f>
        <v>01021766</v>
      </c>
    </row>
    <row r="24979" spans="1:2" x14ac:dyDescent="0.25">
      <c r="A24979" s="2">
        <v>24974</v>
      </c>
      <c r="B24979" s="11" t="str">
        <f>"01021771"</f>
        <v>01021771</v>
      </c>
    </row>
    <row r="24980" spans="1:2" x14ac:dyDescent="0.25">
      <c r="A24980" s="2">
        <v>24975</v>
      </c>
      <c r="B24980" s="11" t="str">
        <f>"01021869"</f>
        <v>01021869</v>
      </c>
    </row>
    <row r="24981" spans="1:2" x14ac:dyDescent="0.25">
      <c r="A24981" s="2">
        <v>24976</v>
      </c>
      <c r="B24981" s="11" t="str">
        <f>"01021872"</f>
        <v>01021872</v>
      </c>
    </row>
    <row r="24982" spans="1:2" x14ac:dyDescent="0.25">
      <c r="A24982" s="2">
        <v>24977</v>
      </c>
      <c r="B24982" s="11" t="str">
        <f>"01021879"</f>
        <v>01021879</v>
      </c>
    </row>
    <row r="24983" spans="1:2" x14ac:dyDescent="0.25">
      <c r="A24983" s="2">
        <v>24978</v>
      </c>
      <c r="B24983" s="11" t="str">
        <f>"01021954"</f>
        <v>01021954</v>
      </c>
    </row>
    <row r="24984" spans="1:2" x14ac:dyDescent="0.25">
      <c r="A24984" s="2">
        <v>24979</v>
      </c>
      <c r="B24984" s="11" t="str">
        <f>"01021986"</f>
        <v>01021986</v>
      </c>
    </row>
    <row r="24985" spans="1:2" x14ac:dyDescent="0.25">
      <c r="A24985" s="2">
        <v>24980</v>
      </c>
      <c r="B24985" s="11" t="str">
        <f>"01021989"</f>
        <v>01021989</v>
      </c>
    </row>
    <row r="24986" spans="1:2" x14ac:dyDescent="0.25">
      <c r="A24986" s="2">
        <v>24981</v>
      </c>
      <c r="B24986" s="11" t="str">
        <f>"01022008"</f>
        <v>01022008</v>
      </c>
    </row>
    <row r="24987" spans="1:2" x14ac:dyDescent="0.25">
      <c r="A24987" s="2">
        <v>24982</v>
      </c>
      <c r="B24987" s="11" t="str">
        <f>"01022009"</f>
        <v>01022009</v>
      </c>
    </row>
    <row r="24988" spans="1:2" x14ac:dyDescent="0.25">
      <c r="A24988" s="2">
        <v>24983</v>
      </c>
      <c r="B24988" s="11" t="str">
        <f>"01022019"</f>
        <v>01022019</v>
      </c>
    </row>
    <row r="24989" spans="1:2" x14ac:dyDescent="0.25">
      <c r="A24989" s="2">
        <v>24984</v>
      </c>
      <c r="B24989" s="11" t="str">
        <f>"01022027"</f>
        <v>01022027</v>
      </c>
    </row>
    <row r="24990" spans="1:2" x14ac:dyDescent="0.25">
      <c r="A24990" s="2">
        <v>24985</v>
      </c>
      <c r="B24990" s="11" t="str">
        <f>"01022085"</f>
        <v>01022085</v>
      </c>
    </row>
    <row r="24991" spans="1:2" x14ac:dyDescent="0.25">
      <c r="A24991" s="2">
        <v>24986</v>
      </c>
      <c r="B24991" s="11" t="str">
        <f>"01022101"</f>
        <v>01022101</v>
      </c>
    </row>
    <row r="24992" spans="1:2" x14ac:dyDescent="0.25">
      <c r="A24992" s="2">
        <v>24987</v>
      </c>
      <c r="B24992" s="11" t="str">
        <f>"01022103"</f>
        <v>01022103</v>
      </c>
    </row>
    <row r="24993" spans="1:2" x14ac:dyDescent="0.25">
      <c r="A24993" s="2">
        <v>24988</v>
      </c>
      <c r="B24993" s="11" t="str">
        <f>"01022107"</f>
        <v>01022107</v>
      </c>
    </row>
    <row r="24994" spans="1:2" x14ac:dyDescent="0.25">
      <c r="A24994" s="2">
        <v>24989</v>
      </c>
      <c r="B24994" s="11" t="str">
        <f>"01022119"</f>
        <v>01022119</v>
      </c>
    </row>
    <row r="24995" spans="1:2" x14ac:dyDescent="0.25">
      <c r="A24995" s="2">
        <v>24990</v>
      </c>
      <c r="B24995" s="11" t="str">
        <f>"01022121"</f>
        <v>01022121</v>
      </c>
    </row>
    <row r="24996" spans="1:2" x14ac:dyDescent="0.25">
      <c r="A24996" s="2">
        <v>24991</v>
      </c>
      <c r="B24996" s="11" t="str">
        <f>"01022142"</f>
        <v>01022142</v>
      </c>
    </row>
    <row r="24997" spans="1:2" x14ac:dyDescent="0.25">
      <c r="A24997" s="2">
        <v>24992</v>
      </c>
      <c r="B24997" s="11" t="str">
        <f>"01022146"</f>
        <v>01022146</v>
      </c>
    </row>
    <row r="24998" spans="1:2" x14ac:dyDescent="0.25">
      <c r="A24998" s="2">
        <v>24993</v>
      </c>
      <c r="B24998" s="11" t="str">
        <f>"01022160"</f>
        <v>01022160</v>
      </c>
    </row>
    <row r="24999" spans="1:2" x14ac:dyDescent="0.25">
      <c r="A24999" s="2">
        <v>24994</v>
      </c>
      <c r="B24999" s="11" t="str">
        <f>"01022162"</f>
        <v>01022162</v>
      </c>
    </row>
    <row r="25000" spans="1:2" x14ac:dyDescent="0.25">
      <c r="A25000" s="2">
        <v>24995</v>
      </c>
      <c r="B25000" s="11" t="str">
        <f>"01022164"</f>
        <v>01022164</v>
      </c>
    </row>
    <row r="25001" spans="1:2" x14ac:dyDescent="0.25">
      <c r="A25001" s="2">
        <v>24996</v>
      </c>
      <c r="B25001" s="11" t="str">
        <f>"01022165"</f>
        <v>01022165</v>
      </c>
    </row>
    <row r="25002" spans="1:2" x14ac:dyDescent="0.25">
      <c r="A25002" s="2">
        <v>24997</v>
      </c>
      <c r="B25002" s="11" t="str">
        <f>"01022215"</f>
        <v>01022215</v>
      </c>
    </row>
    <row r="25003" spans="1:2" x14ac:dyDescent="0.25">
      <c r="A25003" s="2">
        <v>24998</v>
      </c>
      <c r="B25003" s="11" t="str">
        <f>"01022259"</f>
        <v>01022259</v>
      </c>
    </row>
    <row r="25004" spans="1:2" x14ac:dyDescent="0.25">
      <c r="A25004" s="2">
        <v>24999</v>
      </c>
      <c r="B25004" s="11" t="str">
        <f>"01022299"</f>
        <v>01022299</v>
      </c>
    </row>
    <row r="25005" spans="1:2" x14ac:dyDescent="0.25">
      <c r="A25005" s="2">
        <v>25000</v>
      </c>
      <c r="B25005" s="11" t="str">
        <f>"01022302"</f>
        <v>01022302</v>
      </c>
    </row>
    <row r="25006" spans="1:2" x14ac:dyDescent="0.25">
      <c r="A25006" s="2">
        <v>25001</v>
      </c>
      <c r="B25006" s="11" t="str">
        <f>"01022313"</f>
        <v>01022313</v>
      </c>
    </row>
    <row r="25007" spans="1:2" x14ac:dyDescent="0.25">
      <c r="A25007" s="2">
        <v>25002</v>
      </c>
      <c r="B25007" s="11" t="str">
        <f>"01022314"</f>
        <v>01022314</v>
      </c>
    </row>
    <row r="25008" spans="1:2" x14ac:dyDescent="0.25">
      <c r="A25008" s="2">
        <v>25003</v>
      </c>
      <c r="B25008" s="11" t="str">
        <f>"01022379"</f>
        <v>01022379</v>
      </c>
    </row>
    <row r="25009" spans="1:2" x14ac:dyDescent="0.25">
      <c r="A25009" s="2">
        <v>25004</v>
      </c>
      <c r="B25009" s="11" t="str">
        <f>"01022424"</f>
        <v>01022424</v>
      </c>
    </row>
    <row r="25010" spans="1:2" x14ac:dyDescent="0.25">
      <c r="A25010" s="2">
        <v>25005</v>
      </c>
      <c r="B25010" s="11" t="str">
        <f>"01022475"</f>
        <v>01022475</v>
      </c>
    </row>
    <row r="25011" spans="1:2" x14ac:dyDescent="0.25">
      <c r="A25011" s="2">
        <v>25006</v>
      </c>
      <c r="B25011" s="11" t="str">
        <f>"01022539"</f>
        <v>01022539</v>
      </c>
    </row>
    <row r="25012" spans="1:2" x14ac:dyDescent="0.25">
      <c r="A25012" s="2">
        <v>25007</v>
      </c>
      <c r="B25012" s="11" t="str">
        <f>"01022563"</f>
        <v>01022563</v>
      </c>
    </row>
    <row r="25013" spans="1:2" x14ac:dyDescent="0.25">
      <c r="A25013" s="2">
        <v>25008</v>
      </c>
      <c r="B25013" s="11" t="str">
        <f>"01022652"</f>
        <v>01022652</v>
      </c>
    </row>
    <row r="25014" spans="1:2" x14ac:dyDescent="0.25">
      <c r="A25014" s="2">
        <v>25009</v>
      </c>
      <c r="B25014" s="11" t="str">
        <f>"01022667"</f>
        <v>01022667</v>
      </c>
    </row>
    <row r="25015" spans="1:2" x14ac:dyDescent="0.25">
      <c r="A25015" s="2">
        <v>25010</v>
      </c>
      <c r="B25015" s="11" t="str">
        <f>"01022668"</f>
        <v>01022668</v>
      </c>
    </row>
    <row r="25016" spans="1:2" x14ac:dyDescent="0.25">
      <c r="A25016" s="2">
        <v>25011</v>
      </c>
      <c r="B25016" s="11" t="str">
        <f>"01022677"</f>
        <v>01022677</v>
      </c>
    </row>
    <row r="25017" spans="1:2" x14ac:dyDescent="0.25">
      <c r="A25017" s="2">
        <v>25012</v>
      </c>
      <c r="B25017" s="11" t="str">
        <f>"01022681"</f>
        <v>01022681</v>
      </c>
    </row>
    <row r="25018" spans="1:2" x14ac:dyDescent="0.25">
      <c r="A25018" s="2">
        <v>25013</v>
      </c>
      <c r="B25018" s="11" t="str">
        <f>"01022684"</f>
        <v>01022684</v>
      </c>
    </row>
    <row r="25019" spans="1:2" x14ac:dyDescent="0.25">
      <c r="A25019" s="2">
        <v>25014</v>
      </c>
      <c r="B25019" s="11" t="str">
        <f>"01022713"</f>
        <v>01022713</v>
      </c>
    </row>
    <row r="25020" spans="1:2" x14ac:dyDescent="0.25">
      <c r="A25020" s="2">
        <v>25015</v>
      </c>
      <c r="B25020" s="11" t="str">
        <f>"01022735"</f>
        <v>01022735</v>
      </c>
    </row>
    <row r="25021" spans="1:2" x14ac:dyDescent="0.25">
      <c r="A25021" s="2">
        <v>25016</v>
      </c>
      <c r="B25021" s="11" t="str">
        <f>"01022777"</f>
        <v>01022777</v>
      </c>
    </row>
    <row r="25022" spans="1:2" x14ac:dyDescent="0.25">
      <c r="A25022" s="2">
        <v>25017</v>
      </c>
      <c r="B25022" s="11" t="str">
        <f>"01022789"</f>
        <v>01022789</v>
      </c>
    </row>
    <row r="25023" spans="1:2" x14ac:dyDescent="0.25">
      <c r="A25023" s="2">
        <v>25018</v>
      </c>
      <c r="B25023" s="11" t="str">
        <f>"01022799"</f>
        <v>01022799</v>
      </c>
    </row>
    <row r="25024" spans="1:2" x14ac:dyDescent="0.25">
      <c r="A25024" s="2">
        <v>25019</v>
      </c>
      <c r="B25024" s="11" t="str">
        <f>"01022839"</f>
        <v>01022839</v>
      </c>
    </row>
    <row r="25025" spans="1:2" x14ac:dyDescent="0.25">
      <c r="A25025" s="2">
        <v>25020</v>
      </c>
      <c r="B25025" s="11" t="str">
        <f>"01022858"</f>
        <v>01022858</v>
      </c>
    </row>
    <row r="25026" spans="1:2" x14ac:dyDescent="0.25">
      <c r="A25026" s="2">
        <v>25021</v>
      </c>
      <c r="B25026" s="11" t="str">
        <f>"01022892"</f>
        <v>01022892</v>
      </c>
    </row>
    <row r="25027" spans="1:2" x14ac:dyDescent="0.25">
      <c r="A25027" s="2">
        <v>25022</v>
      </c>
      <c r="B25027" s="11" t="str">
        <f>"01022921"</f>
        <v>01022921</v>
      </c>
    </row>
    <row r="25028" spans="1:2" x14ac:dyDescent="0.25">
      <c r="A25028" s="2">
        <v>25023</v>
      </c>
      <c r="B25028" s="11" t="str">
        <f>"01022940"</f>
        <v>01022940</v>
      </c>
    </row>
    <row r="25029" spans="1:2" x14ac:dyDescent="0.25">
      <c r="A25029" s="2">
        <v>25024</v>
      </c>
      <c r="B25029" s="11" t="str">
        <f>"01023033"</f>
        <v>01023033</v>
      </c>
    </row>
    <row r="25030" spans="1:2" x14ac:dyDescent="0.25">
      <c r="A25030" s="2">
        <v>25025</v>
      </c>
      <c r="B25030" s="11" t="str">
        <f>"01023043"</f>
        <v>01023043</v>
      </c>
    </row>
    <row r="25031" spans="1:2" x14ac:dyDescent="0.25">
      <c r="A25031" s="2">
        <v>25026</v>
      </c>
      <c r="B25031" s="11" t="str">
        <f>"01023051"</f>
        <v>01023051</v>
      </c>
    </row>
    <row r="25032" spans="1:2" x14ac:dyDescent="0.25">
      <c r="A25032" s="2">
        <v>25027</v>
      </c>
      <c r="B25032" s="11" t="str">
        <f>"01023064"</f>
        <v>01023064</v>
      </c>
    </row>
    <row r="25033" spans="1:2" x14ac:dyDescent="0.25">
      <c r="A25033" s="2">
        <v>25028</v>
      </c>
      <c r="B25033" s="11" t="str">
        <f>"01023077"</f>
        <v>01023077</v>
      </c>
    </row>
    <row r="25034" spans="1:2" x14ac:dyDescent="0.25">
      <c r="A25034" s="2">
        <v>25029</v>
      </c>
      <c r="B25034" s="11" t="str">
        <f>"01023152"</f>
        <v>01023152</v>
      </c>
    </row>
    <row r="25035" spans="1:2" x14ac:dyDescent="0.25">
      <c r="A25035" s="2">
        <v>25030</v>
      </c>
      <c r="B25035" s="11" t="str">
        <f>"01023222"</f>
        <v>01023222</v>
      </c>
    </row>
    <row r="25036" spans="1:2" x14ac:dyDescent="0.25">
      <c r="A25036" s="2">
        <v>25031</v>
      </c>
      <c r="B25036" s="11" t="str">
        <f>"01023266"</f>
        <v>01023266</v>
      </c>
    </row>
    <row r="25037" spans="1:2" x14ac:dyDescent="0.25">
      <c r="A25037" s="2">
        <v>25032</v>
      </c>
      <c r="B25037" s="11" t="str">
        <f>"01023325"</f>
        <v>01023325</v>
      </c>
    </row>
    <row r="25038" spans="1:2" x14ac:dyDescent="0.25">
      <c r="A25038" s="2">
        <v>25033</v>
      </c>
      <c r="B25038" s="11" t="str">
        <f>"01023329"</f>
        <v>01023329</v>
      </c>
    </row>
    <row r="25039" spans="1:2" x14ac:dyDescent="0.25">
      <c r="A25039" s="2">
        <v>25034</v>
      </c>
      <c r="B25039" s="11" t="str">
        <f>"01023441"</f>
        <v>01023441</v>
      </c>
    </row>
    <row r="25040" spans="1:2" x14ac:dyDescent="0.25">
      <c r="A25040" s="2">
        <v>25035</v>
      </c>
      <c r="B25040" s="11" t="str">
        <f>"01023483"</f>
        <v>01023483</v>
      </c>
    </row>
    <row r="25041" spans="1:2" x14ac:dyDescent="0.25">
      <c r="A25041" s="2">
        <v>25036</v>
      </c>
      <c r="B25041" s="11" t="str">
        <f>"01023506"</f>
        <v>01023506</v>
      </c>
    </row>
    <row r="25042" spans="1:2" x14ac:dyDescent="0.25">
      <c r="A25042" s="2">
        <v>25037</v>
      </c>
      <c r="B25042" s="11" t="str">
        <f>"01023525"</f>
        <v>01023525</v>
      </c>
    </row>
    <row r="25043" spans="1:2" x14ac:dyDescent="0.25">
      <c r="A25043" s="2">
        <v>25038</v>
      </c>
      <c r="B25043" s="11" t="str">
        <f>"01023610"</f>
        <v>01023610</v>
      </c>
    </row>
    <row r="25044" spans="1:2" x14ac:dyDescent="0.25">
      <c r="A25044" s="2">
        <v>25039</v>
      </c>
      <c r="B25044" s="11" t="str">
        <f>"01023657"</f>
        <v>01023657</v>
      </c>
    </row>
    <row r="25045" spans="1:2" x14ac:dyDescent="0.25">
      <c r="A25045" s="2">
        <v>25040</v>
      </c>
      <c r="B25045" s="11" t="str">
        <f>"01023671"</f>
        <v>01023671</v>
      </c>
    </row>
    <row r="25046" spans="1:2" x14ac:dyDescent="0.25">
      <c r="A25046" s="2">
        <v>25041</v>
      </c>
      <c r="B25046" s="11" t="str">
        <f>"01023726"</f>
        <v>01023726</v>
      </c>
    </row>
    <row r="25047" spans="1:2" x14ac:dyDescent="0.25">
      <c r="A25047" s="2">
        <v>25042</v>
      </c>
      <c r="B25047" s="11" t="str">
        <f>"01023732"</f>
        <v>01023732</v>
      </c>
    </row>
    <row r="25048" spans="1:2" x14ac:dyDescent="0.25">
      <c r="A25048" s="2">
        <v>25043</v>
      </c>
      <c r="B25048" s="11" t="str">
        <f>"01023749"</f>
        <v>01023749</v>
      </c>
    </row>
    <row r="25049" spans="1:2" x14ac:dyDescent="0.25">
      <c r="A25049" s="2">
        <v>25044</v>
      </c>
      <c r="B25049" s="11" t="str">
        <f>"01023750"</f>
        <v>01023750</v>
      </c>
    </row>
    <row r="25050" spans="1:2" x14ac:dyDescent="0.25">
      <c r="A25050" s="2">
        <v>25045</v>
      </c>
      <c r="B25050" s="11" t="str">
        <f>"01023757"</f>
        <v>01023757</v>
      </c>
    </row>
    <row r="25051" spans="1:2" x14ac:dyDescent="0.25">
      <c r="A25051" s="2">
        <v>25046</v>
      </c>
      <c r="B25051" s="11" t="str">
        <f>"01023764"</f>
        <v>01023764</v>
      </c>
    </row>
    <row r="25052" spans="1:2" x14ac:dyDescent="0.25">
      <c r="A25052" s="2">
        <v>25047</v>
      </c>
      <c r="B25052" s="11" t="str">
        <f>"01023769"</f>
        <v>01023769</v>
      </c>
    </row>
    <row r="25053" spans="1:2" x14ac:dyDescent="0.25">
      <c r="A25053" s="2">
        <v>25048</v>
      </c>
      <c r="B25053" s="11" t="str">
        <f>"01023778"</f>
        <v>01023778</v>
      </c>
    </row>
    <row r="25054" spans="1:2" x14ac:dyDescent="0.25">
      <c r="A25054" s="2">
        <v>25049</v>
      </c>
      <c r="B25054" s="11" t="str">
        <f>"01023783"</f>
        <v>01023783</v>
      </c>
    </row>
    <row r="25055" spans="1:2" x14ac:dyDescent="0.25">
      <c r="A25055" s="2">
        <v>25050</v>
      </c>
      <c r="B25055" s="11" t="str">
        <f>"01023795"</f>
        <v>01023795</v>
      </c>
    </row>
    <row r="25056" spans="1:2" x14ac:dyDescent="0.25">
      <c r="A25056" s="2">
        <v>25051</v>
      </c>
      <c r="B25056" s="11" t="str">
        <f>"01023834"</f>
        <v>01023834</v>
      </c>
    </row>
    <row r="25057" spans="1:2" x14ac:dyDescent="0.25">
      <c r="A25057" s="2">
        <v>25052</v>
      </c>
      <c r="B25057" s="11" t="str">
        <f>"01023839"</f>
        <v>01023839</v>
      </c>
    </row>
    <row r="25058" spans="1:2" x14ac:dyDescent="0.25">
      <c r="A25058" s="2">
        <v>25053</v>
      </c>
      <c r="B25058" s="11" t="str">
        <f>"01023878"</f>
        <v>01023878</v>
      </c>
    </row>
    <row r="25059" spans="1:2" x14ac:dyDescent="0.25">
      <c r="A25059" s="2">
        <v>25054</v>
      </c>
      <c r="B25059" s="11" t="str">
        <f>"01023901"</f>
        <v>01023901</v>
      </c>
    </row>
    <row r="25060" spans="1:2" x14ac:dyDescent="0.25">
      <c r="A25060" s="2">
        <v>25055</v>
      </c>
      <c r="B25060" s="11" t="str">
        <f>"01023929"</f>
        <v>01023929</v>
      </c>
    </row>
    <row r="25061" spans="1:2" x14ac:dyDescent="0.25">
      <c r="A25061" s="2">
        <v>25056</v>
      </c>
      <c r="B25061" s="11" t="str">
        <f>"01023958"</f>
        <v>01023958</v>
      </c>
    </row>
    <row r="25062" spans="1:2" x14ac:dyDescent="0.25">
      <c r="A25062" s="2">
        <v>25057</v>
      </c>
      <c r="B25062" s="11" t="str">
        <f>"01023959"</f>
        <v>01023959</v>
      </c>
    </row>
    <row r="25063" spans="1:2" x14ac:dyDescent="0.25">
      <c r="A25063" s="2">
        <v>25058</v>
      </c>
      <c r="B25063" s="11" t="str">
        <f>"01023968"</f>
        <v>01023968</v>
      </c>
    </row>
    <row r="25064" spans="1:2" x14ac:dyDescent="0.25">
      <c r="A25064" s="2">
        <v>25059</v>
      </c>
      <c r="B25064" s="11" t="str">
        <f>"01024016"</f>
        <v>01024016</v>
      </c>
    </row>
    <row r="25065" spans="1:2" x14ac:dyDescent="0.25">
      <c r="A25065" s="2">
        <v>25060</v>
      </c>
      <c r="B25065" s="11" t="str">
        <f>"01024025"</f>
        <v>01024025</v>
      </c>
    </row>
    <row r="25066" spans="1:2" x14ac:dyDescent="0.25">
      <c r="A25066" s="2">
        <v>25061</v>
      </c>
      <c r="B25066" s="11" t="str">
        <f>"01024055"</f>
        <v>01024055</v>
      </c>
    </row>
    <row r="25067" spans="1:2" x14ac:dyDescent="0.25">
      <c r="A25067" s="2">
        <v>25062</v>
      </c>
      <c r="B25067" s="11" t="str">
        <f>"01024069"</f>
        <v>01024069</v>
      </c>
    </row>
    <row r="25068" spans="1:2" x14ac:dyDescent="0.25">
      <c r="A25068" s="2">
        <v>25063</v>
      </c>
      <c r="B25068" s="11" t="str">
        <f>"01024071"</f>
        <v>01024071</v>
      </c>
    </row>
    <row r="25069" spans="1:2" x14ac:dyDescent="0.25">
      <c r="A25069" s="2">
        <v>25064</v>
      </c>
      <c r="B25069" s="11" t="str">
        <f>"01024074"</f>
        <v>01024074</v>
      </c>
    </row>
    <row r="25070" spans="1:2" x14ac:dyDescent="0.25">
      <c r="A25070" s="2">
        <v>25065</v>
      </c>
      <c r="B25070" s="11" t="str">
        <f>"01024090"</f>
        <v>01024090</v>
      </c>
    </row>
    <row r="25071" spans="1:2" x14ac:dyDescent="0.25">
      <c r="A25071" s="2">
        <v>25066</v>
      </c>
      <c r="B25071" s="11" t="str">
        <f>"01024106"</f>
        <v>01024106</v>
      </c>
    </row>
    <row r="25072" spans="1:2" x14ac:dyDescent="0.25">
      <c r="A25072" s="2">
        <v>25067</v>
      </c>
      <c r="B25072" s="11" t="str">
        <f>"01024118"</f>
        <v>01024118</v>
      </c>
    </row>
    <row r="25073" spans="1:2" x14ac:dyDescent="0.25">
      <c r="A25073" s="2">
        <v>25068</v>
      </c>
      <c r="B25073" s="11" t="str">
        <f>"01024169"</f>
        <v>01024169</v>
      </c>
    </row>
    <row r="25074" spans="1:2" x14ac:dyDescent="0.25">
      <c r="A25074" s="2">
        <v>25069</v>
      </c>
      <c r="B25074" s="11" t="str">
        <f>"01024182"</f>
        <v>01024182</v>
      </c>
    </row>
    <row r="25075" spans="1:2" x14ac:dyDescent="0.25">
      <c r="A25075" s="2">
        <v>25070</v>
      </c>
      <c r="B25075" s="11" t="str">
        <f>"01024225"</f>
        <v>01024225</v>
      </c>
    </row>
    <row r="25076" spans="1:2" x14ac:dyDescent="0.25">
      <c r="A25076" s="2">
        <v>25071</v>
      </c>
      <c r="B25076" s="11" t="str">
        <f>"01024262"</f>
        <v>01024262</v>
      </c>
    </row>
    <row r="25077" spans="1:2" x14ac:dyDescent="0.25">
      <c r="A25077" s="2">
        <v>25072</v>
      </c>
      <c r="B25077" s="11" t="str">
        <f>"01024273"</f>
        <v>01024273</v>
      </c>
    </row>
    <row r="25078" spans="1:2" x14ac:dyDescent="0.25">
      <c r="A25078" s="2">
        <v>25073</v>
      </c>
      <c r="B25078" s="11" t="str">
        <f>"01024289"</f>
        <v>01024289</v>
      </c>
    </row>
    <row r="25079" spans="1:2" x14ac:dyDescent="0.25">
      <c r="A25079" s="2">
        <v>25074</v>
      </c>
      <c r="B25079" s="11" t="str">
        <f>"01024304"</f>
        <v>01024304</v>
      </c>
    </row>
    <row r="25080" spans="1:2" x14ac:dyDescent="0.25">
      <c r="A25080" s="2">
        <v>25075</v>
      </c>
      <c r="B25080" s="11" t="str">
        <f>"01024320"</f>
        <v>01024320</v>
      </c>
    </row>
    <row r="25081" spans="1:2" x14ac:dyDescent="0.25">
      <c r="A25081" s="2">
        <v>25076</v>
      </c>
      <c r="B25081" s="11" t="str">
        <f>"01024336"</f>
        <v>01024336</v>
      </c>
    </row>
    <row r="25082" spans="1:2" x14ac:dyDescent="0.25">
      <c r="A25082" s="2">
        <v>25077</v>
      </c>
      <c r="B25082" s="11" t="str">
        <f>"01024341"</f>
        <v>01024341</v>
      </c>
    </row>
    <row r="25083" spans="1:2" x14ac:dyDescent="0.25">
      <c r="A25083" s="2">
        <v>25078</v>
      </c>
      <c r="B25083" s="11" t="str">
        <f>"01024363"</f>
        <v>01024363</v>
      </c>
    </row>
    <row r="25084" spans="1:2" x14ac:dyDescent="0.25">
      <c r="A25084" s="2">
        <v>25079</v>
      </c>
      <c r="B25084" s="11" t="str">
        <f>"01024379"</f>
        <v>01024379</v>
      </c>
    </row>
    <row r="25085" spans="1:2" x14ac:dyDescent="0.25">
      <c r="A25085" s="2">
        <v>25080</v>
      </c>
      <c r="B25085" s="11" t="str">
        <f>"01024386"</f>
        <v>01024386</v>
      </c>
    </row>
    <row r="25086" spans="1:2" x14ac:dyDescent="0.25">
      <c r="A25086" s="2">
        <v>25081</v>
      </c>
      <c r="B25086" s="11" t="str">
        <f>"01024402"</f>
        <v>01024402</v>
      </c>
    </row>
    <row r="25087" spans="1:2" x14ac:dyDescent="0.25">
      <c r="A25087" s="2">
        <v>25082</v>
      </c>
      <c r="B25087" s="11" t="str">
        <f>"01024409"</f>
        <v>01024409</v>
      </c>
    </row>
    <row r="25088" spans="1:2" x14ac:dyDescent="0.25">
      <c r="A25088" s="2">
        <v>25083</v>
      </c>
      <c r="B25088" s="11" t="str">
        <f>"01024411"</f>
        <v>01024411</v>
      </c>
    </row>
    <row r="25089" spans="1:2" x14ac:dyDescent="0.25">
      <c r="A25089" s="2">
        <v>25084</v>
      </c>
      <c r="B25089" s="11" t="str">
        <f>"01024432"</f>
        <v>01024432</v>
      </c>
    </row>
    <row r="25090" spans="1:2" x14ac:dyDescent="0.25">
      <c r="A25090" s="2">
        <v>25085</v>
      </c>
      <c r="B25090" s="11" t="str">
        <f>"01024453"</f>
        <v>01024453</v>
      </c>
    </row>
    <row r="25091" spans="1:2" x14ac:dyDescent="0.25">
      <c r="A25091" s="2">
        <v>25086</v>
      </c>
      <c r="B25091" s="11" t="str">
        <f>"01024461"</f>
        <v>01024461</v>
      </c>
    </row>
    <row r="25092" spans="1:2" x14ac:dyDescent="0.25">
      <c r="A25092" s="2">
        <v>25087</v>
      </c>
      <c r="B25092" s="11" t="str">
        <f>"01024464"</f>
        <v>01024464</v>
      </c>
    </row>
    <row r="25093" spans="1:2" x14ac:dyDescent="0.25">
      <c r="A25093" s="2">
        <v>25088</v>
      </c>
      <c r="B25093" s="11" t="str">
        <f>"01024468"</f>
        <v>01024468</v>
      </c>
    </row>
    <row r="25094" spans="1:2" x14ac:dyDescent="0.25">
      <c r="A25094" s="2">
        <v>25089</v>
      </c>
      <c r="B25094" s="11" t="str">
        <f>"01024469"</f>
        <v>01024469</v>
      </c>
    </row>
    <row r="25095" spans="1:2" x14ac:dyDescent="0.25">
      <c r="A25095" s="2">
        <v>25090</v>
      </c>
      <c r="B25095" s="11" t="str">
        <f>"01024482"</f>
        <v>01024482</v>
      </c>
    </row>
    <row r="25096" spans="1:2" x14ac:dyDescent="0.25">
      <c r="A25096" s="2">
        <v>25091</v>
      </c>
      <c r="B25096" s="11" t="str">
        <f>"01024486"</f>
        <v>01024486</v>
      </c>
    </row>
    <row r="25097" spans="1:2" x14ac:dyDescent="0.25">
      <c r="A25097" s="2">
        <v>25092</v>
      </c>
      <c r="B25097" s="11" t="str">
        <f>"01024489"</f>
        <v>01024489</v>
      </c>
    </row>
    <row r="25098" spans="1:2" x14ac:dyDescent="0.25">
      <c r="A25098" s="2">
        <v>25093</v>
      </c>
      <c r="B25098" s="11" t="str">
        <f>"01024521"</f>
        <v>01024521</v>
      </c>
    </row>
    <row r="25099" spans="1:2" x14ac:dyDescent="0.25">
      <c r="A25099" s="2">
        <v>25094</v>
      </c>
      <c r="B25099" s="11" t="str">
        <f>"01024555"</f>
        <v>01024555</v>
      </c>
    </row>
    <row r="25100" spans="1:2" x14ac:dyDescent="0.25">
      <c r="A25100" s="2">
        <v>25095</v>
      </c>
      <c r="B25100" s="11" t="str">
        <f>"01024578"</f>
        <v>01024578</v>
      </c>
    </row>
    <row r="25101" spans="1:2" x14ac:dyDescent="0.25">
      <c r="A25101" s="2">
        <v>25096</v>
      </c>
      <c r="B25101" s="11" t="str">
        <f>"01024600"</f>
        <v>01024600</v>
      </c>
    </row>
    <row r="25102" spans="1:2" x14ac:dyDescent="0.25">
      <c r="A25102" s="2">
        <v>25097</v>
      </c>
      <c r="B25102" s="11" t="str">
        <f>"01024609"</f>
        <v>01024609</v>
      </c>
    </row>
    <row r="25103" spans="1:2" x14ac:dyDescent="0.25">
      <c r="A25103" s="2">
        <v>25098</v>
      </c>
      <c r="B25103" s="11" t="str">
        <f>"01024612"</f>
        <v>01024612</v>
      </c>
    </row>
    <row r="25104" spans="1:2" x14ac:dyDescent="0.25">
      <c r="A25104" s="2">
        <v>25099</v>
      </c>
      <c r="B25104" s="11" t="str">
        <f>"01024622"</f>
        <v>01024622</v>
      </c>
    </row>
    <row r="25105" spans="1:2" x14ac:dyDescent="0.25">
      <c r="A25105" s="2">
        <v>25100</v>
      </c>
      <c r="B25105" s="11" t="str">
        <f>"01024630"</f>
        <v>01024630</v>
      </c>
    </row>
    <row r="25106" spans="1:2" x14ac:dyDescent="0.25">
      <c r="A25106" s="2">
        <v>25101</v>
      </c>
      <c r="B25106" s="11" t="str">
        <f>"01024655"</f>
        <v>01024655</v>
      </c>
    </row>
    <row r="25107" spans="1:2" x14ac:dyDescent="0.25">
      <c r="A25107" s="2">
        <v>25102</v>
      </c>
      <c r="B25107" s="11" t="str">
        <f>"01024664"</f>
        <v>01024664</v>
      </c>
    </row>
    <row r="25108" spans="1:2" x14ac:dyDescent="0.25">
      <c r="A25108" s="2">
        <v>25103</v>
      </c>
      <c r="B25108" s="11" t="str">
        <f>"01024668"</f>
        <v>01024668</v>
      </c>
    </row>
    <row r="25109" spans="1:2" x14ac:dyDescent="0.25">
      <c r="A25109" s="2">
        <v>25104</v>
      </c>
      <c r="B25109" s="11" t="str">
        <f>"01024685"</f>
        <v>01024685</v>
      </c>
    </row>
    <row r="25110" spans="1:2" x14ac:dyDescent="0.25">
      <c r="A25110" s="2">
        <v>25105</v>
      </c>
      <c r="B25110" s="11" t="str">
        <f>"01024688"</f>
        <v>01024688</v>
      </c>
    </row>
    <row r="25111" spans="1:2" x14ac:dyDescent="0.25">
      <c r="A25111" s="2">
        <v>25106</v>
      </c>
      <c r="B25111" s="11" t="str">
        <f>"01024706"</f>
        <v>01024706</v>
      </c>
    </row>
    <row r="25112" spans="1:2" x14ac:dyDescent="0.25">
      <c r="A25112" s="2">
        <v>25107</v>
      </c>
      <c r="B25112" s="11" t="str">
        <f>"01024741"</f>
        <v>01024741</v>
      </c>
    </row>
    <row r="25113" spans="1:2" x14ac:dyDescent="0.25">
      <c r="A25113" s="2">
        <v>25108</v>
      </c>
      <c r="B25113" s="11" t="str">
        <f>"01024760"</f>
        <v>01024760</v>
      </c>
    </row>
    <row r="25114" spans="1:2" x14ac:dyDescent="0.25">
      <c r="A25114" s="2">
        <v>25109</v>
      </c>
      <c r="B25114" s="11" t="str">
        <f>"01024770"</f>
        <v>01024770</v>
      </c>
    </row>
    <row r="25115" spans="1:2" x14ac:dyDescent="0.25">
      <c r="A25115" s="2">
        <v>25110</v>
      </c>
      <c r="B25115" s="11" t="str">
        <f>"01024771"</f>
        <v>01024771</v>
      </c>
    </row>
    <row r="25116" spans="1:2" x14ac:dyDescent="0.25">
      <c r="A25116" s="2">
        <v>25111</v>
      </c>
      <c r="B25116" s="11" t="str">
        <f>"01024782"</f>
        <v>01024782</v>
      </c>
    </row>
    <row r="25117" spans="1:2" x14ac:dyDescent="0.25">
      <c r="A25117" s="2">
        <v>25112</v>
      </c>
      <c r="B25117" s="11" t="str">
        <f>"01024859"</f>
        <v>01024859</v>
      </c>
    </row>
    <row r="25118" spans="1:2" x14ac:dyDescent="0.25">
      <c r="A25118" s="2">
        <v>25113</v>
      </c>
      <c r="B25118" s="11" t="str">
        <f>"01024869"</f>
        <v>01024869</v>
      </c>
    </row>
    <row r="25119" spans="1:2" x14ac:dyDescent="0.25">
      <c r="A25119" s="2">
        <v>25114</v>
      </c>
      <c r="B25119" s="11" t="str">
        <f>"01024882"</f>
        <v>01024882</v>
      </c>
    </row>
    <row r="25120" spans="1:2" x14ac:dyDescent="0.25">
      <c r="A25120" s="2">
        <v>25115</v>
      </c>
      <c r="B25120" s="11" t="str">
        <f>"01024902"</f>
        <v>01024902</v>
      </c>
    </row>
    <row r="25121" spans="1:2" x14ac:dyDescent="0.25">
      <c r="A25121" s="2">
        <v>25116</v>
      </c>
      <c r="B25121" s="11" t="str">
        <f>"01024929"</f>
        <v>01024929</v>
      </c>
    </row>
    <row r="25122" spans="1:2" x14ac:dyDescent="0.25">
      <c r="A25122" s="2">
        <v>25117</v>
      </c>
      <c r="B25122" s="11" t="str">
        <f>"01024940"</f>
        <v>01024940</v>
      </c>
    </row>
    <row r="25123" spans="1:2" x14ac:dyDescent="0.25">
      <c r="A25123" s="2">
        <v>25118</v>
      </c>
      <c r="B25123" s="11" t="str">
        <f>"01024978"</f>
        <v>01024978</v>
      </c>
    </row>
    <row r="25124" spans="1:2" x14ac:dyDescent="0.25">
      <c r="A25124" s="2">
        <v>25119</v>
      </c>
      <c r="B25124" s="11" t="str">
        <f>"01025012"</f>
        <v>01025012</v>
      </c>
    </row>
    <row r="25125" spans="1:2" x14ac:dyDescent="0.25">
      <c r="A25125" s="2">
        <v>25120</v>
      </c>
      <c r="B25125" s="11" t="str">
        <f>"01025086"</f>
        <v>01025086</v>
      </c>
    </row>
    <row r="25126" spans="1:2" x14ac:dyDescent="0.25">
      <c r="A25126" s="2">
        <v>25121</v>
      </c>
      <c r="B25126" s="11" t="str">
        <f>"01025092"</f>
        <v>01025092</v>
      </c>
    </row>
    <row r="25127" spans="1:2" x14ac:dyDescent="0.25">
      <c r="A25127" s="2">
        <v>25122</v>
      </c>
      <c r="B25127" s="11" t="str">
        <f>"01025101"</f>
        <v>01025101</v>
      </c>
    </row>
    <row r="25128" spans="1:2" x14ac:dyDescent="0.25">
      <c r="A25128" s="2">
        <v>25123</v>
      </c>
      <c r="B25128" s="11" t="str">
        <f>"01025164"</f>
        <v>01025164</v>
      </c>
    </row>
    <row r="25129" spans="1:2" x14ac:dyDescent="0.25">
      <c r="A25129" s="2">
        <v>25124</v>
      </c>
      <c r="B25129" s="11" t="str">
        <f>"01025166"</f>
        <v>01025166</v>
      </c>
    </row>
    <row r="25130" spans="1:2" x14ac:dyDescent="0.25">
      <c r="A25130" s="2">
        <v>25125</v>
      </c>
      <c r="B25130" s="11" t="str">
        <f>"01025179"</f>
        <v>01025179</v>
      </c>
    </row>
    <row r="25131" spans="1:2" x14ac:dyDescent="0.25">
      <c r="A25131" s="2">
        <v>25126</v>
      </c>
      <c r="B25131" s="11" t="str">
        <f>"01025185"</f>
        <v>01025185</v>
      </c>
    </row>
    <row r="25132" spans="1:2" x14ac:dyDescent="0.25">
      <c r="A25132" s="2">
        <v>25127</v>
      </c>
      <c r="B25132" s="11" t="str">
        <f>"01025193"</f>
        <v>01025193</v>
      </c>
    </row>
    <row r="25133" spans="1:2" x14ac:dyDescent="0.25">
      <c r="A25133" s="2">
        <v>25128</v>
      </c>
      <c r="B25133" s="11" t="str">
        <f>"01025211"</f>
        <v>01025211</v>
      </c>
    </row>
    <row r="25134" spans="1:2" x14ac:dyDescent="0.25">
      <c r="A25134" s="2">
        <v>25129</v>
      </c>
      <c r="B25134" s="11" t="str">
        <f>"01025259"</f>
        <v>01025259</v>
      </c>
    </row>
    <row r="25135" spans="1:2" x14ac:dyDescent="0.25">
      <c r="A25135" s="2">
        <v>25130</v>
      </c>
      <c r="B25135" s="11" t="str">
        <f>"01025280"</f>
        <v>01025280</v>
      </c>
    </row>
    <row r="25136" spans="1:2" x14ac:dyDescent="0.25">
      <c r="A25136" s="2">
        <v>25131</v>
      </c>
      <c r="B25136" s="11" t="str">
        <f>"01025343"</f>
        <v>01025343</v>
      </c>
    </row>
    <row r="25137" spans="1:2" x14ac:dyDescent="0.25">
      <c r="A25137" s="2">
        <v>25132</v>
      </c>
      <c r="B25137" s="11" t="str">
        <f>"01025348"</f>
        <v>01025348</v>
      </c>
    </row>
    <row r="25138" spans="1:2" x14ac:dyDescent="0.25">
      <c r="A25138" s="2">
        <v>25133</v>
      </c>
      <c r="B25138" s="11" t="str">
        <f>"01025370"</f>
        <v>01025370</v>
      </c>
    </row>
    <row r="25139" spans="1:2" x14ac:dyDescent="0.25">
      <c r="A25139" s="2">
        <v>25134</v>
      </c>
      <c r="B25139" s="11" t="str">
        <f>"01025388"</f>
        <v>01025388</v>
      </c>
    </row>
    <row r="25140" spans="1:2" x14ac:dyDescent="0.25">
      <c r="A25140" s="2">
        <v>25135</v>
      </c>
      <c r="B25140" s="11" t="str">
        <f>"01025399"</f>
        <v>01025399</v>
      </c>
    </row>
    <row r="25141" spans="1:2" x14ac:dyDescent="0.25">
      <c r="A25141" s="2">
        <v>25136</v>
      </c>
      <c r="B25141" s="11" t="str">
        <f>"01025419"</f>
        <v>01025419</v>
      </c>
    </row>
    <row r="25142" spans="1:2" x14ac:dyDescent="0.25">
      <c r="A25142" s="2">
        <v>25137</v>
      </c>
      <c r="B25142" s="11" t="str">
        <f>"01025439"</f>
        <v>01025439</v>
      </c>
    </row>
    <row r="25143" spans="1:2" x14ac:dyDescent="0.25">
      <c r="A25143" s="2">
        <v>25138</v>
      </c>
      <c r="B25143" s="11" t="str">
        <f>"01025471"</f>
        <v>01025471</v>
      </c>
    </row>
    <row r="25144" spans="1:2" x14ac:dyDescent="0.25">
      <c r="A25144" s="2">
        <v>25139</v>
      </c>
      <c r="B25144" s="11" t="str">
        <f>"01025479"</f>
        <v>01025479</v>
      </c>
    </row>
    <row r="25145" spans="1:2" x14ac:dyDescent="0.25">
      <c r="A25145" s="2">
        <v>25140</v>
      </c>
      <c r="B25145" s="11" t="str">
        <f>"01025496"</f>
        <v>01025496</v>
      </c>
    </row>
    <row r="25146" spans="1:2" x14ac:dyDescent="0.25">
      <c r="A25146" s="2">
        <v>25141</v>
      </c>
      <c r="B25146" s="11" t="str">
        <f>"01025509"</f>
        <v>01025509</v>
      </c>
    </row>
    <row r="25147" spans="1:2" x14ac:dyDescent="0.25">
      <c r="A25147" s="2">
        <v>25142</v>
      </c>
      <c r="B25147" s="11" t="str">
        <f>"01025536"</f>
        <v>01025536</v>
      </c>
    </row>
    <row r="25148" spans="1:2" x14ac:dyDescent="0.25">
      <c r="A25148" s="2">
        <v>25143</v>
      </c>
      <c r="B25148" s="11" t="str">
        <f>"01025550"</f>
        <v>01025550</v>
      </c>
    </row>
    <row r="25149" spans="1:2" x14ac:dyDescent="0.25">
      <c r="A25149" s="2">
        <v>25144</v>
      </c>
      <c r="B25149" s="11" t="str">
        <f>"01025584"</f>
        <v>01025584</v>
      </c>
    </row>
    <row r="25150" spans="1:2" x14ac:dyDescent="0.25">
      <c r="A25150" s="2">
        <v>25145</v>
      </c>
      <c r="B25150" s="11" t="str">
        <f>"01025603"</f>
        <v>01025603</v>
      </c>
    </row>
    <row r="25151" spans="1:2" x14ac:dyDescent="0.25">
      <c r="A25151" s="2">
        <v>25146</v>
      </c>
      <c r="B25151" s="11" t="str">
        <f>"01025605"</f>
        <v>01025605</v>
      </c>
    </row>
    <row r="25152" spans="1:2" x14ac:dyDescent="0.25">
      <c r="A25152" s="2">
        <v>25147</v>
      </c>
      <c r="B25152" s="11" t="str">
        <f>"01025625"</f>
        <v>01025625</v>
      </c>
    </row>
    <row r="25153" spans="1:2" x14ac:dyDescent="0.25">
      <c r="A25153" s="2">
        <v>25148</v>
      </c>
      <c r="B25153" s="11" t="str">
        <f>"01025631"</f>
        <v>01025631</v>
      </c>
    </row>
    <row r="25154" spans="1:2" x14ac:dyDescent="0.25">
      <c r="A25154" s="2">
        <v>25149</v>
      </c>
      <c r="B25154" s="11" t="str">
        <f>"01025704"</f>
        <v>01025704</v>
      </c>
    </row>
    <row r="25155" spans="1:2" x14ac:dyDescent="0.25">
      <c r="A25155" s="2">
        <v>25150</v>
      </c>
      <c r="B25155" s="11" t="str">
        <f>"01025846"</f>
        <v>01025846</v>
      </c>
    </row>
    <row r="25156" spans="1:2" x14ac:dyDescent="0.25">
      <c r="A25156" s="2">
        <v>25151</v>
      </c>
      <c r="B25156" s="11" t="str">
        <f>"01025852"</f>
        <v>01025852</v>
      </c>
    </row>
    <row r="25157" spans="1:2" x14ac:dyDescent="0.25">
      <c r="A25157" s="2">
        <v>25152</v>
      </c>
      <c r="B25157" s="11" t="str">
        <f>"01025895"</f>
        <v>01025895</v>
      </c>
    </row>
    <row r="25158" spans="1:2" x14ac:dyDescent="0.25">
      <c r="A25158" s="2">
        <v>25153</v>
      </c>
      <c r="B25158" s="11" t="str">
        <f>"01025900"</f>
        <v>01025900</v>
      </c>
    </row>
    <row r="25159" spans="1:2" x14ac:dyDescent="0.25">
      <c r="A25159" s="2">
        <v>25154</v>
      </c>
      <c r="B25159" s="11" t="str">
        <f>"01025915"</f>
        <v>01025915</v>
      </c>
    </row>
    <row r="25160" spans="1:2" x14ac:dyDescent="0.25">
      <c r="A25160" s="2">
        <v>25155</v>
      </c>
      <c r="B25160" s="11" t="str">
        <f>"01025941"</f>
        <v>01025941</v>
      </c>
    </row>
    <row r="25161" spans="1:2" x14ac:dyDescent="0.25">
      <c r="A25161" s="2">
        <v>25156</v>
      </c>
      <c r="B25161" s="11" t="str">
        <f>"01025971"</f>
        <v>01025971</v>
      </c>
    </row>
    <row r="25162" spans="1:2" x14ac:dyDescent="0.25">
      <c r="A25162" s="2">
        <v>25157</v>
      </c>
      <c r="B25162" s="11" t="str">
        <f>"01025986"</f>
        <v>01025986</v>
      </c>
    </row>
    <row r="25163" spans="1:2" x14ac:dyDescent="0.25">
      <c r="A25163" s="2">
        <v>25158</v>
      </c>
      <c r="B25163" s="11" t="str">
        <f>"01025999"</f>
        <v>01025999</v>
      </c>
    </row>
    <row r="25164" spans="1:2" x14ac:dyDescent="0.25">
      <c r="A25164" s="2">
        <v>25159</v>
      </c>
      <c r="B25164" s="11" t="str">
        <f>"01026002"</f>
        <v>01026002</v>
      </c>
    </row>
    <row r="25165" spans="1:2" x14ac:dyDescent="0.25">
      <c r="A25165" s="2">
        <v>25160</v>
      </c>
      <c r="B25165" s="11" t="str">
        <f>"01026038"</f>
        <v>01026038</v>
      </c>
    </row>
    <row r="25166" spans="1:2" x14ac:dyDescent="0.25">
      <c r="A25166" s="2">
        <v>25161</v>
      </c>
      <c r="B25166" s="11" t="str">
        <f>"01026060"</f>
        <v>01026060</v>
      </c>
    </row>
    <row r="25167" spans="1:2" x14ac:dyDescent="0.25">
      <c r="A25167" s="2">
        <v>25162</v>
      </c>
      <c r="B25167" s="11" t="str">
        <f>"01026085"</f>
        <v>01026085</v>
      </c>
    </row>
    <row r="25168" spans="1:2" x14ac:dyDescent="0.25">
      <c r="A25168" s="2">
        <v>25163</v>
      </c>
      <c r="B25168" s="11" t="str">
        <f>"01026104"</f>
        <v>01026104</v>
      </c>
    </row>
    <row r="25169" spans="1:2" x14ac:dyDescent="0.25">
      <c r="A25169" s="2">
        <v>25164</v>
      </c>
      <c r="B25169" s="11" t="str">
        <f>"01026110"</f>
        <v>01026110</v>
      </c>
    </row>
    <row r="25170" spans="1:2" x14ac:dyDescent="0.25">
      <c r="A25170" s="2">
        <v>25165</v>
      </c>
      <c r="B25170" s="11" t="str">
        <f>"01026131"</f>
        <v>01026131</v>
      </c>
    </row>
    <row r="25171" spans="1:2" x14ac:dyDescent="0.25">
      <c r="A25171" s="2">
        <v>25166</v>
      </c>
      <c r="B25171" s="11" t="str">
        <f>"01026157"</f>
        <v>01026157</v>
      </c>
    </row>
    <row r="25172" spans="1:2" x14ac:dyDescent="0.25">
      <c r="A25172" s="2">
        <v>25167</v>
      </c>
      <c r="B25172" s="11" t="str">
        <f>"01026194"</f>
        <v>01026194</v>
      </c>
    </row>
    <row r="25173" spans="1:2" x14ac:dyDescent="0.25">
      <c r="A25173" s="2">
        <v>25168</v>
      </c>
      <c r="B25173" s="11" t="str">
        <f>"01026246"</f>
        <v>01026246</v>
      </c>
    </row>
    <row r="25174" spans="1:2" x14ac:dyDescent="0.25">
      <c r="A25174" s="2">
        <v>25169</v>
      </c>
      <c r="B25174" s="11" t="str">
        <f>"01026249"</f>
        <v>01026249</v>
      </c>
    </row>
    <row r="25175" spans="1:2" x14ac:dyDescent="0.25">
      <c r="A25175" s="2">
        <v>25170</v>
      </c>
      <c r="B25175" s="11" t="str">
        <f>"01026288"</f>
        <v>01026288</v>
      </c>
    </row>
    <row r="25176" spans="1:2" x14ac:dyDescent="0.25">
      <c r="A25176" s="2">
        <v>25171</v>
      </c>
      <c r="B25176" s="11" t="str">
        <f>"01026296"</f>
        <v>01026296</v>
      </c>
    </row>
    <row r="25177" spans="1:2" x14ac:dyDescent="0.25">
      <c r="A25177" s="2">
        <v>25172</v>
      </c>
      <c r="B25177" s="11" t="str">
        <f>"01026304"</f>
        <v>01026304</v>
      </c>
    </row>
    <row r="25178" spans="1:2" x14ac:dyDescent="0.25">
      <c r="A25178" s="2">
        <v>25173</v>
      </c>
      <c r="B25178" s="11" t="str">
        <f>"01026308"</f>
        <v>01026308</v>
      </c>
    </row>
    <row r="25179" spans="1:2" x14ac:dyDescent="0.25">
      <c r="A25179" s="2">
        <v>25174</v>
      </c>
      <c r="B25179" s="11" t="str">
        <f>"01026322"</f>
        <v>01026322</v>
      </c>
    </row>
    <row r="25180" spans="1:2" x14ac:dyDescent="0.25">
      <c r="A25180" s="2">
        <v>25175</v>
      </c>
      <c r="B25180" s="11" t="str">
        <f>"01026335"</f>
        <v>01026335</v>
      </c>
    </row>
    <row r="25181" spans="1:2" x14ac:dyDescent="0.25">
      <c r="A25181" s="2">
        <v>25176</v>
      </c>
      <c r="B25181" s="11" t="str">
        <f>"01026339"</f>
        <v>01026339</v>
      </c>
    </row>
    <row r="25182" spans="1:2" x14ac:dyDescent="0.25">
      <c r="A25182" s="2">
        <v>25177</v>
      </c>
      <c r="B25182" s="11" t="str">
        <f>"01026348"</f>
        <v>01026348</v>
      </c>
    </row>
    <row r="25183" spans="1:2" x14ac:dyDescent="0.25">
      <c r="A25183" s="2">
        <v>25178</v>
      </c>
      <c r="B25183" s="11" t="str">
        <f>"01026375"</f>
        <v>01026375</v>
      </c>
    </row>
    <row r="25184" spans="1:2" x14ac:dyDescent="0.25">
      <c r="A25184" s="2">
        <v>25179</v>
      </c>
      <c r="B25184" s="11" t="str">
        <f>"01026388"</f>
        <v>01026388</v>
      </c>
    </row>
    <row r="25185" spans="1:2" x14ac:dyDescent="0.25">
      <c r="A25185" s="2">
        <v>25180</v>
      </c>
      <c r="B25185" s="11" t="str">
        <f>"01026459"</f>
        <v>01026459</v>
      </c>
    </row>
    <row r="25186" spans="1:2" x14ac:dyDescent="0.25">
      <c r="A25186" s="2">
        <v>25181</v>
      </c>
      <c r="B25186" s="11" t="str">
        <f>"01026552"</f>
        <v>01026552</v>
      </c>
    </row>
    <row r="25187" spans="1:2" x14ac:dyDescent="0.25">
      <c r="A25187" s="2">
        <v>25182</v>
      </c>
      <c r="B25187" s="11" t="str">
        <f>"01026564"</f>
        <v>01026564</v>
      </c>
    </row>
    <row r="25188" spans="1:2" x14ac:dyDescent="0.25">
      <c r="A25188" s="2">
        <v>25183</v>
      </c>
      <c r="B25188" s="11" t="str">
        <f>"01026567"</f>
        <v>01026567</v>
      </c>
    </row>
    <row r="25189" spans="1:2" x14ac:dyDescent="0.25">
      <c r="A25189" s="2">
        <v>25184</v>
      </c>
      <c r="B25189" s="11" t="str">
        <f>"01026573"</f>
        <v>01026573</v>
      </c>
    </row>
    <row r="25190" spans="1:2" x14ac:dyDescent="0.25">
      <c r="A25190" s="2">
        <v>25185</v>
      </c>
      <c r="B25190" s="11" t="str">
        <f>"01026586"</f>
        <v>01026586</v>
      </c>
    </row>
    <row r="25191" spans="1:2" x14ac:dyDescent="0.25">
      <c r="A25191" s="2">
        <v>25186</v>
      </c>
      <c r="B25191" s="11" t="str">
        <f>"01026602"</f>
        <v>01026602</v>
      </c>
    </row>
    <row r="25192" spans="1:2" x14ac:dyDescent="0.25">
      <c r="A25192" s="2">
        <v>25187</v>
      </c>
      <c r="B25192" s="11" t="str">
        <f>"01026612"</f>
        <v>01026612</v>
      </c>
    </row>
    <row r="25193" spans="1:2" x14ac:dyDescent="0.25">
      <c r="A25193" s="2">
        <v>25188</v>
      </c>
      <c r="B25193" s="11" t="str">
        <f>"01026670"</f>
        <v>01026670</v>
      </c>
    </row>
    <row r="25194" spans="1:2" x14ac:dyDescent="0.25">
      <c r="A25194" s="2">
        <v>25189</v>
      </c>
      <c r="B25194" s="11" t="str">
        <f>"01026693"</f>
        <v>01026693</v>
      </c>
    </row>
    <row r="25195" spans="1:2" x14ac:dyDescent="0.25">
      <c r="A25195" s="2">
        <v>25190</v>
      </c>
      <c r="B25195" s="11" t="str">
        <f>"01026699"</f>
        <v>01026699</v>
      </c>
    </row>
    <row r="25196" spans="1:2" x14ac:dyDescent="0.25">
      <c r="A25196" s="2">
        <v>25191</v>
      </c>
      <c r="B25196" s="11" t="str">
        <f>"01026705"</f>
        <v>01026705</v>
      </c>
    </row>
    <row r="25197" spans="1:2" x14ac:dyDescent="0.25">
      <c r="A25197" s="2">
        <v>25192</v>
      </c>
      <c r="B25197" s="11" t="str">
        <f>"01026759"</f>
        <v>01026759</v>
      </c>
    </row>
    <row r="25198" spans="1:2" x14ac:dyDescent="0.25">
      <c r="A25198" s="2">
        <v>25193</v>
      </c>
      <c r="B25198" s="11" t="str">
        <f>"01026766"</f>
        <v>01026766</v>
      </c>
    </row>
    <row r="25199" spans="1:2" x14ac:dyDescent="0.25">
      <c r="A25199" s="2">
        <v>25194</v>
      </c>
      <c r="B25199" s="11" t="str">
        <f>"01026785"</f>
        <v>01026785</v>
      </c>
    </row>
    <row r="25200" spans="1:2" x14ac:dyDescent="0.25">
      <c r="A25200" s="2">
        <v>25195</v>
      </c>
      <c r="B25200" s="11" t="str">
        <f>"01026825"</f>
        <v>01026825</v>
      </c>
    </row>
    <row r="25201" spans="1:2" x14ac:dyDescent="0.25">
      <c r="A25201" s="2">
        <v>25196</v>
      </c>
      <c r="B25201" s="11" t="str">
        <f>"01026829"</f>
        <v>01026829</v>
      </c>
    </row>
    <row r="25202" spans="1:2" x14ac:dyDescent="0.25">
      <c r="A25202" s="2">
        <v>25197</v>
      </c>
      <c r="B25202" s="11" t="str">
        <f>"01026834"</f>
        <v>01026834</v>
      </c>
    </row>
    <row r="25203" spans="1:2" x14ac:dyDescent="0.25">
      <c r="A25203" s="2">
        <v>25198</v>
      </c>
      <c r="B25203" s="11" t="str">
        <f>"01026837"</f>
        <v>01026837</v>
      </c>
    </row>
    <row r="25204" spans="1:2" x14ac:dyDescent="0.25">
      <c r="A25204" s="2">
        <v>25199</v>
      </c>
      <c r="B25204" s="11" t="str">
        <f>"01026873"</f>
        <v>01026873</v>
      </c>
    </row>
    <row r="25205" spans="1:2" x14ac:dyDescent="0.25">
      <c r="A25205" s="2">
        <v>25200</v>
      </c>
      <c r="B25205" s="11" t="str">
        <f>"01026893"</f>
        <v>01026893</v>
      </c>
    </row>
    <row r="25206" spans="1:2" x14ac:dyDescent="0.25">
      <c r="A25206" s="2">
        <v>25201</v>
      </c>
      <c r="B25206" s="11" t="str">
        <f>"01026904"</f>
        <v>01026904</v>
      </c>
    </row>
    <row r="25207" spans="1:2" x14ac:dyDescent="0.25">
      <c r="A25207" s="2">
        <v>25202</v>
      </c>
      <c r="B25207" s="11" t="str">
        <f>"01026915"</f>
        <v>01026915</v>
      </c>
    </row>
    <row r="25208" spans="1:2" x14ac:dyDescent="0.25">
      <c r="A25208" s="2">
        <v>25203</v>
      </c>
      <c r="B25208" s="11" t="str">
        <f>"01026920"</f>
        <v>01026920</v>
      </c>
    </row>
    <row r="25209" spans="1:2" x14ac:dyDescent="0.25">
      <c r="A25209" s="2">
        <v>25204</v>
      </c>
      <c r="B25209" s="11" t="str">
        <f>"01026931"</f>
        <v>01026931</v>
      </c>
    </row>
    <row r="25210" spans="1:2" x14ac:dyDescent="0.25">
      <c r="A25210" s="2">
        <v>25205</v>
      </c>
      <c r="B25210" s="11" t="str">
        <f>"01026938"</f>
        <v>01026938</v>
      </c>
    </row>
    <row r="25211" spans="1:2" x14ac:dyDescent="0.25">
      <c r="A25211" s="2">
        <v>25206</v>
      </c>
      <c r="B25211" s="11" t="str">
        <f>"01026940"</f>
        <v>01026940</v>
      </c>
    </row>
    <row r="25212" spans="1:2" x14ac:dyDescent="0.25">
      <c r="A25212" s="2">
        <v>25207</v>
      </c>
      <c r="B25212" s="11" t="str">
        <f>"01026962"</f>
        <v>01026962</v>
      </c>
    </row>
    <row r="25213" spans="1:2" x14ac:dyDescent="0.25">
      <c r="A25213" s="2">
        <v>25208</v>
      </c>
      <c r="B25213" s="11" t="str">
        <f>"01027042"</f>
        <v>01027042</v>
      </c>
    </row>
    <row r="25214" spans="1:2" x14ac:dyDescent="0.25">
      <c r="A25214" s="2">
        <v>25209</v>
      </c>
      <c r="B25214" s="11" t="str">
        <f>"01027058"</f>
        <v>01027058</v>
      </c>
    </row>
    <row r="25215" spans="1:2" x14ac:dyDescent="0.25">
      <c r="A25215" s="2">
        <v>25210</v>
      </c>
      <c r="B25215" s="11" t="str">
        <f>"01027095"</f>
        <v>01027095</v>
      </c>
    </row>
    <row r="25216" spans="1:2" x14ac:dyDescent="0.25">
      <c r="A25216" s="2">
        <v>25211</v>
      </c>
      <c r="B25216" s="11" t="str">
        <f>"01027120"</f>
        <v>01027120</v>
      </c>
    </row>
    <row r="25217" spans="1:2" x14ac:dyDescent="0.25">
      <c r="A25217" s="2">
        <v>25212</v>
      </c>
      <c r="B25217" s="11" t="str">
        <f>"01027147"</f>
        <v>01027147</v>
      </c>
    </row>
    <row r="25218" spans="1:2" x14ac:dyDescent="0.25">
      <c r="A25218" s="2">
        <v>25213</v>
      </c>
      <c r="B25218" s="11" t="str">
        <f>"01027148"</f>
        <v>01027148</v>
      </c>
    </row>
    <row r="25219" spans="1:2" x14ac:dyDescent="0.25">
      <c r="A25219" s="2">
        <v>25214</v>
      </c>
      <c r="B25219" s="11" t="str">
        <f>"01027194"</f>
        <v>01027194</v>
      </c>
    </row>
    <row r="25220" spans="1:2" x14ac:dyDescent="0.25">
      <c r="A25220" s="2">
        <v>25215</v>
      </c>
      <c r="B25220" s="11" t="str">
        <f>"01027198"</f>
        <v>01027198</v>
      </c>
    </row>
    <row r="25221" spans="1:2" x14ac:dyDescent="0.25">
      <c r="A25221" s="2">
        <v>25216</v>
      </c>
      <c r="B25221" s="11" t="str">
        <f>"01027213"</f>
        <v>01027213</v>
      </c>
    </row>
    <row r="25222" spans="1:2" x14ac:dyDescent="0.25">
      <c r="A25222" s="2">
        <v>25217</v>
      </c>
      <c r="B25222" s="11" t="str">
        <f>"01027224"</f>
        <v>01027224</v>
      </c>
    </row>
    <row r="25223" spans="1:2" x14ac:dyDescent="0.25">
      <c r="A25223" s="2">
        <v>25218</v>
      </c>
      <c r="B25223" s="11" t="str">
        <f>"01027248"</f>
        <v>01027248</v>
      </c>
    </row>
    <row r="25224" spans="1:2" x14ac:dyDescent="0.25">
      <c r="A25224" s="2">
        <v>25219</v>
      </c>
      <c r="B25224" s="11" t="str">
        <f>"01027251"</f>
        <v>01027251</v>
      </c>
    </row>
    <row r="25225" spans="1:2" x14ac:dyDescent="0.25">
      <c r="A25225" s="2">
        <v>25220</v>
      </c>
      <c r="B25225" s="11" t="str">
        <f>"01027256"</f>
        <v>01027256</v>
      </c>
    </row>
    <row r="25226" spans="1:2" x14ac:dyDescent="0.25">
      <c r="A25226" s="2">
        <v>25221</v>
      </c>
      <c r="B25226" s="11" t="str">
        <f>"01027271"</f>
        <v>01027271</v>
      </c>
    </row>
    <row r="25227" spans="1:2" x14ac:dyDescent="0.25">
      <c r="A25227" s="2">
        <v>25222</v>
      </c>
      <c r="B25227" s="11" t="str">
        <f>"01027296"</f>
        <v>01027296</v>
      </c>
    </row>
    <row r="25228" spans="1:2" x14ac:dyDescent="0.25">
      <c r="A25228" s="2">
        <v>25223</v>
      </c>
      <c r="B25228" s="11" t="str">
        <f>"01027333"</f>
        <v>01027333</v>
      </c>
    </row>
    <row r="25229" spans="1:2" x14ac:dyDescent="0.25">
      <c r="A25229" s="2">
        <v>25224</v>
      </c>
      <c r="B25229" s="11" t="str">
        <f>"01027349"</f>
        <v>01027349</v>
      </c>
    </row>
    <row r="25230" spans="1:2" x14ac:dyDescent="0.25">
      <c r="A25230" s="2">
        <v>25225</v>
      </c>
      <c r="B25230" s="11" t="str">
        <f>"01027356"</f>
        <v>01027356</v>
      </c>
    </row>
    <row r="25231" spans="1:2" x14ac:dyDescent="0.25">
      <c r="A25231" s="2">
        <v>25226</v>
      </c>
      <c r="B25231" s="11" t="str">
        <f>"01027363"</f>
        <v>01027363</v>
      </c>
    </row>
    <row r="25232" spans="1:2" x14ac:dyDescent="0.25">
      <c r="A25232" s="2">
        <v>25227</v>
      </c>
      <c r="B25232" s="11" t="str">
        <f>"01027367"</f>
        <v>01027367</v>
      </c>
    </row>
    <row r="25233" spans="1:2" x14ac:dyDescent="0.25">
      <c r="A25233" s="2">
        <v>25228</v>
      </c>
      <c r="B25233" s="11" t="str">
        <f>"01027379"</f>
        <v>01027379</v>
      </c>
    </row>
    <row r="25234" spans="1:2" x14ac:dyDescent="0.25">
      <c r="A25234" s="2">
        <v>25229</v>
      </c>
      <c r="B25234" s="11" t="str">
        <f>"01027387"</f>
        <v>01027387</v>
      </c>
    </row>
    <row r="25235" spans="1:2" x14ac:dyDescent="0.25">
      <c r="A25235" s="2">
        <v>25230</v>
      </c>
      <c r="B25235" s="11" t="str">
        <f>"01027425"</f>
        <v>01027425</v>
      </c>
    </row>
    <row r="25236" spans="1:2" x14ac:dyDescent="0.25">
      <c r="A25236" s="2">
        <v>25231</v>
      </c>
      <c r="B25236" s="11" t="str">
        <f>"01027479"</f>
        <v>01027479</v>
      </c>
    </row>
    <row r="25237" spans="1:2" x14ac:dyDescent="0.25">
      <c r="A25237" s="2">
        <v>25232</v>
      </c>
      <c r="B25237" s="11" t="str">
        <f>"01027491"</f>
        <v>01027491</v>
      </c>
    </row>
    <row r="25238" spans="1:2" x14ac:dyDescent="0.25">
      <c r="A25238" s="2">
        <v>25233</v>
      </c>
      <c r="B25238" s="11" t="str">
        <f>"01027516"</f>
        <v>01027516</v>
      </c>
    </row>
    <row r="25239" spans="1:2" x14ac:dyDescent="0.25">
      <c r="A25239" s="2">
        <v>25234</v>
      </c>
      <c r="B25239" s="11" t="str">
        <f>"01027524"</f>
        <v>01027524</v>
      </c>
    </row>
    <row r="25240" spans="1:2" x14ac:dyDescent="0.25">
      <c r="A25240" s="2">
        <v>25235</v>
      </c>
      <c r="B25240" s="11" t="str">
        <f>"01027529"</f>
        <v>01027529</v>
      </c>
    </row>
    <row r="25241" spans="1:2" x14ac:dyDescent="0.25">
      <c r="A25241" s="2">
        <v>25236</v>
      </c>
      <c r="B25241" s="11" t="str">
        <f>"01027563"</f>
        <v>01027563</v>
      </c>
    </row>
    <row r="25242" spans="1:2" x14ac:dyDescent="0.25">
      <c r="A25242" s="2">
        <v>25237</v>
      </c>
      <c r="B25242" s="11" t="str">
        <f>"01027602"</f>
        <v>01027602</v>
      </c>
    </row>
    <row r="25243" spans="1:2" x14ac:dyDescent="0.25">
      <c r="A25243" s="2">
        <v>25238</v>
      </c>
      <c r="B25243" s="11" t="str">
        <f>"01027612"</f>
        <v>01027612</v>
      </c>
    </row>
    <row r="25244" spans="1:2" x14ac:dyDescent="0.25">
      <c r="A25244" s="2">
        <v>25239</v>
      </c>
      <c r="B25244" s="11" t="str">
        <f>"01027616"</f>
        <v>01027616</v>
      </c>
    </row>
    <row r="25245" spans="1:2" x14ac:dyDescent="0.25">
      <c r="A25245" s="2">
        <v>25240</v>
      </c>
      <c r="B25245" s="11" t="str">
        <f>"01027649"</f>
        <v>01027649</v>
      </c>
    </row>
    <row r="25246" spans="1:2" x14ac:dyDescent="0.25">
      <c r="A25246" s="2">
        <v>25241</v>
      </c>
      <c r="B25246" s="11" t="str">
        <f>"01027652"</f>
        <v>01027652</v>
      </c>
    </row>
    <row r="25247" spans="1:2" x14ac:dyDescent="0.25">
      <c r="A25247" s="2">
        <v>25242</v>
      </c>
      <c r="B25247" s="11" t="str">
        <f>"01027662"</f>
        <v>01027662</v>
      </c>
    </row>
    <row r="25248" spans="1:2" x14ac:dyDescent="0.25">
      <c r="A25248" s="2">
        <v>25243</v>
      </c>
      <c r="B25248" s="11" t="str">
        <f>"01027666"</f>
        <v>01027666</v>
      </c>
    </row>
    <row r="25249" spans="1:2" x14ac:dyDescent="0.25">
      <c r="A25249" s="2">
        <v>25244</v>
      </c>
      <c r="B25249" s="11" t="str">
        <f>"01027670"</f>
        <v>01027670</v>
      </c>
    </row>
    <row r="25250" spans="1:2" x14ac:dyDescent="0.25">
      <c r="A25250" s="2">
        <v>25245</v>
      </c>
      <c r="B25250" s="11" t="str">
        <f>"01027698"</f>
        <v>01027698</v>
      </c>
    </row>
    <row r="25251" spans="1:2" x14ac:dyDescent="0.25">
      <c r="A25251" s="2">
        <v>25246</v>
      </c>
      <c r="B25251" s="11" t="str">
        <f>"01027703"</f>
        <v>01027703</v>
      </c>
    </row>
    <row r="25252" spans="1:2" x14ac:dyDescent="0.25">
      <c r="A25252" s="2">
        <v>25247</v>
      </c>
      <c r="B25252" s="11" t="str">
        <f>"01027709"</f>
        <v>01027709</v>
      </c>
    </row>
    <row r="25253" spans="1:2" x14ac:dyDescent="0.25">
      <c r="A25253" s="2">
        <v>25248</v>
      </c>
      <c r="B25253" s="11" t="str">
        <f>"01027725"</f>
        <v>01027725</v>
      </c>
    </row>
    <row r="25254" spans="1:2" x14ac:dyDescent="0.25">
      <c r="A25254" s="2">
        <v>25249</v>
      </c>
      <c r="B25254" s="11" t="str">
        <f>"01027755"</f>
        <v>01027755</v>
      </c>
    </row>
    <row r="25255" spans="1:2" x14ac:dyDescent="0.25">
      <c r="A25255" s="2">
        <v>25250</v>
      </c>
      <c r="B25255" s="11" t="str">
        <f>"01027799"</f>
        <v>01027799</v>
      </c>
    </row>
    <row r="25256" spans="1:2" x14ac:dyDescent="0.25">
      <c r="A25256" s="2">
        <v>25251</v>
      </c>
      <c r="B25256" s="11" t="str">
        <f>"01027803"</f>
        <v>01027803</v>
      </c>
    </row>
    <row r="25257" spans="1:2" x14ac:dyDescent="0.25">
      <c r="A25257" s="2">
        <v>25252</v>
      </c>
      <c r="B25257" s="11" t="str">
        <f>"01027832"</f>
        <v>01027832</v>
      </c>
    </row>
    <row r="25258" spans="1:2" x14ac:dyDescent="0.25">
      <c r="A25258" s="2">
        <v>25253</v>
      </c>
      <c r="B25258" s="11" t="str">
        <f>"01027833"</f>
        <v>01027833</v>
      </c>
    </row>
    <row r="25259" spans="1:2" x14ac:dyDescent="0.25">
      <c r="A25259" s="2">
        <v>25254</v>
      </c>
      <c r="B25259" s="11" t="str">
        <f>"01027861"</f>
        <v>01027861</v>
      </c>
    </row>
    <row r="25260" spans="1:2" x14ac:dyDescent="0.25">
      <c r="A25260" s="2">
        <v>25255</v>
      </c>
      <c r="B25260" s="11" t="str">
        <f>"01027902"</f>
        <v>01027902</v>
      </c>
    </row>
    <row r="25261" spans="1:2" x14ac:dyDescent="0.25">
      <c r="A25261" s="2">
        <v>25256</v>
      </c>
      <c r="B25261" s="11" t="str">
        <f>"01027909"</f>
        <v>01027909</v>
      </c>
    </row>
    <row r="25262" spans="1:2" x14ac:dyDescent="0.25">
      <c r="A25262" s="2">
        <v>25257</v>
      </c>
      <c r="B25262" s="11" t="str">
        <f>"01027910"</f>
        <v>01027910</v>
      </c>
    </row>
    <row r="25263" spans="1:2" x14ac:dyDescent="0.25">
      <c r="A25263" s="2">
        <v>25258</v>
      </c>
      <c r="B25263" s="11" t="str">
        <f>"01027932"</f>
        <v>01027932</v>
      </c>
    </row>
    <row r="25264" spans="1:2" x14ac:dyDescent="0.25">
      <c r="A25264" s="2">
        <v>25259</v>
      </c>
      <c r="B25264" s="11" t="str">
        <f>"01027943"</f>
        <v>01027943</v>
      </c>
    </row>
    <row r="25265" spans="1:2" x14ac:dyDescent="0.25">
      <c r="A25265" s="2">
        <v>25260</v>
      </c>
      <c r="B25265" s="11" t="str">
        <f>"01027946"</f>
        <v>01027946</v>
      </c>
    </row>
    <row r="25266" spans="1:2" x14ac:dyDescent="0.25">
      <c r="A25266" s="2">
        <v>25261</v>
      </c>
      <c r="B25266" s="11" t="str">
        <f>"01027961"</f>
        <v>01027961</v>
      </c>
    </row>
    <row r="25267" spans="1:2" x14ac:dyDescent="0.25">
      <c r="A25267" s="2">
        <v>25262</v>
      </c>
      <c r="B25267" s="11" t="str">
        <f>"01027963"</f>
        <v>01027963</v>
      </c>
    </row>
    <row r="25268" spans="1:2" x14ac:dyDescent="0.25">
      <c r="A25268" s="2">
        <v>25263</v>
      </c>
      <c r="B25268" s="11" t="str">
        <f>"01028000"</f>
        <v>01028000</v>
      </c>
    </row>
    <row r="25269" spans="1:2" x14ac:dyDescent="0.25">
      <c r="A25269" s="2">
        <v>25264</v>
      </c>
      <c r="B25269" s="11" t="str">
        <f>"01028010"</f>
        <v>01028010</v>
      </c>
    </row>
    <row r="25270" spans="1:2" x14ac:dyDescent="0.25">
      <c r="A25270" s="2">
        <v>25265</v>
      </c>
      <c r="B25270" s="11" t="str">
        <f>"01028058"</f>
        <v>01028058</v>
      </c>
    </row>
    <row r="25271" spans="1:2" x14ac:dyDescent="0.25">
      <c r="A25271" s="2">
        <v>25266</v>
      </c>
      <c r="B25271" s="11" t="str">
        <f>"01028061"</f>
        <v>01028061</v>
      </c>
    </row>
    <row r="25272" spans="1:2" x14ac:dyDescent="0.25">
      <c r="A25272" s="2">
        <v>25267</v>
      </c>
      <c r="B25272" s="11" t="str">
        <f>"01028083"</f>
        <v>01028083</v>
      </c>
    </row>
    <row r="25273" spans="1:2" x14ac:dyDescent="0.25">
      <c r="A25273" s="2">
        <v>25268</v>
      </c>
      <c r="B25273" s="11" t="str">
        <f>"01028086"</f>
        <v>01028086</v>
      </c>
    </row>
    <row r="25274" spans="1:2" x14ac:dyDescent="0.25">
      <c r="A25274" s="2">
        <v>25269</v>
      </c>
      <c r="B25274" s="11" t="str">
        <f>"01028098"</f>
        <v>01028098</v>
      </c>
    </row>
    <row r="25275" spans="1:2" x14ac:dyDescent="0.25">
      <c r="A25275" s="2">
        <v>25270</v>
      </c>
      <c r="B25275" s="11" t="str">
        <f>"01028119"</f>
        <v>01028119</v>
      </c>
    </row>
    <row r="25276" spans="1:2" x14ac:dyDescent="0.25">
      <c r="A25276" s="2">
        <v>25271</v>
      </c>
      <c r="B25276" s="11" t="str">
        <f>"01028168"</f>
        <v>01028168</v>
      </c>
    </row>
    <row r="25277" spans="1:2" x14ac:dyDescent="0.25">
      <c r="A25277" s="2">
        <v>25272</v>
      </c>
      <c r="B25277" s="11" t="str">
        <f>"01028185"</f>
        <v>01028185</v>
      </c>
    </row>
    <row r="25278" spans="1:2" x14ac:dyDescent="0.25">
      <c r="A25278" s="2">
        <v>25273</v>
      </c>
      <c r="B25278" s="11" t="str">
        <f>"01028216"</f>
        <v>01028216</v>
      </c>
    </row>
    <row r="25279" spans="1:2" x14ac:dyDescent="0.25">
      <c r="A25279" s="2">
        <v>25274</v>
      </c>
      <c r="B25279" s="11" t="str">
        <f>"01028220"</f>
        <v>01028220</v>
      </c>
    </row>
    <row r="25280" spans="1:2" x14ac:dyDescent="0.25">
      <c r="A25280" s="2">
        <v>25275</v>
      </c>
      <c r="B25280" s="11" t="str">
        <f>"01028223"</f>
        <v>01028223</v>
      </c>
    </row>
    <row r="25281" spans="1:2" x14ac:dyDescent="0.25">
      <c r="A25281" s="2">
        <v>25276</v>
      </c>
      <c r="B25281" s="11" t="str">
        <f>"01028231"</f>
        <v>01028231</v>
      </c>
    </row>
    <row r="25282" spans="1:2" x14ac:dyDescent="0.25">
      <c r="A25282" s="2">
        <v>25277</v>
      </c>
      <c r="B25282" s="11" t="str">
        <f>"01028252"</f>
        <v>01028252</v>
      </c>
    </row>
    <row r="25283" spans="1:2" x14ac:dyDescent="0.25">
      <c r="A25283" s="2">
        <v>25278</v>
      </c>
      <c r="B25283" s="11" t="str">
        <f>"01028261"</f>
        <v>01028261</v>
      </c>
    </row>
    <row r="25284" spans="1:2" x14ac:dyDescent="0.25">
      <c r="A25284" s="2">
        <v>25279</v>
      </c>
      <c r="B25284" s="11" t="str">
        <f>"01028263"</f>
        <v>01028263</v>
      </c>
    </row>
    <row r="25285" spans="1:2" x14ac:dyDescent="0.25">
      <c r="A25285" s="2">
        <v>25280</v>
      </c>
      <c r="B25285" s="11" t="str">
        <f>"01028271"</f>
        <v>01028271</v>
      </c>
    </row>
    <row r="25286" spans="1:2" x14ac:dyDescent="0.25">
      <c r="A25286" s="2">
        <v>25281</v>
      </c>
      <c r="B25286" s="11" t="str">
        <f>"01028276"</f>
        <v>01028276</v>
      </c>
    </row>
    <row r="25287" spans="1:2" x14ac:dyDescent="0.25">
      <c r="A25287" s="2">
        <v>25282</v>
      </c>
      <c r="B25287" s="11" t="str">
        <f>"01028311"</f>
        <v>01028311</v>
      </c>
    </row>
    <row r="25288" spans="1:2" x14ac:dyDescent="0.25">
      <c r="A25288" s="2">
        <v>25283</v>
      </c>
      <c r="B25288" s="11" t="str">
        <f>"01028342"</f>
        <v>01028342</v>
      </c>
    </row>
    <row r="25289" spans="1:2" x14ac:dyDescent="0.25">
      <c r="A25289" s="2">
        <v>25284</v>
      </c>
      <c r="B25289" s="11" t="str">
        <f>"01028361"</f>
        <v>01028361</v>
      </c>
    </row>
    <row r="25290" spans="1:2" x14ac:dyDescent="0.25">
      <c r="A25290" s="2">
        <v>25285</v>
      </c>
      <c r="B25290" s="11" t="str">
        <f>"01028458"</f>
        <v>01028458</v>
      </c>
    </row>
    <row r="25291" spans="1:2" x14ac:dyDescent="0.25">
      <c r="A25291" s="2">
        <v>25286</v>
      </c>
      <c r="B25291" s="11" t="str">
        <f>"01028462"</f>
        <v>01028462</v>
      </c>
    </row>
    <row r="25292" spans="1:2" x14ac:dyDescent="0.25">
      <c r="A25292" s="2">
        <v>25287</v>
      </c>
      <c r="B25292" s="11" t="str">
        <f>"01028532"</f>
        <v>01028532</v>
      </c>
    </row>
    <row r="25293" spans="1:2" x14ac:dyDescent="0.25">
      <c r="A25293" s="2">
        <v>25288</v>
      </c>
      <c r="B25293" s="11" t="str">
        <f>"01028538"</f>
        <v>01028538</v>
      </c>
    </row>
    <row r="25294" spans="1:2" x14ac:dyDescent="0.25">
      <c r="A25294" s="2">
        <v>25289</v>
      </c>
      <c r="B25294" s="11" t="str">
        <f>"01028547"</f>
        <v>01028547</v>
      </c>
    </row>
    <row r="25295" spans="1:2" x14ac:dyDescent="0.25">
      <c r="A25295" s="2">
        <v>25290</v>
      </c>
      <c r="B25295" s="11" t="str">
        <f>"01028576"</f>
        <v>01028576</v>
      </c>
    </row>
    <row r="25296" spans="1:2" x14ac:dyDescent="0.25">
      <c r="A25296" s="2">
        <v>25291</v>
      </c>
      <c r="B25296" s="11" t="str">
        <f>"01028582"</f>
        <v>01028582</v>
      </c>
    </row>
    <row r="25297" spans="1:2" x14ac:dyDescent="0.25">
      <c r="A25297" s="2">
        <v>25292</v>
      </c>
      <c r="B25297" s="11" t="str">
        <f>"01028636"</f>
        <v>01028636</v>
      </c>
    </row>
    <row r="25298" spans="1:2" x14ac:dyDescent="0.25">
      <c r="A25298" s="2">
        <v>25293</v>
      </c>
      <c r="B25298" s="11" t="str">
        <f>"01028637"</f>
        <v>01028637</v>
      </c>
    </row>
    <row r="25299" spans="1:2" x14ac:dyDescent="0.25">
      <c r="A25299" s="2">
        <v>25294</v>
      </c>
      <c r="B25299" s="11" t="str">
        <f>"01028675"</f>
        <v>01028675</v>
      </c>
    </row>
    <row r="25300" spans="1:2" x14ac:dyDescent="0.25">
      <c r="A25300" s="2">
        <v>25295</v>
      </c>
      <c r="B25300" s="11" t="str">
        <f>"01028729"</f>
        <v>01028729</v>
      </c>
    </row>
    <row r="25301" spans="1:2" x14ac:dyDescent="0.25">
      <c r="A25301" s="2">
        <v>25296</v>
      </c>
      <c r="B25301" s="11" t="str">
        <f>"01028745"</f>
        <v>01028745</v>
      </c>
    </row>
    <row r="25302" spans="1:2" x14ac:dyDescent="0.25">
      <c r="A25302" s="2">
        <v>25297</v>
      </c>
      <c r="B25302" s="11" t="str">
        <f>"01028764"</f>
        <v>01028764</v>
      </c>
    </row>
    <row r="25303" spans="1:2" x14ac:dyDescent="0.25">
      <c r="A25303" s="2">
        <v>25298</v>
      </c>
      <c r="B25303" s="11" t="str">
        <f>"01028792"</f>
        <v>01028792</v>
      </c>
    </row>
    <row r="25304" spans="1:2" x14ac:dyDescent="0.25">
      <c r="A25304" s="2">
        <v>25299</v>
      </c>
      <c r="B25304" s="11" t="str">
        <f>"01028808"</f>
        <v>01028808</v>
      </c>
    </row>
    <row r="25305" spans="1:2" x14ac:dyDescent="0.25">
      <c r="A25305" s="2">
        <v>25300</v>
      </c>
      <c r="B25305" s="11" t="str">
        <f>"01028812"</f>
        <v>01028812</v>
      </c>
    </row>
    <row r="25306" spans="1:2" x14ac:dyDescent="0.25">
      <c r="A25306" s="2">
        <v>25301</v>
      </c>
      <c r="B25306" s="11" t="str">
        <f>"01028888"</f>
        <v>01028888</v>
      </c>
    </row>
    <row r="25307" spans="1:2" x14ac:dyDescent="0.25">
      <c r="A25307" s="2">
        <v>25302</v>
      </c>
      <c r="B25307" s="11" t="str">
        <f>"01028892"</f>
        <v>01028892</v>
      </c>
    </row>
    <row r="25308" spans="1:2" x14ac:dyDescent="0.25">
      <c r="A25308" s="2">
        <v>25303</v>
      </c>
      <c r="B25308" s="11" t="str">
        <f>"01028910"</f>
        <v>01028910</v>
      </c>
    </row>
    <row r="25309" spans="1:2" x14ac:dyDescent="0.25">
      <c r="A25309" s="2">
        <v>25304</v>
      </c>
      <c r="B25309" s="11" t="str">
        <f>"01028922"</f>
        <v>01028922</v>
      </c>
    </row>
    <row r="25310" spans="1:2" x14ac:dyDescent="0.25">
      <c r="A25310" s="2">
        <v>25305</v>
      </c>
      <c r="B25310" s="11" t="str">
        <f>"01029006"</f>
        <v>01029006</v>
      </c>
    </row>
    <row r="25311" spans="1:2" x14ac:dyDescent="0.25">
      <c r="A25311" s="2">
        <v>25306</v>
      </c>
      <c r="B25311" s="11" t="str">
        <f>"01029029"</f>
        <v>01029029</v>
      </c>
    </row>
    <row r="25312" spans="1:2" x14ac:dyDescent="0.25">
      <c r="A25312" s="2">
        <v>25307</v>
      </c>
      <c r="B25312" s="11" t="str">
        <f>"01029038"</f>
        <v>01029038</v>
      </c>
    </row>
    <row r="25313" spans="1:2" x14ac:dyDescent="0.25">
      <c r="A25313" s="2">
        <v>25308</v>
      </c>
      <c r="B25313" s="11" t="str">
        <f>"01029050"</f>
        <v>01029050</v>
      </c>
    </row>
    <row r="25314" spans="1:2" x14ac:dyDescent="0.25">
      <c r="A25314" s="2">
        <v>25309</v>
      </c>
      <c r="B25314" s="11" t="str">
        <f>"01029051"</f>
        <v>01029051</v>
      </c>
    </row>
    <row r="25315" spans="1:2" x14ac:dyDescent="0.25">
      <c r="A25315" s="2">
        <v>25310</v>
      </c>
      <c r="B25315" s="11" t="str">
        <f>"01029053"</f>
        <v>01029053</v>
      </c>
    </row>
    <row r="25316" spans="1:2" x14ac:dyDescent="0.25">
      <c r="A25316" s="2">
        <v>25311</v>
      </c>
      <c r="B25316" s="11" t="str">
        <f>"01029057"</f>
        <v>01029057</v>
      </c>
    </row>
    <row r="25317" spans="1:2" x14ac:dyDescent="0.25">
      <c r="A25317" s="2">
        <v>25312</v>
      </c>
      <c r="B25317" s="11" t="str">
        <f>"01029070"</f>
        <v>01029070</v>
      </c>
    </row>
    <row r="25318" spans="1:2" x14ac:dyDescent="0.25">
      <c r="A25318" s="2">
        <v>25313</v>
      </c>
      <c r="B25318" s="11" t="str">
        <f>"01029134"</f>
        <v>01029134</v>
      </c>
    </row>
    <row r="25319" spans="1:2" x14ac:dyDescent="0.25">
      <c r="A25319" s="2">
        <v>25314</v>
      </c>
      <c r="B25319" s="11" t="str">
        <f>"01029135"</f>
        <v>01029135</v>
      </c>
    </row>
    <row r="25320" spans="1:2" x14ac:dyDescent="0.25">
      <c r="A25320" s="2">
        <v>25315</v>
      </c>
      <c r="B25320" s="11" t="str">
        <f>"01029161"</f>
        <v>01029161</v>
      </c>
    </row>
    <row r="25321" spans="1:2" x14ac:dyDescent="0.25">
      <c r="A25321" s="2">
        <v>25316</v>
      </c>
      <c r="B25321" s="11" t="str">
        <f>"01029169"</f>
        <v>01029169</v>
      </c>
    </row>
    <row r="25322" spans="1:2" x14ac:dyDescent="0.25">
      <c r="A25322" s="2">
        <v>25317</v>
      </c>
      <c r="B25322" s="11" t="str">
        <f>"01029171"</f>
        <v>01029171</v>
      </c>
    </row>
    <row r="25323" spans="1:2" x14ac:dyDescent="0.25">
      <c r="A25323" s="2">
        <v>25318</v>
      </c>
      <c r="B25323" s="11" t="str">
        <f>"01029179"</f>
        <v>01029179</v>
      </c>
    </row>
    <row r="25324" spans="1:2" x14ac:dyDescent="0.25">
      <c r="A25324" s="2">
        <v>25319</v>
      </c>
      <c r="B25324" s="11" t="str">
        <f>"01029220"</f>
        <v>01029220</v>
      </c>
    </row>
    <row r="25325" spans="1:2" x14ac:dyDescent="0.25">
      <c r="A25325" s="2">
        <v>25320</v>
      </c>
      <c r="B25325" s="11" t="str">
        <f>"01029231"</f>
        <v>01029231</v>
      </c>
    </row>
    <row r="25326" spans="1:2" x14ac:dyDescent="0.25">
      <c r="A25326" s="2">
        <v>25321</v>
      </c>
      <c r="B25326" s="11" t="str">
        <f>"01029270"</f>
        <v>01029270</v>
      </c>
    </row>
    <row r="25327" spans="1:2" x14ac:dyDescent="0.25">
      <c r="A25327" s="2">
        <v>25322</v>
      </c>
      <c r="B25327" s="11" t="str">
        <f>"01029299"</f>
        <v>01029299</v>
      </c>
    </row>
    <row r="25328" spans="1:2" x14ac:dyDescent="0.25">
      <c r="A25328" s="2">
        <v>25323</v>
      </c>
      <c r="B25328" s="11" t="str">
        <f>"01029321"</f>
        <v>01029321</v>
      </c>
    </row>
    <row r="25329" spans="1:2" x14ac:dyDescent="0.25">
      <c r="A25329" s="2">
        <v>25324</v>
      </c>
      <c r="B25329" s="11" t="str">
        <f>"01029378"</f>
        <v>01029378</v>
      </c>
    </row>
    <row r="25330" spans="1:2" x14ac:dyDescent="0.25">
      <c r="A25330" s="2">
        <v>25325</v>
      </c>
      <c r="B25330" s="11" t="str">
        <f>"01029422"</f>
        <v>01029422</v>
      </c>
    </row>
    <row r="25331" spans="1:2" x14ac:dyDescent="0.25">
      <c r="A25331" s="2">
        <v>25326</v>
      </c>
      <c r="B25331" s="11" t="str">
        <f>"01029431"</f>
        <v>01029431</v>
      </c>
    </row>
    <row r="25332" spans="1:2" x14ac:dyDescent="0.25">
      <c r="A25332" s="2">
        <v>25327</v>
      </c>
      <c r="B25332" s="11" t="str">
        <f>"01029432"</f>
        <v>01029432</v>
      </c>
    </row>
    <row r="25333" spans="1:2" x14ac:dyDescent="0.25">
      <c r="A25333" s="2">
        <v>25328</v>
      </c>
      <c r="B25333" s="11" t="str">
        <f>"01029465"</f>
        <v>01029465</v>
      </c>
    </row>
    <row r="25334" spans="1:2" x14ac:dyDescent="0.25">
      <c r="A25334" s="2">
        <v>25329</v>
      </c>
      <c r="B25334" s="11" t="str">
        <f>"01029532"</f>
        <v>01029532</v>
      </c>
    </row>
    <row r="25335" spans="1:2" x14ac:dyDescent="0.25">
      <c r="A25335" s="2">
        <v>25330</v>
      </c>
      <c r="B25335" s="11" t="str">
        <f>"01029599"</f>
        <v>01029599</v>
      </c>
    </row>
    <row r="25336" spans="1:2" x14ac:dyDescent="0.25">
      <c r="A25336" s="2">
        <v>25331</v>
      </c>
      <c r="B25336" s="11" t="str">
        <f>"01029643"</f>
        <v>01029643</v>
      </c>
    </row>
    <row r="25337" spans="1:2" x14ac:dyDescent="0.25">
      <c r="A25337" s="2">
        <v>25332</v>
      </c>
      <c r="B25337" s="11" t="str">
        <f>"01029673"</f>
        <v>01029673</v>
      </c>
    </row>
    <row r="25338" spans="1:2" x14ac:dyDescent="0.25">
      <c r="A25338" s="2">
        <v>25333</v>
      </c>
      <c r="B25338" s="11" t="str">
        <f>"01029677"</f>
        <v>01029677</v>
      </c>
    </row>
    <row r="25339" spans="1:2" x14ac:dyDescent="0.25">
      <c r="A25339" s="2">
        <v>25334</v>
      </c>
      <c r="B25339" s="11" t="str">
        <f>"01029683"</f>
        <v>01029683</v>
      </c>
    </row>
    <row r="25340" spans="1:2" x14ac:dyDescent="0.25">
      <c r="A25340" s="2">
        <v>25335</v>
      </c>
      <c r="B25340" s="11" t="str">
        <f>"01029686"</f>
        <v>01029686</v>
      </c>
    </row>
    <row r="25341" spans="1:2" x14ac:dyDescent="0.25">
      <c r="A25341" s="2">
        <v>25336</v>
      </c>
      <c r="B25341" s="11" t="str">
        <f>"01029721"</f>
        <v>01029721</v>
      </c>
    </row>
    <row r="25342" spans="1:2" x14ac:dyDescent="0.25">
      <c r="A25342" s="2">
        <v>25337</v>
      </c>
      <c r="B25342" s="11" t="str">
        <f>"01029732"</f>
        <v>01029732</v>
      </c>
    </row>
    <row r="25343" spans="1:2" x14ac:dyDescent="0.25">
      <c r="A25343" s="2">
        <v>25338</v>
      </c>
      <c r="B25343" s="11" t="str">
        <f>"01029743"</f>
        <v>01029743</v>
      </c>
    </row>
    <row r="25344" spans="1:2" x14ac:dyDescent="0.25">
      <c r="A25344" s="2">
        <v>25339</v>
      </c>
      <c r="B25344" s="11" t="str">
        <f>"01029744"</f>
        <v>01029744</v>
      </c>
    </row>
    <row r="25345" spans="1:2" x14ac:dyDescent="0.25">
      <c r="A25345" s="2">
        <v>25340</v>
      </c>
      <c r="B25345" s="11" t="str">
        <f>"01029771"</f>
        <v>01029771</v>
      </c>
    </row>
    <row r="25346" spans="1:2" x14ac:dyDescent="0.25">
      <c r="A25346" s="2">
        <v>25341</v>
      </c>
      <c r="B25346" s="11" t="str">
        <f>"01029812"</f>
        <v>01029812</v>
      </c>
    </row>
    <row r="25347" spans="1:2" x14ac:dyDescent="0.25">
      <c r="A25347" s="2">
        <v>25342</v>
      </c>
      <c r="B25347" s="11" t="str">
        <f>"01029813"</f>
        <v>01029813</v>
      </c>
    </row>
    <row r="25348" spans="1:2" x14ac:dyDescent="0.25">
      <c r="A25348" s="2">
        <v>25343</v>
      </c>
      <c r="B25348" s="11" t="str">
        <f>"01029845"</f>
        <v>01029845</v>
      </c>
    </row>
    <row r="25349" spans="1:2" x14ac:dyDescent="0.25">
      <c r="A25349" s="2">
        <v>25344</v>
      </c>
      <c r="B25349" s="11" t="str">
        <f>"01029866"</f>
        <v>01029866</v>
      </c>
    </row>
    <row r="25350" spans="1:2" x14ac:dyDescent="0.25">
      <c r="A25350" s="2">
        <v>25345</v>
      </c>
      <c r="B25350" s="11" t="str">
        <f>"01029912"</f>
        <v>01029912</v>
      </c>
    </row>
    <row r="25351" spans="1:2" x14ac:dyDescent="0.25">
      <c r="A25351" s="2">
        <v>25346</v>
      </c>
      <c r="B25351" s="11" t="str">
        <f>"01029919"</f>
        <v>01029919</v>
      </c>
    </row>
    <row r="25352" spans="1:2" x14ac:dyDescent="0.25">
      <c r="A25352" s="2">
        <v>25347</v>
      </c>
      <c r="B25352" s="11" t="str">
        <f>"01029921"</f>
        <v>01029921</v>
      </c>
    </row>
    <row r="25353" spans="1:2" x14ac:dyDescent="0.25">
      <c r="A25353" s="2">
        <v>25348</v>
      </c>
      <c r="B25353" s="11" t="str">
        <f>"01029940"</f>
        <v>01029940</v>
      </c>
    </row>
    <row r="25354" spans="1:2" x14ac:dyDescent="0.25">
      <c r="A25354" s="2">
        <v>25349</v>
      </c>
      <c r="B25354" s="11" t="str">
        <f>"01029958"</f>
        <v>01029958</v>
      </c>
    </row>
    <row r="25355" spans="1:2" x14ac:dyDescent="0.25">
      <c r="A25355" s="2">
        <v>25350</v>
      </c>
      <c r="B25355" s="11" t="str">
        <f>"01029989"</f>
        <v>01029989</v>
      </c>
    </row>
    <row r="25356" spans="1:2" x14ac:dyDescent="0.25">
      <c r="A25356" s="2">
        <v>25351</v>
      </c>
      <c r="B25356" s="11" t="str">
        <f>"01029992"</f>
        <v>01029992</v>
      </c>
    </row>
    <row r="25357" spans="1:2" x14ac:dyDescent="0.25">
      <c r="A25357" s="2">
        <v>25352</v>
      </c>
      <c r="B25357" s="11" t="str">
        <f>"01030022"</f>
        <v>01030022</v>
      </c>
    </row>
    <row r="25358" spans="1:2" x14ac:dyDescent="0.25">
      <c r="A25358" s="2">
        <v>25353</v>
      </c>
      <c r="B25358" s="11" t="str">
        <f>"01030055"</f>
        <v>01030055</v>
      </c>
    </row>
    <row r="25359" spans="1:2" x14ac:dyDescent="0.25">
      <c r="A25359" s="2">
        <v>25354</v>
      </c>
      <c r="B25359" s="11" t="str">
        <f>"01030072"</f>
        <v>01030072</v>
      </c>
    </row>
    <row r="25360" spans="1:2" x14ac:dyDescent="0.25">
      <c r="A25360" s="2">
        <v>25355</v>
      </c>
      <c r="B25360" s="11" t="str">
        <f>"01030081"</f>
        <v>01030081</v>
      </c>
    </row>
    <row r="25361" spans="1:2" x14ac:dyDescent="0.25">
      <c r="A25361" s="2">
        <v>25356</v>
      </c>
      <c r="B25361" s="11" t="str">
        <f>"01030098"</f>
        <v>01030098</v>
      </c>
    </row>
    <row r="25362" spans="1:2" x14ac:dyDescent="0.25">
      <c r="A25362" s="2">
        <v>25357</v>
      </c>
      <c r="B25362" s="11" t="str">
        <f>"01030124"</f>
        <v>01030124</v>
      </c>
    </row>
    <row r="25363" spans="1:2" x14ac:dyDescent="0.25">
      <c r="A25363" s="2">
        <v>25358</v>
      </c>
      <c r="B25363" s="11" t="str">
        <f>"01030130"</f>
        <v>01030130</v>
      </c>
    </row>
    <row r="25364" spans="1:2" x14ac:dyDescent="0.25">
      <c r="A25364" s="2">
        <v>25359</v>
      </c>
      <c r="B25364" s="11" t="str">
        <f>"01030156"</f>
        <v>01030156</v>
      </c>
    </row>
    <row r="25365" spans="1:2" x14ac:dyDescent="0.25">
      <c r="A25365" s="2">
        <v>25360</v>
      </c>
      <c r="B25365" s="11" t="str">
        <f>"01030174"</f>
        <v>01030174</v>
      </c>
    </row>
    <row r="25366" spans="1:2" x14ac:dyDescent="0.25">
      <c r="A25366" s="2">
        <v>25361</v>
      </c>
      <c r="B25366" s="11" t="str">
        <f>"01030175"</f>
        <v>01030175</v>
      </c>
    </row>
    <row r="25367" spans="1:2" x14ac:dyDescent="0.25">
      <c r="A25367" s="2">
        <v>25362</v>
      </c>
      <c r="B25367" s="11" t="str">
        <f>"01030180"</f>
        <v>01030180</v>
      </c>
    </row>
    <row r="25368" spans="1:2" x14ac:dyDescent="0.25">
      <c r="A25368" s="2">
        <v>25363</v>
      </c>
      <c r="B25368" s="11" t="str">
        <f>"01030182"</f>
        <v>01030182</v>
      </c>
    </row>
    <row r="25369" spans="1:2" x14ac:dyDescent="0.25">
      <c r="A25369" s="2">
        <v>25364</v>
      </c>
      <c r="B25369" s="11" t="str">
        <f>"01030217"</f>
        <v>01030217</v>
      </c>
    </row>
    <row r="25370" spans="1:2" x14ac:dyDescent="0.25">
      <c r="A25370" s="2">
        <v>25365</v>
      </c>
      <c r="B25370" s="11" t="str">
        <f>"01030224"</f>
        <v>01030224</v>
      </c>
    </row>
    <row r="25371" spans="1:2" x14ac:dyDescent="0.25">
      <c r="A25371" s="2">
        <v>25366</v>
      </c>
      <c r="B25371" s="11" t="str">
        <f>"01030227"</f>
        <v>01030227</v>
      </c>
    </row>
    <row r="25372" spans="1:2" x14ac:dyDescent="0.25">
      <c r="A25372" s="2">
        <v>25367</v>
      </c>
      <c r="B25372" s="11" t="str">
        <f>"01030241"</f>
        <v>01030241</v>
      </c>
    </row>
    <row r="25373" spans="1:2" x14ac:dyDescent="0.25">
      <c r="A25373" s="2">
        <v>25368</v>
      </c>
      <c r="B25373" s="11" t="str">
        <f>"01030259"</f>
        <v>01030259</v>
      </c>
    </row>
    <row r="25374" spans="1:2" x14ac:dyDescent="0.25">
      <c r="A25374" s="2">
        <v>25369</v>
      </c>
      <c r="B25374" s="11" t="str">
        <f>"01030265"</f>
        <v>01030265</v>
      </c>
    </row>
    <row r="25375" spans="1:2" x14ac:dyDescent="0.25">
      <c r="A25375" s="2">
        <v>25370</v>
      </c>
      <c r="B25375" s="11" t="str">
        <f>"01030270"</f>
        <v>01030270</v>
      </c>
    </row>
    <row r="25376" spans="1:2" x14ac:dyDescent="0.25">
      <c r="A25376" s="2">
        <v>25371</v>
      </c>
      <c r="B25376" s="11" t="str">
        <f>"01030271"</f>
        <v>01030271</v>
      </c>
    </row>
    <row r="25377" spans="1:2" x14ac:dyDescent="0.25">
      <c r="A25377" s="2">
        <v>25372</v>
      </c>
      <c r="B25377" s="11" t="str">
        <f>"01030273"</f>
        <v>01030273</v>
      </c>
    </row>
    <row r="25378" spans="1:2" x14ac:dyDescent="0.25">
      <c r="A25378" s="2">
        <v>25373</v>
      </c>
      <c r="B25378" s="11" t="str">
        <f>"01030282"</f>
        <v>01030282</v>
      </c>
    </row>
    <row r="25379" spans="1:2" x14ac:dyDescent="0.25">
      <c r="A25379" s="2">
        <v>25374</v>
      </c>
      <c r="B25379" s="11" t="str">
        <f>"01030303"</f>
        <v>01030303</v>
      </c>
    </row>
    <row r="25380" spans="1:2" x14ac:dyDescent="0.25">
      <c r="A25380" s="2">
        <v>25375</v>
      </c>
      <c r="B25380" s="11" t="str">
        <f>"01030309"</f>
        <v>01030309</v>
      </c>
    </row>
    <row r="25381" spans="1:2" x14ac:dyDescent="0.25">
      <c r="A25381" s="2">
        <v>25376</v>
      </c>
      <c r="B25381" s="11" t="str">
        <f>"01030337"</f>
        <v>01030337</v>
      </c>
    </row>
    <row r="25382" spans="1:2" x14ac:dyDescent="0.25">
      <c r="A25382" s="2">
        <v>25377</v>
      </c>
      <c r="B25382" s="11" t="str">
        <f>"01030344"</f>
        <v>01030344</v>
      </c>
    </row>
    <row r="25383" spans="1:2" x14ac:dyDescent="0.25">
      <c r="A25383" s="2">
        <v>25378</v>
      </c>
      <c r="B25383" s="11" t="str">
        <f>"01030373"</f>
        <v>01030373</v>
      </c>
    </row>
    <row r="25384" spans="1:2" x14ac:dyDescent="0.25">
      <c r="A25384" s="2">
        <v>25379</v>
      </c>
      <c r="B25384" s="11" t="str">
        <f>"01030381"</f>
        <v>01030381</v>
      </c>
    </row>
    <row r="25385" spans="1:2" x14ac:dyDescent="0.25">
      <c r="A25385" s="2">
        <v>25380</v>
      </c>
      <c r="B25385" s="11" t="str">
        <f>"01030400"</f>
        <v>01030400</v>
      </c>
    </row>
    <row r="25386" spans="1:2" x14ac:dyDescent="0.25">
      <c r="A25386" s="2">
        <v>25381</v>
      </c>
      <c r="B25386" s="11" t="str">
        <f>"01030415"</f>
        <v>01030415</v>
      </c>
    </row>
    <row r="25387" spans="1:2" x14ac:dyDescent="0.25">
      <c r="A25387" s="2">
        <v>25382</v>
      </c>
      <c r="B25387" s="11" t="str">
        <f>"01030416"</f>
        <v>01030416</v>
      </c>
    </row>
    <row r="25388" spans="1:2" x14ac:dyDescent="0.25">
      <c r="A25388" s="2">
        <v>25383</v>
      </c>
      <c r="B25388" s="11" t="str">
        <f>"01030431"</f>
        <v>01030431</v>
      </c>
    </row>
    <row r="25389" spans="1:2" x14ac:dyDescent="0.25">
      <c r="A25389" s="2">
        <v>25384</v>
      </c>
      <c r="B25389" s="11" t="str">
        <f>"01030439"</f>
        <v>01030439</v>
      </c>
    </row>
    <row r="25390" spans="1:2" x14ac:dyDescent="0.25">
      <c r="A25390" s="2">
        <v>25385</v>
      </c>
      <c r="B25390" s="11" t="str">
        <f>"01030445"</f>
        <v>01030445</v>
      </c>
    </row>
    <row r="25391" spans="1:2" x14ac:dyDescent="0.25">
      <c r="A25391" s="2">
        <v>25386</v>
      </c>
      <c r="B25391" s="11" t="str">
        <f>"01030462"</f>
        <v>01030462</v>
      </c>
    </row>
    <row r="25392" spans="1:2" x14ac:dyDescent="0.25">
      <c r="A25392" s="2">
        <v>25387</v>
      </c>
      <c r="B25392" s="11" t="str">
        <f>"01030464"</f>
        <v>01030464</v>
      </c>
    </row>
    <row r="25393" spans="1:2" x14ac:dyDescent="0.25">
      <c r="A25393" s="2">
        <v>25388</v>
      </c>
      <c r="B25393" s="11" t="str">
        <f>"01030491"</f>
        <v>01030491</v>
      </c>
    </row>
    <row r="25394" spans="1:2" x14ac:dyDescent="0.25">
      <c r="A25394" s="2">
        <v>25389</v>
      </c>
      <c r="B25394" s="11" t="str">
        <f>"01030509"</f>
        <v>01030509</v>
      </c>
    </row>
    <row r="25395" spans="1:2" x14ac:dyDescent="0.25">
      <c r="A25395" s="2">
        <v>25390</v>
      </c>
      <c r="B25395" s="11" t="str">
        <f>"01030512"</f>
        <v>01030512</v>
      </c>
    </row>
    <row r="25396" spans="1:2" x14ac:dyDescent="0.25">
      <c r="A25396" s="2">
        <v>25391</v>
      </c>
      <c r="B25396" s="11" t="str">
        <f>"01030533"</f>
        <v>01030533</v>
      </c>
    </row>
    <row r="25397" spans="1:2" x14ac:dyDescent="0.25">
      <c r="A25397" s="2">
        <v>25392</v>
      </c>
      <c r="B25397" s="11" t="str">
        <f>"01030560"</f>
        <v>01030560</v>
      </c>
    </row>
    <row r="25398" spans="1:2" x14ac:dyDescent="0.25">
      <c r="A25398" s="2">
        <v>25393</v>
      </c>
      <c r="B25398" s="11" t="str">
        <f>"01030585"</f>
        <v>01030585</v>
      </c>
    </row>
    <row r="25399" spans="1:2" x14ac:dyDescent="0.25">
      <c r="A25399" s="2">
        <v>25394</v>
      </c>
      <c r="B25399" s="11" t="str">
        <f>"01030591"</f>
        <v>01030591</v>
      </c>
    </row>
    <row r="25400" spans="1:2" x14ac:dyDescent="0.25">
      <c r="A25400" s="2">
        <v>25395</v>
      </c>
      <c r="B25400" s="11" t="str">
        <f>"01030646"</f>
        <v>01030646</v>
      </c>
    </row>
    <row r="25401" spans="1:2" x14ac:dyDescent="0.25">
      <c r="A25401" s="2">
        <v>25396</v>
      </c>
      <c r="B25401" s="11" t="str">
        <f>"01030659"</f>
        <v>01030659</v>
      </c>
    </row>
    <row r="25402" spans="1:2" x14ac:dyDescent="0.25">
      <c r="A25402" s="2">
        <v>25397</v>
      </c>
      <c r="B25402" s="11" t="str">
        <f>"01030670"</f>
        <v>01030670</v>
      </c>
    </row>
    <row r="25403" spans="1:2" x14ac:dyDescent="0.25">
      <c r="A25403" s="2">
        <v>25398</v>
      </c>
      <c r="B25403" s="11" t="str">
        <f>"01030682"</f>
        <v>01030682</v>
      </c>
    </row>
    <row r="25404" spans="1:2" x14ac:dyDescent="0.25">
      <c r="A25404" s="2">
        <v>25399</v>
      </c>
      <c r="B25404" s="11" t="str">
        <f>"01030686"</f>
        <v>01030686</v>
      </c>
    </row>
    <row r="25405" spans="1:2" x14ac:dyDescent="0.25">
      <c r="A25405" s="2">
        <v>25400</v>
      </c>
      <c r="B25405" s="11" t="str">
        <f>"01030708"</f>
        <v>01030708</v>
      </c>
    </row>
    <row r="25406" spans="1:2" x14ac:dyDescent="0.25">
      <c r="A25406" s="2">
        <v>25401</v>
      </c>
      <c r="B25406" s="11" t="str">
        <f>"01030715"</f>
        <v>01030715</v>
      </c>
    </row>
    <row r="25407" spans="1:2" x14ac:dyDescent="0.25">
      <c r="A25407" s="2">
        <v>25402</v>
      </c>
      <c r="B25407" s="11" t="str">
        <f>"01030729"</f>
        <v>01030729</v>
      </c>
    </row>
    <row r="25408" spans="1:2" x14ac:dyDescent="0.25">
      <c r="A25408" s="2">
        <v>25403</v>
      </c>
      <c r="B25408" s="11" t="str">
        <f>"01030739"</f>
        <v>01030739</v>
      </c>
    </row>
    <row r="25409" spans="1:2" x14ac:dyDescent="0.25">
      <c r="A25409" s="2">
        <v>25404</v>
      </c>
      <c r="B25409" s="11" t="str">
        <f>"01030748"</f>
        <v>01030748</v>
      </c>
    </row>
    <row r="25410" spans="1:2" x14ac:dyDescent="0.25">
      <c r="A25410" s="2">
        <v>25405</v>
      </c>
      <c r="B25410" s="11" t="str">
        <f>"01030763"</f>
        <v>01030763</v>
      </c>
    </row>
    <row r="25411" spans="1:2" x14ac:dyDescent="0.25">
      <c r="A25411" s="2">
        <v>25406</v>
      </c>
      <c r="B25411" s="11" t="str">
        <f>"01030770"</f>
        <v>01030770</v>
      </c>
    </row>
    <row r="25412" spans="1:2" x14ac:dyDescent="0.25">
      <c r="A25412" s="2">
        <v>25407</v>
      </c>
      <c r="B25412" s="11" t="str">
        <f>"01030772"</f>
        <v>01030772</v>
      </c>
    </row>
    <row r="25413" spans="1:2" x14ac:dyDescent="0.25">
      <c r="A25413" s="2">
        <v>25408</v>
      </c>
      <c r="B25413" s="11" t="str">
        <f>"01030774"</f>
        <v>01030774</v>
      </c>
    </row>
    <row r="25414" spans="1:2" x14ac:dyDescent="0.25">
      <c r="A25414" s="2">
        <v>25409</v>
      </c>
      <c r="B25414" s="11" t="str">
        <f>"01030790"</f>
        <v>01030790</v>
      </c>
    </row>
    <row r="25415" spans="1:2" x14ac:dyDescent="0.25">
      <c r="A25415" s="2">
        <v>25410</v>
      </c>
      <c r="B25415" s="11" t="str">
        <f>"01030800"</f>
        <v>01030800</v>
      </c>
    </row>
    <row r="25416" spans="1:2" x14ac:dyDescent="0.25">
      <c r="A25416" s="2">
        <v>25411</v>
      </c>
      <c r="B25416" s="11" t="str">
        <f>"01030802"</f>
        <v>01030802</v>
      </c>
    </row>
    <row r="25417" spans="1:2" x14ac:dyDescent="0.25">
      <c r="A25417" s="2">
        <v>25412</v>
      </c>
      <c r="B25417" s="11" t="str">
        <f>"01030826"</f>
        <v>01030826</v>
      </c>
    </row>
    <row r="25418" spans="1:2" x14ac:dyDescent="0.25">
      <c r="A25418" s="2">
        <v>25413</v>
      </c>
      <c r="B25418" s="11" t="str">
        <f>"01030843"</f>
        <v>01030843</v>
      </c>
    </row>
    <row r="25419" spans="1:2" x14ac:dyDescent="0.25">
      <c r="A25419" s="2">
        <v>25414</v>
      </c>
      <c r="B25419" s="11" t="str">
        <f>"01030850"</f>
        <v>01030850</v>
      </c>
    </row>
    <row r="25420" spans="1:2" x14ac:dyDescent="0.25">
      <c r="A25420" s="2">
        <v>25415</v>
      </c>
      <c r="B25420" s="11" t="str">
        <f>"01030858"</f>
        <v>01030858</v>
      </c>
    </row>
    <row r="25421" spans="1:2" x14ac:dyDescent="0.25">
      <c r="A25421" s="2">
        <v>25416</v>
      </c>
      <c r="B25421" s="11" t="str">
        <f>"01030873"</f>
        <v>01030873</v>
      </c>
    </row>
    <row r="25422" spans="1:2" x14ac:dyDescent="0.25">
      <c r="A25422" s="2">
        <v>25417</v>
      </c>
      <c r="B25422" s="11" t="str">
        <f>"01030882"</f>
        <v>01030882</v>
      </c>
    </row>
    <row r="25423" spans="1:2" x14ac:dyDescent="0.25">
      <c r="A25423" s="2">
        <v>25418</v>
      </c>
      <c r="B25423" s="11" t="str">
        <f>"01030912"</f>
        <v>01030912</v>
      </c>
    </row>
    <row r="25424" spans="1:2" x14ac:dyDescent="0.25">
      <c r="A25424" s="2">
        <v>25419</v>
      </c>
      <c r="B25424" s="11" t="str">
        <f>"01030953"</f>
        <v>01030953</v>
      </c>
    </row>
    <row r="25425" spans="1:2" x14ac:dyDescent="0.25">
      <c r="A25425" s="2">
        <v>25420</v>
      </c>
      <c r="B25425" s="11" t="str">
        <f>"01030964"</f>
        <v>01030964</v>
      </c>
    </row>
    <row r="25426" spans="1:2" x14ac:dyDescent="0.25">
      <c r="A25426" s="2">
        <v>25421</v>
      </c>
      <c r="B25426" s="11" t="str">
        <f>"01030971"</f>
        <v>01030971</v>
      </c>
    </row>
    <row r="25427" spans="1:2" x14ac:dyDescent="0.25">
      <c r="A25427" s="2">
        <v>25422</v>
      </c>
      <c r="B25427" s="11" t="str">
        <f>"01030978"</f>
        <v>01030978</v>
      </c>
    </row>
    <row r="25428" spans="1:2" x14ac:dyDescent="0.25">
      <c r="A25428" s="2">
        <v>25423</v>
      </c>
      <c r="B25428" s="11" t="str">
        <f>"01030992"</f>
        <v>01030992</v>
      </c>
    </row>
    <row r="25429" spans="1:2" x14ac:dyDescent="0.25">
      <c r="A25429" s="2">
        <v>25424</v>
      </c>
      <c r="B25429" s="11" t="str">
        <f>"01031002"</f>
        <v>01031002</v>
      </c>
    </row>
    <row r="25430" spans="1:2" x14ac:dyDescent="0.25">
      <c r="A25430" s="2">
        <v>25425</v>
      </c>
      <c r="B25430" s="11" t="str">
        <f>"01031014"</f>
        <v>01031014</v>
      </c>
    </row>
    <row r="25431" spans="1:2" x14ac:dyDescent="0.25">
      <c r="A25431" s="2">
        <v>25426</v>
      </c>
      <c r="B25431" s="11" t="str">
        <f>"01031018"</f>
        <v>01031018</v>
      </c>
    </row>
    <row r="25432" spans="1:2" x14ac:dyDescent="0.25">
      <c r="A25432" s="2">
        <v>25427</v>
      </c>
      <c r="B25432" s="11" t="str">
        <f>"01031028"</f>
        <v>01031028</v>
      </c>
    </row>
    <row r="25433" spans="1:2" x14ac:dyDescent="0.25">
      <c r="A25433" s="2">
        <v>25428</v>
      </c>
      <c r="B25433" s="11" t="str">
        <f>"01031036"</f>
        <v>01031036</v>
      </c>
    </row>
    <row r="25434" spans="1:2" x14ac:dyDescent="0.25">
      <c r="A25434" s="2">
        <v>25429</v>
      </c>
      <c r="B25434" s="11" t="str">
        <f>"01031054"</f>
        <v>01031054</v>
      </c>
    </row>
    <row r="25435" spans="1:2" x14ac:dyDescent="0.25">
      <c r="A25435" s="2">
        <v>25430</v>
      </c>
      <c r="B25435" s="11" t="str">
        <f>"01031069"</f>
        <v>01031069</v>
      </c>
    </row>
    <row r="25436" spans="1:2" x14ac:dyDescent="0.25">
      <c r="A25436" s="2">
        <v>25431</v>
      </c>
      <c r="B25436" s="11" t="str">
        <f>"01031082"</f>
        <v>01031082</v>
      </c>
    </row>
    <row r="25437" spans="1:2" x14ac:dyDescent="0.25">
      <c r="A25437" s="2">
        <v>25432</v>
      </c>
      <c r="B25437" s="11" t="str">
        <f>"01031093"</f>
        <v>01031093</v>
      </c>
    </row>
    <row r="25438" spans="1:2" x14ac:dyDescent="0.25">
      <c r="A25438" s="2">
        <v>25433</v>
      </c>
      <c r="B25438" s="11" t="str">
        <f>"01031123"</f>
        <v>01031123</v>
      </c>
    </row>
    <row r="25439" spans="1:2" x14ac:dyDescent="0.25">
      <c r="A25439" s="2">
        <v>25434</v>
      </c>
      <c r="B25439" s="11" t="str">
        <f>"01031139"</f>
        <v>01031139</v>
      </c>
    </row>
    <row r="25440" spans="1:2" x14ac:dyDescent="0.25">
      <c r="A25440" s="2">
        <v>25435</v>
      </c>
      <c r="B25440" s="11" t="str">
        <f>"01031178"</f>
        <v>01031178</v>
      </c>
    </row>
    <row r="25441" spans="1:2" x14ac:dyDescent="0.25">
      <c r="A25441" s="2">
        <v>25436</v>
      </c>
      <c r="B25441" s="11" t="str">
        <f>"01031191"</f>
        <v>01031191</v>
      </c>
    </row>
    <row r="25442" spans="1:2" x14ac:dyDescent="0.25">
      <c r="A25442" s="2">
        <v>25437</v>
      </c>
      <c r="B25442" s="11" t="str">
        <f>"01031201"</f>
        <v>01031201</v>
      </c>
    </row>
    <row r="25443" spans="1:2" x14ac:dyDescent="0.25">
      <c r="A25443" s="2">
        <v>25438</v>
      </c>
      <c r="B25443" s="11" t="str">
        <f>"01031214"</f>
        <v>01031214</v>
      </c>
    </row>
    <row r="25444" spans="1:2" x14ac:dyDescent="0.25">
      <c r="A25444" s="2">
        <v>25439</v>
      </c>
      <c r="B25444" s="11" t="str">
        <f>"01031216"</f>
        <v>01031216</v>
      </c>
    </row>
    <row r="25445" spans="1:2" x14ac:dyDescent="0.25">
      <c r="A25445" s="2">
        <v>25440</v>
      </c>
      <c r="B25445" s="11" t="str">
        <f>"01031274"</f>
        <v>01031274</v>
      </c>
    </row>
    <row r="25446" spans="1:2" x14ac:dyDescent="0.25">
      <c r="A25446" s="2">
        <v>25441</v>
      </c>
      <c r="B25446" s="11" t="str">
        <f>"01031307"</f>
        <v>01031307</v>
      </c>
    </row>
    <row r="25447" spans="1:2" x14ac:dyDescent="0.25">
      <c r="A25447" s="2">
        <v>25442</v>
      </c>
      <c r="B25447" s="11" t="str">
        <f>"01031318"</f>
        <v>01031318</v>
      </c>
    </row>
    <row r="25448" spans="1:2" x14ac:dyDescent="0.25">
      <c r="A25448" s="2">
        <v>25443</v>
      </c>
      <c r="B25448" s="11" t="str">
        <f>"01031338"</f>
        <v>01031338</v>
      </c>
    </row>
    <row r="25449" spans="1:2" x14ac:dyDescent="0.25">
      <c r="A25449" s="2">
        <v>25444</v>
      </c>
      <c r="B25449" s="11" t="str">
        <f>"01031345"</f>
        <v>01031345</v>
      </c>
    </row>
    <row r="25450" spans="1:2" x14ac:dyDescent="0.25">
      <c r="A25450" s="2">
        <v>25445</v>
      </c>
      <c r="B25450" s="11" t="str">
        <f>"01031349"</f>
        <v>01031349</v>
      </c>
    </row>
    <row r="25451" spans="1:2" x14ac:dyDescent="0.25">
      <c r="A25451" s="2">
        <v>25446</v>
      </c>
      <c r="B25451" s="11" t="str">
        <f>"01031357"</f>
        <v>01031357</v>
      </c>
    </row>
    <row r="25452" spans="1:2" x14ac:dyDescent="0.25">
      <c r="A25452" s="2">
        <v>25447</v>
      </c>
      <c r="B25452" s="11" t="str">
        <f>"01031361"</f>
        <v>01031361</v>
      </c>
    </row>
    <row r="25453" spans="1:2" x14ac:dyDescent="0.25">
      <c r="A25453" s="2">
        <v>25448</v>
      </c>
      <c r="B25453" s="11" t="str">
        <f>"01031363"</f>
        <v>01031363</v>
      </c>
    </row>
    <row r="25454" spans="1:2" x14ac:dyDescent="0.25">
      <c r="A25454" s="2">
        <v>25449</v>
      </c>
      <c r="B25454" s="11" t="str">
        <f>"01031371"</f>
        <v>01031371</v>
      </c>
    </row>
    <row r="25455" spans="1:2" x14ac:dyDescent="0.25">
      <c r="A25455" s="2">
        <v>25450</v>
      </c>
      <c r="B25455" s="11" t="str">
        <f>"01031373"</f>
        <v>01031373</v>
      </c>
    </row>
    <row r="25456" spans="1:2" x14ac:dyDescent="0.25">
      <c r="A25456" s="2">
        <v>25451</v>
      </c>
      <c r="B25456" s="11" t="str">
        <f>"01031382"</f>
        <v>01031382</v>
      </c>
    </row>
    <row r="25457" spans="1:2" x14ac:dyDescent="0.25">
      <c r="A25457" s="2">
        <v>25452</v>
      </c>
      <c r="B25457" s="11" t="str">
        <f>"01031385"</f>
        <v>01031385</v>
      </c>
    </row>
    <row r="25458" spans="1:2" x14ac:dyDescent="0.25">
      <c r="A25458" s="2">
        <v>25453</v>
      </c>
      <c r="B25458" s="11" t="str">
        <f>"01031389"</f>
        <v>01031389</v>
      </c>
    </row>
    <row r="25459" spans="1:2" x14ac:dyDescent="0.25">
      <c r="A25459" s="2">
        <v>25454</v>
      </c>
      <c r="B25459" s="11" t="str">
        <f>"01031395"</f>
        <v>01031395</v>
      </c>
    </row>
    <row r="25460" spans="1:2" x14ac:dyDescent="0.25">
      <c r="A25460" s="2">
        <v>25455</v>
      </c>
      <c r="B25460" s="11" t="str">
        <f>"01031409"</f>
        <v>01031409</v>
      </c>
    </row>
    <row r="25461" spans="1:2" x14ac:dyDescent="0.25">
      <c r="A25461" s="2">
        <v>25456</v>
      </c>
      <c r="B25461" s="11" t="str">
        <f>"01031426"</f>
        <v>01031426</v>
      </c>
    </row>
    <row r="25462" spans="1:2" x14ac:dyDescent="0.25">
      <c r="A25462" s="2">
        <v>25457</v>
      </c>
      <c r="B25462" s="11" t="str">
        <f>"01031443"</f>
        <v>01031443</v>
      </c>
    </row>
    <row r="25463" spans="1:2" x14ac:dyDescent="0.25">
      <c r="A25463" s="2">
        <v>25458</v>
      </c>
      <c r="B25463" s="11" t="str">
        <f>"01031449"</f>
        <v>01031449</v>
      </c>
    </row>
    <row r="25464" spans="1:2" x14ac:dyDescent="0.25">
      <c r="A25464" s="2">
        <v>25459</v>
      </c>
      <c r="B25464" s="11" t="str">
        <f>"01031491"</f>
        <v>01031491</v>
      </c>
    </row>
    <row r="25465" spans="1:2" x14ac:dyDescent="0.25">
      <c r="A25465" s="2">
        <v>25460</v>
      </c>
      <c r="B25465" s="11" t="str">
        <f>"01031502"</f>
        <v>01031502</v>
      </c>
    </row>
    <row r="25466" spans="1:2" x14ac:dyDescent="0.25">
      <c r="A25466" s="2">
        <v>25461</v>
      </c>
      <c r="B25466" s="11" t="str">
        <f>"01031513"</f>
        <v>01031513</v>
      </c>
    </row>
    <row r="25467" spans="1:2" x14ac:dyDescent="0.25">
      <c r="A25467" s="2">
        <v>25462</v>
      </c>
      <c r="B25467" s="11" t="str">
        <f>"01031522"</f>
        <v>01031522</v>
      </c>
    </row>
    <row r="25468" spans="1:2" x14ac:dyDescent="0.25">
      <c r="A25468" s="2">
        <v>25463</v>
      </c>
      <c r="B25468" s="11" t="str">
        <f>"01031532"</f>
        <v>01031532</v>
      </c>
    </row>
    <row r="25469" spans="1:2" x14ac:dyDescent="0.25">
      <c r="A25469" s="2">
        <v>25464</v>
      </c>
      <c r="B25469" s="11" t="str">
        <f>"01031549"</f>
        <v>01031549</v>
      </c>
    </row>
    <row r="25470" spans="1:2" x14ac:dyDescent="0.25">
      <c r="A25470" s="2">
        <v>25465</v>
      </c>
      <c r="B25470" s="11" t="str">
        <f>"01031552"</f>
        <v>01031552</v>
      </c>
    </row>
    <row r="25471" spans="1:2" x14ac:dyDescent="0.25">
      <c r="A25471" s="2">
        <v>25466</v>
      </c>
      <c r="B25471" s="11" t="str">
        <f>"01031556"</f>
        <v>01031556</v>
      </c>
    </row>
    <row r="25472" spans="1:2" x14ac:dyDescent="0.25">
      <c r="A25472" s="2">
        <v>25467</v>
      </c>
      <c r="B25472" s="11" t="str">
        <f>"01031605"</f>
        <v>01031605</v>
      </c>
    </row>
    <row r="25473" spans="1:2" x14ac:dyDescent="0.25">
      <c r="A25473" s="2">
        <v>25468</v>
      </c>
      <c r="B25473" s="11" t="str">
        <f>"01031609"</f>
        <v>01031609</v>
      </c>
    </row>
    <row r="25474" spans="1:2" x14ac:dyDescent="0.25">
      <c r="A25474" s="2">
        <v>25469</v>
      </c>
      <c r="B25474" s="11" t="str">
        <f>"01031616"</f>
        <v>01031616</v>
      </c>
    </row>
    <row r="25475" spans="1:2" x14ac:dyDescent="0.25">
      <c r="A25475" s="2">
        <v>25470</v>
      </c>
      <c r="B25475" s="11" t="str">
        <f>"01031618"</f>
        <v>01031618</v>
      </c>
    </row>
    <row r="25476" spans="1:2" x14ac:dyDescent="0.25">
      <c r="A25476" s="2">
        <v>25471</v>
      </c>
      <c r="B25476" s="11" t="str">
        <f>"01031626"</f>
        <v>01031626</v>
      </c>
    </row>
    <row r="25477" spans="1:2" x14ac:dyDescent="0.25">
      <c r="A25477" s="2">
        <v>25472</v>
      </c>
      <c r="B25477" s="11" t="str">
        <f>"01031641"</f>
        <v>01031641</v>
      </c>
    </row>
    <row r="25478" spans="1:2" x14ac:dyDescent="0.25">
      <c r="A25478" s="2">
        <v>25473</v>
      </c>
      <c r="B25478" s="11" t="str">
        <f>"01031649"</f>
        <v>01031649</v>
      </c>
    </row>
    <row r="25479" spans="1:2" x14ac:dyDescent="0.25">
      <c r="A25479" s="2">
        <v>25474</v>
      </c>
      <c r="B25479" s="11" t="str">
        <f>"01031686"</f>
        <v>01031686</v>
      </c>
    </row>
    <row r="25480" spans="1:2" x14ac:dyDescent="0.25">
      <c r="A25480" s="2">
        <v>25475</v>
      </c>
      <c r="B25480" s="11" t="str">
        <f>"01031703"</f>
        <v>01031703</v>
      </c>
    </row>
    <row r="25481" spans="1:2" x14ac:dyDescent="0.25">
      <c r="A25481" s="2">
        <v>25476</v>
      </c>
      <c r="B25481" s="11" t="str">
        <f>"01031737"</f>
        <v>01031737</v>
      </c>
    </row>
    <row r="25482" spans="1:2" x14ac:dyDescent="0.25">
      <c r="A25482" s="2">
        <v>25477</v>
      </c>
      <c r="B25482" s="11" t="str">
        <f>"01031746"</f>
        <v>01031746</v>
      </c>
    </row>
    <row r="25483" spans="1:2" x14ac:dyDescent="0.25">
      <c r="A25483" s="2">
        <v>25478</v>
      </c>
      <c r="B25483" s="11" t="str">
        <f>"01031775"</f>
        <v>01031775</v>
      </c>
    </row>
    <row r="25484" spans="1:2" x14ac:dyDescent="0.25">
      <c r="A25484" s="2">
        <v>25479</v>
      </c>
      <c r="B25484" s="11" t="str">
        <f>"01031784"</f>
        <v>01031784</v>
      </c>
    </row>
    <row r="25485" spans="1:2" x14ac:dyDescent="0.25">
      <c r="A25485" s="2">
        <v>25480</v>
      </c>
      <c r="B25485" s="11" t="str">
        <f>"01031844"</f>
        <v>01031844</v>
      </c>
    </row>
    <row r="25486" spans="1:2" x14ac:dyDescent="0.25">
      <c r="A25486" s="2">
        <v>25481</v>
      </c>
      <c r="B25486" s="11" t="str">
        <f>"01031862"</f>
        <v>01031862</v>
      </c>
    </row>
    <row r="25487" spans="1:2" x14ac:dyDescent="0.25">
      <c r="A25487" s="2">
        <v>25482</v>
      </c>
      <c r="B25487" s="11" t="str">
        <f>"01031880"</f>
        <v>01031880</v>
      </c>
    </row>
    <row r="25488" spans="1:2" x14ac:dyDescent="0.25">
      <c r="A25488" s="2">
        <v>25483</v>
      </c>
      <c r="B25488" s="11" t="str">
        <f>"01031884"</f>
        <v>01031884</v>
      </c>
    </row>
    <row r="25489" spans="1:2" x14ac:dyDescent="0.25">
      <c r="A25489" s="2">
        <v>25484</v>
      </c>
      <c r="B25489" s="11" t="str">
        <f>"01031887"</f>
        <v>01031887</v>
      </c>
    </row>
    <row r="25490" spans="1:2" x14ac:dyDescent="0.25">
      <c r="A25490" s="2">
        <v>25485</v>
      </c>
      <c r="B25490" s="11" t="str">
        <f>"01031888"</f>
        <v>01031888</v>
      </c>
    </row>
    <row r="25491" spans="1:2" x14ac:dyDescent="0.25">
      <c r="A25491" s="2">
        <v>25486</v>
      </c>
      <c r="B25491" s="11" t="str">
        <f>"01031918"</f>
        <v>01031918</v>
      </c>
    </row>
    <row r="25492" spans="1:2" x14ac:dyDescent="0.25">
      <c r="A25492" s="2">
        <v>25487</v>
      </c>
      <c r="B25492" s="11" t="str">
        <f>"01031924"</f>
        <v>01031924</v>
      </c>
    </row>
    <row r="25493" spans="1:2" x14ac:dyDescent="0.25">
      <c r="A25493" s="2">
        <v>25488</v>
      </c>
      <c r="B25493" s="11" t="str">
        <f>"01031937"</f>
        <v>01031937</v>
      </c>
    </row>
    <row r="25494" spans="1:2" x14ac:dyDescent="0.25">
      <c r="A25494" s="2">
        <v>25489</v>
      </c>
      <c r="B25494" s="11" t="str">
        <f>"01031939"</f>
        <v>01031939</v>
      </c>
    </row>
    <row r="25495" spans="1:2" x14ac:dyDescent="0.25">
      <c r="A25495" s="2">
        <v>25490</v>
      </c>
      <c r="B25495" s="11" t="str">
        <f>"01031953"</f>
        <v>01031953</v>
      </c>
    </row>
    <row r="25496" spans="1:2" x14ac:dyDescent="0.25">
      <c r="A25496" s="2">
        <v>25491</v>
      </c>
      <c r="B25496" s="11" t="str">
        <f>"01031981"</f>
        <v>01031981</v>
      </c>
    </row>
    <row r="25497" spans="1:2" x14ac:dyDescent="0.25">
      <c r="A25497" s="2">
        <v>25492</v>
      </c>
      <c r="B25497" s="11" t="str">
        <f>"01032009"</f>
        <v>01032009</v>
      </c>
    </row>
    <row r="25498" spans="1:2" x14ac:dyDescent="0.25">
      <c r="A25498" s="2">
        <v>25493</v>
      </c>
      <c r="B25498" s="11" t="str">
        <f>"01032024"</f>
        <v>01032024</v>
      </c>
    </row>
    <row r="25499" spans="1:2" x14ac:dyDescent="0.25">
      <c r="A25499" s="2">
        <v>25494</v>
      </c>
      <c r="B25499" s="11" t="str">
        <f>"01032026"</f>
        <v>01032026</v>
      </c>
    </row>
    <row r="25500" spans="1:2" x14ac:dyDescent="0.25">
      <c r="A25500" s="2">
        <v>25495</v>
      </c>
      <c r="B25500" s="11" t="str">
        <f>"01032043"</f>
        <v>01032043</v>
      </c>
    </row>
    <row r="25501" spans="1:2" x14ac:dyDescent="0.25">
      <c r="A25501" s="2">
        <v>25496</v>
      </c>
      <c r="B25501" s="11" t="str">
        <f>"01032048"</f>
        <v>01032048</v>
      </c>
    </row>
    <row r="25502" spans="1:2" x14ac:dyDescent="0.25">
      <c r="A25502" s="2">
        <v>25497</v>
      </c>
      <c r="B25502" s="11" t="str">
        <f>"01032071"</f>
        <v>01032071</v>
      </c>
    </row>
    <row r="25503" spans="1:2" x14ac:dyDescent="0.25">
      <c r="A25503" s="2">
        <v>25498</v>
      </c>
      <c r="B25503" s="11" t="str">
        <f>"01032105"</f>
        <v>01032105</v>
      </c>
    </row>
    <row r="25504" spans="1:2" x14ac:dyDescent="0.25">
      <c r="A25504" s="2">
        <v>25499</v>
      </c>
      <c r="B25504" s="11" t="str">
        <f>"01032119"</f>
        <v>01032119</v>
      </c>
    </row>
    <row r="25505" spans="1:2" x14ac:dyDescent="0.25">
      <c r="A25505" s="2">
        <v>25500</v>
      </c>
      <c r="B25505" s="11" t="str">
        <f>"01032159"</f>
        <v>01032159</v>
      </c>
    </row>
    <row r="25506" spans="1:2" x14ac:dyDescent="0.25">
      <c r="A25506" s="2">
        <v>25501</v>
      </c>
      <c r="B25506" s="11" t="str">
        <f>"01032170"</f>
        <v>01032170</v>
      </c>
    </row>
    <row r="25507" spans="1:2" x14ac:dyDescent="0.25">
      <c r="A25507" s="2">
        <v>25502</v>
      </c>
      <c r="B25507" s="11" t="str">
        <f>"01032180"</f>
        <v>01032180</v>
      </c>
    </row>
    <row r="25508" spans="1:2" x14ac:dyDescent="0.25">
      <c r="A25508" s="2">
        <v>25503</v>
      </c>
      <c r="B25508" s="11" t="str">
        <f>"01032193"</f>
        <v>01032193</v>
      </c>
    </row>
    <row r="25509" spans="1:2" x14ac:dyDescent="0.25">
      <c r="A25509" s="2">
        <v>25504</v>
      </c>
      <c r="B25509" s="11" t="str">
        <f>"01032240"</f>
        <v>01032240</v>
      </c>
    </row>
    <row r="25510" spans="1:2" x14ac:dyDescent="0.25">
      <c r="A25510" s="2">
        <v>25505</v>
      </c>
      <c r="B25510" s="11" t="str">
        <f>"01032242"</f>
        <v>01032242</v>
      </c>
    </row>
    <row r="25511" spans="1:2" x14ac:dyDescent="0.25">
      <c r="A25511" s="2">
        <v>25506</v>
      </c>
      <c r="B25511" s="11" t="str">
        <f>"01032245"</f>
        <v>01032245</v>
      </c>
    </row>
    <row r="25512" spans="1:2" x14ac:dyDescent="0.25">
      <c r="A25512" s="2">
        <v>25507</v>
      </c>
      <c r="B25512" s="11" t="str">
        <f>"01032246"</f>
        <v>01032246</v>
      </c>
    </row>
    <row r="25513" spans="1:2" x14ac:dyDescent="0.25">
      <c r="A25513" s="2">
        <v>25508</v>
      </c>
      <c r="B25513" s="11" t="str">
        <f>"01032249"</f>
        <v>01032249</v>
      </c>
    </row>
    <row r="25514" spans="1:2" x14ac:dyDescent="0.25">
      <c r="A25514" s="2">
        <v>25509</v>
      </c>
      <c r="B25514" s="11" t="str">
        <f>"01032291"</f>
        <v>01032291</v>
      </c>
    </row>
    <row r="25515" spans="1:2" x14ac:dyDescent="0.25">
      <c r="A25515" s="2">
        <v>25510</v>
      </c>
      <c r="B25515" s="11" t="str">
        <f>"01032310"</f>
        <v>01032310</v>
      </c>
    </row>
    <row r="25516" spans="1:2" x14ac:dyDescent="0.25">
      <c r="A25516" s="2">
        <v>25511</v>
      </c>
      <c r="B25516" s="11" t="str">
        <f>"01032313"</f>
        <v>01032313</v>
      </c>
    </row>
    <row r="25517" spans="1:2" x14ac:dyDescent="0.25">
      <c r="A25517" s="2">
        <v>25512</v>
      </c>
      <c r="B25517" s="11" t="str">
        <f>"01032319"</f>
        <v>01032319</v>
      </c>
    </row>
    <row r="25518" spans="1:2" x14ac:dyDescent="0.25">
      <c r="A25518" s="2">
        <v>25513</v>
      </c>
      <c r="B25518" s="11" t="str">
        <f>"01032328"</f>
        <v>01032328</v>
      </c>
    </row>
    <row r="25519" spans="1:2" x14ac:dyDescent="0.25">
      <c r="A25519" s="2">
        <v>25514</v>
      </c>
      <c r="B25519" s="11" t="str">
        <f>"01032331"</f>
        <v>01032331</v>
      </c>
    </row>
    <row r="25520" spans="1:2" x14ac:dyDescent="0.25">
      <c r="A25520" s="2">
        <v>25515</v>
      </c>
      <c r="B25520" s="11" t="str">
        <f>"01032368"</f>
        <v>01032368</v>
      </c>
    </row>
    <row r="25521" spans="1:2" x14ac:dyDescent="0.25">
      <c r="A25521" s="2">
        <v>25516</v>
      </c>
      <c r="B25521" s="11" t="str">
        <f>"01032389"</f>
        <v>01032389</v>
      </c>
    </row>
    <row r="25522" spans="1:2" x14ac:dyDescent="0.25">
      <c r="A25522" s="2">
        <v>25517</v>
      </c>
      <c r="B25522" s="11" t="str">
        <f>"01032419"</f>
        <v>01032419</v>
      </c>
    </row>
    <row r="25523" spans="1:2" x14ac:dyDescent="0.25">
      <c r="A25523" s="2">
        <v>25518</v>
      </c>
      <c r="B25523" s="11" t="str">
        <f>"01032428"</f>
        <v>01032428</v>
      </c>
    </row>
    <row r="25524" spans="1:2" x14ac:dyDescent="0.25">
      <c r="A25524" s="2">
        <v>25519</v>
      </c>
      <c r="B25524" s="11" t="str">
        <f>"01032455"</f>
        <v>01032455</v>
      </c>
    </row>
    <row r="25525" spans="1:2" x14ac:dyDescent="0.25">
      <c r="A25525" s="2">
        <v>25520</v>
      </c>
      <c r="B25525" s="11" t="str">
        <f>"01032456"</f>
        <v>01032456</v>
      </c>
    </row>
    <row r="25526" spans="1:2" x14ac:dyDescent="0.25">
      <c r="A25526" s="2">
        <v>25521</v>
      </c>
      <c r="B25526" s="11" t="str">
        <f>"01032460"</f>
        <v>01032460</v>
      </c>
    </row>
    <row r="25527" spans="1:2" x14ac:dyDescent="0.25">
      <c r="A25527" s="2">
        <v>25522</v>
      </c>
      <c r="B25527" s="11" t="str">
        <f>"01032461"</f>
        <v>01032461</v>
      </c>
    </row>
    <row r="25528" spans="1:2" x14ac:dyDescent="0.25">
      <c r="A25528" s="2">
        <v>25523</v>
      </c>
      <c r="B25528" s="11" t="str">
        <f>"01032466"</f>
        <v>01032466</v>
      </c>
    </row>
    <row r="25529" spans="1:2" x14ac:dyDescent="0.25">
      <c r="A25529" s="2">
        <v>25524</v>
      </c>
      <c r="B25529" s="11" t="str">
        <f>"01032485"</f>
        <v>01032485</v>
      </c>
    </row>
    <row r="25530" spans="1:2" x14ac:dyDescent="0.25">
      <c r="A25530" s="2">
        <v>25525</v>
      </c>
      <c r="B25530" s="11" t="str">
        <f>"01032496"</f>
        <v>01032496</v>
      </c>
    </row>
    <row r="25531" spans="1:2" x14ac:dyDescent="0.25">
      <c r="A25531" s="2">
        <v>25526</v>
      </c>
      <c r="B25531" s="11" t="str">
        <f>"01032504"</f>
        <v>01032504</v>
      </c>
    </row>
    <row r="25532" spans="1:2" x14ac:dyDescent="0.25">
      <c r="A25532" s="2">
        <v>25527</v>
      </c>
      <c r="B25532" s="11" t="str">
        <f>"01032550"</f>
        <v>01032550</v>
      </c>
    </row>
    <row r="25533" spans="1:2" x14ac:dyDescent="0.25">
      <c r="A25533" s="2">
        <v>25528</v>
      </c>
      <c r="B25533" s="11" t="str">
        <f>"01032552"</f>
        <v>01032552</v>
      </c>
    </row>
    <row r="25534" spans="1:2" x14ac:dyDescent="0.25">
      <c r="A25534" s="2">
        <v>25529</v>
      </c>
      <c r="B25534" s="11" t="str">
        <f>"01032561"</f>
        <v>01032561</v>
      </c>
    </row>
    <row r="25535" spans="1:2" x14ac:dyDescent="0.25">
      <c r="A25535" s="2">
        <v>25530</v>
      </c>
      <c r="B25535" s="11" t="str">
        <f>"01032563"</f>
        <v>01032563</v>
      </c>
    </row>
    <row r="25536" spans="1:2" x14ac:dyDescent="0.25">
      <c r="A25536" s="2">
        <v>25531</v>
      </c>
      <c r="B25536" s="11" t="str">
        <f>"01032577"</f>
        <v>01032577</v>
      </c>
    </row>
    <row r="25537" spans="1:2" x14ac:dyDescent="0.25">
      <c r="A25537" s="2">
        <v>25532</v>
      </c>
      <c r="B25537" s="11" t="str">
        <f>"01032581"</f>
        <v>01032581</v>
      </c>
    </row>
    <row r="25538" spans="1:2" x14ac:dyDescent="0.25">
      <c r="A25538" s="2">
        <v>25533</v>
      </c>
      <c r="B25538" s="11" t="str">
        <f>"01032591"</f>
        <v>01032591</v>
      </c>
    </row>
    <row r="25539" spans="1:2" x14ac:dyDescent="0.25">
      <c r="A25539" s="2">
        <v>25534</v>
      </c>
      <c r="B25539" s="11" t="str">
        <f>"01032595"</f>
        <v>01032595</v>
      </c>
    </row>
    <row r="25540" spans="1:2" x14ac:dyDescent="0.25">
      <c r="A25540" s="2">
        <v>25535</v>
      </c>
      <c r="B25540" s="11" t="str">
        <f>"01032619"</f>
        <v>01032619</v>
      </c>
    </row>
    <row r="25541" spans="1:2" x14ac:dyDescent="0.25">
      <c r="A25541" s="2">
        <v>25536</v>
      </c>
      <c r="B25541" s="11" t="str">
        <f>"01032651"</f>
        <v>01032651</v>
      </c>
    </row>
    <row r="25542" spans="1:2" x14ac:dyDescent="0.25">
      <c r="A25542" s="2">
        <v>25537</v>
      </c>
      <c r="B25542" s="11" t="str">
        <f>"01032661"</f>
        <v>01032661</v>
      </c>
    </row>
    <row r="25543" spans="1:2" x14ac:dyDescent="0.25">
      <c r="A25543" s="2">
        <v>25538</v>
      </c>
      <c r="B25543" s="11" t="str">
        <f>"01032669"</f>
        <v>01032669</v>
      </c>
    </row>
    <row r="25544" spans="1:2" x14ac:dyDescent="0.25">
      <c r="A25544" s="2">
        <v>25539</v>
      </c>
      <c r="B25544" s="11" t="str">
        <f>"01032677"</f>
        <v>01032677</v>
      </c>
    </row>
    <row r="25545" spans="1:2" x14ac:dyDescent="0.25">
      <c r="A25545" s="2">
        <v>25540</v>
      </c>
      <c r="B25545" s="11" t="str">
        <f>"01032707"</f>
        <v>01032707</v>
      </c>
    </row>
    <row r="25546" spans="1:2" x14ac:dyDescent="0.25">
      <c r="A25546" s="2">
        <v>25541</v>
      </c>
      <c r="B25546" s="11" t="str">
        <f>"01032710"</f>
        <v>01032710</v>
      </c>
    </row>
    <row r="25547" spans="1:2" x14ac:dyDescent="0.25">
      <c r="A25547" s="2">
        <v>25542</v>
      </c>
      <c r="B25547" s="11" t="str">
        <f>"01032721"</f>
        <v>01032721</v>
      </c>
    </row>
    <row r="25548" spans="1:2" x14ac:dyDescent="0.25">
      <c r="A25548" s="2">
        <v>25543</v>
      </c>
      <c r="B25548" s="11" t="str">
        <f>"01032729"</f>
        <v>01032729</v>
      </c>
    </row>
    <row r="25549" spans="1:2" x14ac:dyDescent="0.25">
      <c r="A25549" s="2">
        <v>25544</v>
      </c>
      <c r="B25549" s="11" t="str">
        <f>"01032733"</f>
        <v>01032733</v>
      </c>
    </row>
    <row r="25550" spans="1:2" x14ac:dyDescent="0.25">
      <c r="A25550" s="2">
        <v>25545</v>
      </c>
      <c r="B25550" s="11" t="str">
        <f>"01032740"</f>
        <v>01032740</v>
      </c>
    </row>
    <row r="25551" spans="1:2" x14ac:dyDescent="0.25">
      <c r="A25551" s="2">
        <v>25546</v>
      </c>
      <c r="B25551" s="11" t="str">
        <f>"01032743"</f>
        <v>01032743</v>
      </c>
    </row>
    <row r="25552" spans="1:2" x14ac:dyDescent="0.25">
      <c r="A25552" s="2">
        <v>25547</v>
      </c>
      <c r="B25552" s="11" t="str">
        <f>"01032753"</f>
        <v>01032753</v>
      </c>
    </row>
    <row r="25553" spans="1:2" x14ac:dyDescent="0.25">
      <c r="A25553" s="2">
        <v>25548</v>
      </c>
      <c r="B25553" s="11" t="str">
        <f>"01032761"</f>
        <v>01032761</v>
      </c>
    </row>
    <row r="25554" spans="1:2" x14ac:dyDescent="0.25">
      <c r="A25554" s="2">
        <v>25549</v>
      </c>
      <c r="B25554" s="11" t="str">
        <f>"01032797"</f>
        <v>01032797</v>
      </c>
    </row>
    <row r="25555" spans="1:2" x14ac:dyDescent="0.25">
      <c r="A25555" s="2">
        <v>25550</v>
      </c>
      <c r="B25555" s="11" t="str">
        <f>"01032810"</f>
        <v>01032810</v>
      </c>
    </row>
    <row r="25556" spans="1:2" x14ac:dyDescent="0.25">
      <c r="A25556" s="2">
        <v>25551</v>
      </c>
      <c r="B25556" s="11" t="str">
        <f>"01032854"</f>
        <v>01032854</v>
      </c>
    </row>
    <row r="25557" spans="1:2" x14ac:dyDescent="0.25">
      <c r="A25557" s="2">
        <v>25552</v>
      </c>
      <c r="B25557" s="11" t="str">
        <f>"01032866"</f>
        <v>01032866</v>
      </c>
    </row>
    <row r="25558" spans="1:2" x14ac:dyDescent="0.25">
      <c r="A25558" s="2">
        <v>25553</v>
      </c>
      <c r="B25558" s="11" t="str">
        <f>"01032877"</f>
        <v>01032877</v>
      </c>
    </row>
    <row r="25559" spans="1:2" x14ac:dyDescent="0.25">
      <c r="A25559" s="2">
        <v>25554</v>
      </c>
      <c r="B25559" s="11" t="str">
        <f>"01032906"</f>
        <v>01032906</v>
      </c>
    </row>
    <row r="25560" spans="1:2" x14ac:dyDescent="0.25">
      <c r="A25560" s="2">
        <v>25555</v>
      </c>
      <c r="B25560" s="11" t="str">
        <f>"01032910"</f>
        <v>01032910</v>
      </c>
    </row>
    <row r="25561" spans="1:2" x14ac:dyDescent="0.25">
      <c r="A25561" s="2">
        <v>25556</v>
      </c>
      <c r="B25561" s="11" t="str">
        <f>"01032930"</f>
        <v>01032930</v>
      </c>
    </row>
    <row r="25562" spans="1:2" x14ac:dyDescent="0.25">
      <c r="A25562" s="2">
        <v>25557</v>
      </c>
      <c r="B25562" s="11" t="str">
        <f>"01032938"</f>
        <v>01032938</v>
      </c>
    </row>
    <row r="25563" spans="1:2" x14ac:dyDescent="0.25">
      <c r="A25563" s="2">
        <v>25558</v>
      </c>
      <c r="B25563" s="11" t="str">
        <f>"01032957"</f>
        <v>01032957</v>
      </c>
    </row>
    <row r="25564" spans="1:2" x14ac:dyDescent="0.25">
      <c r="A25564" s="2">
        <v>25559</v>
      </c>
      <c r="B25564" s="11" t="str">
        <f>"01033006"</f>
        <v>01033006</v>
      </c>
    </row>
    <row r="25565" spans="1:2" x14ac:dyDescent="0.25">
      <c r="A25565" s="2">
        <v>25560</v>
      </c>
      <c r="B25565" s="11" t="str">
        <f>"01033010"</f>
        <v>01033010</v>
      </c>
    </row>
    <row r="25566" spans="1:2" x14ac:dyDescent="0.25">
      <c r="A25566" s="2">
        <v>25561</v>
      </c>
      <c r="B25566" s="11" t="str">
        <f>"01033011"</f>
        <v>01033011</v>
      </c>
    </row>
    <row r="25567" spans="1:2" x14ac:dyDescent="0.25">
      <c r="A25567" s="2">
        <v>25562</v>
      </c>
      <c r="B25567" s="11" t="str">
        <f>"01033013"</f>
        <v>01033013</v>
      </c>
    </row>
    <row r="25568" spans="1:2" x14ac:dyDescent="0.25">
      <c r="A25568" s="2">
        <v>25563</v>
      </c>
      <c r="B25568" s="11" t="str">
        <f>"01033014"</f>
        <v>01033014</v>
      </c>
    </row>
    <row r="25569" spans="1:2" x14ac:dyDescent="0.25">
      <c r="A25569" s="2">
        <v>25564</v>
      </c>
      <c r="B25569" s="11" t="str">
        <f>"01033024"</f>
        <v>01033024</v>
      </c>
    </row>
    <row r="25570" spans="1:2" x14ac:dyDescent="0.25">
      <c r="A25570" s="2">
        <v>25565</v>
      </c>
      <c r="B25570" s="11" t="str">
        <f>"01033033"</f>
        <v>01033033</v>
      </c>
    </row>
    <row r="25571" spans="1:2" x14ac:dyDescent="0.25">
      <c r="A25571" s="2">
        <v>25566</v>
      </c>
      <c r="B25571" s="11" t="str">
        <f>"01033044"</f>
        <v>01033044</v>
      </c>
    </row>
    <row r="25572" spans="1:2" x14ac:dyDescent="0.25">
      <c r="A25572" s="2">
        <v>25567</v>
      </c>
      <c r="B25572" s="11" t="str">
        <f>"01033066"</f>
        <v>01033066</v>
      </c>
    </row>
    <row r="25573" spans="1:2" x14ac:dyDescent="0.25">
      <c r="A25573" s="2">
        <v>25568</v>
      </c>
      <c r="B25573" s="11" t="str">
        <f>"01033103"</f>
        <v>01033103</v>
      </c>
    </row>
    <row r="25574" spans="1:2" x14ac:dyDescent="0.25">
      <c r="A25574" s="2">
        <v>25569</v>
      </c>
      <c r="B25574" s="11" t="str">
        <f>"01033122"</f>
        <v>01033122</v>
      </c>
    </row>
    <row r="25575" spans="1:2" x14ac:dyDescent="0.25">
      <c r="A25575" s="2">
        <v>25570</v>
      </c>
      <c r="B25575" s="11" t="str">
        <f>"01033127"</f>
        <v>01033127</v>
      </c>
    </row>
    <row r="25576" spans="1:2" x14ac:dyDescent="0.25">
      <c r="A25576" s="2">
        <v>25571</v>
      </c>
      <c r="B25576" s="11" t="str">
        <f>"01033132"</f>
        <v>01033132</v>
      </c>
    </row>
    <row r="25577" spans="1:2" x14ac:dyDescent="0.25">
      <c r="A25577" s="2">
        <v>25572</v>
      </c>
      <c r="B25577" s="11" t="str">
        <f>"01033170"</f>
        <v>01033170</v>
      </c>
    </row>
    <row r="25578" spans="1:2" x14ac:dyDescent="0.25">
      <c r="A25578" s="2">
        <v>25573</v>
      </c>
      <c r="B25578" s="11" t="str">
        <f>"01033197"</f>
        <v>01033197</v>
      </c>
    </row>
    <row r="25579" spans="1:2" x14ac:dyDescent="0.25">
      <c r="A25579" s="2">
        <v>25574</v>
      </c>
      <c r="B25579" s="11" t="str">
        <f>"01033215"</f>
        <v>01033215</v>
      </c>
    </row>
    <row r="25580" spans="1:2" x14ac:dyDescent="0.25">
      <c r="A25580" s="2">
        <v>25575</v>
      </c>
      <c r="B25580" s="11" t="str">
        <f>"01033233"</f>
        <v>01033233</v>
      </c>
    </row>
    <row r="25581" spans="1:2" x14ac:dyDescent="0.25">
      <c r="A25581" s="2">
        <v>25576</v>
      </c>
      <c r="B25581" s="11" t="str">
        <f>"01033238"</f>
        <v>01033238</v>
      </c>
    </row>
    <row r="25582" spans="1:2" x14ac:dyDescent="0.25">
      <c r="A25582" s="2">
        <v>25577</v>
      </c>
      <c r="B25582" s="11" t="str">
        <f>"01033241"</f>
        <v>01033241</v>
      </c>
    </row>
    <row r="25583" spans="1:2" x14ac:dyDescent="0.25">
      <c r="A25583" s="2">
        <v>25578</v>
      </c>
      <c r="B25583" s="11" t="str">
        <f>"01033271"</f>
        <v>01033271</v>
      </c>
    </row>
    <row r="25584" spans="1:2" x14ac:dyDescent="0.25">
      <c r="A25584" s="2">
        <v>25579</v>
      </c>
      <c r="B25584" s="11" t="str">
        <f>"01033284"</f>
        <v>01033284</v>
      </c>
    </row>
    <row r="25585" spans="1:2" x14ac:dyDescent="0.25">
      <c r="A25585" s="2">
        <v>25580</v>
      </c>
      <c r="B25585" s="11" t="str">
        <f>"01033298"</f>
        <v>01033298</v>
      </c>
    </row>
    <row r="25586" spans="1:2" x14ac:dyDescent="0.25">
      <c r="A25586" s="2">
        <v>25581</v>
      </c>
      <c r="B25586" s="11" t="str">
        <f>"01033319"</f>
        <v>01033319</v>
      </c>
    </row>
    <row r="25587" spans="1:2" x14ac:dyDescent="0.25">
      <c r="A25587" s="2">
        <v>25582</v>
      </c>
      <c r="B25587" s="11" t="str">
        <f>"01033330"</f>
        <v>01033330</v>
      </c>
    </row>
    <row r="25588" spans="1:2" x14ac:dyDescent="0.25">
      <c r="A25588" s="2">
        <v>25583</v>
      </c>
      <c r="B25588" s="11" t="str">
        <f>"01033335"</f>
        <v>01033335</v>
      </c>
    </row>
    <row r="25589" spans="1:2" x14ac:dyDescent="0.25">
      <c r="A25589" s="2">
        <v>25584</v>
      </c>
      <c r="B25589" s="11" t="str">
        <f>"01033364"</f>
        <v>01033364</v>
      </c>
    </row>
    <row r="25590" spans="1:2" x14ac:dyDescent="0.25">
      <c r="A25590" s="2">
        <v>25585</v>
      </c>
      <c r="B25590" s="11" t="str">
        <f>"01033455"</f>
        <v>01033455</v>
      </c>
    </row>
    <row r="25591" spans="1:2" x14ac:dyDescent="0.25">
      <c r="A25591" s="2">
        <v>25586</v>
      </c>
      <c r="B25591" s="11" t="str">
        <f>"01033502"</f>
        <v>01033502</v>
      </c>
    </row>
    <row r="25592" spans="1:2" x14ac:dyDescent="0.25">
      <c r="A25592" s="2">
        <v>25587</v>
      </c>
      <c r="B25592" s="11" t="str">
        <f>"01033539"</f>
        <v>01033539</v>
      </c>
    </row>
    <row r="25593" spans="1:2" x14ac:dyDescent="0.25">
      <c r="A25593" s="2">
        <v>25588</v>
      </c>
      <c r="B25593" s="11" t="str">
        <f>"01033551"</f>
        <v>01033551</v>
      </c>
    </row>
    <row r="25594" spans="1:2" x14ac:dyDescent="0.25">
      <c r="A25594" s="2">
        <v>25589</v>
      </c>
      <c r="B25594" s="11" t="str">
        <f>"01033552"</f>
        <v>01033552</v>
      </c>
    </row>
    <row r="25595" spans="1:2" x14ac:dyDescent="0.25">
      <c r="A25595" s="2">
        <v>25590</v>
      </c>
      <c r="B25595" s="11" t="str">
        <f>"01033576"</f>
        <v>01033576</v>
      </c>
    </row>
    <row r="25596" spans="1:2" x14ac:dyDescent="0.25">
      <c r="A25596" s="2">
        <v>25591</v>
      </c>
      <c r="B25596" s="11" t="str">
        <f>"01033582"</f>
        <v>01033582</v>
      </c>
    </row>
    <row r="25597" spans="1:2" x14ac:dyDescent="0.25">
      <c r="A25597" s="2">
        <v>25592</v>
      </c>
      <c r="B25597" s="11" t="str">
        <f>"01033589"</f>
        <v>01033589</v>
      </c>
    </row>
    <row r="25598" spans="1:2" x14ac:dyDescent="0.25">
      <c r="A25598" s="2">
        <v>25593</v>
      </c>
      <c r="B25598" s="11" t="str">
        <f>"01033612"</f>
        <v>01033612</v>
      </c>
    </row>
    <row r="25599" spans="1:2" x14ac:dyDescent="0.25">
      <c r="A25599" s="2">
        <v>25594</v>
      </c>
      <c r="B25599" s="11" t="str">
        <f>"01033618"</f>
        <v>01033618</v>
      </c>
    </row>
    <row r="25600" spans="1:2" x14ac:dyDescent="0.25">
      <c r="A25600" s="2">
        <v>25595</v>
      </c>
      <c r="B25600" s="11" t="str">
        <f>"01033624"</f>
        <v>01033624</v>
      </c>
    </row>
    <row r="25601" spans="1:2" x14ac:dyDescent="0.25">
      <c r="A25601" s="2">
        <v>25596</v>
      </c>
      <c r="B25601" s="11" t="str">
        <f>"01033641"</f>
        <v>01033641</v>
      </c>
    </row>
    <row r="25602" spans="1:2" x14ac:dyDescent="0.25">
      <c r="A25602" s="2">
        <v>25597</v>
      </c>
      <c r="B25602" s="11" t="str">
        <f>"01033682"</f>
        <v>01033682</v>
      </c>
    </row>
    <row r="25603" spans="1:2" x14ac:dyDescent="0.25">
      <c r="A25603" s="2">
        <v>25598</v>
      </c>
      <c r="B25603" s="11" t="str">
        <f>"01033696"</f>
        <v>01033696</v>
      </c>
    </row>
    <row r="25604" spans="1:2" x14ac:dyDescent="0.25">
      <c r="A25604" s="2">
        <v>25599</v>
      </c>
      <c r="B25604" s="11" t="str">
        <f>"01033711"</f>
        <v>01033711</v>
      </c>
    </row>
    <row r="25605" spans="1:2" x14ac:dyDescent="0.25">
      <c r="A25605" s="2">
        <v>25600</v>
      </c>
      <c r="B25605" s="11" t="str">
        <f>"01033713"</f>
        <v>01033713</v>
      </c>
    </row>
    <row r="25606" spans="1:2" x14ac:dyDescent="0.25">
      <c r="A25606" s="2">
        <v>25601</v>
      </c>
      <c r="B25606" s="11" t="str">
        <f>"01033717"</f>
        <v>01033717</v>
      </c>
    </row>
    <row r="25607" spans="1:2" x14ac:dyDescent="0.25">
      <c r="A25607" s="2">
        <v>25602</v>
      </c>
      <c r="B25607" s="11" t="str">
        <f>"01033724"</f>
        <v>01033724</v>
      </c>
    </row>
    <row r="25608" spans="1:2" x14ac:dyDescent="0.25">
      <c r="A25608" s="2">
        <v>25603</v>
      </c>
      <c r="B25608" s="11" t="str">
        <f>"01033736"</f>
        <v>01033736</v>
      </c>
    </row>
    <row r="25609" spans="1:2" x14ac:dyDescent="0.25">
      <c r="A25609" s="2">
        <v>25604</v>
      </c>
      <c r="B25609" s="11" t="str">
        <f>"01033763"</f>
        <v>01033763</v>
      </c>
    </row>
    <row r="25610" spans="1:2" x14ac:dyDescent="0.25">
      <c r="A25610" s="2">
        <v>25605</v>
      </c>
      <c r="B25610" s="11" t="str">
        <f>"01033786"</f>
        <v>01033786</v>
      </c>
    </row>
    <row r="25611" spans="1:2" x14ac:dyDescent="0.25">
      <c r="A25611" s="2">
        <v>25606</v>
      </c>
      <c r="B25611" s="11" t="str">
        <f>"01033787"</f>
        <v>01033787</v>
      </c>
    </row>
    <row r="25612" spans="1:2" x14ac:dyDescent="0.25">
      <c r="A25612" s="2">
        <v>25607</v>
      </c>
      <c r="B25612" s="11" t="str">
        <f>"01033812"</f>
        <v>01033812</v>
      </c>
    </row>
    <row r="25613" spans="1:2" x14ac:dyDescent="0.25">
      <c r="A25613" s="2">
        <v>25608</v>
      </c>
      <c r="B25613" s="11" t="str">
        <f>"01033819"</f>
        <v>01033819</v>
      </c>
    </row>
    <row r="25614" spans="1:2" x14ac:dyDescent="0.25">
      <c r="A25614" s="2">
        <v>25609</v>
      </c>
      <c r="B25614" s="11" t="str">
        <f>"01033824"</f>
        <v>01033824</v>
      </c>
    </row>
    <row r="25615" spans="1:2" x14ac:dyDescent="0.25">
      <c r="A25615" s="2">
        <v>25610</v>
      </c>
      <c r="B25615" s="11" t="str">
        <f>"01033828"</f>
        <v>01033828</v>
      </c>
    </row>
    <row r="25616" spans="1:2" x14ac:dyDescent="0.25">
      <c r="A25616" s="2">
        <v>25611</v>
      </c>
      <c r="B25616" s="11" t="str">
        <f>"01033835"</f>
        <v>01033835</v>
      </c>
    </row>
    <row r="25617" spans="1:2" x14ac:dyDescent="0.25">
      <c r="A25617" s="2">
        <v>25612</v>
      </c>
      <c r="B25617" s="11" t="str">
        <f>"01033848"</f>
        <v>01033848</v>
      </c>
    </row>
    <row r="25618" spans="1:2" x14ac:dyDescent="0.25">
      <c r="A25618" s="2">
        <v>25613</v>
      </c>
      <c r="B25618" s="11" t="str">
        <f>"01033869"</f>
        <v>01033869</v>
      </c>
    </row>
    <row r="25619" spans="1:2" x14ac:dyDescent="0.25">
      <c r="A25619" s="2">
        <v>25614</v>
      </c>
      <c r="B25619" s="11" t="str">
        <f>"01033885"</f>
        <v>01033885</v>
      </c>
    </row>
    <row r="25620" spans="1:2" x14ac:dyDescent="0.25">
      <c r="A25620" s="2">
        <v>25615</v>
      </c>
      <c r="B25620" s="11" t="str">
        <f>"01033946"</f>
        <v>01033946</v>
      </c>
    </row>
    <row r="25621" spans="1:2" x14ac:dyDescent="0.25">
      <c r="A25621" s="2">
        <v>25616</v>
      </c>
      <c r="B25621" s="11" t="str">
        <f>"01033976"</f>
        <v>01033976</v>
      </c>
    </row>
    <row r="25622" spans="1:2" x14ac:dyDescent="0.25">
      <c r="A25622" s="2">
        <v>25617</v>
      </c>
      <c r="B25622" s="11" t="str">
        <f>"01033987"</f>
        <v>01033987</v>
      </c>
    </row>
    <row r="25623" spans="1:2" x14ac:dyDescent="0.25">
      <c r="A25623" s="2">
        <v>25618</v>
      </c>
      <c r="B25623" s="11" t="str">
        <f>"01033993"</f>
        <v>01033993</v>
      </c>
    </row>
    <row r="25624" spans="1:2" x14ac:dyDescent="0.25">
      <c r="A25624" s="2">
        <v>25619</v>
      </c>
      <c r="B25624" s="11" t="str">
        <f>"01034004"</f>
        <v>01034004</v>
      </c>
    </row>
    <row r="25625" spans="1:2" x14ac:dyDescent="0.25">
      <c r="A25625" s="2">
        <v>25620</v>
      </c>
      <c r="B25625" s="11" t="str">
        <f>"01034005"</f>
        <v>01034005</v>
      </c>
    </row>
    <row r="25626" spans="1:2" x14ac:dyDescent="0.25">
      <c r="A25626" s="2">
        <v>25621</v>
      </c>
      <c r="B25626" s="11" t="str">
        <f>"01034025"</f>
        <v>01034025</v>
      </c>
    </row>
    <row r="25627" spans="1:2" x14ac:dyDescent="0.25">
      <c r="A25627" s="2">
        <v>25622</v>
      </c>
      <c r="B25627" s="11" t="str">
        <f>"01034032"</f>
        <v>01034032</v>
      </c>
    </row>
    <row r="25628" spans="1:2" x14ac:dyDescent="0.25">
      <c r="A25628" s="2">
        <v>25623</v>
      </c>
      <c r="B25628" s="11" t="str">
        <f>"01034074"</f>
        <v>01034074</v>
      </c>
    </row>
    <row r="25629" spans="1:2" x14ac:dyDescent="0.25">
      <c r="A25629" s="2">
        <v>25624</v>
      </c>
      <c r="B25629" s="11" t="str">
        <f>"01034098"</f>
        <v>01034098</v>
      </c>
    </row>
    <row r="25630" spans="1:2" x14ac:dyDescent="0.25">
      <c r="A25630" s="2">
        <v>25625</v>
      </c>
      <c r="B25630" s="11" t="str">
        <f>"01034126"</f>
        <v>01034126</v>
      </c>
    </row>
    <row r="25631" spans="1:2" x14ac:dyDescent="0.25">
      <c r="A25631" s="2">
        <v>25626</v>
      </c>
      <c r="B25631" s="11" t="str">
        <f>"01034151"</f>
        <v>01034151</v>
      </c>
    </row>
    <row r="25632" spans="1:2" x14ac:dyDescent="0.25">
      <c r="A25632" s="2">
        <v>25627</v>
      </c>
      <c r="B25632" s="11" t="str">
        <f>"01034155"</f>
        <v>01034155</v>
      </c>
    </row>
    <row r="25633" spans="1:2" x14ac:dyDescent="0.25">
      <c r="A25633" s="2">
        <v>25628</v>
      </c>
      <c r="B25633" s="11" t="str">
        <f>"01034172"</f>
        <v>01034172</v>
      </c>
    </row>
    <row r="25634" spans="1:2" x14ac:dyDescent="0.25">
      <c r="A25634" s="2">
        <v>25629</v>
      </c>
      <c r="B25634" s="11" t="str">
        <f>"01034179"</f>
        <v>01034179</v>
      </c>
    </row>
    <row r="25635" spans="1:2" x14ac:dyDescent="0.25">
      <c r="A25635" s="2">
        <v>25630</v>
      </c>
      <c r="B25635" s="11" t="str">
        <f>"01034183"</f>
        <v>01034183</v>
      </c>
    </row>
    <row r="25636" spans="1:2" x14ac:dyDescent="0.25">
      <c r="A25636" s="2">
        <v>25631</v>
      </c>
      <c r="B25636" s="11" t="str">
        <f>"01034208"</f>
        <v>01034208</v>
      </c>
    </row>
    <row r="25637" spans="1:2" x14ac:dyDescent="0.25">
      <c r="A25637" s="2">
        <v>25632</v>
      </c>
      <c r="B25637" s="11" t="str">
        <f>"01034215"</f>
        <v>01034215</v>
      </c>
    </row>
    <row r="25638" spans="1:2" x14ac:dyDescent="0.25">
      <c r="A25638" s="2">
        <v>25633</v>
      </c>
      <c r="B25638" s="11" t="str">
        <f>"01034221"</f>
        <v>01034221</v>
      </c>
    </row>
    <row r="25639" spans="1:2" x14ac:dyDescent="0.25">
      <c r="A25639" s="2">
        <v>25634</v>
      </c>
      <c r="B25639" s="11" t="str">
        <f>"01034239"</f>
        <v>01034239</v>
      </c>
    </row>
    <row r="25640" spans="1:2" x14ac:dyDescent="0.25">
      <c r="A25640" s="2">
        <v>25635</v>
      </c>
      <c r="B25640" s="11" t="str">
        <f>"01034245"</f>
        <v>01034245</v>
      </c>
    </row>
    <row r="25641" spans="1:2" x14ac:dyDescent="0.25">
      <c r="A25641" s="2">
        <v>25636</v>
      </c>
      <c r="B25641" s="11" t="str">
        <f>"01034249"</f>
        <v>01034249</v>
      </c>
    </row>
    <row r="25642" spans="1:2" x14ac:dyDescent="0.25">
      <c r="A25642" s="2">
        <v>25637</v>
      </c>
      <c r="B25642" s="11" t="str">
        <f>"01034252"</f>
        <v>01034252</v>
      </c>
    </row>
    <row r="25643" spans="1:2" x14ac:dyDescent="0.25">
      <c r="A25643" s="2">
        <v>25638</v>
      </c>
      <c r="B25643" s="11" t="str">
        <f>"01034262"</f>
        <v>01034262</v>
      </c>
    </row>
    <row r="25644" spans="1:2" x14ac:dyDescent="0.25">
      <c r="A25644" s="2">
        <v>25639</v>
      </c>
      <c r="B25644" s="11" t="str">
        <f>"01034264"</f>
        <v>01034264</v>
      </c>
    </row>
    <row r="25645" spans="1:2" x14ac:dyDescent="0.25">
      <c r="A25645" s="2">
        <v>25640</v>
      </c>
      <c r="B25645" s="11" t="str">
        <f>"01034283"</f>
        <v>01034283</v>
      </c>
    </row>
    <row r="25646" spans="1:2" x14ac:dyDescent="0.25">
      <c r="A25646" s="2">
        <v>25641</v>
      </c>
      <c r="B25646" s="11" t="str">
        <f>"01034291"</f>
        <v>01034291</v>
      </c>
    </row>
    <row r="25647" spans="1:2" x14ac:dyDescent="0.25">
      <c r="A25647" s="2">
        <v>25642</v>
      </c>
      <c r="B25647" s="11" t="str">
        <f>"01034297"</f>
        <v>01034297</v>
      </c>
    </row>
    <row r="25648" spans="1:2" x14ac:dyDescent="0.25">
      <c r="A25648" s="2">
        <v>25643</v>
      </c>
      <c r="B25648" s="11" t="str">
        <f>"01034312"</f>
        <v>01034312</v>
      </c>
    </row>
    <row r="25649" spans="1:2" x14ac:dyDescent="0.25">
      <c r="A25649" s="2">
        <v>25644</v>
      </c>
      <c r="B25649" s="11" t="str">
        <f>"01034321"</f>
        <v>01034321</v>
      </c>
    </row>
    <row r="25650" spans="1:2" x14ac:dyDescent="0.25">
      <c r="A25650" s="2">
        <v>25645</v>
      </c>
      <c r="B25650" s="11" t="str">
        <f>"01034345"</f>
        <v>01034345</v>
      </c>
    </row>
    <row r="25651" spans="1:2" x14ac:dyDescent="0.25">
      <c r="A25651" s="2">
        <v>25646</v>
      </c>
      <c r="B25651" s="11" t="str">
        <f>"01034391"</f>
        <v>01034391</v>
      </c>
    </row>
    <row r="25652" spans="1:2" x14ac:dyDescent="0.25">
      <c r="A25652" s="2">
        <v>25647</v>
      </c>
      <c r="B25652" s="11" t="str">
        <f>"01034393"</f>
        <v>01034393</v>
      </c>
    </row>
    <row r="25653" spans="1:2" x14ac:dyDescent="0.25">
      <c r="A25653" s="2">
        <v>25648</v>
      </c>
      <c r="B25653" s="11" t="str">
        <f>"01034398"</f>
        <v>01034398</v>
      </c>
    </row>
    <row r="25654" spans="1:2" x14ac:dyDescent="0.25">
      <c r="A25654" s="2">
        <v>25649</v>
      </c>
      <c r="B25654" s="11" t="str">
        <f>"01034399"</f>
        <v>01034399</v>
      </c>
    </row>
    <row r="25655" spans="1:2" x14ac:dyDescent="0.25">
      <c r="A25655" s="2">
        <v>25650</v>
      </c>
      <c r="B25655" s="11" t="str">
        <f>"01034403"</f>
        <v>01034403</v>
      </c>
    </row>
    <row r="25656" spans="1:2" x14ac:dyDescent="0.25">
      <c r="A25656" s="2">
        <v>25651</v>
      </c>
      <c r="B25656" s="11" t="str">
        <f>"01034423"</f>
        <v>01034423</v>
      </c>
    </row>
    <row r="25657" spans="1:2" x14ac:dyDescent="0.25">
      <c r="A25657" s="2">
        <v>25652</v>
      </c>
      <c r="B25657" s="11" t="str">
        <f>"01034426"</f>
        <v>01034426</v>
      </c>
    </row>
    <row r="25658" spans="1:2" x14ac:dyDescent="0.25">
      <c r="A25658" s="2">
        <v>25653</v>
      </c>
      <c r="B25658" s="11" t="str">
        <f>"01034435"</f>
        <v>01034435</v>
      </c>
    </row>
    <row r="25659" spans="1:2" x14ac:dyDescent="0.25">
      <c r="A25659" s="2">
        <v>25654</v>
      </c>
      <c r="B25659" s="11" t="str">
        <f>"01034445"</f>
        <v>01034445</v>
      </c>
    </row>
    <row r="25660" spans="1:2" x14ac:dyDescent="0.25">
      <c r="A25660" s="2">
        <v>25655</v>
      </c>
      <c r="B25660" s="11" t="str">
        <f>"01034454"</f>
        <v>01034454</v>
      </c>
    </row>
    <row r="25661" spans="1:2" x14ac:dyDescent="0.25">
      <c r="A25661" s="2">
        <v>25656</v>
      </c>
      <c r="B25661" s="11" t="str">
        <f>"01034475"</f>
        <v>01034475</v>
      </c>
    </row>
    <row r="25662" spans="1:2" x14ac:dyDescent="0.25">
      <c r="A25662" s="2">
        <v>25657</v>
      </c>
      <c r="B25662" s="11" t="str">
        <f>"01034478"</f>
        <v>01034478</v>
      </c>
    </row>
    <row r="25663" spans="1:2" x14ac:dyDescent="0.25">
      <c r="A25663" s="2">
        <v>25658</v>
      </c>
      <c r="B25663" s="11" t="str">
        <f>"01034514"</f>
        <v>01034514</v>
      </c>
    </row>
    <row r="25664" spans="1:2" x14ac:dyDescent="0.25">
      <c r="A25664" s="2">
        <v>25659</v>
      </c>
      <c r="B25664" s="11" t="str">
        <f>"01034524"</f>
        <v>01034524</v>
      </c>
    </row>
    <row r="25665" spans="1:2" x14ac:dyDescent="0.25">
      <c r="A25665" s="2">
        <v>25660</v>
      </c>
      <c r="B25665" s="11" t="str">
        <f>"01034534"</f>
        <v>01034534</v>
      </c>
    </row>
    <row r="25666" spans="1:2" x14ac:dyDescent="0.25">
      <c r="A25666" s="2">
        <v>25661</v>
      </c>
      <c r="B25666" s="11" t="str">
        <f>"01034538"</f>
        <v>01034538</v>
      </c>
    </row>
    <row r="25667" spans="1:2" x14ac:dyDescent="0.25">
      <c r="A25667" s="2">
        <v>25662</v>
      </c>
      <c r="B25667" s="11" t="str">
        <f>"01034553"</f>
        <v>01034553</v>
      </c>
    </row>
    <row r="25668" spans="1:2" x14ac:dyDescent="0.25">
      <c r="A25668" s="2">
        <v>25663</v>
      </c>
      <c r="B25668" s="11" t="str">
        <f>"01034592"</f>
        <v>01034592</v>
      </c>
    </row>
    <row r="25669" spans="1:2" x14ac:dyDescent="0.25">
      <c r="A25669" s="2">
        <v>25664</v>
      </c>
      <c r="B25669" s="11" t="str">
        <f>"01034599"</f>
        <v>01034599</v>
      </c>
    </row>
    <row r="25670" spans="1:2" x14ac:dyDescent="0.25">
      <c r="A25670" s="2">
        <v>25665</v>
      </c>
      <c r="B25670" s="11" t="str">
        <f>"01034626"</f>
        <v>01034626</v>
      </c>
    </row>
    <row r="25671" spans="1:2" x14ac:dyDescent="0.25">
      <c r="A25671" s="2">
        <v>25666</v>
      </c>
      <c r="B25671" s="11" t="str">
        <f>"01034628"</f>
        <v>01034628</v>
      </c>
    </row>
    <row r="25672" spans="1:2" x14ac:dyDescent="0.25">
      <c r="A25672" s="2">
        <v>25667</v>
      </c>
      <c r="B25672" s="11" t="str">
        <f>"01034677"</f>
        <v>01034677</v>
      </c>
    </row>
    <row r="25673" spans="1:2" x14ac:dyDescent="0.25">
      <c r="A25673" s="2">
        <v>25668</v>
      </c>
      <c r="B25673" s="11" t="str">
        <f>"01034701"</f>
        <v>01034701</v>
      </c>
    </row>
    <row r="25674" spans="1:2" x14ac:dyDescent="0.25">
      <c r="A25674" s="2">
        <v>25669</v>
      </c>
      <c r="B25674" s="11" t="str">
        <f>"01034736"</f>
        <v>01034736</v>
      </c>
    </row>
    <row r="25675" spans="1:2" x14ac:dyDescent="0.25">
      <c r="A25675" s="2">
        <v>25670</v>
      </c>
      <c r="B25675" s="11" t="str">
        <f>"01034743"</f>
        <v>01034743</v>
      </c>
    </row>
    <row r="25676" spans="1:2" x14ac:dyDescent="0.25">
      <c r="A25676" s="2">
        <v>25671</v>
      </c>
      <c r="B25676" s="11" t="str">
        <f>"01034748"</f>
        <v>01034748</v>
      </c>
    </row>
    <row r="25677" spans="1:2" x14ac:dyDescent="0.25">
      <c r="A25677" s="2">
        <v>25672</v>
      </c>
      <c r="B25677" s="11" t="str">
        <f>"01034784"</f>
        <v>01034784</v>
      </c>
    </row>
    <row r="25678" spans="1:2" x14ac:dyDescent="0.25">
      <c r="A25678" s="2">
        <v>25673</v>
      </c>
      <c r="B25678" s="11" t="str">
        <f>"01034806"</f>
        <v>01034806</v>
      </c>
    </row>
    <row r="25679" spans="1:2" x14ac:dyDescent="0.25">
      <c r="A25679" s="2">
        <v>25674</v>
      </c>
      <c r="B25679" s="11" t="str">
        <f>"01034871"</f>
        <v>01034871</v>
      </c>
    </row>
    <row r="25680" spans="1:2" x14ac:dyDescent="0.25">
      <c r="A25680" s="2">
        <v>25675</v>
      </c>
      <c r="B25680" s="11" t="str">
        <f>"01034891"</f>
        <v>01034891</v>
      </c>
    </row>
    <row r="25681" spans="1:2" x14ac:dyDescent="0.25">
      <c r="A25681" s="2">
        <v>25676</v>
      </c>
      <c r="B25681" s="11" t="str">
        <f>"01034901"</f>
        <v>01034901</v>
      </c>
    </row>
    <row r="25682" spans="1:2" x14ac:dyDescent="0.25">
      <c r="A25682" s="2">
        <v>25677</v>
      </c>
      <c r="B25682" s="11" t="str">
        <f>"01034930"</f>
        <v>01034930</v>
      </c>
    </row>
    <row r="25683" spans="1:2" x14ac:dyDescent="0.25">
      <c r="A25683" s="2">
        <v>25678</v>
      </c>
      <c r="B25683" s="11" t="str">
        <f>"01034949"</f>
        <v>01034949</v>
      </c>
    </row>
    <row r="25684" spans="1:2" x14ac:dyDescent="0.25">
      <c r="A25684" s="2">
        <v>25679</v>
      </c>
      <c r="B25684" s="11" t="str">
        <f>"01034970"</f>
        <v>01034970</v>
      </c>
    </row>
    <row r="25685" spans="1:2" x14ac:dyDescent="0.25">
      <c r="A25685" s="2">
        <v>25680</v>
      </c>
      <c r="B25685" s="11" t="str">
        <f>"01034975"</f>
        <v>01034975</v>
      </c>
    </row>
    <row r="25686" spans="1:2" x14ac:dyDescent="0.25">
      <c r="A25686" s="2">
        <v>25681</v>
      </c>
      <c r="B25686" s="11" t="str">
        <f>"01034985"</f>
        <v>01034985</v>
      </c>
    </row>
    <row r="25687" spans="1:2" x14ac:dyDescent="0.25">
      <c r="A25687" s="2">
        <v>25682</v>
      </c>
      <c r="B25687" s="11" t="str">
        <f>"01034991"</f>
        <v>01034991</v>
      </c>
    </row>
    <row r="25688" spans="1:2" x14ac:dyDescent="0.25">
      <c r="A25688" s="2">
        <v>25683</v>
      </c>
      <c r="B25688" s="11" t="str">
        <f>"01035024"</f>
        <v>01035024</v>
      </c>
    </row>
    <row r="25689" spans="1:2" x14ac:dyDescent="0.25">
      <c r="A25689" s="2">
        <v>25684</v>
      </c>
      <c r="B25689" s="11" t="str">
        <f>"01035032"</f>
        <v>01035032</v>
      </c>
    </row>
    <row r="25690" spans="1:2" x14ac:dyDescent="0.25">
      <c r="A25690" s="2">
        <v>25685</v>
      </c>
      <c r="B25690" s="11" t="str">
        <f>"01035056"</f>
        <v>01035056</v>
      </c>
    </row>
    <row r="25691" spans="1:2" x14ac:dyDescent="0.25">
      <c r="A25691" s="2">
        <v>25686</v>
      </c>
      <c r="B25691" s="11" t="str">
        <f>"01035060"</f>
        <v>01035060</v>
      </c>
    </row>
    <row r="25692" spans="1:2" x14ac:dyDescent="0.25">
      <c r="A25692" s="2">
        <v>25687</v>
      </c>
      <c r="B25692" s="11" t="str">
        <f>"01035063"</f>
        <v>01035063</v>
      </c>
    </row>
    <row r="25693" spans="1:2" x14ac:dyDescent="0.25">
      <c r="A25693" s="2">
        <v>25688</v>
      </c>
      <c r="B25693" s="11" t="str">
        <f>"01035083"</f>
        <v>01035083</v>
      </c>
    </row>
    <row r="25694" spans="1:2" x14ac:dyDescent="0.25">
      <c r="A25694" s="2">
        <v>25689</v>
      </c>
      <c r="B25694" s="11" t="str">
        <f>"01035089"</f>
        <v>01035089</v>
      </c>
    </row>
    <row r="25695" spans="1:2" x14ac:dyDescent="0.25">
      <c r="A25695" s="2">
        <v>25690</v>
      </c>
      <c r="B25695" s="11" t="str">
        <f>"01035102"</f>
        <v>01035102</v>
      </c>
    </row>
    <row r="25696" spans="1:2" x14ac:dyDescent="0.25">
      <c r="A25696" s="2">
        <v>25691</v>
      </c>
      <c r="B25696" s="11" t="str">
        <f>"01035104"</f>
        <v>01035104</v>
      </c>
    </row>
    <row r="25697" spans="1:2" x14ac:dyDescent="0.25">
      <c r="A25697" s="2">
        <v>25692</v>
      </c>
      <c r="B25697" s="11" t="str">
        <f>"01035107"</f>
        <v>01035107</v>
      </c>
    </row>
    <row r="25698" spans="1:2" x14ac:dyDescent="0.25">
      <c r="A25698" s="2">
        <v>25693</v>
      </c>
      <c r="B25698" s="11" t="str">
        <f>"01035133"</f>
        <v>01035133</v>
      </c>
    </row>
    <row r="25699" spans="1:2" x14ac:dyDescent="0.25">
      <c r="A25699" s="2">
        <v>25694</v>
      </c>
      <c r="B25699" s="11" t="str">
        <f>"01035144"</f>
        <v>01035144</v>
      </c>
    </row>
    <row r="25700" spans="1:2" x14ac:dyDescent="0.25">
      <c r="A25700" s="2">
        <v>25695</v>
      </c>
      <c r="B25700" s="11" t="str">
        <f>"01035156"</f>
        <v>01035156</v>
      </c>
    </row>
    <row r="25701" spans="1:2" x14ac:dyDescent="0.25">
      <c r="A25701" s="2">
        <v>25696</v>
      </c>
      <c r="B25701" s="11" t="str">
        <f>"01035208"</f>
        <v>01035208</v>
      </c>
    </row>
    <row r="25702" spans="1:2" x14ac:dyDescent="0.25">
      <c r="A25702" s="2">
        <v>25697</v>
      </c>
      <c r="B25702" s="11" t="str">
        <f>"01035228"</f>
        <v>01035228</v>
      </c>
    </row>
    <row r="25703" spans="1:2" x14ac:dyDescent="0.25">
      <c r="A25703" s="2">
        <v>25698</v>
      </c>
      <c r="B25703" s="11" t="str">
        <f>"01035249"</f>
        <v>01035249</v>
      </c>
    </row>
    <row r="25704" spans="1:2" x14ac:dyDescent="0.25">
      <c r="A25704" s="2">
        <v>25699</v>
      </c>
      <c r="B25704" s="11" t="str">
        <f>"01035259"</f>
        <v>01035259</v>
      </c>
    </row>
    <row r="25705" spans="1:2" x14ac:dyDescent="0.25">
      <c r="A25705" s="2">
        <v>25700</v>
      </c>
      <c r="B25705" s="11" t="str">
        <f>"01035301"</f>
        <v>01035301</v>
      </c>
    </row>
    <row r="25706" spans="1:2" x14ac:dyDescent="0.25">
      <c r="A25706" s="2">
        <v>25701</v>
      </c>
      <c r="B25706" s="11" t="str">
        <f>"01035314"</f>
        <v>01035314</v>
      </c>
    </row>
    <row r="25707" spans="1:2" x14ac:dyDescent="0.25">
      <c r="A25707" s="2">
        <v>25702</v>
      </c>
      <c r="B25707" s="11" t="str">
        <f>"01035322"</f>
        <v>01035322</v>
      </c>
    </row>
    <row r="25708" spans="1:2" x14ac:dyDescent="0.25">
      <c r="A25708" s="2">
        <v>25703</v>
      </c>
      <c r="B25708" s="11" t="str">
        <f>"01035339"</f>
        <v>01035339</v>
      </c>
    </row>
    <row r="25709" spans="1:2" x14ac:dyDescent="0.25">
      <c r="A25709" s="2">
        <v>25704</v>
      </c>
      <c r="B25709" s="11" t="str">
        <f>"01035342"</f>
        <v>01035342</v>
      </c>
    </row>
    <row r="25710" spans="1:2" x14ac:dyDescent="0.25">
      <c r="A25710" s="2">
        <v>25705</v>
      </c>
      <c r="B25710" s="11" t="str">
        <f>"01035346"</f>
        <v>01035346</v>
      </c>
    </row>
    <row r="25711" spans="1:2" x14ac:dyDescent="0.25">
      <c r="A25711" s="2">
        <v>25706</v>
      </c>
      <c r="B25711" s="11" t="str">
        <f>"01035392"</f>
        <v>01035392</v>
      </c>
    </row>
    <row r="25712" spans="1:2" x14ac:dyDescent="0.25">
      <c r="A25712" s="2">
        <v>25707</v>
      </c>
      <c r="B25712" s="11" t="str">
        <f>"01035440"</f>
        <v>01035440</v>
      </c>
    </row>
    <row r="25713" spans="1:2" x14ac:dyDescent="0.25">
      <c r="A25713" s="2">
        <v>25708</v>
      </c>
      <c r="B25713" s="11" t="str">
        <f>"01035455"</f>
        <v>01035455</v>
      </c>
    </row>
    <row r="25714" spans="1:2" x14ac:dyDescent="0.25">
      <c r="A25714" s="2">
        <v>25709</v>
      </c>
      <c r="B25714" s="11" t="str">
        <f>"01035481"</f>
        <v>01035481</v>
      </c>
    </row>
    <row r="25715" spans="1:2" x14ac:dyDescent="0.25">
      <c r="A25715" s="2">
        <v>25710</v>
      </c>
      <c r="B25715" s="11" t="str">
        <f>"01035509"</f>
        <v>01035509</v>
      </c>
    </row>
    <row r="25716" spans="1:2" x14ac:dyDescent="0.25">
      <c r="A25716" s="2">
        <v>25711</v>
      </c>
      <c r="B25716" s="11" t="str">
        <f>"01035525"</f>
        <v>01035525</v>
      </c>
    </row>
    <row r="25717" spans="1:2" x14ac:dyDescent="0.25">
      <c r="A25717" s="2">
        <v>25712</v>
      </c>
      <c r="B25717" s="11" t="str">
        <f>"01035532"</f>
        <v>01035532</v>
      </c>
    </row>
    <row r="25718" spans="1:2" x14ac:dyDescent="0.25">
      <c r="A25718" s="2">
        <v>25713</v>
      </c>
      <c r="B25718" s="11" t="str">
        <f>"01035539"</f>
        <v>01035539</v>
      </c>
    </row>
    <row r="25719" spans="1:2" x14ac:dyDescent="0.25">
      <c r="A25719" s="2">
        <v>25714</v>
      </c>
      <c r="B25719" s="11" t="str">
        <f>"01035576"</f>
        <v>01035576</v>
      </c>
    </row>
    <row r="25720" spans="1:2" x14ac:dyDescent="0.25">
      <c r="A25720" s="2">
        <v>25715</v>
      </c>
      <c r="B25720" s="11" t="str">
        <f>"01035590"</f>
        <v>01035590</v>
      </c>
    </row>
    <row r="25721" spans="1:2" x14ac:dyDescent="0.25">
      <c r="A25721" s="2">
        <v>25716</v>
      </c>
      <c r="B25721" s="11" t="str">
        <f>"01035607"</f>
        <v>01035607</v>
      </c>
    </row>
    <row r="25722" spans="1:2" x14ac:dyDescent="0.25">
      <c r="A25722" s="2">
        <v>25717</v>
      </c>
      <c r="B25722" s="11" t="str">
        <f>"01035624"</f>
        <v>01035624</v>
      </c>
    </row>
    <row r="25723" spans="1:2" x14ac:dyDescent="0.25">
      <c r="A25723" s="2">
        <v>25718</v>
      </c>
      <c r="B25723" s="11" t="str">
        <f>"01035633"</f>
        <v>01035633</v>
      </c>
    </row>
    <row r="25724" spans="1:2" x14ac:dyDescent="0.25">
      <c r="A25724" s="2">
        <v>25719</v>
      </c>
      <c r="B25724" s="11" t="str">
        <f>"01035692"</f>
        <v>01035692</v>
      </c>
    </row>
    <row r="25725" spans="1:2" x14ac:dyDescent="0.25">
      <c r="A25725" s="2">
        <v>25720</v>
      </c>
      <c r="B25725" s="11" t="str">
        <f>"01035693"</f>
        <v>01035693</v>
      </c>
    </row>
    <row r="25726" spans="1:2" x14ac:dyDescent="0.25">
      <c r="A25726" s="2">
        <v>25721</v>
      </c>
      <c r="B25726" s="11" t="str">
        <f>"01035704"</f>
        <v>01035704</v>
      </c>
    </row>
    <row r="25727" spans="1:2" x14ac:dyDescent="0.25">
      <c r="A25727" s="2">
        <v>25722</v>
      </c>
      <c r="B25727" s="11" t="str">
        <f>"01035714"</f>
        <v>01035714</v>
      </c>
    </row>
    <row r="25728" spans="1:2" x14ac:dyDescent="0.25">
      <c r="A25728" s="2">
        <v>25723</v>
      </c>
      <c r="B25728" s="11" t="str">
        <f>"01035718"</f>
        <v>01035718</v>
      </c>
    </row>
    <row r="25729" spans="1:2" x14ac:dyDescent="0.25">
      <c r="A25729" s="2">
        <v>25724</v>
      </c>
      <c r="B25729" s="11" t="str">
        <f>"01035724"</f>
        <v>01035724</v>
      </c>
    </row>
    <row r="25730" spans="1:2" x14ac:dyDescent="0.25">
      <c r="A25730" s="2">
        <v>25725</v>
      </c>
      <c r="B25730" s="11" t="str">
        <f>"01035726"</f>
        <v>01035726</v>
      </c>
    </row>
    <row r="25731" spans="1:2" x14ac:dyDescent="0.25">
      <c r="A25731" s="2">
        <v>25726</v>
      </c>
      <c r="B25731" s="11" t="str">
        <f>"01035740"</f>
        <v>01035740</v>
      </c>
    </row>
    <row r="25732" spans="1:2" x14ac:dyDescent="0.25">
      <c r="A25732" s="2">
        <v>25727</v>
      </c>
      <c r="B25732" s="11" t="str">
        <f>"01035746"</f>
        <v>01035746</v>
      </c>
    </row>
    <row r="25733" spans="1:2" x14ac:dyDescent="0.25">
      <c r="A25733" s="2">
        <v>25728</v>
      </c>
      <c r="B25733" s="11" t="str">
        <f>"01035754"</f>
        <v>01035754</v>
      </c>
    </row>
    <row r="25734" spans="1:2" x14ac:dyDescent="0.25">
      <c r="A25734" s="2">
        <v>25729</v>
      </c>
      <c r="B25734" s="11" t="str">
        <f>"01035756"</f>
        <v>01035756</v>
      </c>
    </row>
    <row r="25735" spans="1:2" x14ac:dyDescent="0.25">
      <c r="A25735" s="2">
        <v>25730</v>
      </c>
      <c r="B25735" s="11" t="str">
        <f>"01035760"</f>
        <v>01035760</v>
      </c>
    </row>
    <row r="25736" spans="1:2" x14ac:dyDescent="0.25">
      <c r="A25736" s="2">
        <v>25731</v>
      </c>
      <c r="B25736" s="11" t="str">
        <f>"01035793"</f>
        <v>01035793</v>
      </c>
    </row>
    <row r="25737" spans="1:2" x14ac:dyDescent="0.25">
      <c r="A25737" s="2">
        <v>25732</v>
      </c>
      <c r="B25737" s="11" t="str">
        <f>"01035827"</f>
        <v>01035827</v>
      </c>
    </row>
    <row r="25738" spans="1:2" x14ac:dyDescent="0.25">
      <c r="A25738" s="2">
        <v>25733</v>
      </c>
      <c r="B25738" s="11" t="str">
        <f>"01035840"</f>
        <v>01035840</v>
      </c>
    </row>
    <row r="25739" spans="1:2" x14ac:dyDescent="0.25">
      <c r="A25739" s="2">
        <v>25734</v>
      </c>
      <c r="B25739" s="11" t="str">
        <f>"01035844"</f>
        <v>01035844</v>
      </c>
    </row>
    <row r="25740" spans="1:2" x14ac:dyDescent="0.25">
      <c r="A25740" s="2">
        <v>25735</v>
      </c>
      <c r="B25740" s="11" t="str">
        <f>"01035851"</f>
        <v>01035851</v>
      </c>
    </row>
    <row r="25741" spans="1:2" x14ac:dyDescent="0.25">
      <c r="A25741" s="2">
        <v>25736</v>
      </c>
      <c r="B25741" s="11" t="str">
        <f>"01035854"</f>
        <v>01035854</v>
      </c>
    </row>
    <row r="25742" spans="1:2" x14ac:dyDescent="0.25">
      <c r="A25742" s="2">
        <v>25737</v>
      </c>
      <c r="B25742" s="11" t="str">
        <f>"01035893"</f>
        <v>01035893</v>
      </c>
    </row>
    <row r="25743" spans="1:2" x14ac:dyDescent="0.25">
      <c r="A25743" s="2">
        <v>25738</v>
      </c>
      <c r="B25743" s="11" t="str">
        <f>"01035912"</f>
        <v>01035912</v>
      </c>
    </row>
    <row r="25744" spans="1:2" x14ac:dyDescent="0.25">
      <c r="A25744" s="2">
        <v>25739</v>
      </c>
      <c r="B25744" s="11" t="str">
        <f>"01035917"</f>
        <v>01035917</v>
      </c>
    </row>
    <row r="25745" spans="1:2" x14ac:dyDescent="0.25">
      <c r="A25745" s="2">
        <v>25740</v>
      </c>
      <c r="B25745" s="11" t="str">
        <f>"01035922"</f>
        <v>01035922</v>
      </c>
    </row>
    <row r="25746" spans="1:2" x14ac:dyDescent="0.25">
      <c r="A25746" s="2">
        <v>25741</v>
      </c>
      <c r="B25746" s="11" t="str">
        <f>"01035925"</f>
        <v>01035925</v>
      </c>
    </row>
    <row r="25747" spans="1:2" x14ac:dyDescent="0.25">
      <c r="A25747" s="2">
        <v>25742</v>
      </c>
      <c r="B25747" s="11" t="str">
        <f>"01035934"</f>
        <v>01035934</v>
      </c>
    </row>
    <row r="25748" spans="1:2" x14ac:dyDescent="0.25">
      <c r="A25748" s="2">
        <v>25743</v>
      </c>
      <c r="B25748" s="11" t="str">
        <f>"01035941"</f>
        <v>01035941</v>
      </c>
    </row>
    <row r="25749" spans="1:2" x14ac:dyDescent="0.25">
      <c r="A25749" s="2">
        <v>25744</v>
      </c>
      <c r="B25749" s="11" t="str">
        <f>"01035942"</f>
        <v>01035942</v>
      </c>
    </row>
    <row r="25750" spans="1:2" x14ac:dyDescent="0.25">
      <c r="A25750" s="2">
        <v>25745</v>
      </c>
      <c r="B25750" s="11" t="str">
        <f>"01035948"</f>
        <v>01035948</v>
      </c>
    </row>
    <row r="25751" spans="1:2" x14ac:dyDescent="0.25">
      <c r="A25751" s="2">
        <v>25746</v>
      </c>
      <c r="B25751" s="11" t="str">
        <f>"01035966"</f>
        <v>01035966</v>
      </c>
    </row>
    <row r="25752" spans="1:2" x14ac:dyDescent="0.25">
      <c r="A25752" s="2">
        <v>25747</v>
      </c>
      <c r="B25752" s="11" t="str">
        <f>"01035981"</f>
        <v>01035981</v>
      </c>
    </row>
    <row r="25753" spans="1:2" x14ac:dyDescent="0.25">
      <c r="A25753" s="2">
        <v>25748</v>
      </c>
      <c r="B25753" s="11" t="str">
        <f>"01035995"</f>
        <v>01035995</v>
      </c>
    </row>
    <row r="25754" spans="1:2" x14ac:dyDescent="0.25">
      <c r="A25754" s="2">
        <v>25749</v>
      </c>
      <c r="B25754" s="11" t="str">
        <f>"01036032"</f>
        <v>01036032</v>
      </c>
    </row>
    <row r="25755" spans="1:2" x14ac:dyDescent="0.25">
      <c r="A25755" s="2">
        <v>25750</v>
      </c>
      <c r="B25755" s="11" t="str">
        <f>"01036034"</f>
        <v>01036034</v>
      </c>
    </row>
    <row r="25756" spans="1:2" x14ac:dyDescent="0.25">
      <c r="A25756" s="2">
        <v>25751</v>
      </c>
      <c r="B25756" s="11" t="str">
        <f>"01036038"</f>
        <v>01036038</v>
      </c>
    </row>
    <row r="25757" spans="1:2" x14ac:dyDescent="0.25">
      <c r="A25757" s="2">
        <v>25752</v>
      </c>
      <c r="B25757" s="11" t="str">
        <f>"01036055"</f>
        <v>01036055</v>
      </c>
    </row>
    <row r="25758" spans="1:2" x14ac:dyDescent="0.25">
      <c r="A25758" s="2">
        <v>25753</v>
      </c>
      <c r="B25758" s="11" t="str">
        <f>"01036072"</f>
        <v>01036072</v>
      </c>
    </row>
    <row r="25759" spans="1:2" x14ac:dyDescent="0.25">
      <c r="A25759" s="2">
        <v>25754</v>
      </c>
      <c r="B25759" s="11" t="str">
        <f>"01036077"</f>
        <v>01036077</v>
      </c>
    </row>
    <row r="25760" spans="1:2" x14ac:dyDescent="0.25">
      <c r="A25760" s="2">
        <v>25755</v>
      </c>
      <c r="B25760" s="11" t="str">
        <f>"01036090"</f>
        <v>01036090</v>
      </c>
    </row>
    <row r="25761" spans="1:2" x14ac:dyDescent="0.25">
      <c r="A25761" s="2">
        <v>25756</v>
      </c>
      <c r="B25761" s="11" t="str">
        <f>"01036104"</f>
        <v>01036104</v>
      </c>
    </row>
    <row r="25762" spans="1:2" x14ac:dyDescent="0.25">
      <c r="A25762" s="2">
        <v>25757</v>
      </c>
      <c r="B25762" s="11" t="str">
        <f>"01036108"</f>
        <v>01036108</v>
      </c>
    </row>
    <row r="25763" spans="1:2" x14ac:dyDescent="0.25">
      <c r="A25763" s="2">
        <v>25758</v>
      </c>
      <c r="B25763" s="11" t="str">
        <f>"01036109"</f>
        <v>01036109</v>
      </c>
    </row>
    <row r="25764" spans="1:2" x14ac:dyDescent="0.25">
      <c r="A25764" s="2">
        <v>25759</v>
      </c>
      <c r="B25764" s="11" t="str">
        <f>"01036143"</f>
        <v>01036143</v>
      </c>
    </row>
    <row r="25765" spans="1:2" x14ac:dyDescent="0.25">
      <c r="A25765" s="2">
        <v>25760</v>
      </c>
      <c r="B25765" s="11" t="str">
        <f>"01036158"</f>
        <v>01036158</v>
      </c>
    </row>
    <row r="25766" spans="1:2" x14ac:dyDescent="0.25">
      <c r="A25766" s="2">
        <v>25761</v>
      </c>
      <c r="B25766" s="11" t="str">
        <f>"01036164"</f>
        <v>01036164</v>
      </c>
    </row>
    <row r="25767" spans="1:2" x14ac:dyDescent="0.25">
      <c r="A25767" s="2">
        <v>25762</v>
      </c>
      <c r="B25767" s="11" t="str">
        <f>"01036178"</f>
        <v>01036178</v>
      </c>
    </row>
    <row r="25768" spans="1:2" x14ac:dyDescent="0.25">
      <c r="A25768" s="2">
        <v>25763</v>
      </c>
      <c r="B25768" s="11" t="str">
        <f>"01036183"</f>
        <v>01036183</v>
      </c>
    </row>
    <row r="25769" spans="1:2" x14ac:dyDescent="0.25">
      <c r="A25769" s="2">
        <v>25764</v>
      </c>
      <c r="B25769" s="11" t="str">
        <f>"01036196"</f>
        <v>01036196</v>
      </c>
    </row>
    <row r="25770" spans="1:2" x14ac:dyDescent="0.25">
      <c r="A25770" s="2">
        <v>25765</v>
      </c>
      <c r="B25770" s="11" t="str">
        <f>"01036198"</f>
        <v>01036198</v>
      </c>
    </row>
    <row r="25771" spans="1:2" x14ac:dyDescent="0.25">
      <c r="A25771" s="2">
        <v>25766</v>
      </c>
      <c r="B25771" s="11" t="str">
        <f>"01036199"</f>
        <v>01036199</v>
      </c>
    </row>
    <row r="25772" spans="1:2" x14ac:dyDescent="0.25">
      <c r="A25772" s="2">
        <v>25767</v>
      </c>
      <c r="B25772" s="11" t="str">
        <f>"01036207"</f>
        <v>01036207</v>
      </c>
    </row>
    <row r="25773" spans="1:2" x14ac:dyDescent="0.25">
      <c r="A25773" s="2">
        <v>25768</v>
      </c>
      <c r="B25773" s="11" t="str">
        <f>"01036208"</f>
        <v>01036208</v>
      </c>
    </row>
    <row r="25774" spans="1:2" x14ac:dyDescent="0.25">
      <c r="A25774" s="2">
        <v>25769</v>
      </c>
      <c r="B25774" s="11" t="str">
        <f>"01036306"</f>
        <v>01036306</v>
      </c>
    </row>
    <row r="25775" spans="1:2" x14ac:dyDescent="0.25">
      <c r="A25775" s="2">
        <v>25770</v>
      </c>
      <c r="B25775" s="11" t="str">
        <f>"01036374"</f>
        <v>01036374</v>
      </c>
    </row>
    <row r="25776" spans="1:2" x14ac:dyDescent="0.25">
      <c r="A25776" s="2">
        <v>25771</v>
      </c>
      <c r="B25776" s="11" t="str">
        <f>"01036426"</f>
        <v>01036426</v>
      </c>
    </row>
    <row r="25777" spans="1:2" x14ac:dyDescent="0.25">
      <c r="A25777" s="2">
        <v>25772</v>
      </c>
      <c r="B25777" s="11" t="str">
        <f>"01036448"</f>
        <v>01036448</v>
      </c>
    </row>
    <row r="25778" spans="1:2" x14ac:dyDescent="0.25">
      <c r="A25778" s="2">
        <v>25773</v>
      </c>
      <c r="B25778" s="11" t="str">
        <f>"01036449"</f>
        <v>01036449</v>
      </c>
    </row>
    <row r="25779" spans="1:2" x14ac:dyDescent="0.25">
      <c r="A25779" s="2">
        <v>25774</v>
      </c>
      <c r="B25779" s="11" t="str">
        <f>"01036464"</f>
        <v>01036464</v>
      </c>
    </row>
    <row r="25780" spans="1:2" x14ac:dyDescent="0.25">
      <c r="A25780" s="2">
        <v>25775</v>
      </c>
      <c r="B25780" s="11" t="str">
        <f>"01036536"</f>
        <v>01036536</v>
      </c>
    </row>
    <row r="25781" spans="1:2" x14ac:dyDescent="0.25">
      <c r="A25781" s="2">
        <v>25776</v>
      </c>
      <c r="B25781" s="11" t="str">
        <f>"01036540"</f>
        <v>01036540</v>
      </c>
    </row>
    <row r="25782" spans="1:2" x14ac:dyDescent="0.25">
      <c r="A25782" s="2">
        <v>25777</v>
      </c>
      <c r="B25782" s="11" t="str">
        <f>"01036553"</f>
        <v>01036553</v>
      </c>
    </row>
    <row r="25783" spans="1:2" x14ac:dyDescent="0.25">
      <c r="A25783" s="2">
        <v>25778</v>
      </c>
      <c r="B25783" s="11" t="str">
        <f>"01036568"</f>
        <v>01036568</v>
      </c>
    </row>
    <row r="25784" spans="1:2" x14ac:dyDescent="0.25">
      <c r="A25784" s="2">
        <v>25779</v>
      </c>
      <c r="B25784" s="11" t="str">
        <f>"01036580"</f>
        <v>01036580</v>
      </c>
    </row>
    <row r="25785" spans="1:2" x14ac:dyDescent="0.25">
      <c r="A25785" s="2">
        <v>25780</v>
      </c>
      <c r="B25785" s="11" t="str">
        <f>"01036631"</f>
        <v>01036631</v>
      </c>
    </row>
    <row r="25786" spans="1:2" x14ac:dyDescent="0.25">
      <c r="A25786" s="2">
        <v>25781</v>
      </c>
      <c r="B25786" s="11" t="str">
        <f>"01036654"</f>
        <v>01036654</v>
      </c>
    </row>
    <row r="25787" spans="1:2" x14ac:dyDescent="0.25">
      <c r="A25787" s="2">
        <v>25782</v>
      </c>
      <c r="B25787" s="11" t="str">
        <f>"01036671"</f>
        <v>01036671</v>
      </c>
    </row>
    <row r="25788" spans="1:2" x14ac:dyDescent="0.25">
      <c r="A25788" s="2">
        <v>25783</v>
      </c>
      <c r="B25788" s="11" t="str">
        <f>"01036702"</f>
        <v>01036702</v>
      </c>
    </row>
    <row r="25789" spans="1:2" x14ac:dyDescent="0.25">
      <c r="A25789" s="2">
        <v>25784</v>
      </c>
      <c r="B25789" s="11" t="str">
        <f>"01036710"</f>
        <v>01036710</v>
      </c>
    </row>
    <row r="25790" spans="1:2" x14ac:dyDescent="0.25">
      <c r="A25790" s="2">
        <v>25785</v>
      </c>
      <c r="B25790" s="11" t="str">
        <f>"01036739"</f>
        <v>01036739</v>
      </c>
    </row>
    <row r="25791" spans="1:2" x14ac:dyDescent="0.25">
      <c r="A25791" s="2">
        <v>25786</v>
      </c>
      <c r="B25791" s="11" t="str">
        <f>"01036762"</f>
        <v>01036762</v>
      </c>
    </row>
    <row r="25792" spans="1:2" x14ac:dyDescent="0.25">
      <c r="A25792" s="2">
        <v>25787</v>
      </c>
      <c r="B25792" s="11" t="str">
        <f>"01036792"</f>
        <v>01036792</v>
      </c>
    </row>
    <row r="25793" spans="1:2" x14ac:dyDescent="0.25">
      <c r="A25793" s="2">
        <v>25788</v>
      </c>
      <c r="B25793" s="11" t="str">
        <f>"01036822"</f>
        <v>01036822</v>
      </c>
    </row>
    <row r="25794" spans="1:2" x14ac:dyDescent="0.25">
      <c r="A25794" s="2">
        <v>25789</v>
      </c>
      <c r="B25794" s="11" t="str">
        <f>"01036834"</f>
        <v>01036834</v>
      </c>
    </row>
    <row r="25795" spans="1:2" x14ac:dyDescent="0.25">
      <c r="A25795" s="2">
        <v>25790</v>
      </c>
      <c r="B25795" s="11" t="str">
        <f>"01036836"</f>
        <v>01036836</v>
      </c>
    </row>
    <row r="25796" spans="1:2" x14ac:dyDescent="0.25">
      <c r="A25796" s="2">
        <v>25791</v>
      </c>
      <c r="B25796" s="11" t="str">
        <f>"01036843"</f>
        <v>01036843</v>
      </c>
    </row>
    <row r="25797" spans="1:2" x14ac:dyDescent="0.25">
      <c r="A25797" s="2">
        <v>25792</v>
      </c>
      <c r="B25797" s="11" t="str">
        <f>"01036860"</f>
        <v>01036860</v>
      </c>
    </row>
    <row r="25798" spans="1:2" x14ac:dyDescent="0.25">
      <c r="A25798" s="2">
        <v>25793</v>
      </c>
      <c r="B25798" s="11" t="str">
        <f>"01036863"</f>
        <v>01036863</v>
      </c>
    </row>
    <row r="25799" spans="1:2" x14ac:dyDescent="0.25">
      <c r="A25799" s="2">
        <v>25794</v>
      </c>
      <c r="B25799" s="11" t="str">
        <f>"01036869"</f>
        <v>01036869</v>
      </c>
    </row>
    <row r="25800" spans="1:2" x14ac:dyDescent="0.25">
      <c r="A25800" s="2">
        <v>25795</v>
      </c>
      <c r="B25800" s="11" t="str">
        <f>"01036872"</f>
        <v>01036872</v>
      </c>
    </row>
    <row r="25801" spans="1:2" x14ac:dyDescent="0.25">
      <c r="A25801" s="2">
        <v>25796</v>
      </c>
      <c r="B25801" s="11" t="str">
        <f>"01036874"</f>
        <v>01036874</v>
      </c>
    </row>
    <row r="25802" spans="1:2" x14ac:dyDescent="0.25">
      <c r="A25802" s="2">
        <v>25797</v>
      </c>
      <c r="B25802" s="11" t="str">
        <f>"01036878"</f>
        <v>01036878</v>
      </c>
    </row>
    <row r="25803" spans="1:2" x14ac:dyDescent="0.25">
      <c r="A25803" s="2">
        <v>25798</v>
      </c>
      <c r="B25803" s="11" t="str">
        <f>"01036902"</f>
        <v>01036902</v>
      </c>
    </row>
    <row r="25804" spans="1:2" x14ac:dyDescent="0.25">
      <c r="A25804" s="2">
        <v>25799</v>
      </c>
      <c r="B25804" s="11" t="str">
        <f>"01036903"</f>
        <v>01036903</v>
      </c>
    </row>
    <row r="25805" spans="1:2" x14ac:dyDescent="0.25">
      <c r="A25805" s="2">
        <v>25800</v>
      </c>
      <c r="B25805" s="11" t="str">
        <f>"01036907"</f>
        <v>01036907</v>
      </c>
    </row>
    <row r="25806" spans="1:2" x14ac:dyDescent="0.25">
      <c r="A25806" s="2">
        <v>25801</v>
      </c>
      <c r="B25806" s="11" t="str">
        <f>"01036924"</f>
        <v>01036924</v>
      </c>
    </row>
    <row r="25807" spans="1:2" x14ac:dyDescent="0.25">
      <c r="A25807" s="2">
        <v>25802</v>
      </c>
      <c r="B25807" s="11" t="str">
        <f>"01036925"</f>
        <v>01036925</v>
      </c>
    </row>
    <row r="25808" spans="1:2" x14ac:dyDescent="0.25">
      <c r="A25808" s="2">
        <v>25803</v>
      </c>
      <c r="B25808" s="11" t="str">
        <f>"01036956"</f>
        <v>01036956</v>
      </c>
    </row>
    <row r="25809" spans="1:2" x14ac:dyDescent="0.25">
      <c r="A25809" s="2">
        <v>25804</v>
      </c>
      <c r="B25809" s="11" t="str">
        <f>"01036963"</f>
        <v>01036963</v>
      </c>
    </row>
    <row r="25810" spans="1:2" x14ac:dyDescent="0.25">
      <c r="A25810" s="2">
        <v>25805</v>
      </c>
      <c r="B25810" s="11" t="str">
        <f>"01036974"</f>
        <v>01036974</v>
      </c>
    </row>
    <row r="25811" spans="1:2" x14ac:dyDescent="0.25">
      <c r="A25811" s="2">
        <v>25806</v>
      </c>
      <c r="B25811" s="11" t="str">
        <f>"01036995"</f>
        <v>01036995</v>
      </c>
    </row>
    <row r="25812" spans="1:2" x14ac:dyDescent="0.25">
      <c r="A25812" s="2">
        <v>25807</v>
      </c>
      <c r="B25812" s="11" t="str">
        <f>"01037002"</f>
        <v>01037002</v>
      </c>
    </row>
    <row r="25813" spans="1:2" x14ac:dyDescent="0.25">
      <c r="A25813" s="2">
        <v>25808</v>
      </c>
      <c r="B25813" s="11" t="str">
        <f>"01037040"</f>
        <v>01037040</v>
      </c>
    </row>
    <row r="25814" spans="1:2" x14ac:dyDescent="0.25">
      <c r="A25814" s="2">
        <v>25809</v>
      </c>
      <c r="B25814" s="11" t="str">
        <f>"01037053"</f>
        <v>01037053</v>
      </c>
    </row>
    <row r="25815" spans="1:2" x14ac:dyDescent="0.25">
      <c r="A25815" s="2">
        <v>25810</v>
      </c>
      <c r="B25815" s="11" t="str">
        <f>"01037055"</f>
        <v>01037055</v>
      </c>
    </row>
    <row r="25816" spans="1:2" x14ac:dyDescent="0.25">
      <c r="A25816" s="2">
        <v>25811</v>
      </c>
      <c r="B25816" s="11" t="str">
        <f>"01037077"</f>
        <v>01037077</v>
      </c>
    </row>
    <row r="25817" spans="1:2" x14ac:dyDescent="0.25">
      <c r="A25817" s="2">
        <v>25812</v>
      </c>
      <c r="B25817" s="11" t="str">
        <f>"01037098"</f>
        <v>01037098</v>
      </c>
    </row>
    <row r="25818" spans="1:2" x14ac:dyDescent="0.25">
      <c r="A25818" s="2">
        <v>25813</v>
      </c>
      <c r="B25818" s="11" t="str">
        <f>"01037114"</f>
        <v>01037114</v>
      </c>
    </row>
    <row r="25819" spans="1:2" x14ac:dyDescent="0.25">
      <c r="A25819" s="2">
        <v>25814</v>
      </c>
      <c r="B25819" s="11" t="str">
        <f>"01037129"</f>
        <v>01037129</v>
      </c>
    </row>
    <row r="25820" spans="1:2" x14ac:dyDescent="0.25">
      <c r="A25820" s="2">
        <v>25815</v>
      </c>
      <c r="B25820" s="11" t="str">
        <f>"01037140"</f>
        <v>01037140</v>
      </c>
    </row>
    <row r="25821" spans="1:2" x14ac:dyDescent="0.25">
      <c r="A25821" s="2">
        <v>25816</v>
      </c>
      <c r="B25821" s="11" t="str">
        <f>"01037153"</f>
        <v>01037153</v>
      </c>
    </row>
    <row r="25822" spans="1:2" x14ac:dyDescent="0.25">
      <c r="A25822" s="2">
        <v>25817</v>
      </c>
      <c r="B25822" s="11" t="str">
        <f>"01037157"</f>
        <v>01037157</v>
      </c>
    </row>
    <row r="25823" spans="1:2" x14ac:dyDescent="0.25">
      <c r="A25823" s="2">
        <v>25818</v>
      </c>
      <c r="B25823" s="11" t="str">
        <f>"01037185"</f>
        <v>01037185</v>
      </c>
    </row>
    <row r="25824" spans="1:2" x14ac:dyDescent="0.25">
      <c r="A25824" s="2">
        <v>25819</v>
      </c>
      <c r="B25824" s="11" t="str">
        <f>"01037198"</f>
        <v>01037198</v>
      </c>
    </row>
    <row r="25825" spans="1:2" x14ac:dyDescent="0.25">
      <c r="A25825" s="2">
        <v>25820</v>
      </c>
      <c r="B25825" s="11" t="str">
        <f>"01037202"</f>
        <v>01037202</v>
      </c>
    </row>
    <row r="25826" spans="1:2" x14ac:dyDescent="0.25">
      <c r="A25826" s="2">
        <v>25821</v>
      </c>
      <c r="B25826" s="11" t="str">
        <f>"01037257"</f>
        <v>01037257</v>
      </c>
    </row>
    <row r="25827" spans="1:2" x14ac:dyDescent="0.25">
      <c r="A25827" s="2">
        <v>25822</v>
      </c>
      <c r="B25827" s="11" t="str">
        <f>"01037263"</f>
        <v>01037263</v>
      </c>
    </row>
    <row r="25828" spans="1:2" x14ac:dyDescent="0.25">
      <c r="A25828" s="2">
        <v>25823</v>
      </c>
      <c r="B25828" s="11" t="str">
        <f>"01037267"</f>
        <v>01037267</v>
      </c>
    </row>
    <row r="25829" spans="1:2" x14ac:dyDescent="0.25">
      <c r="A25829" s="2">
        <v>25824</v>
      </c>
      <c r="B25829" s="11" t="str">
        <f>"01037274"</f>
        <v>01037274</v>
      </c>
    </row>
    <row r="25830" spans="1:2" x14ac:dyDescent="0.25">
      <c r="A25830" s="2">
        <v>25825</v>
      </c>
      <c r="B25830" s="11" t="str">
        <f>"01037278"</f>
        <v>01037278</v>
      </c>
    </row>
    <row r="25831" spans="1:2" x14ac:dyDescent="0.25">
      <c r="A25831" s="2">
        <v>25826</v>
      </c>
      <c r="B25831" s="11" t="str">
        <f>"01037287"</f>
        <v>01037287</v>
      </c>
    </row>
    <row r="25832" spans="1:2" x14ac:dyDescent="0.25">
      <c r="A25832" s="2">
        <v>25827</v>
      </c>
      <c r="B25832" s="11" t="str">
        <f>"01037304"</f>
        <v>01037304</v>
      </c>
    </row>
    <row r="25833" spans="1:2" x14ac:dyDescent="0.25">
      <c r="A25833" s="2">
        <v>25828</v>
      </c>
      <c r="B25833" s="11" t="str">
        <f>"01037308"</f>
        <v>01037308</v>
      </c>
    </row>
    <row r="25834" spans="1:2" x14ac:dyDescent="0.25">
      <c r="A25834" s="2">
        <v>25829</v>
      </c>
      <c r="B25834" s="11" t="str">
        <f>"01037325"</f>
        <v>01037325</v>
      </c>
    </row>
    <row r="25835" spans="1:2" x14ac:dyDescent="0.25">
      <c r="A25835" s="2">
        <v>25830</v>
      </c>
      <c r="B25835" s="11" t="str">
        <f>"01037326"</f>
        <v>01037326</v>
      </c>
    </row>
    <row r="25836" spans="1:2" x14ac:dyDescent="0.25">
      <c r="A25836" s="2">
        <v>25831</v>
      </c>
      <c r="B25836" s="11" t="str">
        <f>"01037330"</f>
        <v>01037330</v>
      </c>
    </row>
    <row r="25837" spans="1:2" x14ac:dyDescent="0.25">
      <c r="A25837" s="2">
        <v>25832</v>
      </c>
      <c r="B25837" s="11" t="str">
        <f>"01037338"</f>
        <v>01037338</v>
      </c>
    </row>
    <row r="25838" spans="1:2" x14ac:dyDescent="0.25">
      <c r="A25838" s="2">
        <v>25833</v>
      </c>
      <c r="B25838" s="11" t="str">
        <f>"01037340"</f>
        <v>01037340</v>
      </c>
    </row>
    <row r="25839" spans="1:2" x14ac:dyDescent="0.25">
      <c r="A25839" s="2">
        <v>25834</v>
      </c>
      <c r="B25839" s="11" t="str">
        <f>"01037341"</f>
        <v>01037341</v>
      </c>
    </row>
    <row r="25840" spans="1:2" x14ac:dyDescent="0.25">
      <c r="A25840" s="2">
        <v>25835</v>
      </c>
      <c r="B25840" s="11" t="str">
        <f>"01037358"</f>
        <v>01037358</v>
      </c>
    </row>
    <row r="25841" spans="1:2" x14ac:dyDescent="0.25">
      <c r="A25841" s="2">
        <v>25836</v>
      </c>
      <c r="B25841" s="11" t="str">
        <f>"01037360"</f>
        <v>01037360</v>
      </c>
    </row>
    <row r="25842" spans="1:2" x14ac:dyDescent="0.25">
      <c r="A25842" s="2">
        <v>25837</v>
      </c>
      <c r="B25842" s="11" t="str">
        <f>"01037372"</f>
        <v>01037372</v>
      </c>
    </row>
    <row r="25843" spans="1:2" x14ac:dyDescent="0.25">
      <c r="A25843" s="2">
        <v>25838</v>
      </c>
      <c r="B25843" s="11" t="str">
        <f>"01037390"</f>
        <v>01037390</v>
      </c>
    </row>
    <row r="25844" spans="1:2" x14ac:dyDescent="0.25">
      <c r="A25844" s="2">
        <v>25839</v>
      </c>
      <c r="B25844" s="11" t="str">
        <f>"01037438"</f>
        <v>01037438</v>
      </c>
    </row>
    <row r="25845" spans="1:2" x14ac:dyDescent="0.25">
      <c r="A25845" s="2">
        <v>25840</v>
      </c>
      <c r="B25845" s="11" t="str">
        <f>"01037447"</f>
        <v>01037447</v>
      </c>
    </row>
    <row r="25846" spans="1:2" x14ac:dyDescent="0.25">
      <c r="A25846" s="2">
        <v>25841</v>
      </c>
      <c r="B25846" s="11" t="str">
        <f>"01037450"</f>
        <v>01037450</v>
      </c>
    </row>
    <row r="25847" spans="1:2" x14ac:dyDescent="0.25">
      <c r="A25847" s="2">
        <v>25842</v>
      </c>
      <c r="B25847" s="11" t="str">
        <f>"01037453"</f>
        <v>01037453</v>
      </c>
    </row>
    <row r="25848" spans="1:2" x14ac:dyDescent="0.25">
      <c r="A25848" s="2">
        <v>25843</v>
      </c>
      <c r="B25848" s="11" t="str">
        <f>"01037459"</f>
        <v>01037459</v>
      </c>
    </row>
    <row r="25849" spans="1:2" x14ac:dyDescent="0.25">
      <c r="A25849" s="2">
        <v>25844</v>
      </c>
      <c r="B25849" s="11" t="str">
        <f>"01037463"</f>
        <v>01037463</v>
      </c>
    </row>
    <row r="25850" spans="1:2" x14ac:dyDescent="0.25">
      <c r="A25850" s="2">
        <v>25845</v>
      </c>
      <c r="B25850" s="11" t="str">
        <f>"01037487"</f>
        <v>01037487</v>
      </c>
    </row>
    <row r="25851" spans="1:2" x14ac:dyDescent="0.25">
      <c r="A25851" s="2">
        <v>25846</v>
      </c>
      <c r="B25851" s="11" t="str">
        <f>"01037491"</f>
        <v>01037491</v>
      </c>
    </row>
    <row r="25852" spans="1:2" x14ac:dyDescent="0.25">
      <c r="A25852" s="2">
        <v>25847</v>
      </c>
      <c r="B25852" s="11" t="str">
        <f>"01037518"</f>
        <v>01037518</v>
      </c>
    </row>
    <row r="25853" spans="1:2" x14ac:dyDescent="0.25">
      <c r="A25853" s="2">
        <v>25848</v>
      </c>
      <c r="B25853" s="11" t="str">
        <f>"01037571"</f>
        <v>01037571</v>
      </c>
    </row>
    <row r="25854" spans="1:2" x14ac:dyDescent="0.25">
      <c r="A25854" s="2">
        <v>25849</v>
      </c>
      <c r="B25854" s="11" t="str">
        <f>"01037574"</f>
        <v>01037574</v>
      </c>
    </row>
    <row r="25855" spans="1:2" x14ac:dyDescent="0.25">
      <c r="A25855" s="2">
        <v>25850</v>
      </c>
      <c r="B25855" s="11" t="str">
        <f>"01037577"</f>
        <v>01037577</v>
      </c>
    </row>
    <row r="25856" spans="1:2" x14ac:dyDescent="0.25">
      <c r="A25856" s="2">
        <v>25851</v>
      </c>
      <c r="B25856" s="11" t="str">
        <f>"01037581"</f>
        <v>01037581</v>
      </c>
    </row>
    <row r="25857" spans="1:2" x14ac:dyDescent="0.25">
      <c r="A25857" s="2">
        <v>25852</v>
      </c>
      <c r="B25857" s="11" t="str">
        <f>"01037584"</f>
        <v>01037584</v>
      </c>
    </row>
    <row r="25858" spans="1:2" x14ac:dyDescent="0.25">
      <c r="A25858" s="2">
        <v>25853</v>
      </c>
      <c r="B25858" s="11" t="str">
        <f>"01037638"</f>
        <v>01037638</v>
      </c>
    </row>
    <row r="25859" spans="1:2" x14ac:dyDescent="0.25">
      <c r="A25859" s="2">
        <v>25854</v>
      </c>
      <c r="B25859" s="11" t="str">
        <f>"01037640"</f>
        <v>01037640</v>
      </c>
    </row>
    <row r="25860" spans="1:2" x14ac:dyDescent="0.25">
      <c r="A25860" s="2">
        <v>25855</v>
      </c>
      <c r="B25860" s="11" t="str">
        <f>"01037643"</f>
        <v>01037643</v>
      </c>
    </row>
    <row r="25861" spans="1:2" x14ac:dyDescent="0.25">
      <c r="A25861" s="2">
        <v>25856</v>
      </c>
      <c r="B25861" s="11" t="str">
        <f>"01037644"</f>
        <v>01037644</v>
      </c>
    </row>
    <row r="25862" spans="1:2" x14ac:dyDescent="0.25">
      <c r="A25862" s="2">
        <v>25857</v>
      </c>
      <c r="B25862" s="11" t="str">
        <f>"01037652"</f>
        <v>01037652</v>
      </c>
    </row>
    <row r="25863" spans="1:2" x14ac:dyDescent="0.25">
      <c r="A25863" s="2">
        <v>25858</v>
      </c>
      <c r="B25863" s="11" t="str">
        <f>"01037680"</f>
        <v>01037680</v>
      </c>
    </row>
    <row r="25864" spans="1:2" x14ac:dyDescent="0.25">
      <c r="A25864" s="2">
        <v>25859</v>
      </c>
      <c r="B25864" s="11" t="str">
        <f>"01037717"</f>
        <v>01037717</v>
      </c>
    </row>
    <row r="25865" spans="1:2" x14ac:dyDescent="0.25">
      <c r="A25865" s="2">
        <v>25860</v>
      </c>
      <c r="B25865" s="11" t="str">
        <f>"01037720"</f>
        <v>01037720</v>
      </c>
    </row>
    <row r="25866" spans="1:2" x14ac:dyDescent="0.25">
      <c r="A25866" s="2">
        <v>25861</v>
      </c>
      <c r="B25866" s="11" t="str">
        <f>"01037730"</f>
        <v>01037730</v>
      </c>
    </row>
    <row r="25867" spans="1:2" x14ac:dyDescent="0.25">
      <c r="A25867" s="2">
        <v>25862</v>
      </c>
      <c r="B25867" s="11" t="str">
        <f>"01037736"</f>
        <v>01037736</v>
      </c>
    </row>
    <row r="25868" spans="1:2" x14ac:dyDescent="0.25">
      <c r="A25868" s="2">
        <v>25863</v>
      </c>
      <c r="B25868" s="11" t="str">
        <f>"01037739"</f>
        <v>01037739</v>
      </c>
    </row>
    <row r="25869" spans="1:2" x14ac:dyDescent="0.25">
      <c r="A25869" s="2">
        <v>25864</v>
      </c>
      <c r="B25869" s="11" t="str">
        <f>"01037742"</f>
        <v>01037742</v>
      </c>
    </row>
    <row r="25870" spans="1:2" x14ac:dyDescent="0.25">
      <c r="A25870" s="2">
        <v>25865</v>
      </c>
      <c r="B25870" s="11" t="str">
        <f>"01037752"</f>
        <v>01037752</v>
      </c>
    </row>
    <row r="25871" spans="1:2" x14ac:dyDescent="0.25">
      <c r="A25871" s="2">
        <v>25866</v>
      </c>
      <c r="B25871" s="11" t="str">
        <f>"01037765"</f>
        <v>01037765</v>
      </c>
    </row>
    <row r="25872" spans="1:2" x14ac:dyDescent="0.25">
      <c r="A25872" s="2">
        <v>25867</v>
      </c>
      <c r="B25872" s="11" t="str">
        <f>"01037768"</f>
        <v>01037768</v>
      </c>
    </row>
    <row r="25873" spans="1:2" x14ac:dyDescent="0.25">
      <c r="A25873" s="2">
        <v>25868</v>
      </c>
      <c r="B25873" s="11" t="str">
        <f>"01037771"</f>
        <v>01037771</v>
      </c>
    </row>
    <row r="25874" spans="1:2" x14ac:dyDescent="0.25">
      <c r="A25874" s="2">
        <v>25869</v>
      </c>
      <c r="B25874" s="11" t="str">
        <f>"01037777"</f>
        <v>01037777</v>
      </c>
    </row>
    <row r="25875" spans="1:2" x14ac:dyDescent="0.25">
      <c r="A25875" s="2">
        <v>25870</v>
      </c>
      <c r="B25875" s="11" t="str">
        <f>"01037800"</f>
        <v>01037800</v>
      </c>
    </row>
    <row r="25876" spans="1:2" x14ac:dyDescent="0.25">
      <c r="A25876" s="2">
        <v>25871</v>
      </c>
      <c r="B25876" s="11" t="str">
        <f>"01037804"</f>
        <v>01037804</v>
      </c>
    </row>
    <row r="25877" spans="1:2" x14ac:dyDescent="0.25">
      <c r="A25877" s="2">
        <v>25872</v>
      </c>
      <c r="B25877" s="11" t="str">
        <f>"01037807"</f>
        <v>01037807</v>
      </c>
    </row>
    <row r="25878" spans="1:2" x14ac:dyDescent="0.25">
      <c r="A25878" s="2">
        <v>25873</v>
      </c>
      <c r="B25878" s="11" t="str">
        <f>"01037856"</f>
        <v>01037856</v>
      </c>
    </row>
    <row r="25879" spans="1:2" x14ac:dyDescent="0.25">
      <c r="A25879" s="2">
        <v>25874</v>
      </c>
      <c r="B25879" s="11" t="str">
        <f>"01037859"</f>
        <v>01037859</v>
      </c>
    </row>
    <row r="25880" spans="1:2" x14ac:dyDescent="0.25">
      <c r="A25880" s="2">
        <v>25875</v>
      </c>
      <c r="B25880" s="11" t="str">
        <f>"01037878"</f>
        <v>01037878</v>
      </c>
    </row>
    <row r="25881" spans="1:2" x14ac:dyDescent="0.25">
      <c r="A25881" s="2">
        <v>25876</v>
      </c>
      <c r="B25881" s="11" t="str">
        <f>"01037893"</f>
        <v>01037893</v>
      </c>
    </row>
    <row r="25882" spans="1:2" x14ac:dyDescent="0.25">
      <c r="A25882" s="2">
        <v>25877</v>
      </c>
      <c r="B25882" s="11" t="str">
        <f>"01037894"</f>
        <v>01037894</v>
      </c>
    </row>
    <row r="25883" spans="1:2" x14ac:dyDescent="0.25">
      <c r="A25883" s="2">
        <v>25878</v>
      </c>
      <c r="B25883" s="11" t="str">
        <f>"01037926"</f>
        <v>01037926</v>
      </c>
    </row>
    <row r="25884" spans="1:2" x14ac:dyDescent="0.25">
      <c r="A25884" s="2">
        <v>25879</v>
      </c>
      <c r="B25884" s="11" t="str">
        <f>"01037953"</f>
        <v>01037953</v>
      </c>
    </row>
    <row r="25885" spans="1:2" x14ac:dyDescent="0.25">
      <c r="A25885" s="2">
        <v>25880</v>
      </c>
      <c r="B25885" s="11" t="str">
        <f>"01037955"</f>
        <v>01037955</v>
      </c>
    </row>
    <row r="25886" spans="1:2" x14ac:dyDescent="0.25">
      <c r="A25886" s="2">
        <v>25881</v>
      </c>
      <c r="B25886" s="11" t="str">
        <f>"01037957"</f>
        <v>01037957</v>
      </c>
    </row>
    <row r="25887" spans="1:2" x14ac:dyDescent="0.25">
      <c r="A25887" s="2">
        <v>25882</v>
      </c>
      <c r="B25887" s="11" t="str">
        <f>"01037969"</f>
        <v>01037969</v>
      </c>
    </row>
    <row r="25888" spans="1:2" x14ac:dyDescent="0.25">
      <c r="A25888" s="2">
        <v>25883</v>
      </c>
      <c r="B25888" s="11" t="str">
        <f>"01037984"</f>
        <v>01037984</v>
      </c>
    </row>
    <row r="25889" spans="1:2" x14ac:dyDescent="0.25">
      <c r="A25889" s="2">
        <v>25884</v>
      </c>
      <c r="B25889" s="11" t="str">
        <f>"01038032"</f>
        <v>01038032</v>
      </c>
    </row>
    <row r="25890" spans="1:2" x14ac:dyDescent="0.25">
      <c r="A25890" s="2">
        <v>25885</v>
      </c>
      <c r="B25890" s="11" t="str">
        <f>"01038051"</f>
        <v>01038051</v>
      </c>
    </row>
    <row r="25891" spans="1:2" x14ac:dyDescent="0.25">
      <c r="A25891" s="2">
        <v>25886</v>
      </c>
      <c r="B25891" s="11" t="str">
        <f>"01038067"</f>
        <v>01038067</v>
      </c>
    </row>
    <row r="25892" spans="1:2" x14ac:dyDescent="0.25">
      <c r="A25892" s="2">
        <v>25887</v>
      </c>
      <c r="B25892" s="11" t="str">
        <f>"01038081"</f>
        <v>01038081</v>
      </c>
    </row>
    <row r="25893" spans="1:2" x14ac:dyDescent="0.25">
      <c r="A25893" s="2">
        <v>25888</v>
      </c>
      <c r="B25893" s="11" t="str">
        <f>"01038085"</f>
        <v>01038085</v>
      </c>
    </row>
    <row r="25894" spans="1:2" x14ac:dyDescent="0.25">
      <c r="A25894" s="2">
        <v>25889</v>
      </c>
      <c r="B25894" s="11" t="str">
        <f>"01038096"</f>
        <v>01038096</v>
      </c>
    </row>
    <row r="25895" spans="1:2" x14ac:dyDescent="0.25">
      <c r="A25895" s="2">
        <v>25890</v>
      </c>
      <c r="B25895" s="11" t="str">
        <f>"01038099"</f>
        <v>01038099</v>
      </c>
    </row>
    <row r="25896" spans="1:2" x14ac:dyDescent="0.25">
      <c r="A25896" s="2">
        <v>25891</v>
      </c>
      <c r="B25896" s="11" t="str">
        <f>"01038116"</f>
        <v>01038116</v>
      </c>
    </row>
    <row r="25897" spans="1:2" x14ac:dyDescent="0.25">
      <c r="A25897" s="2">
        <v>25892</v>
      </c>
      <c r="B25897" s="11" t="str">
        <f>"01038118"</f>
        <v>01038118</v>
      </c>
    </row>
    <row r="25898" spans="1:2" x14ac:dyDescent="0.25">
      <c r="A25898" s="2">
        <v>25893</v>
      </c>
      <c r="B25898" s="11" t="str">
        <f>"01038122"</f>
        <v>01038122</v>
      </c>
    </row>
    <row r="25899" spans="1:2" x14ac:dyDescent="0.25">
      <c r="A25899" s="2">
        <v>25894</v>
      </c>
      <c r="B25899" s="11" t="str">
        <f>"01038142"</f>
        <v>01038142</v>
      </c>
    </row>
    <row r="25900" spans="1:2" x14ac:dyDescent="0.25">
      <c r="A25900" s="2">
        <v>25895</v>
      </c>
      <c r="B25900" s="11" t="str">
        <f>"01038143"</f>
        <v>01038143</v>
      </c>
    </row>
    <row r="25901" spans="1:2" x14ac:dyDescent="0.25">
      <c r="A25901" s="2">
        <v>25896</v>
      </c>
      <c r="B25901" s="11" t="str">
        <f>"01038145"</f>
        <v>01038145</v>
      </c>
    </row>
    <row r="25902" spans="1:2" x14ac:dyDescent="0.25">
      <c r="A25902" s="2">
        <v>25897</v>
      </c>
      <c r="B25902" s="11" t="str">
        <f>"01038148"</f>
        <v>01038148</v>
      </c>
    </row>
    <row r="25903" spans="1:2" x14ac:dyDescent="0.25">
      <c r="A25903" s="2">
        <v>25898</v>
      </c>
      <c r="B25903" s="11" t="str">
        <f>"01038150"</f>
        <v>01038150</v>
      </c>
    </row>
    <row r="25904" spans="1:2" x14ac:dyDescent="0.25">
      <c r="A25904" s="2">
        <v>25899</v>
      </c>
      <c r="B25904" s="11" t="str">
        <f>"01038170"</f>
        <v>01038170</v>
      </c>
    </row>
    <row r="25905" spans="1:2" x14ac:dyDescent="0.25">
      <c r="A25905" s="2">
        <v>25900</v>
      </c>
      <c r="B25905" s="11" t="str">
        <f>"01038173"</f>
        <v>01038173</v>
      </c>
    </row>
    <row r="25906" spans="1:2" x14ac:dyDescent="0.25">
      <c r="A25906" s="2">
        <v>25901</v>
      </c>
      <c r="B25906" s="11" t="str">
        <f>"01038174"</f>
        <v>01038174</v>
      </c>
    </row>
    <row r="25907" spans="1:2" x14ac:dyDescent="0.25">
      <c r="A25907" s="2">
        <v>25902</v>
      </c>
      <c r="B25907" s="11" t="str">
        <f>"01038177"</f>
        <v>01038177</v>
      </c>
    </row>
    <row r="25908" spans="1:2" x14ac:dyDescent="0.25">
      <c r="A25908" s="2">
        <v>25903</v>
      </c>
      <c r="B25908" s="11" t="str">
        <f>"01038181"</f>
        <v>01038181</v>
      </c>
    </row>
    <row r="25909" spans="1:2" x14ac:dyDescent="0.25">
      <c r="A25909" s="2">
        <v>25904</v>
      </c>
      <c r="B25909" s="11" t="str">
        <f>"01038188"</f>
        <v>01038188</v>
      </c>
    </row>
    <row r="25910" spans="1:2" x14ac:dyDescent="0.25">
      <c r="A25910" s="2">
        <v>25905</v>
      </c>
      <c r="B25910" s="11" t="str">
        <f>"01038198"</f>
        <v>01038198</v>
      </c>
    </row>
    <row r="25911" spans="1:2" x14ac:dyDescent="0.25">
      <c r="A25911" s="2">
        <v>25906</v>
      </c>
      <c r="B25911" s="11" t="str">
        <f>"01038200"</f>
        <v>01038200</v>
      </c>
    </row>
    <row r="25912" spans="1:2" x14ac:dyDescent="0.25">
      <c r="A25912" s="2">
        <v>25907</v>
      </c>
      <c r="B25912" s="11" t="str">
        <f>"01038208"</f>
        <v>01038208</v>
      </c>
    </row>
    <row r="25913" spans="1:2" x14ac:dyDescent="0.25">
      <c r="A25913" s="2">
        <v>25908</v>
      </c>
      <c r="B25913" s="11" t="str">
        <f>"01038238"</f>
        <v>01038238</v>
      </c>
    </row>
    <row r="25914" spans="1:2" x14ac:dyDescent="0.25">
      <c r="A25914" s="2">
        <v>25909</v>
      </c>
      <c r="B25914" s="11" t="str">
        <f>"01038242"</f>
        <v>01038242</v>
      </c>
    </row>
    <row r="25915" spans="1:2" x14ac:dyDescent="0.25">
      <c r="A25915" s="2">
        <v>25910</v>
      </c>
      <c r="B25915" s="11" t="str">
        <f>"01038246"</f>
        <v>01038246</v>
      </c>
    </row>
    <row r="25916" spans="1:2" x14ac:dyDescent="0.25">
      <c r="A25916" s="2">
        <v>25911</v>
      </c>
      <c r="B25916" s="11" t="str">
        <f>"01038257"</f>
        <v>01038257</v>
      </c>
    </row>
    <row r="25917" spans="1:2" x14ac:dyDescent="0.25">
      <c r="A25917" s="2">
        <v>25912</v>
      </c>
      <c r="B25917" s="11" t="str">
        <f>"01038303"</f>
        <v>01038303</v>
      </c>
    </row>
    <row r="25918" spans="1:2" x14ac:dyDescent="0.25">
      <c r="A25918" s="2">
        <v>25913</v>
      </c>
      <c r="B25918" s="11" t="str">
        <f>"01038317"</f>
        <v>01038317</v>
      </c>
    </row>
    <row r="25919" spans="1:2" x14ac:dyDescent="0.25">
      <c r="A25919" s="2">
        <v>25914</v>
      </c>
      <c r="B25919" s="11" t="str">
        <f>"01038325"</f>
        <v>01038325</v>
      </c>
    </row>
    <row r="25920" spans="1:2" x14ac:dyDescent="0.25">
      <c r="A25920" s="2">
        <v>25915</v>
      </c>
      <c r="B25920" s="11" t="str">
        <f>"01038333"</f>
        <v>01038333</v>
      </c>
    </row>
    <row r="25921" spans="1:2" x14ac:dyDescent="0.25">
      <c r="A25921" s="2">
        <v>25916</v>
      </c>
      <c r="B25921" s="11" t="str">
        <f>"01038345"</f>
        <v>01038345</v>
      </c>
    </row>
    <row r="25922" spans="1:2" x14ac:dyDescent="0.25">
      <c r="A25922" s="2">
        <v>25917</v>
      </c>
      <c r="B25922" s="11" t="str">
        <f>"01038349"</f>
        <v>01038349</v>
      </c>
    </row>
    <row r="25923" spans="1:2" x14ac:dyDescent="0.25">
      <c r="A25923" s="2">
        <v>25918</v>
      </c>
      <c r="B25923" s="11" t="str">
        <f>"01038359"</f>
        <v>01038359</v>
      </c>
    </row>
    <row r="25924" spans="1:2" x14ac:dyDescent="0.25">
      <c r="A25924" s="2">
        <v>25919</v>
      </c>
      <c r="B25924" s="11" t="str">
        <f>"01038361"</f>
        <v>01038361</v>
      </c>
    </row>
    <row r="25925" spans="1:2" x14ac:dyDescent="0.25">
      <c r="A25925" s="2">
        <v>25920</v>
      </c>
      <c r="B25925" s="11" t="str">
        <f>"01038365"</f>
        <v>01038365</v>
      </c>
    </row>
    <row r="25926" spans="1:2" x14ac:dyDescent="0.25">
      <c r="A25926" s="2">
        <v>25921</v>
      </c>
      <c r="B25926" s="11" t="str">
        <f>"01038379"</f>
        <v>01038379</v>
      </c>
    </row>
    <row r="25927" spans="1:2" x14ac:dyDescent="0.25">
      <c r="A25927" s="2">
        <v>25922</v>
      </c>
      <c r="B25927" s="11" t="str">
        <f>"01038408"</f>
        <v>01038408</v>
      </c>
    </row>
    <row r="25928" spans="1:2" x14ac:dyDescent="0.25">
      <c r="A25928" s="2">
        <v>25923</v>
      </c>
      <c r="B25928" s="11" t="str">
        <f>"01038409"</f>
        <v>01038409</v>
      </c>
    </row>
    <row r="25929" spans="1:2" x14ac:dyDescent="0.25">
      <c r="A25929" s="2">
        <v>25924</v>
      </c>
      <c r="B25929" s="11" t="str">
        <f>"01038414"</f>
        <v>01038414</v>
      </c>
    </row>
    <row r="25930" spans="1:2" x14ac:dyDescent="0.25">
      <c r="A25930" s="2">
        <v>25925</v>
      </c>
      <c r="B25930" s="11" t="str">
        <f>"01038416"</f>
        <v>01038416</v>
      </c>
    </row>
    <row r="25931" spans="1:2" x14ac:dyDescent="0.25">
      <c r="A25931" s="2">
        <v>25926</v>
      </c>
      <c r="B25931" s="11" t="str">
        <f>"01038424"</f>
        <v>01038424</v>
      </c>
    </row>
    <row r="25932" spans="1:2" x14ac:dyDescent="0.25">
      <c r="A25932" s="2">
        <v>25927</v>
      </c>
      <c r="B25932" s="11" t="str">
        <f>"01038426"</f>
        <v>01038426</v>
      </c>
    </row>
    <row r="25933" spans="1:2" x14ac:dyDescent="0.25">
      <c r="A25933" s="2">
        <v>25928</v>
      </c>
      <c r="B25933" s="11" t="str">
        <f>"01038430"</f>
        <v>01038430</v>
      </c>
    </row>
    <row r="25934" spans="1:2" x14ac:dyDescent="0.25">
      <c r="A25934" s="2">
        <v>25929</v>
      </c>
      <c r="B25934" s="11" t="str">
        <f>"01038436"</f>
        <v>01038436</v>
      </c>
    </row>
    <row r="25935" spans="1:2" x14ac:dyDescent="0.25">
      <c r="A25935" s="2">
        <v>25930</v>
      </c>
      <c r="B25935" s="11" t="str">
        <f>"01038441"</f>
        <v>01038441</v>
      </c>
    </row>
    <row r="25936" spans="1:2" x14ac:dyDescent="0.25">
      <c r="A25936" s="2">
        <v>25931</v>
      </c>
      <c r="B25936" s="11" t="str">
        <f>"01038447"</f>
        <v>01038447</v>
      </c>
    </row>
    <row r="25937" spans="1:2" x14ac:dyDescent="0.25">
      <c r="A25937" s="2">
        <v>25932</v>
      </c>
      <c r="B25937" s="11" t="str">
        <f>"01038457"</f>
        <v>01038457</v>
      </c>
    </row>
    <row r="25938" spans="1:2" x14ac:dyDescent="0.25">
      <c r="A25938" s="2">
        <v>25933</v>
      </c>
      <c r="B25938" s="11" t="str">
        <f>"01038502"</f>
        <v>01038502</v>
      </c>
    </row>
    <row r="25939" spans="1:2" x14ac:dyDescent="0.25">
      <c r="A25939" s="2">
        <v>25934</v>
      </c>
      <c r="B25939" s="11" t="str">
        <f>"01038511"</f>
        <v>01038511</v>
      </c>
    </row>
    <row r="25940" spans="1:2" x14ac:dyDescent="0.25">
      <c r="A25940" s="2">
        <v>25935</v>
      </c>
      <c r="B25940" s="11" t="str">
        <f>"01038514"</f>
        <v>01038514</v>
      </c>
    </row>
    <row r="25941" spans="1:2" x14ac:dyDescent="0.25">
      <c r="A25941" s="2">
        <v>25936</v>
      </c>
      <c r="B25941" s="11" t="str">
        <f>"01038533"</f>
        <v>01038533</v>
      </c>
    </row>
    <row r="25942" spans="1:2" x14ac:dyDescent="0.25">
      <c r="A25942" s="2">
        <v>25937</v>
      </c>
      <c r="B25942" s="11" t="str">
        <f>"01038582"</f>
        <v>01038582</v>
      </c>
    </row>
    <row r="25943" spans="1:2" x14ac:dyDescent="0.25">
      <c r="A25943" s="2">
        <v>25938</v>
      </c>
      <c r="B25943" s="11" t="str">
        <f>"01038585"</f>
        <v>01038585</v>
      </c>
    </row>
    <row r="25944" spans="1:2" x14ac:dyDescent="0.25">
      <c r="A25944" s="2">
        <v>25939</v>
      </c>
      <c r="B25944" s="11" t="str">
        <f>"01038607"</f>
        <v>01038607</v>
      </c>
    </row>
    <row r="25945" spans="1:2" x14ac:dyDescent="0.25">
      <c r="A25945" s="2">
        <v>25940</v>
      </c>
      <c r="B25945" s="11" t="str">
        <f>"01038613"</f>
        <v>01038613</v>
      </c>
    </row>
    <row r="25946" spans="1:2" x14ac:dyDescent="0.25">
      <c r="A25946" s="2">
        <v>25941</v>
      </c>
      <c r="B25946" s="11" t="str">
        <f>"01038616"</f>
        <v>01038616</v>
      </c>
    </row>
    <row r="25947" spans="1:2" x14ac:dyDescent="0.25">
      <c r="A25947" s="2">
        <v>25942</v>
      </c>
      <c r="B25947" s="11" t="str">
        <f>"01038619"</f>
        <v>01038619</v>
      </c>
    </row>
    <row r="25948" spans="1:2" x14ac:dyDescent="0.25">
      <c r="A25948" s="2">
        <v>25943</v>
      </c>
      <c r="B25948" s="11" t="str">
        <f>"01038636"</f>
        <v>01038636</v>
      </c>
    </row>
    <row r="25949" spans="1:2" x14ac:dyDescent="0.25">
      <c r="A25949" s="2">
        <v>25944</v>
      </c>
      <c r="B25949" s="11" t="str">
        <f>"01038670"</f>
        <v>01038670</v>
      </c>
    </row>
    <row r="25950" spans="1:2" x14ac:dyDescent="0.25">
      <c r="A25950" s="2">
        <v>25945</v>
      </c>
      <c r="B25950" s="11" t="str">
        <f>"01038678"</f>
        <v>01038678</v>
      </c>
    </row>
    <row r="25951" spans="1:2" x14ac:dyDescent="0.25">
      <c r="A25951" s="2">
        <v>25946</v>
      </c>
      <c r="B25951" s="11" t="str">
        <f>"01038697"</f>
        <v>01038697</v>
      </c>
    </row>
    <row r="25952" spans="1:2" x14ac:dyDescent="0.25">
      <c r="A25952" s="2">
        <v>25947</v>
      </c>
      <c r="B25952" s="11" t="str">
        <f>"01038709"</f>
        <v>01038709</v>
      </c>
    </row>
    <row r="25953" spans="1:2" x14ac:dyDescent="0.25">
      <c r="A25953" s="2">
        <v>25948</v>
      </c>
      <c r="B25953" s="11" t="str">
        <f>"01038723"</f>
        <v>01038723</v>
      </c>
    </row>
    <row r="25954" spans="1:2" x14ac:dyDescent="0.25">
      <c r="A25954" s="2">
        <v>25949</v>
      </c>
      <c r="B25954" s="11" t="str">
        <f>"01038725"</f>
        <v>01038725</v>
      </c>
    </row>
    <row r="25955" spans="1:2" x14ac:dyDescent="0.25">
      <c r="A25955" s="2">
        <v>25950</v>
      </c>
      <c r="B25955" s="11" t="str">
        <f>"01038730"</f>
        <v>01038730</v>
      </c>
    </row>
    <row r="25956" spans="1:2" x14ac:dyDescent="0.25">
      <c r="A25956" s="2">
        <v>25951</v>
      </c>
      <c r="B25956" s="11" t="str">
        <f>"01038741"</f>
        <v>01038741</v>
      </c>
    </row>
    <row r="25957" spans="1:2" x14ac:dyDescent="0.25">
      <c r="A25957" s="2">
        <v>25952</v>
      </c>
      <c r="B25957" s="11" t="str">
        <f>"01038753"</f>
        <v>01038753</v>
      </c>
    </row>
    <row r="25958" spans="1:2" x14ac:dyDescent="0.25">
      <c r="A25958" s="2">
        <v>25953</v>
      </c>
      <c r="B25958" s="11" t="str">
        <f>"01038754"</f>
        <v>01038754</v>
      </c>
    </row>
    <row r="25959" spans="1:2" x14ac:dyDescent="0.25">
      <c r="A25959" s="2">
        <v>25954</v>
      </c>
      <c r="B25959" s="11" t="str">
        <f>"01038761"</f>
        <v>01038761</v>
      </c>
    </row>
    <row r="25960" spans="1:2" x14ac:dyDescent="0.25">
      <c r="A25960" s="2">
        <v>25955</v>
      </c>
      <c r="B25960" s="11" t="str">
        <f>"01038779"</f>
        <v>01038779</v>
      </c>
    </row>
    <row r="25961" spans="1:2" x14ac:dyDescent="0.25">
      <c r="A25961" s="2">
        <v>25956</v>
      </c>
      <c r="B25961" s="11" t="str">
        <f>"01038802"</f>
        <v>01038802</v>
      </c>
    </row>
    <row r="25962" spans="1:2" x14ac:dyDescent="0.25">
      <c r="A25962" s="2">
        <v>25957</v>
      </c>
      <c r="B25962" s="11" t="str">
        <f>"01038811"</f>
        <v>01038811</v>
      </c>
    </row>
    <row r="25963" spans="1:2" x14ac:dyDescent="0.25">
      <c r="A25963" s="2">
        <v>25958</v>
      </c>
      <c r="B25963" s="11" t="str">
        <f>"01038813"</f>
        <v>01038813</v>
      </c>
    </row>
    <row r="25964" spans="1:2" x14ac:dyDescent="0.25">
      <c r="A25964" s="2">
        <v>25959</v>
      </c>
      <c r="B25964" s="11" t="str">
        <f>"01038831"</f>
        <v>01038831</v>
      </c>
    </row>
    <row r="25965" spans="1:2" x14ac:dyDescent="0.25">
      <c r="A25965" s="2">
        <v>25960</v>
      </c>
      <c r="B25965" s="11" t="str">
        <f>"01038848"</f>
        <v>01038848</v>
      </c>
    </row>
    <row r="25966" spans="1:2" x14ac:dyDescent="0.25">
      <c r="A25966" s="2">
        <v>25961</v>
      </c>
      <c r="B25966" s="11" t="str">
        <f>"01038868"</f>
        <v>01038868</v>
      </c>
    </row>
    <row r="25967" spans="1:2" x14ac:dyDescent="0.25">
      <c r="A25967" s="2">
        <v>25962</v>
      </c>
      <c r="B25967" s="11" t="str">
        <f>"01038877"</f>
        <v>01038877</v>
      </c>
    </row>
    <row r="25968" spans="1:2" x14ac:dyDescent="0.25">
      <c r="A25968" s="2">
        <v>25963</v>
      </c>
      <c r="B25968" s="11" t="str">
        <f>"01038926"</f>
        <v>01038926</v>
      </c>
    </row>
    <row r="25969" spans="1:2" x14ac:dyDescent="0.25">
      <c r="A25969" s="2">
        <v>25964</v>
      </c>
      <c r="B25969" s="11" t="str">
        <f>"01038957"</f>
        <v>01038957</v>
      </c>
    </row>
    <row r="25970" spans="1:2" x14ac:dyDescent="0.25">
      <c r="A25970" s="2">
        <v>25965</v>
      </c>
      <c r="B25970" s="11" t="str">
        <f>"01039008"</f>
        <v>01039008</v>
      </c>
    </row>
    <row r="25971" spans="1:2" x14ac:dyDescent="0.25">
      <c r="A25971" s="2">
        <v>25966</v>
      </c>
      <c r="B25971" s="11" t="str">
        <f>"01039014"</f>
        <v>01039014</v>
      </c>
    </row>
    <row r="25972" spans="1:2" x14ac:dyDescent="0.25">
      <c r="A25972" s="2">
        <v>25967</v>
      </c>
      <c r="B25972" s="11" t="str">
        <f>"01039020"</f>
        <v>01039020</v>
      </c>
    </row>
    <row r="25973" spans="1:2" x14ac:dyDescent="0.25">
      <c r="A25973" s="2">
        <v>25968</v>
      </c>
      <c r="B25973" s="11" t="str">
        <f>"01039023"</f>
        <v>01039023</v>
      </c>
    </row>
    <row r="25974" spans="1:2" x14ac:dyDescent="0.25">
      <c r="A25974" s="2">
        <v>25969</v>
      </c>
      <c r="B25974" s="11" t="str">
        <f>"01039025"</f>
        <v>01039025</v>
      </c>
    </row>
    <row r="25975" spans="1:2" x14ac:dyDescent="0.25">
      <c r="A25975" s="2">
        <v>25970</v>
      </c>
      <c r="B25975" s="11" t="str">
        <f>"01039026"</f>
        <v>01039026</v>
      </c>
    </row>
    <row r="25976" spans="1:2" x14ac:dyDescent="0.25">
      <c r="A25976" s="2">
        <v>25971</v>
      </c>
      <c r="B25976" s="11" t="str">
        <f>"01039044"</f>
        <v>01039044</v>
      </c>
    </row>
    <row r="25977" spans="1:2" x14ac:dyDescent="0.25">
      <c r="A25977" s="2">
        <v>25972</v>
      </c>
      <c r="B25977" s="11" t="str">
        <f>"01039049"</f>
        <v>01039049</v>
      </c>
    </row>
    <row r="25978" spans="1:2" x14ac:dyDescent="0.25">
      <c r="A25978" s="2">
        <v>25973</v>
      </c>
      <c r="B25978" s="11" t="str">
        <f>"01039052"</f>
        <v>01039052</v>
      </c>
    </row>
    <row r="25979" spans="1:2" x14ac:dyDescent="0.25">
      <c r="A25979" s="2">
        <v>25974</v>
      </c>
      <c r="B25979" s="11" t="str">
        <f>"01039053"</f>
        <v>01039053</v>
      </c>
    </row>
    <row r="25980" spans="1:2" x14ac:dyDescent="0.25">
      <c r="A25980" s="2">
        <v>25975</v>
      </c>
      <c r="B25980" s="11" t="str">
        <f>"01039065"</f>
        <v>01039065</v>
      </c>
    </row>
    <row r="25981" spans="1:2" x14ac:dyDescent="0.25">
      <c r="A25981" s="2">
        <v>25976</v>
      </c>
      <c r="B25981" s="11" t="str">
        <f>"01039068"</f>
        <v>01039068</v>
      </c>
    </row>
    <row r="25982" spans="1:2" x14ac:dyDescent="0.25">
      <c r="A25982" s="2">
        <v>25977</v>
      </c>
      <c r="B25982" s="11" t="str">
        <f>"01039082"</f>
        <v>01039082</v>
      </c>
    </row>
    <row r="25983" spans="1:2" x14ac:dyDescent="0.25">
      <c r="A25983" s="2">
        <v>25978</v>
      </c>
      <c r="B25983" s="11" t="str">
        <f>"01039087"</f>
        <v>01039087</v>
      </c>
    </row>
    <row r="25984" spans="1:2" x14ac:dyDescent="0.25">
      <c r="A25984" s="2">
        <v>25979</v>
      </c>
      <c r="B25984" s="11" t="str">
        <f>"01039102"</f>
        <v>01039102</v>
      </c>
    </row>
    <row r="25985" spans="1:2" x14ac:dyDescent="0.25">
      <c r="A25985" s="2">
        <v>25980</v>
      </c>
      <c r="B25985" s="11" t="str">
        <f>"01039120"</f>
        <v>01039120</v>
      </c>
    </row>
    <row r="25986" spans="1:2" x14ac:dyDescent="0.25">
      <c r="A25986" s="2">
        <v>25981</v>
      </c>
      <c r="B25986" s="11" t="str">
        <f>"01039145"</f>
        <v>01039145</v>
      </c>
    </row>
    <row r="25987" spans="1:2" x14ac:dyDescent="0.25">
      <c r="A25987" s="2">
        <v>25982</v>
      </c>
      <c r="B25987" s="11" t="str">
        <f>"01039169"</f>
        <v>01039169</v>
      </c>
    </row>
    <row r="25988" spans="1:2" x14ac:dyDescent="0.25">
      <c r="A25988" s="2">
        <v>25983</v>
      </c>
      <c r="B25988" s="11" t="str">
        <f>"01039173"</f>
        <v>01039173</v>
      </c>
    </row>
    <row r="25989" spans="1:2" x14ac:dyDescent="0.25">
      <c r="A25989" s="2">
        <v>25984</v>
      </c>
      <c r="B25989" s="11" t="str">
        <f>"01039259"</f>
        <v>01039259</v>
      </c>
    </row>
    <row r="25990" spans="1:2" x14ac:dyDescent="0.25">
      <c r="A25990" s="2">
        <v>25985</v>
      </c>
      <c r="B25990" s="11" t="str">
        <f>"01039284"</f>
        <v>01039284</v>
      </c>
    </row>
    <row r="25991" spans="1:2" x14ac:dyDescent="0.25">
      <c r="A25991" s="2">
        <v>25986</v>
      </c>
      <c r="B25991" s="11" t="str">
        <f>"01039285"</f>
        <v>01039285</v>
      </c>
    </row>
    <row r="25992" spans="1:2" x14ac:dyDescent="0.25">
      <c r="A25992" s="2">
        <v>25987</v>
      </c>
      <c r="B25992" s="11" t="str">
        <f>"01039293"</f>
        <v>01039293</v>
      </c>
    </row>
    <row r="25993" spans="1:2" x14ac:dyDescent="0.25">
      <c r="A25993" s="2">
        <v>25988</v>
      </c>
      <c r="B25993" s="11" t="str">
        <f>"01039305"</f>
        <v>01039305</v>
      </c>
    </row>
    <row r="25994" spans="1:2" x14ac:dyDescent="0.25">
      <c r="A25994" s="2">
        <v>25989</v>
      </c>
      <c r="B25994" s="11" t="str">
        <f>"01039306"</f>
        <v>01039306</v>
      </c>
    </row>
    <row r="25995" spans="1:2" x14ac:dyDescent="0.25">
      <c r="A25995" s="2">
        <v>25990</v>
      </c>
      <c r="B25995" s="11" t="str">
        <f>"01039322"</f>
        <v>01039322</v>
      </c>
    </row>
    <row r="25996" spans="1:2" x14ac:dyDescent="0.25">
      <c r="A25996" s="2">
        <v>25991</v>
      </c>
      <c r="B25996" s="11" t="str">
        <f>"01039326"</f>
        <v>01039326</v>
      </c>
    </row>
    <row r="25997" spans="1:2" x14ac:dyDescent="0.25">
      <c r="A25997" s="2">
        <v>25992</v>
      </c>
      <c r="B25997" s="11" t="str">
        <f>"01039327"</f>
        <v>01039327</v>
      </c>
    </row>
    <row r="25998" spans="1:2" x14ac:dyDescent="0.25">
      <c r="A25998" s="2">
        <v>25993</v>
      </c>
      <c r="B25998" s="11" t="str">
        <f>"01039343"</f>
        <v>01039343</v>
      </c>
    </row>
    <row r="25999" spans="1:2" x14ac:dyDescent="0.25">
      <c r="A25999" s="2">
        <v>25994</v>
      </c>
      <c r="B25999" s="11" t="str">
        <f>"01039362"</f>
        <v>01039362</v>
      </c>
    </row>
    <row r="26000" spans="1:2" x14ac:dyDescent="0.25">
      <c r="A26000" s="2">
        <v>25995</v>
      </c>
      <c r="B26000" s="11" t="str">
        <f>"01039372"</f>
        <v>01039372</v>
      </c>
    </row>
    <row r="26001" spans="1:2" x14ac:dyDescent="0.25">
      <c r="A26001" s="2">
        <v>25996</v>
      </c>
      <c r="B26001" s="11" t="str">
        <f>"01039386"</f>
        <v>01039386</v>
      </c>
    </row>
    <row r="26002" spans="1:2" x14ac:dyDescent="0.25">
      <c r="A26002" s="2">
        <v>25997</v>
      </c>
      <c r="B26002" s="11" t="str">
        <f>"01039392"</f>
        <v>01039392</v>
      </c>
    </row>
    <row r="26003" spans="1:2" x14ac:dyDescent="0.25">
      <c r="A26003" s="2">
        <v>25998</v>
      </c>
      <c r="B26003" s="11" t="str">
        <f>"01039415"</f>
        <v>01039415</v>
      </c>
    </row>
    <row r="26004" spans="1:2" x14ac:dyDescent="0.25">
      <c r="A26004" s="2">
        <v>25999</v>
      </c>
      <c r="B26004" s="11" t="str">
        <f>"01039416"</f>
        <v>01039416</v>
      </c>
    </row>
    <row r="26005" spans="1:2" x14ac:dyDescent="0.25">
      <c r="A26005" s="2">
        <v>26000</v>
      </c>
      <c r="B26005" s="11" t="str">
        <f>"01039466"</f>
        <v>01039466</v>
      </c>
    </row>
    <row r="26006" spans="1:2" x14ac:dyDescent="0.25">
      <c r="A26006" s="2">
        <v>26001</v>
      </c>
      <c r="B26006" s="11" t="str">
        <f>"01039500"</f>
        <v>01039500</v>
      </c>
    </row>
    <row r="26007" spans="1:2" x14ac:dyDescent="0.25">
      <c r="A26007" s="2">
        <v>26002</v>
      </c>
      <c r="B26007" s="11" t="str">
        <f>"01039523"</f>
        <v>01039523</v>
      </c>
    </row>
    <row r="26008" spans="1:2" x14ac:dyDescent="0.25">
      <c r="A26008" s="2">
        <v>26003</v>
      </c>
      <c r="B26008" s="11" t="str">
        <f>"01039534"</f>
        <v>01039534</v>
      </c>
    </row>
    <row r="26009" spans="1:2" x14ac:dyDescent="0.25">
      <c r="A26009" s="2">
        <v>26004</v>
      </c>
      <c r="B26009" s="11" t="str">
        <f>"01039570"</f>
        <v>01039570</v>
      </c>
    </row>
    <row r="26010" spans="1:2" x14ac:dyDescent="0.25">
      <c r="A26010" s="2">
        <v>26005</v>
      </c>
      <c r="B26010" s="11" t="str">
        <f>"01039603"</f>
        <v>01039603</v>
      </c>
    </row>
    <row r="26011" spans="1:2" x14ac:dyDescent="0.25">
      <c r="A26011" s="2">
        <v>26006</v>
      </c>
      <c r="B26011" s="11" t="str">
        <f>"01039607"</f>
        <v>01039607</v>
      </c>
    </row>
    <row r="26012" spans="1:2" x14ac:dyDescent="0.25">
      <c r="A26012" s="2">
        <v>26007</v>
      </c>
      <c r="B26012" s="11" t="str">
        <f>"01039619"</f>
        <v>01039619</v>
      </c>
    </row>
    <row r="26013" spans="1:2" x14ac:dyDescent="0.25">
      <c r="A26013" s="2">
        <v>26008</v>
      </c>
      <c r="B26013" s="11" t="str">
        <f>"01039629"</f>
        <v>01039629</v>
      </c>
    </row>
    <row r="26014" spans="1:2" x14ac:dyDescent="0.25">
      <c r="A26014" s="2">
        <v>26009</v>
      </c>
      <c r="B26014" s="11" t="str">
        <f>"01039663"</f>
        <v>01039663</v>
      </c>
    </row>
    <row r="26015" spans="1:2" x14ac:dyDescent="0.25">
      <c r="A26015" s="2">
        <v>26010</v>
      </c>
      <c r="B26015" s="11" t="str">
        <f>"01039686"</f>
        <v>01039686</v>
      </c>
    </row>
    <row r="26016" spans="1:2" x14ac:dyDescent="0.25">
      <c r="A26016" s="2">
        <v>26011</v>
      </c>
      <c r="B26016" s="11" t="str">
        <f>"01039779"</f>
        <v>01039779</v>
      </c>
    </row>
    <row r="26017" spans="1:2" x14ac:dyDescent="0.25">
      <c r="A26017" s="2">
        <v>26012</v>
      </c>
      <c r="B26017" s="11" t="str">
        <f>"01039794"</f>
        <v>01039794</v>
      </c>
    </row>
    <row r="26018" spans="1:2" x14ac:dyDescent="0.25">
      <c r="A26018" s="2">
        <v>26013</v>
      </c>
      <c r="B26018" s="11" t="str">
        <f>"01039806"</f>
        <v>01039806</v>
      </c>
    </row>
    <row r="26019" spans="1:2" x14ac:dyDescent="0.25">
      <c r="A26019" s="2">
        <v>26014</v>
      </c>
      <c r="B26019" s="11" t="str">
        <f>"01039826"</f>
        <v>01039826</v>
      </c>
    </row>
    <row r="26020" spans="1:2" x14ac:dyDescent="0.25">
      <c r="A26020" s="2">
        <v>26015</v>
      </c>
      <c r="B26020" s="11" t="str">
        <f>"01039837"</f>
        <v>01039837</v>
      </c>
    </row>
    <row r="26021" spans="1:2" x14ac:dyDescent="0.25">
      <c r="A26021" s="2">
        <v>26016</v>
      </c>
      <c r="B26021" s="11" t="str">
        <f>"01039854"</f>
        <v>01039854</v>
      </c>
    </row>
    <row r="26022" spans="1:2" x14ac:dyDescent="0.25">
      <c r="A26022" s="2">
        <v>26017</v>
      </c>
      <c r="B26022" s="11" t="str">
        <f>"01039861"</f>
        <v>01039861</v>
      </c>
    </row>
    <row r="26023" spans="1:2" x14ac:dyDescent="0.25">
      <c r="A26023" s="2">
        <v>26018</v>
      </c>
      <c r="B26023" s="11" t="str">
        <f>"01039876"</f>
        <v>01039876</v>
      </c>
    </row>
    <row r="26024" spans="1:2" x14ac:dyDescent="0.25">
      <c r="A26024" s="2">
        <v>26019</v>
      </c>
      <c r="B26024" s="11" t="str">
        <f>"01039972"</f>
        <v>01039972</v>
      </c>
    </row>
    <row r="26025" spans="1:2" x14ac:dyDescent="0.25">
      <c r="A26025" s="2">
        <v>26020</v>
      </c>
      <c r="B26025" s="11" t="str">
        <f>"01039980"</f>
        <v>01039980</v>
      </c>
    </row>
    <row r="26026" spans="1:2" x14ac:dyDescent="0.25">
      <c r="A26026" s="2">
        <v>26021</v>
      </c>
      <c r="B26026" s="11" t="str">
        <f>"01039995"</f>
        <v>01039995</v>
      </c>
    </row>
    <row r="26027" spans="1:2" x14ac:dyDescent="0.25">
      <c r="A26027" s="2">
        <v>26022</v>
      </c>
      <c r="B26027" s="11" t="str">
        <f>"01040016"</f>
        <v>01040016</v>
      </c>
    </row>
    <row r="26028" spans="1:2" x14ac:dyDescent="0.25">
      <c r="A26028" s="2">
        <v>26023</v>
      </c>
      <c r="B26028" s="11" t="str">
        <f>"01040025"</f>
        <v>01040025</v>
      </c>
    </row>
    <row r="26029" spans="1:2" x14ac:dyDescent="0.25">
      <c r="A26029" s="2">
        <v>26024</v>
      </c>
      <c r="B26029" s="11" t="str">
        <f>"01040037"</f>
        <v>01040037</v>
      </c>
    </row>
    <row r="26030" spans="1:2" x14ac:dyDescent="0.25">
      <c r="A26030" s="2">
        <v>26025</v>
      </c>
      <c r="B26030" s="11" t="str">
        <f>"01040056"</f>
        <v>01040056</v>
      </c>
    </row>
    <row r="26031" spans="1:2" x14ac:dyDescent="0.25">
      <c r="A26031" s="2">
        <v>26026</v>
      </c>
      <c r="B26031" s="11" t="str">
        <f>"01040061"</f>
        <v>01040061</v>
      </c>
    </row>
    <row r="26032" spans="1:2" x14ac:dyDescent="0.25">
      <c r="A26032" s="2">
        <v>26027</v>
      </c>
      <c r="B26032" s="11" t="str">
        <f>"01040067"</f>
        <v>01040067</v>
      </c>
    </row>
    <row r="26033" spans="1:2" x14ac:dyDescent="0.25">
      <c r="A26033" s="2">
        <v>26028</v>
      </c>
      <c r="B26033" s="11" t="str">
        <f>"01040080"</f>
        <v>01040080</v>
      </c>
    </row>
    <row r="26034" spans="1:2" x14ac:dyDescent="0.25">
      <c r="A26034" s="2">
        <v>26029</v>
      </c>
      <c r="B26034" s="11" t="str">
        <f>"01040089"</f>
        <v>01040089</v>
      </c>
    </row>
    <row r="26035" spans="1:2" x14ac:dyDescent="0.25">
      <c r="A26035" s="2">
        <v>26030</v>
      </c>
      <c r="B26035" s="11" t="str">
        <f>"01040101"</f>
        <v>01040101</v>
      </c>
    </row>
    <row r="26036" spans="1:2" x14ac:dyDescent="0.25">
      <c r="A26036" s="2">
        <v>26031</v>
      </c>
      <c r="B26036" s="11" t="str">
        <f>"01040113"</f>
        <v>01040113</v>
      </c>
    </row>
    <row r="26037" spans="1:2" x14ac:dyDescent="0.25">
      <c r="A26037" s="2">
        <v>26032</v>
      </c>
      <c r="B26037" s="11" t="str">
        <f>"01040138"</f>
        <v>01040138</v>
      </c>
    </row>
    <row r="26038" spans="1:2" x14ac:dyDescent="0.25">
      <c r="A26038" s="2">
        <v>26033</v>
      </c>
      <c r="B26038" s="11" t="str">
        <f>"01040164"</f>
        <v>01040164</v>
      </c>
    </row>
    <row r="26039" spans="1:2" x14ac:dyDescent="0.25">
      <c r="A26039" s="2">
        <v>26034</v>
      </c>
      <c r="B26039" s="11" t="str">
        <f>"01040174"</f>
        <v>01040174</v>
      </c>
    </row>
    <row r="26040" spans="1:2" x14ac:dyDescent="0.25">
      <c r="A26040" s="2">
        <v>26035</v>
      </c>
      <c r="B26040" s="11" t="str">
        <f>"01040204"</f>
        <v>01040204</v>
      </c>
    </row>
    <row r="26041" spans="1:2" x14ac:dyDescent="0.25">
      <c r="A26041" s="2">
        <v>26036</v>
      </c>
      <c r="B26041" s="11" t="str">
        <f>"01040206"</f>
        <v>01040206</v>
      </c>
    </row>
    <row r="26042" spans="1:2" x14ac:dyDescent="0.25">
      <c r="A26042" s="2">
        <v>26037</v>
      </c>
      <c r="B26042" s="11" t="str">
        <f>"01040228"</f>
        <v>01040228</v>
      </c>
    </row>
    <row r="26043" spans="1:2" x14ac:dyDescent="0.25">
      <c r="A26043" s="2">
        <v>26038</v>
      </c>
      <c r="B26043" s="11" t="str">
        <f>"01040257"</f>
        <v>01040257</v>
      </c>
    </row>
    <row r="26044" spans="1:2" x14ac:dyDescent="0.25">
      <c r="A26044" s="2">
        <v>26039</v>
      </c>
      <c r="B26044" s="11" t="str">
        <f>"01040267"</f>
        <v>01040267</v>
      </c>
    </row>
    <row r="26045" spans="1:2" x14ac:dyDescent="0.25">
      <c r="A26045" s="2">
        <v>26040</v>
      </c>
      <c r="B26045" s="11" t="str">
        <f>"01040296"</f>
        <v>01040296</v>
      </c>
    </row>
    <row r="26046" spans="1:2" x14ac:dyDescent="0.25">
      <c r="A26046" s="2">
        <v>26041</v>
      </c>
      <c r="B26046" s="11" t="str">
        <f>"01040319"</f>
        <v>01040319</v>
      </c>
    </row>
    <row r="26047" spans="1:2" x14ac:dyDescent="0.25">
      <c r="A26047" s="2">
        <v>26042</v>
      </c>
      <c r="B26047" s="11" t="str">
        <f>"01040356"</f>
        <v>01040356</v>
      </c>
    </row>
    <row r="26048" spans="1:2" x14ac:dyDescent="0.25">
      <c r="A26048" s="2">
        <v>26043</v>
      </c>
      <c r="B26048" s="11" t="str">
        <f>"01040366"</f>
        <v>01040366</v>
      </c>
    </row>
    <row r="26049" spans="1:2" x14ac:dyDescent="0.25">
      <c r="A26049" s="2">
        <v>26044</v>
      </c>
      <c r="B26049" s="11" t="str">
        <f>"01040411"</f>
        <v>01040411</v>
      </c>
    </row>
    <row r="26050" spans="1:2" x14ac:dyDescent="0.25">
      <c r="A26050" s="2">
        <v>26045</v>
      </c>
      <c r="B26050" s="11" t="str">
        <f>"01040437"</f>
        <v>01040437</v>
      </c>
    </row>
    <row r="26051" spans="1:2" x14ac:dyDescent="0.25">
      <c r="A26051" s="2">
        <v>26046</v>
      </c>
      <c r="B26051" s="11" t="str">
        <f>"01040450"</f>
        <v>01040450</v>
      </c>
    </row>
    <row r="26052" spans="1:2" x14ac:dyDescent="0.25">
      <c r="A26052" s="2">
        <v>26047</v>
      </c>
      <c r="B26052" s="11" t="str">
        <f>"01040462"</f>
        <v>01040462</v>
      </c>
    </row>
    <row r="26053" spans="1:2" x14ac:dyDescent="0.25">
      <c r="A26053" s="2">
        <v>26048</v>
      </c>
      <c r="B26053" s="11" t="str">
        <f>"01040467"</f>
        <v>01040467</v>
      </c>
    </row>
    <row r="26054" spans="1:2" x14ac:dyDescent="0.25">
      <c r="A26054" s="2">
        <v>26049</v>
      </c>
      <c r="B26054" s="11" t="str">
        <f>"01040471"</f>
        <v>01040471</v>
      </c>
    </row>
    <row r="26055" spans="1:2" x14ac:dyDescent="0.25">
      <c r="A26055" s="2">
        <v>26050</v>
      </c>
      <c r="B26055" s="11" t="str">
        <f>"01040473"</f>
        <v>01040473</v>
      </c>
    </row>
    <row r="26056" spans="1:2" x14ac:dyDescent="0.25">
      <c r="A26056" s="2">
        <v>26051</v>
      </c>
      <c r="B26056" s="11" t="str">
        <f>"01040492"</f>
        <v>01040492</v>
      </c>
    </row>
    <row r="26057" spans="1:2" x14ac:dyDescent="0.25">
      <c r="A26057" s="2">
        <v>26052</v>
      </c>
      <c r="B26057" s="11" t="str">
        <f>"01040495"</f>
        <v>01040495</v>
      </c>
    </row>
    <row r="26058" spans="1:2" x14ac:dyDescent="0.25">
      <c r="A26058" s="2">
        <v>26053</v>
      </c>
      <c r="B26058" s="11" t="str">
        <f>"01040524"</f>
        <v>01040524</v>
      </c>
    </row>
    <row r="26059" spans="1:2" x14ac:dyDescent="0.25">
      <c r="A26059" s="2">
        <v>26054</v>
      </c>
      <c r="B26059" s="11" t="str">
        <f>"01040533"</f>
        <v>01040533</v>
      </c>
    </row>
    <row r="26060" spans="1:2" x14ac:dyDescent="0.25">
      <c r="A26060" s="2">
        <v>26055</v>
      </c>
      <c r="B26060" s="11" t="str">
        <f>"01040550"</f>
        <v>01040550</v>
      </c>
    </row>
    <row r="26061" spans="1:2" x14ac:dyDescent="0.25">
      <c r="A26061" s="2">
        <v>26056</v>
      </c>
      <c r="B26061" s="11" t="str">
        <f>"01040554"</f>
        <v>01040554</v>
      </c>
    </row>
    <row r="26062" spans="1:2" x14ac:dyDescent="0.25">
      <c r="A26062" s="2">
        <v>26057</v>
      </c>
      <c r="B26062" s="11" t="str">
        <f>"01040589"</f>
        <v>01040589</v>
      </c>
    </row>
    <row r="26063" spans="1:2" x14ac:dyDescent="0.25">
      <c r="A26063" s="2">
        <v>26058</v>
      </c>
      <c r="B26063" s="11" t="str">
        <f>"01040591"</f>
        <v>01040591</v>
      </c>
    </row>
    <row r="26064" spans="1:2" x14ac:dyDescent="0.25">
      <c r="A26064" s="2">
        <v>26059</v>
      </c>
      <c r="B26064" s="11" t="str">
        <f>"01040609"</f>
        <v>01040609</v>
      </c>
    </row>
    <row r="26065" spans="1:2" x14ac:dyDescent="0.25">
      <c r="A26065" s="2">
        <v>26060</v>
      </c>
      <c r="B26065" s="11" t="str">
        <f>"01040636"</f>
        <v>01040636</v>
      </c>
    </row>
    <row r="26066" spans="1:2" x14ac:dyDescent="0.25">
      <c r="A26066" s="2">
        <v>26061</v>
      </c>
      <c r="B26066" s="11" t="str">
        <f>"01040643"</f>
        <v>01040643</v>
      </c>
    </row>
    <row r="26067" spans="1:2" x14ac:dyDescent="0.25">
      <c r="A26067" s="2">
        <v>26062</v>
      </c>
      <c r="B26067" s="11" t="str">
        <f>"01040660"</f>
        <v>01040660</v>
      </c>
    </row>
    <row r="26068" spans="1:2" x14ac:dyDescent="0.25">
      <c r="A26068" s="2">
        <v>26063</v>
      </c>
      <c r="B26068" s="11" t="str">
        <f>"01040674"</f>
        <v>01040674</v>
      </c>
    </row>
    <row r="26069" spans="1:2" x14ac:dyDescent="0.25">
      <c r="A26069" s="2">
        <v>26064</v>
      </c>
      <c r="B26069" s="11" t="str">
        <f>"01040706"</f>
        <v>01040706</v>
      </c>
    </row>
    <row r="26070" spans="1:2" x14ac:dyDescent="0.25">
      <c r="A26070" s="2">
        <v>26065</v>
      </c>
      <c r="B26070" s="11" t="str">
        <f>"01040722"</f>
        <v>01040722</v>
      </c>
    </row>
    <row r="26071" spans="1:2" x14ac:dyDescent="0.25">
      <c r="A26071" s="2">
        <v>26066</v>
      </c>
      <c r="B26071" s="11" t="str">
        <f>"01040739"</f>
        <v>01040739</v>
      </c>
    </row>
    <row r="26072" spans="1:2" x14ac:dyDescent="0.25">
      <c r="A26072" s="2">
        <v>26067</v>
      </c>
      <c r="B26072" s="11" t="str">
        <f>"01040770"</f>
        <v>01040770</v>
      </c>
    </row>
    <row r="26073" spans="1:2" x14ac:dyDescent="0.25">
      <c r="A26073" s="2">
        <v>26068</v>
      </c>
      <c r="B26073" s="11" t="str">
        <f>"01040784"</f>
        <v>01040784</v>
      </c>
    </row>
    <row r="26074" spans="1:2" x14ac:dyDescent="0.25">
      <c r="A26074" s="2">
        <v>26069</v>
      </c>
      <c r="B26074" s="11" t="str">
        <f>"01040799"</f>
        <v>01040799</v>
      </c>
    </row>
    <row r="26075" spans="1:2" x14ac:dyDescent="0.25">
      <c r="A26075" s="2">
        <v>26070</v>
      </c>
      <c r="B26075" s="11" t="str">
        <f>"01040801"</f>
        <v>01040801</v>
      </c>
    </row>
    <row r="26076" spans="1:2" x14ac:dyDescent="0.25">
      <c r="A26076" s="2">
        <v>26071</v>
      </c>
      <c r="B26076" s="11" t="str">
        <f>"01040822"</f>
        <v>01040822</v>
      </c>
    </row>
    <row r="26077" spans="1:2" x14ac:dyDescent="0.25">
      <c r="A26077" s="2">
        <v>26072</v>
      </c>
      <c r="B26077" s="11" t="str">
        <f>"01040833"</f>
        <v>01040833</v>
      </c>
    </row>
    <row r="26078" spans="1:2" x14ac:dyDescent="0.25">
      <c r="A26078" s="2">
        <v>26073</v>
      </c>
      <c r="B26078" s="11" t="str">
        <f>"01040849"</f>
        <v>01040849</v>
      </c>
    </row>
    <row r="26079" spans="1:2" x14ac:dyDescent="0.25">
      <c r="A26079" s="2">
        <v>26074</v>
      </c>
      <c r="B26079" s="11" t="str">
        <f>"01040884"</f>
        <v>01040884</v>
      </c>
    </row>
    <row r="26080" spans="1:2" x14ac:dyDescent="0.25">
      <c r="A26080" s="2">
        <v>26075</v>
      </c>
      <c r="B26080" s="11" t="str">
        <f>"01040900"</f>
        <v>01040900</v>
      </c>
    </row>
    <row r="26081" spans="1:2" x14ac:dyDescent="0.25">
      <c r="A26081" s="2">
        <v>26076</v>
      </c>
      <c r="B26081" s="11" t="str">
        <f>"01040944"</f>
        <v>01040944</v>
      </c>
    </row>
    <row r="26082" spans="1:2" x14ac:dyDescent="0.25">
      <c r="A26082" s="2">
        <v>26077</v>
      </c>
      <c r="B26082" s="11" t="str">
        <f>"01040987"</f>
        <v>01040987</v>
      </c>
    </row>
    <row r="26083" spans="1:2" x14ac:dyDescent="0.25">
      <c r="A26083" s="2">
        <v>26078</v>
      </c>
      <c r="B26083" s="11" t="str">
        <f>"01041006"</f>
        <v>01041006</v>
      </c>
    </row>
    <row r="26084" spans="1:2" x14ac:dyDescent="0.25">
      <c r="A26084" s="2">
        <v>26079</v>
      </c>
      <c r="B26084" s="11" t="str">
        <f>"01041056"</f>
        <v>01041056</v>
      </c>
    </row>
    <row r="26085" spans="1:2" x14ac:dyDescent="0.25">
      <c r="A26085" s="2">
        <v>26080</v>
      </c>
      <c r="B26085" s="11" t="str">
        <f>"01041077"</f>
        <v>01041077</v>
      </c>
    </row>
    <row r="26086" spans="1:2" x14ac:dyDescent="0.25">
      <c r="A26086" s="2">
        <v>26081</v>
      </c>
      <c r="B26086" s="11" t="str">
        <f>"01041081"</f>
        <v>01041081</v>
      </c>
    </row>
    <row r="26087" spans="1:2" x14ac:dyDescent="0.25">
      <c r="A26087" s="2">
        <v>26082</v>
      </c>
      <c r="B26087" s="11" t="str">
        <f>"01041108"</f>
        <v>01041108</v>
      </c>
    </row>
    <row r="26088" spans="1:2" x14ac:dyDescent="0.25">
      <c r="A26088" s="2">
        <v>26083</v>
      </c>
      <c r="B26088" s="11" t="str">
        <f>"01041116"</f>
        <v>01041116</v>
      </c>
    </row>
    <row r="26089" spans="1:2" x14ac:dyDescent="0.25">
      <c r="A26089" s="2">
        <v>26084</v>
      </c>
      <c r="B26089" s="11" t="str">
        <f>"01041125"</f>
        <v>01041125</v>
      </c>
    </row>
    <row r="26090" spans="1:2" x14ac:dyDescent="0.25">
      <c r="A26090" s="2">
        <v>26085</v>
      </c>
      <c r="B26090" s="11" t="str">
        <f>"01041130"</f>
        <v>01041130</v>
      </c>
    </row>
    <row r="26091" spans="1:2" x14ac:dyDescent="0.25">
      <c r="A26091" s="2">
        <v>26086</v>
      </c>
      <c r="B26091" s="11" t="str">
        <f>"01041149"</f>
        <v>01041149</v>
      </c>
    </row>
    <row r="26092" spans="1:2" x14ac:dyDescent="0.25">
      <c r="A26092" s="2">
        <v>26087</v>
      </c>
      <c r="B26092" s="11" t="str">
        <f>"01041171"</f>
        <v>01041171</v>
      </c>
    </row>
    <row r="26093" spans="1:2" x14ac:dyDescent="0.25">
      <c r="A26093" s="2">
        <v>26088</v>
      </c>
      <c r="B26093" s="11" t="str">
        <f>"01041194"</f>
        <v>01041194</v>
      </c>
    </row>
    <row r="26094" spans="1:2" x14ac:dyDescent="0.25">
      <c r="A26094" s="2">
        <v>26089</v>
      </c>
      <c r="B26094" s="11" t="str">
        <f>"01041216"</f>
        <v>01041216</v>
      </c>
    </row>
    <row r="26095" spans="1:2" x14ac:dyDescent="0.25">
      <c r="A26095" s="2">
        <v>26090</v>
      </c>
      <c r="B26095" s="11" t="str">
        <f>"01041228"</f>
        <v>01041228</v>
      </c>
    </row>
    <row r="26096" spans="1:2" x14ac:dyDescent="0.25">
      <c r="A26096" s="2">
        <v>26091</v>
      </c>
      <c r="B26096" s="11" t="str">
        <f>"01041248"</f>
        <v>01041248</v>
      </c>
    </row>
    <row r="26097" spans="1:2" x14ac:dyDescent="0.25">
      <c r="A26097" s="2">
        <v>26092</v>
      </c>
      <c r="B26097" s="11" t="str">
        <f>"01041256"</f>
        <v>01041256</v>
      </c>
    </row>
    <row r="26098" spans="1:2" x14ac:dyDescent="0.25">
      <c r="A26098" s="2">
        <v>26093</v>
      </c>
      <c r="B26098" s="11" t="str">
        <f>"01041257"</f>
        <v>01041257</v>
      </c>
    </row>
    <row r="26099" spans="1:2" x14ac:dyDescent="0.25">
      <c r="A26099" s="2">
        <v>26094</v>
      </c>
      <c r="B26099" s="11" t="str">
        <f>"01041288"</f>
        <v>01041288</v>
      </c>
    </row>
    <row r="26100" spans="1:2" x14ac:dyDescent="0.25">
      <c r="A26100" s="2">
        <v>26095</v>
      </c>
      <c r="B26100" s="11" t="str">
        <f>"01041299"</f>
        <v>01041299</v>
      </c>
    </row>
    <row r="26101" spans="1:2" x14ac:dyDescent="0.25">
      <c r="A26101" s="2">
        <v>26096</v>
      </c>
      <c r="B26101" s="11" t="str">
        <f>"01041307"</f>
        <v>01041307</v>
      </c>
    </row>
    <row r="26102" spans="1:2" x14ac:dyDescent="0.25">
      <c r="A26102" s="2">
        <v>26097</v>
      </c>
      <c r="B26102" s="11" t="str">
        <f>"01041313"</f>
        <v>01041313</v>
      </c>
    </row>
    <row r="26103" spans="1:2" x14ac:dyDescent="0.25">
      <c r="A26103" s="2">
        <v>26098</v>
      </c>
      <c r="B26103" s="11" t="str">
        <f>"01041369"</f>
        <v>01041369</v>
      </c>
    </row>
    <row r="26104" spans="1:2" x14ac:dyDescent="0.25">
      <c r="A26104" s="2">
        <v>26099</v>
      </c>
      <c r="B26104" s="11" t="str">
        <f>"01041425"</f>
        <v>01041425</v>
      </c>
    </row>
    <row r="26105" spans="1:2" x14ac:dyDescent="0.25">
      <c r="A26105" s="2">
        <v>26100</v>
      </c>
      <c r="B26105" s="11" t="str">
        <f>"01041463"</f>
        <v>01041463</v>
      </c>
    </row>
    <row r="26106" spans="1:2" x14ac:dyDescent="0.25">
      <c r="A26106" s="2">
        <v>26101</v>
      </c>
      <c r="B26106" s="11" t="str">
        <f>"01041473"</f>
        <v>01041473</v>
      </c>
    </row>
    <row r="26107" spans="1:2" x14ac:dyDescent="0.25">
      <c r="A26107" s="2">
        <v>26102</v>
      </c>
      <c r="B26107" s="11" t="str">
        <f>"01041489"</f>
        <v>01041489</v>
      </c>
    </row>
    <row r="26108" spans="1:2" x14ac:dyDescent="0.25">
      <c r="A26108" s="2">
        <v>26103</v>
      </c>
      <c r="B26108" s="11" t="str">
        <f>"01041494"</f>
        <v>01041494</v>
      </c>
    </row>
    <row r="26109" spans="1:2" x14ac:dyDescent="0.25">
      <c r="A26109" s="2">
        <v>26104</v>
      </c>
      <c r="B26109" s="11" t="str">
        <f>"01041496"</f>
        <v>01041496</v>
      </c>
    </row>
    <row r="26110" spans="1:2" x14ac:dyDescent="0.25">
      <c r="A26110" s="2">
        <v>26105</v>
      </c>
      <c r="B26110" s="11" t="str">
        <f>"01041497"</f>
        <v>01041497</v>
      </c>
    </row>
    <row r="26111" spans="1:2" x14ac:dyDescent="0.25">
      <c r="A26111" s="2">
        <v>26106</v>
      </c>
      <c r="B26111" s="11" t="str">
        <f>"01041583"</f>
        <v>01041583</v>
      </c>
    </row>
    <row r="26112" spans="1:2" x14ac:dyDescent="0.25">
      <c r="A26112" s="2">
        <v>26107</v>
      </c>
      <c r="B26112" s="11" t="str">
        <f>"01041614"</f>
        <v>01041614</v>
      </c>
    </row>
    <row r="26113" spans="1:2" x14ac:dyDescent="0.25">
      <c r="A26113" s="2">
        <v>26108</v>
      </c>
      <c r="B26113" s="11" t="str">
        <f>"01041639"</f>
        <v>01041639</v>
      </c>
    </row>
    <row r="26114" spans="1:2" x14ac:dyDescent="0.25">
      <c r="A26114" s="2">
        <v>26109</v>
      </c>
      <c r="B26114" s="11" t="str">
        <f>"01041654"</f>
        <v>01041654</v>
      </c>
    </row>
    <row r="26115" spans="1:2" x14ac:dyDescent="0.25">
      <c r="A26115" s="2">
        <v>26110</v>
      </c>
      <c r="B26115" s="11" t="str">
        <f>"01041659"</f>
        <v>01041659</v>
      </c>
    </row>
    <row r="26116" spans="1:2" x14ac:dyDescent="0.25">
      <c r="A26116" s="2">
        <v>26111</v>
      </c>
      <c r="B26116" s="11" t="str">
        <f>"01041676"</f>
        <v>01041676</v>
      </c>
    </row>
    <row r="26117" spans="1:2" x14ac:dyDescent="0.25">
      <c r="A26117" s="2">
        <v>26112</v>
      </c>
      <c r="B26117" s="11" t="str">
        <f>"01041692"</f>
        <v>01041692</v>
      </c>
    </row>
    <row r="26118" spans="1:2" x14ac:dyDescent="0.25">
      <c r="A26118" s="2">
        <v>26113</v>
      </c>
      <c r="B26118" s="11" t="str">
        <f>"01041702"</f>
        <v>01041702</v>
      </c>
    </row>
    <row r="26119" spans="1:2" x14ac:dyDescent="0.25">
      <c r="A26119" s="2">
        <v>26114</v>
      </c>
      <c r="B26119" s="11" t="str">
        <f>"01041712"</f>
        <v>01041712</v>
      </c>
    </row>
    <row r="26120" spans="1:2" x14ac:dyDescent="0.25">
      <c r="A26120" s="2">
        <v>26115</v>
      </c>
      <c r="B26120" s="11" t="str">
        <f>"01041725"</f>
        <v>01041725</v>
      </c>
    </row>
    <row r="26121" spans="1:2" x14ac:dyDescent="0.25">
      <c r="A26121" s="2">
        <v>26116</v>
      </c>
      <c r="B26121" s="11" t="str">
        <f>"01041752"</f>
        <v>01041752</v>
      </c>
    </row>
    <row r="26122" spans="1:2" x14ac:dyDescent="0.25">
      <c r="A26122" s="2">
        <v>26117</v>
      </c>
      <c r="B26122" s="11" t="str">
        <f>"01041821"</f>
        <v>01041821</v>
      </c>
    </row>
    <row r="26123" spans="1:2" x14ac:dyDescent="0.25">
      <c r="A26123" s="2">
        <v>26118</v>
      </c>
      <c r="B26123" s="11" t="str">
        <f>"01041824"</f>
        <v>01041824</v>
      </c>
    </row>
    <row r="26124" spans="1:2" x14ac:dyDescent="0.25">
      <c r="A26124" s="2">
        <v>26119</v>
      </c>
      <c r="B26124" s="11" t="str">
        <f>"01041847"</f>
        <v>01041847</v>
      </c>
    </row>
    <row r="26125" spans="1:2" x14ac:dyDescent="0.25">
      <c r="A26125" s="2">
        <v>26120</v>
      </c>
      <c r="B26125" s="11" t="str">
        <f>"01041875"</f>
        <v>01041875</v>
      </c>
    </row>
    <row r="26126" spans="1:2" x14ac:dyDescent="0.25">
      <c r="A26126" s="2">
        <v>26121</v>
      </c>
      <c r="B26126" s="11" t="str">
        <f>"01041901"</f>
        <v>01041901</v>
      </c>
    </row>
    <row r="26127" spans="1:2" x14ac:dyDescent="0.25">
      <c r="A26127" s="2">
        <v>26122</v>
      </c>
      <c r="B26127" s="11" t="str">
        <f>"01041944"</f>
        <v>01041944</v>
      </c>
    </row>
    <row r="26128" spans="1:2" x14ac:dyDescent="0.25">
      <c r="A26128" s="2">
        <v>26123</v>
      </c>
      <c r="B26128" s="11" t="str">
        <f>"01041960"</f>
        <v>01041960</v>
      </c>
    </row>
    <row r="26129" spans="1:2" x14ac:dyDescent="0.25">
      <c r="A26129" s="2">
        <v>26124</v>
      </c>
      <c r="B26129" s="11" t="str">
        <f>"01041985"</f>
        <v>01041985</v>
      </c>
    </row>
    <row r="26130" spans="1:2" x14ac:dyDescent="0.25">
      <c r="A26130" s="2">
        <v>26125</v>
      </c>
      <c r="B26130" s="11" t="str">
        <f>"01042017"</f>
        <v>01042017</v>
      </c>
    </row>
    <row r="26131" spans="1:2" x14ac:dyDescent="0.25">
      <c r="A26131" s="2">
        <v>26126</v>
      </c>
      <c r="B26131" s="11" t="str">
        <f>"01042031"</f>
        <v>01042031</v>
      </c>
    </row>
    <row r="26132" spans="1:2" x14ac:dyDescent="0.25">
      <c r="A26132" s="2">
        <v>26127</v>
      </c>
      <c r="B26132" s="11" t="str">
        <f>"01042032"</f>
        <v>01042032</v>
      </c>
    </row>
    <row r="26133" spans="1:2" x14ac:dyDescent="0.25">
      <c r="A26133" s="2">
        <v>26128</v>
      </c>
      <c r="B26133" s="11" t="str">
        <f>"01042033"</f>
        <v>01042033</v>
      </c>
    </row>
    <row r="26134" spans="1:2" x14ac:dyDescent="0.25">
      <c r="A26134" s="2">
        <v>26129</v>
      </c>
      <c r="B26134" s="11" t="str">
        <f>"01042035"</f>
        <v>01042035</v>
      </c>
    </row>
    <row r="26135" spans="1:2" x14ac:dyDescent="0.25">
      <c r="A26135" s="2">
        <v>26130</v>
      </c>
      <c r="B26135" s="11" t="str">
        <f>"01042092"</f>
        <v>01042092</v>
      </c>
    </row>
    <row r="26136" spans="1:2" x14ac:dyDescent="0.25">
      <c r="A26136" s="2">
        <v>26131</v>
      </c>
      <c r="B26136" s="11" t="str">
        <f>"01042140"</f>
        <v>01042140</v>
      </c>
    </row>
    <row r="26137" spans="1:2" x14ac:dyDescent="0.25">
      <c r="A26137" s="2">
        <v>26132</v>
      </c>
      <c r="B26137" s="11" t="str">
        <f>"01042150"</f>
        <v>01042150</v>
      </c>
    </row>
    <row r="26138" spans="1:2" x14ac:dyDescent="0.25">
      <c r="A26138" s="2">
        <v>26133</v>
      </c>
      <c r="B26138" s="11" t="str">
        <f>"01042177"</f>
        <v>01042177</v>
      </c>
    </row>
    <row r="26139" spans="1:2" x14ac:dyDescent="0.25">
      <c r="A26139" s="2">
        <v>26134</v>
      </c>
      <c r="B26139" s="11" t="str">
        <f>"01042202"</f>
        <v>01042202</v>
      </c>
    </row>
    <row r="26140" spans="1:2" x14ac:dyDescent="0.25">
      <c r="A26140" s="2">
        <v>26135</v>
      </c>
      <c r="B26140" s="11" t="str">
        <f>"01042229"</f>
        <v>01042229</v>
      </c>
    </row>
    <row r="26141" spans="1:2" x14ac:dyDescent="0.25">
      <c r="A26141" s="2">
        <v>26136</v>
      </c>
      <c r="B26141" s="11" t="str">
        <f>"01042233"</f>
        <v>01042233</v>
      </c>
    </row>
    <row r="26142" spans="1:2" x14ac:dyDescent="0.25">
      <c r="A26142" s="2">
        <v>26137</v>
      </c>
      <c r="B26142" s="11" t="str">
        <f>"01042247"</f>
        <v>01042247</v>
      </c>
    </row>
    <row r="26143" spans="1:2" x14ac:dyDescent="0.25">
      <c r="A26143" s="2">
        <v>26138</v>
      </c>
      <c r="B26143" s="11" t="str">
        <f>"01042248"</f>
        <v>01042248</v>
      </c>
    </row>
    <row r="26144" spans="1:2" x14ac:dyDescent="0.25">
      <c r="A26144" s="2">
        <v>26139</v>
      </c>
      <c r="B26144" s="11" t="str">
        <f>"01042258"</f>
        <v>01042258</v>
      </c>
    </row>
    <row r="26145" spans="1:2" x14ac:dyDescent="0.25">
      <c r="A26145" s="2">
        <v>26140</v>
      </c>
      <c r="B26145" s="11" t="str">
        <f>"01042261"</f>
        <v>01042261</v>
      </c>
    </row>
    <row r="26146" spans="1:2" x14ac:dyDescent="0.25">
      <c r="A26146" s="2">
        <v>26141</v>
      </c>
      <c r="B26146" s="11" t="str">
        <f>"01042272"</f>
        <v>01042272</v>
      </c>
    </row>
    <row r="26147" spans="1:2" x14ac:dyDescent="0.25">
      <c r="A26147" s="2">
        <v>26142</v>
      </c>
      <c r="B26147" s="11" t="str">
        <f>"01042285"</f>
        <v>01042285</v>
      </c>
    </row>
    <row r="26148" spans="1:2" x14ac:dyDescent="0.25">
      <c r="A26148" s="2">
        <v>26143</v>
      </c>
      <c r="B26148" s="11" t="str">
        <f>"01042287"</f>
        <v>01042287</v>
      </c>
    </row>
    <row r="26149" spans="1:2" x14ac:dyDescent="0.25">
      <c r="A26149" s="2">
        <v>26144</v>
      </c>
      <c r="B26149" s="11" t="str">
        <f>"01042339"</f>
        <v>01042339</v>
      </c>
    </row>
    <row r="26150" spans="1:2" x14ac:dyDescent="0.25">
      <c r="A26150" s="2">
        <v>26145</v>
      </c>
      <c r="B26150" s="11" t="str">
        <f>"01042413"</f>
        <v>01042413</v>
      </c>
    </row>
    <row r="26151" spans="1:2" x14ac:dyDescent="0.25">
      <c r="A26151" s="2">
        <v>26146</v>
      </c>
      <c r="B26151" s="11" t="str">
        <f>"01042436"</f>
        <v>01042436</v>
      </c>
    </row>
    <row r="26152" spans="1:2" x14ac:dyDescent="0.25">
      <c r="A26152" s="2">
        <v>26147</v>
      </c>
      <c r="B26152" s="11" t="str">
        <f>"01042475"</f>
        <v>01042475</v>
      </c>
    </row>
    <row r="26153" spans="1:2" x14ac:dyDescent="0.25">
      <c r="A26153" s="2">
        <v>26148</v>
      </c>
      <c r="B26153" s="11" t="str">
        <f>"01042478"</f>
        <v>01042478</v>
      </c>
    </row>
    <row r="26154" spans="1:2" x14ac:dyDescent="0.25">
      <c r="A26154" s="2">
        <v>26149</v>
      </c>
      <c r="B26154" s="11" t="str">
        <f>"01042487"</f>
        <v>01042487</v>
      </c>
    </row>
    <row r="26155" spans="1:2" x14ac:dyDescent="0.25">
      <c r="A26155" s="2">
        <v>26150</v>
      </c>
      <c r="B26155" s="11" t="str">
        <f>"01042501"</f>
        <v>01042501</v>
      </c>
    </row>
    <row r="26156" spans="1:2" x14ac:dyDescent="0.25">
      <c r="A26156" s="2">
        <v>26151</v>
      </c>
      <c r="B26156" s="11" t="str">
        <f>"01042522"</f>
        <v>01042522</v>
      </c>
    </row>
    <row r="26157" spans="1:2" x14ac:dyDescent="0.25">
      <c r="A26157" s="2">
        <v>26152</v>
      </c>
      <c r="B26157" s="11" t="str">
        <f>"01042557"</f>
        <v>01042557</v>
      </c>
    </row>
    <row r="26158" spans="1:2" x14ac:dyDescent="0.25">
      <c r="A26158" s="2">
        <v>26153</v>
      </c>
      <c r="B26158" s="11" t="str">
        <f>"01042587"</f>
        <v>01042587</v>
      </c>
    </row>
    <row r="26159" spans="1:2" x14ac:dyDescent="0.25">
      <c r="A26159" s="2">
        <v>26154</v>
      </c>
      <c r="B26159" s="11" t="str">
        <f>"01042588"</f>
        <v>01042588</v>
      </c>
    </row>
    <row r="26160" spans="1:2" x14ac:dyDescent="0.25">
      <c r="A26160" s="2">
        <v>26155</v>
      </c>
      <c r="B26160" s="11" t="str">
        <f>"01042595"</f>
        <v>01042595</v>
      </c>
    </row>
    <row r="26161" spans="1:2" x14ac:dyDescent="0.25">
      <c r="A26161" s="2">
        <v>26156</v>
      </c>
      <c r="B26161" s="11" t="str">
        <f>"01042610"</f>
        <v>01042610</v>
      </c>
    </row>
    <row r="26162" spans="1:2" x14ac:dyDescent="0.25">
      <c r="A26162" s="2">
        <v>26157</v>
      </c>
      <c r="B26162" s="11" t="str">
        <f>"01042617"</f>
        <v>01042617</v>
      </c>
    </row>
    <row r="26163" spans="1:2" x14ac:dyDescent="0.25">
      <c r="A26163" s="2">
        <v>26158</v>
      </c>
      <c r="B26163" s="11" t="str">
        <f>"01042622"</f>
        <v>01042622</v>
      </c>
    </row>
    <row r="26164" spans="1:2" x14ac:dyDescent="0.25">
      <c r="A26164" s="2">
        <v>26159</v>
      </c>
      <c r="B26164" s="11" t="str">
        <f>"01042646"</f>
        <v>01042646</v>
      </c>
    </row>
    <row r="26165" spans="1:2" x14ac:dyDescent="0.25">
      <c r="A26165" s="2">
        <v>26160</v>
      </c>
      <c r="B26165" s="11" t="str">
        <f>"01042652"</f>
        <v>01042652</v>
      </c>
    </row>
    <row r="26166" spans="1:2" x14ac:dyDescent="0.25">
      <c r="A26166" s="2">
        <v>26161</v>
      </c>
      <c r="B26166" s="11" t="str">
        <f>"01042667"</f>
        <v>01042667</v>
      </c>
    </row>
    <row r="26167" spans="1:2" x14ac:dyDescent="0.25">
      <c r="A26167" s="2">
        <v>26162</v>
      </c>
      <c r="B26167" s="11" t="str">
        <f>"01042680"</f>
        <v>01042680</v>
      </c>
    </row>
    <row r="26168" spans="1:2" x14ac:dyDescent="0.25">
      <c r="A26168" s="2">
        <v>26163</v>
      </c>
      <c r="B26168" s="11" t="str">
        <f>"01042690"</f>
        <v>01042690</v>
      </c>
    </row>
    <row r="26169" spans="1:2" x14ac:dyDescent="0.25">
      <c r="A26169" s="2">
        <v>26164</v>
      </c>
      <c r="B26169" s="11" t="str">
        <f>"01042701"</f>
        <v>01042701</v>
      </c>
    </row>
    <row r="26170" spans="1:2" x14ac:dyDescent="0.25">
      <c r="A26170" s="2">
        <v>26165</v>
      </c>
      <c r="B26170" s="11" t="str">
        <f>"01042704"</f>
        <v>01042704</v>
      </c>
    </row>
    <row r="26171" spans="1:2" x14ac:dyDescent="0.25">
      <c r="A26171" s="2">
        <v>26166</v>
      </c>
      <c r="B26171" s="11" t="str">
        <f>"01042763"</f>
        <v>01042763</v>
      </c>
    </row>
    <row r="26172" spans="1:2" x14ac:dyDescent="0.25">
      <c r="A26172" s="2">
        <v>26167</v>
      </c>
      <c r="B26172" s="11" t="str">
        <f>"01042772"</f>
        <v>01042772</v>
      </c>
    </row>
    <row r="26173" spans="1:2" x14ac:dyDescent="0.25">
      <c r="A26173" s="2">
        <v>26168</v>
      </c>
      <c r="B26173" s="11" t="str">
        <f>"01042817"</f>
        <v>01042817</v>
      </c>
    </row>
    <row r="26174" spans="1:2" x14ac:dyDescent="0.25">
      <c r="A26174" s="2">
        <v>26169</v>
      </c>
      <c r="B26174" s="11" t="str">
        <f>"01042863"</f>
        <v>01042863</v>
      </c>
    </row>
    <row r="26175" spans="1:2" x14ac:dyDescent="0.25">
      <c r="A26175" s="2">
        <v>26170</v>
      </c>
      <c r="B26175" s="11" t="str">
        <f>"01042892"</f>
        <v>01042892</v>
      </c>
    </row>
    <row r="26176" spans="1:2" x14ac:dyDescent="0.25">
      <c r="A26176" s="2">
        <v>26171</v>
      </c>
      <c r="B26176" s="11" t="str">
        <f>"01042904"</f>
        <v>01042904</v>
      </c>
    </row>
    <row r="26177" spans="1:2" x14ac:dyDescent="0.25">
      <c r="A26177" s="2">
        <v>26172</v>
      </c>
      <c r="B26177" s="11" t="str">
        <f>"01042906"</f>
        <v>01042906</v>
      </c>
    </row>
    <row r="26178" spans="1:2" x14ac:dyDescent="0.25">
      <c r="A26178" s="2">
        <v>26173</v>
      </c>
      <c r="B26178" s="11" t="str">
        <f>"01042913"</f>
        <v>01042913</v>
      </c>
    </row>
    <row r="26179" spans="1:2" x14ac:dyDescent="0.25">
      <c r="A26179" s="2">
        <v>26174</v>
      </c>
      <c r="B26179" s="11" t="str">
        <f>"01042917"</f>
        <v>01042917</v>
      </c>
    </row>
    <row r="26180" spans="1:2" x14ac:dyDescent="0.25">
      <c r="A26180" s="2">
        <v>26175</v>
      </c>
      <c r="B26180" s="11" t="str">
        <f>"01042922"</f>
        <v>01042922</v>
      </c>
    </row>
    <row r="26181" spans="1:2" x14ac:dyDescent="0.25">
      <c r="A26181" s="2">
        <v>26176</v>
      </c>
      <c r="B26181" s="11" t="str">
        <f>"01042931"</f>
        <v>01042931</v>
      </c>
    </row>
    <row r="26182" spans="1:2" x14ac:dyDescent="0.25">
      <c r="A26182" s="2">
        <v>26177</v>
      </c>
      <c r="B26182" s="11" t="str">
        <f>"01042940"</f>
        <v>01042940</v>
      </c>
    </row>
    <row r="26183" spans="1:2" x14ac:dyDescent="0.25">
      <c r="A26183" s="2">
        <v>26178</v>
      </c>
      <c r="B26183" s="11" t="str">
        <f>"01042972"</f>
        <v>01042972</v>
      </c>
    </row>
    <row r="26184" spans="1:2" x14ac:dyDescent="0.25">
      <c r="A26184" s="2">
        <v>26179</v>
      </c>
      <c r="B26184" s="11" t="str">
        <f>"01042974"</f>
        <v>01042974</v>
      </c>
    </row>
    <row r="26185" spans="1:2" x14ac:dyDescent="0.25">
      <c r="A26185" s="2">
        <v>26180</v>
      </c>
      <c r="B26185" s="11" t="str">
        <f>"01042988"</f>
        <v>01042988</v>
      </c>
    </row>
    <row r="26186" spans="1:2" x14ac:dyDescent="0.25">
      <c r="A26186" s="2">
        <v>26181</v>
      </c>
      <c r="B26186" s="11" t="str">
        <f>"01043026"</f>
        <v>01043026</v>
      </c>
    </row>
    <row r="26187" spans="1:2" x14ac:dyDescent="0.25">
      <c r="A26187" s="2">
        <v>26182</v>
      </c>
      <c r="B26187" s="11" t="str">
        <f>"01043038"</f>
        <v>01043038</v>
      </c>
    </row>
    <row r="26188" spans="1:2" x14ac:dyDescent="0.25">
      <c r="A26188" s="2">
        <v>26183</v>
      </c>
      <c r="B26188" s="11" t="str">
        <f>"01043042"</f>
        <v>01043042</v>
      </c>
    </row>
    <row r="26189" spans="1:2" x14ac:dyDescent="0.25">
      <c r="A26189" s="2">
        <v>26184</v>
      </c>
      <c r="B26189" s="11" t="str">
        <f>"01043052"</f>
        <v>01043052</v>
      </c>
    </row>
    <row r="26190" spans="1:2" x14ac:dyDescent="0.25">
      <c r="A26190" s="2">
        <v>26185</v>
      </c>
      <c r="B26190" s="11" t="str">
        <f>"01043053"</f>
        <v>01043053</v>
      </c>
    </row>
    <row r="26191" spans="1:2" x14ac:dyDescent="0.25">
      <c r="A26191" s="2">
        <v>26186</v>
      </c>
      <c r="B26191" s="11" t="str">
        <f>"01043063"</f>
        <v>01043063</v>
      </c>
    </row>
    <row r="26192" spans="1:2" x14ac:dyDescent="0.25">
      <c r="A26192" s="2">
        <v>26187</v>
      </c>
      <c r="B26192" s="11" t="str">
        <f>"01043115"</f>
        <v>01043115</v>
      </c>
    </row>
    <row r="26193" spans="1:2" x14ac:dyDescent="0.25">
      <c r="A26193" s="2">
        <v>26188</v>
      </c>
      <c r="B26193" s="11" t="str">
        <f>"01043118"</f>
        <v>01043118</v>
      </c>
    </row>
    <row r="26194" spans="1:2" x14ac:dyDescent="0.25">
      <c r="A26194" s="2">
        <v>26189</v>
      </c>
      <c r="B26194" s="11" t="str">
        <f>"01043138"</f>
        <v>01043138</v>
      </c>
    </row>
    <row r="26195" spans="1:2" x14ac:dyDescent="0.25">
      <c r="A26195" s="2">
        <v>26190</v>
      </c>
      <c r="B26195" s="11" t="str">
        <f>"01043185"</f>
        <v>01043185</v>
      </c>
    </row>
    <row r="26196" spans="1:2" x14ac:dyDescent="0.25">
      <c r="A26196" s="2">
        <v>26191</v>
      </c>
      <c r="B26196" s="11" t="str">
        <f>"01043211"</f>
        <v>01043211</v>
      </c>
    </row>
    <row r="26197" spans="1:2" x14ac:dyDescent="0.25">
      <c r="A26197" s="2">
        <v>26192</v>
      </c>
      <c r="B26197" s="11" t="str">
        <f>"01043245"</f>
        <v>01043245</v>
      </c>
    </row>
    <row r="26198" spans="1:2" x14ac:dyDescent="0.25">
      <c r="A26198" s="2">
        <v>26193</v>
      </c>
      <c r="B26198" s="11" t="str">
        <f>"01043279"</f>
        <v>01043279</v>
      </c>
    </row>
    <row r="26199" spans="1:2" x14ac:dyDescent="0.25">
      <c r="A26199" s="2">
        <v>26194</v>
      </c>
      <c r="B26199" s="11" t="str">
        <f>"01043289"</f>
        <v>01043289</v>
      </c>
    </row>
    <row r="26200" spans="1:2" x14ac:dyDescent="0.25">
      <c r="A26200" s="2">
        <v>26195</v>
      </c>
      <c r="B26200" s="11" t="str">
        <f>"01043293"</f>
        <v>01043293</v>
      </c>
    </row>
    <row r="26201" spans="1:2" x14ac:dyDescent="0.25">
      <c r="A26201" s="2">
        <v>26196</v>
      </c>
      <c r="B26201" s="11" t="str">
        <f>"01043326"</f>
        <v>01043326</v>
      </c>
    </row>
    <row r="26202" spans="1:2" x14ac:dyDescent="0.25">
      <c r="A26202" s="2">
        <v>26197</v>
      </c>
      <c r="B26202" s="11" t="str">
        <f>"01043351"</f>
        <v>01043351</v>
      </c>
    </row>
    <row r="26203" spans="1:2" x14ac:dyDescent="0.25">
      <c r="A26203" s="2">
        <v>26198</v>
      </c>
      <c r="B26203" s="11" t="str">
        <f>"01043361"</f>
        <v>01043361</v>
      </c>
    </row>
    <row r="26204" spans="1:2" x14ac:dyDescent="0.25">
      <c r="A26204" s="2">
        <v>26199</v>
      </c>
      <c r="B26204" s="11" t="str">
        <f>"01043382"</f>
        <v>01043382</v>
      </c>
    </row>
    <row r="26205" spans="1:2" x14ac:dyDescent="0.25">
      <c r="A26205" s="2">
        <v>26200</v>
      </c>
      <c r="B26205" s="11" t="str">
        <f>"01043423"</f>
        <v>01043423</v>
      </c>
    </row>
    <row r="26206" spans="1:2" x14ac:dyDescent="0.25">
      <c r="A26206" s="2">
        <v>26201</v>
      </c>
      <c r="B26206" s="11" t="str">
        <f>"01043436"</f>
        <v>01043436</v>
      </c>
    </row>
    <row r="26207" spans="1:2" x14ac:dyDescent="0.25">
      <c r="A26207" s="2">
        <v>26202</v>
      </c>
      <c r="B26207" s="11" t="str">
        <f>"01043442"</f>
        <v>01043442</v>
      </c>
    </row>
    <row r="26208" spans="1:2" x14ac:dyDescent="0.25">
      <c r="A26208" s="2">
        <v>26203</v>
      </c>
      <c r="B26208" s="11" t="str">
        <f>"01043447"</f>
        <v>01043447</v>
      </c>
    </row>
    <row r="26209" spans="1:2" x14ac:dyDescent="0.25">
      <c r="A26209" s="2">
        <v>26204</v>
      </c>
      <c r="B26209" s="11" t="str">
        <f>"01043465"</f>
        <v>01043465</v>
      </c>
    </row>
    <row r="26210" spans="1:2" x14ac:dyDescent="0.25">
      <c r="A26210" s="2">
        <v>26205</v>
      </c>
      <c r="B26210" s="11" t="str">
        <f>"01043485"</f>
        <v>01043485</v>
      </c>
    </row>
    <row r="26211" spans="1:2" x14ac:dyDescent="0.25">
      <c r="A26211" s="2">
        <v>26206</v>
      </c>
      <c r="B26211" s="11" t="str">
        <f>"01043491"</f>
        <v>01043491</v>
      </c>
    </row>
    <row r="26212" spans="1:2" x14ac:dyDescent="0.25">
      <c r="A26212" s="2">
        <v>26207</v>
      </c>
      <c r="B26212" s="11" t="str">
        <f>"01043500"</f>
        <v>01043500</v>
      </c>
    </row>
    <row r="26213" spans="1:2" x14ac:dyDescent="0.25">
      <c r="A26213" s="2">
        <v>26208</v>
      </c>
      <c r="B26213" s="11" t="str">
        <f>"01043518"</f>
        <v>01043518</v>
      </c>
    </row>
    <row r="26214" spans="1:2" x14ac:dyDescent="0.25">
      <c r="A26214" s="2">
        <v>26209</v>
      </c>
      <c r="B26214" s="11" t="str">
        <f>"01043525"</f>
        <v>01043525</v>
      </c>
    </row>
    <row r="26215" spans="1:2" x14ac:dyDescent="0.25">
      <c r="A26215" s="2">
        <v>26210</v>
      </c>
      <c r="B26215" s="11" t="str">
        <f>"01043532"</f>
        <v>01043532</v>
      </c>
    </row>
    <row r="26216" spans="1:2" x14ac:dyDescent="0.25">
      <c r="A26216" s="2">
        <v>26211</v>
      </c>
      <c r="B26216" s="11" t="str">
        <f>"01043533"</f>
        <v>01043533</v>
      </c>
    </row>
    <row r="26217" spans="1:2" x14ac:dyDescent="0.25">
      <c r="A26217" s="2">
        <v>26212</v>
      </c>
      <c r="B26217" s="11" t="str">
        <f>"01043579"</f>
        <v>01043579</v>
      </c>
    </row>
    <row r="26218" spans="1:2" x14ac:dyDescent="0.25">
      <c r="A26218" s="2">
        <v>26213</v>
      </c>
      <c r="B26218" s="11" t="str">
        <f>"01043580"</f>
        <v>01043580</v>
      </c>
    </row>
    <row r="26219" spans="1:2" x14ac:dyDescent="0.25">
      <c r="A26219" s="2">
        <v>26214</v>
      </c>
      <c r="B26219" s="11" t="str">
        <f>"01043581"</f>
        <v>01043581</v>
      </c>
    </row>
    <row r="26220" spans="1:2" x14ac:dyDescent="0.25">
      <c r="A26220" s="2">
        <v>26215</v>
      </c>
      <c r="B26220" s="11" t="str">
        <f>"01043655"</f>
        <v>01043655</v>
      </c>
    </row>
    <row r="26221" spans="1:2" x14ac:dyDescent="0.25">
      <c r="A26221" s="2">
        <v>26216</v>
      </c>
      <c r="B26221" s="11" t="str">
        <f>"01043686"</f>
        <v>01043686</v>
      </c>
    </row>
    <row r="26222" spans="1:2" x14ac:dyDescent="0.25">
      <c r="A26222" s="2">
        <v>26217</v>
      </c>
      <c r="B26222" s="11" t="str">
        <f>"01043717"</f>
        <v>01043717</v>
      </c>
    </row>
    <row r="26223" spans="1:2" x14ac:dyDescent="0.25">
      <c r="A26223" s="2">
        <v>26218</v>
      </c>
      <c r="B26223" s="11" t="str">
        <f>"01043741"</f>
        <v>01043741</v>
      </c>
    </row>
    <row r="26224" spans="1:2" x14ac:dyDescent="0.25">
      <c r="A26224" s="2">
        <v>26219</v>
      </c>
      <c r="B26224" s="11" t="str">
        <f>"01043747"</f>
        <v>01043747</v>
      </c>
    </row>
    <row r="26225" spans="1:2" x14ac:dyDescent="0.25">
      <c r="A26225" s="2">
        <v>26220</v>
      </c>
      <c r="B26225" s="11" t="str">
        <f>"01043758"</f>
        <v>01043758</v>
      </c>
    </row>
    <row r="26226" spans="1:2" x14ac:dyDescent="0.25">
      <c r="A26226" s="2">
        <v>26221</v>
      </c>
      <c r="B26226" s="11" t="str">
        <f>"01043783"</f>
        <v>01043783</v>
      </c>
    </row>
    <row r="26227" spans="1:2" x14ac:dyDescent="0.25">
      <c r="A26227" s="2">
        <v>26222</v>
      </c>
      <c r="B26227" s="11" t="str">
        <f>"01043808"</f>
        <v>01043808</v>
      </c>
    </row>
    <row r="26228" spans="1:2" x14ac:dyDescent="0.25">
      <c r="A26228" s="2">
        <v>26223</v>
      </c>
      <c r="B26228" s="11" t="str">
        <f>"01043824"</f>
        <v>01043824</v>
      </c>
    </row>
    <row r="26229" spans="1:2" x14ac:dyDescent="0.25">
      <c r="A26229" s="2">
        <v>26224</v>
      </c>
      <c r="B26229" s="11" t="str">
        <f>"01043855"</f>
        <v>01043855</v>
      </c>
    </row>
    <row r="26230" spans="1:2" x14ac:dyDescent="0.25">
      <c r="A26230" s="2">
        <v>26225</v>
      </c>
      <c r="B26230" s="11" t="str">
        <f>"01043893"</f>
        <v>01043893</v>
      </c>
    </row>
    <row r="26231" spans="1:2" x14ac:dyDescent="0.25">
      <c r="A26231" s="2">
        <v>26226</v>
      </c>
      <c r="B26231" s="11" t="str">
        <f>"01043927"</f>
        <v>01043927</v>
      </c>
    </row>
    <row r="26232" spans="1:2" x14ac:dyDescent="0.25">
      <c r="A26232" s="2">
        <v>26227</v>
      </c>
      <c r="B26232" s="11" t="str">
        <f>"01043968"</f>
        <v>01043968</v>
      </c>
    </row>
    <row r="26233" spans="1:2" x14ac:dyDescent="0.25">
      <c r="A26233" s="2">
        <v>26228</v>
      </c>
      <c r="B26233" s="11" t="str">
        <f>"01043981"</f>
        <v>01043981</v>
      </c>
    </row>
    <row r="26234" spans="1:2" x14ac:dyDescent="0.25">
      <c r="A26234" s="2">
        <v>26229</v>
      </c>
      <c r="B26234" s="11" t="str">
        <f>"01043984"</f>
        <v>01043984</v>
      </c>
    </row>
    <row r="26235" spans="1:2" x14ac:dyDescent="0.25">
      <c r="A26235" s="2">
        <v>26230</v>
      </c>
      <c r="B26235" s="11" t="str">
        <f>"01044006"</f>
        <v>01044006</v>
      </c>
    </row>
    <row r="26236" spans="1:2" x14ac:dyDescent="0.25">
      <c r="A26236" s="2">
        <v>26231</v>
      </c>
      <c r="B26236" s="11" t="str">
        <f>"01044018"</f>
        <v>01044018</v>
      </c>
    </row>
    <row r="26237" spans="1:2" x14ac:dyDescent="0.25">
      <c r="A26237" s="2">
        <v>26232</v>
      </c>
      <c r="B26237" s="11" t="str">
        <f>"01044028"</f>
        <v>01044028</v>
      </c>
    </row>
    <row r="26238" spans="1:2" x14ac:dyDescent="0.25">
      <c r="A26238" s="2">
        <v>26233</v>
      </c>
      <c r="B26238" s="11" t="str">
        <f>"01044036"</f>
        <v>01044036</v>
      </c>
    </row>
    <row r="26239" spans="1:2" x14ac:dyDescent="0.25">
      <c r="A26239" s="2">
        <v>26234</v>
      </c>
      <c r="B26239" s="11" t="str">
        <f>"01044039"</f>
        <v>01044039</v>
      </c>
    </row>
    <row r="26240" spans="1:2" x14ac:dyDescent="0.25">
      <c r="A26240" s="2">
        <v>26235</v>
      </c>
      <c r="B26240" s="11" t="str">
        <f>"01044046"</f>
        <v>01044046</v>
      </c>
    </row>
    <row r="26241" spans="1:2" x14ac:dyDescent="0.25">
      <c r="A26241" s="2">
        <v>26236</v>
      </c>
      <c r="B26241" s="11" t="str">
        <f>"01044047"</f>
        <v>01044047</v>
      </c>
    </row>
    <row r="26242" spans="1:2" x14ac:dyDescent="0.25">
      <c r="A26242" s="2">
        <v>26237</v>
      </c>
      <c r="B26242" s="11" t="str">
        <f>"01044056"</f>
        <v>01044056</v>
      </c>
    </row>
    <row r="26243" spans="1:2" x14ac:dyDescent="0.25">
      <c r="A26243" s="2">
        <v>26238</v>
      </c>
      <c r="B26243" s="11" t="str">
        <f>"01044062"</f>
        <v>01044062</v>
      </c>
    </row>
    <row r="26244" spans="1:2" x14ac:dyDescent="0.25">
      <c r="A26244" s="2">
        <v>26239</v>
      </c>
      <c r="B26244" s="11" t="str">
        <f>"01044072"</f>
        <v>01044072</v>
      </c>
    </row>
    <row r="26245" spans="1:2" x14ac:dyDescent="0.25">
      <c r="A26245" s="2">
        <v>26240</v>
      </c>
      <c r="B26245" s="11" t="str">
        <f>"01044111"</f>
        <v>01044111</v>
      </c>
    </row>
    <row r="26246" spans="1:2" x14ac:dyDescent="0.25">
      <c r="A26246" s="2">
        <v>26241</v>
      </c>
      <c r="B26246" s="11" t="str">
        <f>"01044116"</f>
        <v>01044116</v>
      </c>
    </row>
    <row r="26247" spans="1:2" x14ac:dyDescent="0.25">
      <c r="A26247" s="2">
        <v>26242</v>
      </c>
      <c r="B26247" s="11" t="str">
        <f>"01044164"</f>
        <v>01044164</v>
      </c>
    </row>
    <row r="26248" spans="1:2" x14ac:dyDescent="0.25">
      <c r="A26248" s="2">
        <v>26243</v>
      </c>
      <c r="B26248" s="11" t="str">
        <f>"01044204"</f>
        <v>01044204</v>
      </c>
    </row>
    <row r="26249" spans="1:2" x14ac:dyDescent="0.25">
      <c r="A26249" s="2">
        <v>26244</v>
      </c>
      <c r="B26249" s="11" t="str">
        <f>"01044213"</f>
        <v>01044213</v>
      </c>
    </row>
    <row r="26250" spans="1:2" x14ac:dyDescent="0.25">
      <c r="A26250" s="2">
        <v>26245</v>
      </c>
      <c r="B26250" s="11" t="str">
        <f>"01044267"</f>
        <v>01044267</v>
      </c>
    </row>
    <row r="26251" spans="1:2" x14ac:dyDescent="0.25">
      <c r="A26251" s="2">
        <v>26246</v>
      </c>
      <c r="B26251" s="11" t="str">
        <f>"01044306"</f>
        <v>01044306</v>
      </c>
    </row>
    <row r="26252" spans="1:2" x14ac:dyDescent="0.25">
      <c r="A26252" s="2">
        <v>26247</v>
      </c>
      <c r="B26252" s="11" t="str">
        <f>"01044311"</f>
        <v>01044311</v>
      </c>
    </row>
    <row r="26253" spans="1:2" x14ac:dyDescent="0.25">
      <c r="A26253" s="2">
        <v>26248</v>
      </c>
      <c r="B26253" s="11" t="str">
        <f>"01044321"</f>
        <v>01044321</v>
      </c>
    </row>
    <row r="26254" spans="1:2" x14ac:dyDescent="0.25">
      <c r="A26254" s="2">
        <v>26249</v>
      </c>
      <c r="B26254" s="11" t="str">
        <f>"01044340"</f>
        <v>01044340</v>
      </c>
    </row>
    <row r="26255" spans="1:2" x14ac:dyDescent="0.25">
      <c r="A26255" s="2">
        <v>26250</v>
      </c>
      <c r="B26255" s="11" t="str">
        <f>"01044348"</f>
        <v>01044348</v>
      </c>
    </row>
    <row r="26256" spans="1:2" x14ac:dyDescent="0.25">
      <c r="A26256" s="2">
        <v>26251</v>
      </c>
      <c r="B26256" s="11" t="str">
        <f>"01044357"</f>
        <v>01044357</v>
      </c>
    </row>
    <row r="26257" spans="1:2" x14ac:dyDescent="0.25">
      <c r="A26257" s="2">
        <v>26252</v>
      </c>
      <c r="B26257" s="11" t="str">
        <f>"01044365"</f>
        <v>01044365</v>
      </c>
    </row>
    <row r="26258" spans="1:2" x14ac:dyDescent="0.25">
      <c r="A26258" s="2">
        <v>26253</v>
      </c>
      <c r="B26258" s="11" t="str">
        <f>"01044377"</f>
        <v>01044377</v>
      </c>
    </row>
    <row r="26259" spans="1:2" x14ac:dyDescent="0.25">
      <c r="A26259" s="2">
        <v>26254</v>
      </c>
      <c r="B26259" s="11" t="str">
        <f>"01044385"</f>
        <v>01044385</v>
      </c>
    </row>
    <row r="26260" spans="1:2" x14ac:dyDescent="0.25">
      <c r="A26260" s="2">
        <v>26255</v>
      </c>
      <c r="B26260" s="11" t="str">
        <f>"01044414"</f>
        <v>01044414</v>
      </c>
    </row>
    <row r="26261" spans="1:2" x14ac:dyDescent="0.25">
      <c r="A26261" s="2">
        <v>26256</v>
      </c>
      <c r="B26261" s="11" t="str">
        <f>"01044432"</f>
        <v>01044432</v>
      </c>
    </row>
    <row r="26262" spans="1:2" x14ac:dyDescent="0.25">
      <c r="A26262" s="2">
        <v>26257</v>
      </c>
      <c r="B26262" s="11" t="str">
        <f>"01044443"</f>
        <v>01044443</v>
      </c>
    </row>
    <row r="26263" spans="1:2" x14ac:dyDescent="0.25">
      <c r="A26263" s="2">
        <v>26258</v>
      </c>
      <c r="B26263" s="11" t="str">
        <f>"01044506"</f>
        <v>01044506</v>
      </c>
    </row>
    <row r="26264" spans="1:2" x14ac:dyDescent="0.25">
      <c r="A26264" s="2">
        <v>26259</v>
      </c>
      <c r="B26264" s="11" t="str">
        <f>"01044537"</f>
        <v>01044537</v>
      </c>
    </row>
    <row r="26265" spans="1:2" x14ac:dyDescent="0.25">
      <c r="A26265" s="2">
        <v>26260</v>
      </c>
      <c r="B26265" s="11" t="str">
        <f>"01044540"</f>
        <v>01044540</v>
      </c>
    </row>
    <row r="26266" spans="1:2" x14ac:dyDescent="0.25">
      <c r="A26266" s="2">
        <v>26261</v>
      </c>
      <c r="B26266" s="11" t="str">
        <f>"01044542"</f>
        <v>01044542</v>
      </c>
    </row>
    <row r="26267" spans="1:2" x14ac:dyDescent="0.25">
      <c r="A26267" s="2">
        <v>26262</v>
      </c>
      <c r="B26267" s="11" t="str">
        <f>"01044545"</f>
        <v>01044545</v>
      </c>
    </row>
    <row r="26268" spans="1:2" x14ac:dyDescent="0.25">
      <c r="A26268" s="2">
        <v>26263</v>
      </c>
      <c r="B26268" s="11" t="str">
        <f>"01044547"</f>
        <v>01044547</v>
      </c>
    </row>
    <row r="26269" spans="1:2" x14ac:dyDescent="0.25">
      <c r="A26269" s="2">
        <v>26264</v>
      </c>
      <c r="B26269" s="11" t="str">
        <f>"01044550"</f>
        <v>01044550</v>
      </c>
    </row>
    <row r="26270" spans="1:2" x14ac:dyDescent="0.25">
      <c r="A26270" s="2">
        <v>26265</v>
      </c>
      <c r="B26270" s="11" t="str">
        <f>"01044555"</f>
        <v>01044555</v>
      </c>
    </row>
    <row r="26271" spans="1:2" x14ac:dyDescent="0.25">
      <c r="A26271" s="2">
        <v>26266</v>
      </c>
      <c r="B26271" s="11" t="str">
        <f>"01044565"</f>
        <v>01044565</v>
      </c>
    </row>
    <row r="26272" spans="1:2" x14ac:dyDescent="0.25">
      <c r="A26272" s="2">
        <v>26267</v>
      </c>
      <c r="B26272" s="11" t="str">
        <f>"01044593"</f>
        <v>01044593</v>
      </c>
    </row>
    <row r="26273" spans="1:2" x14ac:dyDescent="0.25">
      <c r="A26273" s="2">
        <v>26268</v>
      </c>
      <c r="B26273" s="11" t="str">
        <f>"01044595"</f>
        <v>01044595</v>
      </c>
    </row>
    <row r="26274" spans="1:2" x14ac:dyDescent="0.25">
      <c r="A26274" s="2">
        <v>26269</v>
      </c>
      <c r="B26274" s="11" t="str">
        <f>"01044607"</f>
        <v>01044607</v>
      </c>
    </row>
    <row r="26275" spans="1:2" x14ac:dyDescent="0.25">
      <c r="A26275" s="2">
        <v>26270</v>
      </c>
      <c r="B26275" s="11" t="str">
        <f>"01044616"</f>
        <v>01044616</v>
      </c>
    </row>
    <row r="26276" spans="1:2" x14ac:dyDescent="0.25">
      <c r="A26276" s="2">
        <v>26271</v>
      </c>
      <c r="B26276" s="11" t="str">
        <f>"01044617"</f>
        <v>01044617</v>
      </c>
    </row>
    <row r="26277" spans="1:2" x14ac:dyDescent="0.25">
      <c r="A26277" s="2">
        <v>26272</v>
      </c>
      <c r="B26277" s="11" t="str">
        <f>"01044630"</f>
        <v>01044630</v>
      </c>
    </row>
    <row r="26278" spans="1:2" x14ac:dyDescent="0.25">
      <c r="A26278" s="2">
        <v>26273</v>
      </c>
      <c r="B26278" s="11" t="str">
        <f>"01044631"</f>
        <v>01044631</v>
      </c>
    </row>
    <row r="26279" spans="1:2" x14ac:dyDescent="0.25">
      <c r="A26279" s="2">
        <v>26274</v>
      </c>
      <c r="B26279" s="11" t="str">
        <f>"01044645"</f>
        <v>01044645</v>
      </c>
    </row>
    <row r="26280" spans="1:2" x14ac:dyDescent="0.25">
      <c r="A26280" s="2">
        <v>26275</v>
      </c>
      <c r="B26280" s="11" t="str">
        <f>"01044752"</f>
        <v>01044752</v>
      </c>
    </row>
    <row r="26281" spans="1:2" x14ac:dyDescent="0.25">
      <c r="A26281" s="2">
        <v>26276</v>
      </c>
      <c r="B26281" s="11" t="str">
        <f>"01044753"</f>
        <v>01044753</v>
      </c>
    </row>
    <row r="26282" spans="1:2" x14ac:dyDescent="0.25">
      <c r="A26282" s="2">
        <v>26277</v>
      </c>
      <c r="B26282" s="11" t="str">
        <f>"01044779"</f>
        <v>01044779</v>
      </c>
    </row>
    <row r="26283" spans="1:2" x14ac:dyDescent="0.25">
      <c r="A26283" s="2">
        <v>26278</v>
      </c>
      <c r="B26283" s="11" t="str">
        <f>"01044799"</f>
        <v>01044799</v>
      </c>
    </row>
    <row r="26284" spans="1:2" x14ac:dyDescent="0.25">
      <c r="A26284" s="2">
        <v>26279</v>
      </c>
      <c r="B26284" s="11" t="str">
        <f>"01044869"</f>
        <v>01044869</v>
      </c>
    </row>
    <row r="26285" spans="1:2" x14ac:dyDescent="0.25">
      <c r="A26285" s="2">
        <v>26280</v>
      </c>
      <c r="B26285" s="11" t="str">
        <f>"01044902"</f>
        <v>01044902</v>
      </c>
    </row>
    <row r="26286" spans="1:2" x14ac:dyDescent="0.25">
      <c r="A26286" s="2">
        <v>26281</v>
      </c>
      <c r="B26286" s="11" t="str">
        <f>"01044907"</f>
        <v>01044907</v>
      </c>
    </row>
    <row r="26287" spans="1:2" x14ac:dyDescent="0.25">
      <c r="A26287" s="2">
        <v>26282</v>
      </c>
      <c r="B26287" s="11" t="str">
        <f>"01044912"</f>
        <v>01044912</v>
      </c>
    </row>
    <row r="26288" spans="1:2" x14ac:dyDescent="0.25">
      <c r="A26288" s="2">
        <v>26283</v>
      </c>
      <c r="B26288" s="11" t="str">
        <f>"01044916"</f>
        <v>01044916</v>
      </c>
    </row>
    <row r="26289" spans="1:2" x14ac:dyDescent="0.25">
      <c r="A26289" s="2">
        <v>26284</v>
      </c>
      <c r="B26289" s="11" t="str">
        <f>"01044921"</f>
        <v>01044921</v>
      </c>
    </row>
    <row r="26290" spans="1:2" x14ac:dyDescent="0.25">
      <c r="A26290" s="2">
        <v>26285</v>
      </c>
      <c r="B26290" s="11" t="str">
        <f>"01044943"</f>
        <v>01044943</v>
      </c>
    </row>
    <row r="26291" spans="1:2" x14ac:dyDescent="0.25">
      <c r="A26291" s="2">
        <v>26286</v>
      </c>
      <c r="B26291" s="11" t="str">
        <f>"01044955"</f>
        <v>01044955</v>
      </c>
    </row>
    <row r="26292" spans="1:2" x14ac:dyDescent="0.25">
      <c r="A26292" s="2">
        <v>26287</v>
      </c>
      <c r="B26292" s="11" t="str">
        <f>"01044974"</f>
        <v>01044974</v>
      </c>
    </row>
    <row r="26293" spans="1:2" x14ac:dyDescent="0.25">
      <c r="A26293" s="2">
        <v>26288</v>
      </c>
      <c r="B26293" s="11" t="str">
        <f>"01044981"</f>
        <v>01044981</v>
      </c>
    </row>
    <row r="26294" spans="1:2" x14ac:dyDescent="0.25">
      <c r="A26294" s="2">
        <v>26289</v>
      </c>
      <c r="B26294" s="11" t="str">
        <f>"01044991"</f>
        <v>01044991</v>
      </c>
    </row>
    <row r="26295" spans="1:2" x14ac:dyDescent="0.25">
      <c r="A26295" s="2">
        <v>26290</v>
      </c>
      <c r="B26295" s="11" t="str">
        <f>"01045007"</f>
        <v>01045007</v>
      </c>
    </row>
    <row r="26296" spans="1:2" x14ac:dyDescent="0.25">
      <c r="A26296" s="2">
        <v>26291</v>
      </c>
      <c r="B26296" s="11" t="str">
        <f>"01045016"</f>
        <v>01045016</v>
      </c>
    </row>
    <row r="26297" spans="1:2" x14ac:dyDescent="0.25">
      <c r="A26297" s="2">
        <v>26292</v>
      </c>
      <c r="B26297" s="11" t="str">
        <f>"01045027"</f>
        <v>01045027</v>
      </c>
    </row>
    <row r="26298" spans="1:2" x14ac:dyDescent="0.25">
      <c r="A26298" s="2">
        <v>26293</v>
      </c>
      <c r="B26298" s="11" t="str">
        <f>"01045029"</f>
        <v>01045029</v>
      </c>
    </row>
    <row r="26299" spans="1:2" x14ac:dyDescent="0.25">
      <c r="A26299" s="2">
        <v>26294</v>
      </c>
      <c r="B26299" s="11" t="str">
        <f>"01045035"</f>
        <v>01045035</v>
      </c>
    </row>
    <row r="26300" spans="1:2" x14ac:dyDescent="0.25">
      <c r="A26300" s="2">
        <v>26295</v>
      </c>
      <c r="B26300" s="11" t="str">
        <f>"01045056"</f>
        <v>01045056</v>
      </c>
    </row>
    <row r="26301" spans="1:2" x14ac:dyDescent="0.25">
      <c r="A26301" s="2">
        <v>26296</v>
      </c>
      <c r="B26301" s="11" t="str">
        <f>"01045091"</f>
        <v>01045091</v>
      </c>
    </row>
    <row r="26302" spans="1:2" x14ac:dyDescent="0.25">
      <c r="A26302" s="2">
        <v>26297</v>
      </c>
      <c r="B26302" s="11" t="str">
        <f>"01045102"</f>
        <v>01045102</v>
      </c>
    </row>
    <row r="26303" spans="1:2" x14ac:dyDescent="0.25">
      <c r="A26303" s="2">
        <v>26298</v>
      </c>
      <c r="B26303" s="11" t="str">
        <f>"01045103"</f>
        <v>01045103</v>
      </c>
    </row>
    <row r="26304" spans="1:2" x14ac:dyDescent="0.25">
      <c r="A26304" s="2">
        <v>26299</v>
      </c>
      <c r="B26304" s="11" t="str">
        <f>"01045108"</f>
        <v>01045108</v>
      </c>
    </row>
    <row r="26305" spans="1:2" x14ac:dyDescent="0.25">
      <c r="A26305" s="2">
        <v>26300</v>
      </c>
      <c r="B26305" s="11" t="str">
        <f>"01045135"</f>
        <v>01045135</v>
      </c>
    </row>
    <row r="26306" spans="1:2" x14ac:dyDescent="0.25">
      <c r="A26306" s="2">
        <v>26301</v>
      </c>
      <c r="B26306" s="11" t="str">
        <f>"01045172"</f>
        <v>01045172</v>
      </c>
    </row>
    <row r="26307" spans="1:2" x14ac:dyDescent="0.25">
      <c r="A26307" s="2">
        <v>26302</v>
      </c>
      <c r="B26307" s="11" t="str">
        <f>"01045179"</f>
        <v>01045179</v>
      </c>
    </row>
    <row r="26308" spans="1:2" x14ac:dyDescent="0.25">
      <c r="A26308" s="2">
        <v>26303</v>
      </c>
      <c r="B26308" s="11" t="str">
        <f>"01045180"</f>
        <v>01045180</v>
      </c>
    </row>
    <row r="26309" spans="1:2" x14ac:dyDescent="0.25">
      <c r="A26309" s="2">
        <v>26304</v>
      </c>
      <c r="B26309" s="11" t="str">
        <f>"01045192"</f>
        <v>01045192</v>
      </c>
    </row>
    <row r="26310" spans="1:2" x14ac:dyDescent="0.25">
      <c r="A26310" s="2">
        <v>26305</v>
      </c>
      <c r="B26310" s="11" t="str">
        <f>"01045208"</f>
        <v>01045208</v>
      </c>
    </row>
    <row r="26311" spans="1:2" x14ac:dyDescent="0.25">
      <c r="A26311" s="2">
        <v>26306</v>
      </c>
      <c r="B26311" s="11" t="str">
        <f>"01045210"</f>
        <v>01045210</v>
      </c>
    </row>
    <row r="26312" spans="1:2" x14ac:dyDescent="0.25">
      <c r="A26312" s="2">
        <v>26307</v>
      </c>
      <c r="B26312" s="11" t="str">
        <f>"01045245"</f>
        <v>01045245</v>
      </c>
    </row>
    <row r="26313" spans="1:2" x14ac:dyDescent="0.25">
      <c r="A26313" s="2">
        <v>26308</v>
      </c>
      <c r="B26313" s="11" t="str">
        <f>"01045280"</f>
        <v>01045280</v>
      </c>
    </row>
    <row r="26314" spans="1:2" x14ac:dyDescent="0.25">
      <c r="A26314" s="2">
        <v>26309</v>
      </c>
      <c r="B26314" s="11" t="str">
        <f>"01045293"</f>
        <v>01045293</v>
      </c>
    </row>
    <row r="26315" spans="1:2" x14ac:dyDescent="0.25">
      <c r="A26315" s="2">
        <v>26310</v>
      </c>
      <c r="B26315" s="11" t="str">
        <f>"01045375"</f>
        <v>01045375</v>
      </c>
    </row>
    <row r="26316" spans="1:2" x14ac:dyDescent="0.25">
      <c r="A26316" s="2">
        <v>26311</v>
      </c>
      <c r="B26316" s="11" t="str">
        <f>"01045410"</f>
        <v>01045410</v>
      </c>
    </row>
    <row r="26317" spans="1:2" x14ac:dyDescent="0.25">
      <c r="A26317" s="2">
        <v>26312</v>
      </c>
      <c r="B26317" s="11" t="str">
        <f>"01045433"</f>
        <v>01045433</v>
      </c>
    </row>
    <row r="26318" spans="1:2" x14ac:dyDescent="0.25">
      <c r="A26318" s="2">
        <v>26313</v>
      </c>
      <c r="B26318" s="11" t="str">
        <f>"01045537"</f>
        <v>01045537</v>
      </c>
    </row>
    <row r="26319" spans="1:2" x14ac:dyDescent="0.25">
      <c r="A26319" s="2">
        <v>26314</v>
      </c>
      <c r="B26319" s="11" t="str">
        <f>"01045570"</f>
        <v>01045570</v>
      </c>
    </row>
    <row r="26320" spans="1:2" x14ac:dyDescent="0.25">
      <c r="A26320" s="2">
        <v>26315</v>
      </c>
      <c r="B26320" s="11" t="str">
        <f>"01045574"</f>
        <v>01045574</v>
      </c>
    </row>
    <row r="26321" spans="1:2" x14ac:dyDescent="0.25">
      <c r="A26321" s="2">
        <v>26316</v>
      </c>
      <c r="B26321" s="11" t="str">
        <f>"01045583"</f>
        <v>01045583</v>
      </c>
    </row>
    <row r="26322" spans="1:2" x14ac:dyDescent="0.25">
      <c r="A26322" s="2">
        <v>26317</v>
      </c>
      <c r="B26322" s="11" t="str">
        <f>"01045626"</f>
        <v>01045626</v>
      </c>
    </row>
    <row r="26323" spans="1:2" x14ac:dyDescent="0.25">
      <c r="A26323" s="2">
        <v>26318</v>
      </c>
      <c r="B26323" s="11" t="str">
        <f>"01045656"</f>
        <v>01045656</v>
      </c>
    </row>
    <row r="26324" spans="1:2" x14ac:dyDescent="0.25">
      <c r="A26324" s="2">
        <v>26319</v>
      </c>
      <c r="B26324" s="11" t="str">
        <f>"01045681"</f>
        <v>01045681</v>
      </c>
    </row>
    <row r="26325" spans="1:2" x14ac:dyDescent="0.25">
      <c r="A26325" s="2">
        <v>26320</v>
      </c>
      <c r="B26325" s="11" t="str">
        <f>"01045693"</f>
        <v>01045693</v>
      </c>
    </row>
    <row r="26326" spans="1:2" x14ac:dyDescent="0.25">
      <c r="A26326" s="2">
        <v>26321</v>
      </c>
      <c r="B26326" s="11" t="str">
        <f>"01045709"</f>
        <v>01045709</v>
      </c>
    </row>
    <row r="26327" spans="1:2" x14ac:dyDescent="0.25">
      <c r="A26327" s="2">
        <v>26322</v>
      </c>
      <c r="B26327" s="11" t="str">
        <f>"01045741"</f>
        <v>01045741</v>
      </c>
    </row>
    <row r="26328" spans="1:2" x14ac:dyDescent="0.25">
      <c r="A26328" s="2">
        <v>26323</v>
      </c>
      <c r="B26328" s="11" t="str">
        <f>"01045750"</f>
        <v>01045750</v>
      </c>
    </row>
    <row r="26329" spans="1:2" x14ac:dyDescent="0.25">
      <c r="A26329" s="2">
        <v>26324</v>
      </c>
      <c r="B26329" s="11" t="str">
        <f>"01045753"</f>
        <v>01045753</v>
      </c>
    </row>
    <row r="26330" spans="1:2" x14ac:dyDescent="0.25">
      <c r="A26330" s="2">
        <v>26325</v>
      </c>
      <c r="B26330" s="11" t="str">
        <f>"01045755"</f>
        <v>01045755</v>
      </c>
    </row>
    <row r="26331" spans="1:2" x14ac:dyDescent="0.25">
      <c r="A26331" s="2">
        <v>26326</v>
      </c>
      <c r="B26331" s="11" t="str">
        <f>"01045797"</f>
        <v>01045797</v>
      </c>
    </row>
    <row r="26332" spans="1:2" x14ac:dyDescent="0.25">
      <c r="A26332" s="2">
        <v>26327</v>
      </c>
      <c r="B26332" s="11" t="str">
        <f>"01045817"</f>
        <v>01045817</v>
      </c>
    </row>
    <row r="26333" spans="1:2" x14ac:dyDescent="0.25">
      <c r="A26333" s="2">
        <v>26328</v>
      </c>
      <c r="B26333" s="11" t="str">
        <f>"01045824"</f>
        <v>01045824</v>
      </c>
    </row>
    <row r="26334" spans="1:2" x14ac:dyDescent="0.25">
      <c r="A26334" s="2">
        <v>26329</v>
      </c>
      <c r="B26334" s="11" t="str">
        <f>"01045853"</f>
        <v>01045853</v>
      </c>
    </row>
    <row r="26335" spans="1:2" x14ac:dyDescent="0.25">
      <c r="A26335" s="2">
        <v>26330</v>
      </c>
      <c r="B26335" s="11" t="str">
        <f>"01045866"</f>
        <v>01045866</v>
      </c>
    </row>
    <row r="26336" spans="1:2" x14ac:dyDescent="0.25">
      <c r="A26336" s="2">
        <v>26331</v>
      </c>
      <c r="B26336" s="11" t="str">
        <f>"01045952"</f>
        <v>01045952</v>
      </c>
    </row>
    <row r="26337" spans="1:2" x14ac:dyDescent="0.25">
      <c r="A26337" s="2">
        <v>26332</v>
      </c>
      <c r="B26337" s="11" t="str">
        <f>"01045960"</f>
        <v>01045960</v>
      </c>
    </row>
    <row r="26338" spans="1:2" x14ac:dyDescent="0.25">
      <c r="A26338" s="2">
        <v>26333</v>
      </c>
      <c r="B26338" s="11" t="str">
        <f>"01045973"</f>
        <v>01045973</v>
      </c>
    </row>
    <row r="26339" spans="1:2" x14ac:dyDescent="0.25">
      <c r="A26339" s="2">
        <v>26334</v>
      </c>
      <c r="B26339" s="11" t="str">
        <f>"01045977"</f>
        <v>01045977</v>
      </c>
    </row>
    <row r="26340" spans="1:2" x14ac:dyDescent="0.25">
      <c r="A26340" s="2">
        <v>26335</v>
      </c>
      <c r="B26340" s="11" t="str">
        <f>"01045981"</f>
        <v>01045981</v>
      </c>
    </row>
    <row r="26341" spans="1:2" x14ac:dyDescent="0.25">
      <c r="A26341" s="2">
        <v>26336</v>
      </c>
      <c r="B26341" s="11" t="str">
        <f>"01045985"</f>
        <v>01045985</v>
      </c>
    </row>
    <row r="26342" spans="1:2" x14ac:dyDescent="0.25">
      <c r="A26342" s="2">
        <v>26337</v>
      </c>
      <c r="B26342" s="11" t="str">
        <f>"01046007"</f>
        <v>01046007</v>
      </c>
    </row>
    <row r="26343" spans="1:2" x14ac:dyDescent="0.25">
      <c r="A26343" s="2">
        <v>26338</v>
      </c>
      <c r="B26343" s="11" t="str">
        <f>"01046010"</f>
        <v>01046010</v>
      </c>
    </row>
    <row r="26344" spans="1:2" x14ac:dyDescent="0.25">
      <c r="A26344" s="2">
        <v>26339</v>
      </c>
      <c r="B26344" s="11" t="str">
        <f>"01046064"</f>
        <v>01046064</v>
      </c>
    </row>
    <row r="26345" spans="1:2" x14ac:dyDescent="0.25">
      <c r="A26345" s="2">
        <v>26340</v>
      </c>
      <c r="B26345" s="11" t="str">
        <f>"01046092"</f>
        <v>01046092</v>
      </c>
    </row>
    <row r="26346" spans="1:2" x14ac:dyDescent="0.25">
      <c r="A26346" s="2">
        <v>26341</v>
      </c>
      <c r="B26346" s="11" t="str">
        <f>"01046162"</f>
        <v>01046162</v>
      </c>
    </row>
    <row r="26347" spans="1:2" x14ac:dyDescent="0.25">
      <c r="A26347" s="2">
        <v>26342</v>
      </c>
      <c r="B26347" s="11" t="str">
        <f>"01046174"</f>
        <v>01046174</v>
      </c>
    </row>
    <row r="26348" spans="1:2" x14ac:dyDescent="0.25">
      <c r="A26348" s="2">
        <v>26343</v>
      </c>
      <c r="B26348" s="11" t="str">
        <f>"01046186"</f>
        <v>01046186</v>
      </c>
    </row>
    <row r="26349" spans="1:2" x14ac:dyDescent="0.25">
      <c r="A26349" s="2">
        <v>26344</v>
      </c>
      <c r="B26349" s="11" t="str">
        <f>"01046209"</f>
        <v>01046209</v>
      </c>
    </row>
    <row r="26350" spans="1:2" x14ac:dyDescent="0.25">
      <c r="A26350" s="2">
        <v>26345</v>
      </c>
      <c r="B26350" s="11" t="str">
        <f>"01046212"</f>
        <v>01046212</v>
      </c>
    </row>
    <row r="26351" spans="1:2" x14ac:dyDescent="0.25">
      <c r="A26351" s="2">
        <v>26346</v>
      </c>
      <c r="B26351" s="11" t="str">
        <f>"01046256"</f>
        <v>01046256</v>
      </c>
    </row>
    <row r="26352" spans="1:2" x14ac:dyDescent="0.25">
      <c r="A26352" s="2">
        <v>26347</v>
      </c>
      <c r="B26352" s="11" t="str">
        <f>"01046260"</f>
        <v>01046260</v>
      </c>
    </row>
    <row r="26353" spans="1:2" x14ac:dyDescent="0.25">
      <c r="A26353" s="2">
        <v>26348</v>
      </c>
      <c r="B26353" s="11" t="str">
        <f>"01046282"</f>
        <v>01046282</v>
      </c>
    </row>
    <row r="26354" spans="1:2" x14ac:dyDescent="0.25">
      <c r="A26354" s="2">
        <v>26349</v>
      </c>
      <c r="B26354" s="11" t="str">
        <f>"01046305"</f>
        <v>01046305</v>
      </c>
    </row>
    <row r="26355" spans="1:2" x14ac:dyDescent="0.25">
      <c r="A26355" s="2">
        <v>26350</v>
      </c>
      <c r="B26355" s="11" t="str">
        <f>"01046306"</f>
        <v>01046306</v>
      </c>
    </row>
    <row r="26356" spans="1:2" x14ac:dyDescent="0.25">
      <c r="A26356" s="2">
        <v>26351</v>
      </c>
      <c r="B26356" s="11" t="str">
        <f>"01046311"</f>
        <v>01046311</v>
      </c>
    </row>
    <row r="26357" spans="1:2" x14ac:dyDescent="0.25">
      <c r="A26357" s="2">
        <v>26352</v>
      </c>
      <c r="B26357" s="11" t="str">
        <f>"01046341"</f>
        <v>01046341</v>
      </c>
    </row>
    <row r="26358" spans="1:2" x14ac:dyDescent="0.25">
      <c r="A26358" s="2">
        <v>26353</v>
      </c>
      <c r="B26358" s="11" t="str">
        <f>"01046352"</f>
        <v>01046352</v>
      </c>
    </row>
    <row r="26359" spans="1:2" x14ac:dyDescent="0.25">
      <c r="A26359" s="2">
        <v>26354</v>
      </c>
      <c r="B26359" s="11" t="str">
        <f>"01046375"</f>
        <v>01046375</v>
      </c>
    </row>
    <row r="26360" spans="1:2" x14ac:dyDescent="0.25">
      <c r="A26360" s="2">
        <v>26355</v>
      </c>
      <c r="B26360" s="11" t="str">
        <f>"01046391"</f>
        <v>01046391</v>
      </c>
    </row>
    <row r="26361" spans="1:2" x14ac:dyDescent="0.25">
      <c r="A26361" s="2">
        <v>26356</v>
      </c>
      <c r="B26361" s="11" t="str">
        <f>"01046419"</f>
        <v>01046419</v>
      </c>
    </row>
    <row r="26362" spans="1:2" x14ac:dyDescent="0.25">
      <c r="A26362" s="2">
        <v>26357</v>
      </c>
      <c r="B26362" s="11" t="str">
        <f>"01046426"</f>
        <v>01046426</v>
      </c>
    </row>
    <row r="26363" spans="1:2" x14ac:dyDescent="0.25">
      <c r="A26363" s="2">
        <v>26358</v>
      </c>
      <c r="B26363" s="11" t="str">
        <f>"01046435"</f>
        <v>01046435</v>
      </c>
    </row>
    <row r="26364" spans="1:2" x14ac:dyDescent="0.25">
      <c r="A26364" s="2">
        <v>26359</v>
      </c>
      <c r="B26364" s="11" t="str">
        <f>"01046440"</f>
        <v>01046440</v>
      </c>
    </row>
    <row r="26365" spans="1:2" x14ac:dyDescent="0.25">
      <c r="A26365" s="2">
        <v>26360</v>
      </c>
      <c r="B26365" s="11" t="str">
        <f>"01046449"</f>
        <v>01046449</v>
      </c>
    </row>
    <row r="26366" spans="1:2" x14ac:dyDescent="0.25">
      <c r="A26366" s="2">
        <v>26361</v>
      </c>
      <c r="B26366" s="11" t="str">
        <f>"01046468"</f>
        <v>01046468</v>
      </c>
    </row>
    <row r="26367" spans="1:2" x14ac:dyDescent="0.25">
      <c r="A26367" s="2">
        <v>26362</v>
      </c>
      <c r="B26367" s="11" t="str">
        <f>"01046473"</f>
        <v>01046473</v>
      </c>
    </row>
    <row r="26368" spans="1:2" x14ac:dyDescent="0.25">
      <c r="A26368" s="2">
        <v>26363</v>
      </c>
      <c r="B26368" s="11" t="str">
        <f>"01046501"</f>
        <v>01046501</v>
      </c>
    </row>
    <row r="26369" spans="1:2" x14ac:dyDescent="0.25">
      <c r="A26369" s="2">
        <v>26364</v>
      </c>
      <c r="B26369" s="11" t="str">
        <f>"01046547"</f>
        <v>01046547</v>
      </c>
    </row>
    <row r="26370" spans="1:2" x14ac:dyDescent="0.25">
      <c r="A26370" s="2">
        <v>26365</v>
      </c>
      <c r="B26370" s="11" t="str">
        <f>"01046640"</f>
        <v>01046640</v>
      </c>
    </row>
    <row r="26371" spans="1:2" x14ac:dyDescent="0.25">
      <c r="A26371" s="2">
        <v>26366</v>
      </c>
      <c r="B26371" s="11" t="str">
        <f>"01046647"</f>
        <v>01046647</v>
      </c>
    </row>
    <row r="26372" spans="1:2" x14ac:dyDescent="0.25">
      <c r="A26372" s="2">
        <v>26367</v>
      </c>
      <c r="B26372" s="11" t="str">
        <f>"01046654"</f>
        <v>01046654</v>
      </c>
    </row>
    <row r="26373" spans="1:2" x14ac:dyDescent="0.25">
      <c r="A26373" s="2">
        <v>26368</v>
      </c>
      <c r="B26373" s="11" t="str">
        <f>"01046659"</f>
        <v>01046659</v>
      </c>
    </row>
    <row r="26374" spans="1:2" x14ac:dyDescent="0.25">
      <c r="A26374" s="2">
        <v>26369</v>
      </c>
      <c r="B26374" s="11" t="str">
        <f>"01046683"</f>
        <v>01046683</v>
      </c>
    </row>
    <row r="26375" spans="1:2" x14ac:dyDescent="0.25">
      <c r="A26375" s="2">
        <v>26370</v>
      </c>
      <c r="B26375" s="11" t="str">
        <f>"01046704"</f>
        <v>01046704</v>
      </c>
    </row>
    <row r="26376" spans="1:2" x14ac:dyDescent="0.25">
      <c r="A26376" s="2">
        <v>26371</v>
      </c>
      <c r="B26376" s="11" t="str">
        <f>"01046707"</f>
        <v>01046707</v>
      </c>
    </row>
    <row r="26377" spans="1:2" x14ac:dyDescent="0.25">
      <c r="A26377" s="2">
        <v>26372</v>
      </c>
      <c r="B26377" s="11" t="str">
        <f>"01046715"</f>
        <v>01046715</v>
      </c>
    </row>
    <row r="26378" spans="1:2" x14ac:dyDescent="0.25">
      <c r="A26378" s="2">
        <v>26373</v>
      </c>
      <c r="B26378" s="11" t="str">
        <f>"01046728"</f>
        <v>01046728</v>
      </c>
    </row>
    <row r="26379" spans="1:2" x14ac:dyDescent="0.25">
      <c r="A26379" s="2">
        <v>26374</v>
      </c>
      <c r="B26379" s="11" t="str">
        <f>"01046738"</f>
        <v>01046738</v>
      </c>
    </row>
    <row r="26380" spans="1:2" x14ac:dyDescent="0.25">
      <c r="A26380" s="2">
        <v>26375</v>
      </c>
      <c r="B26380" s="11" t="str">
        <f>"01046754"</f>
        <v>01046754</v>
      </c>
    </row>
    <row r="26381" spans="1:2" x14ac:dyDescent="0.25">
      <c r="A26381" s="2">
        <v>26376</v>
      </c>
      <c r="B26381" s="11" t="str">
        <f>"01046777"</f>
        <v>01046777</v>
      </c>
    </row>
    <row r="26382" spans="1:2" x14ac:dyDescent="0.25">
      <c r="A26382" s="2">
        <v>26377</v>
      </c>
      <c r="B26382" s="11" t="str">
        <f>"01046781"</f>
        <v>01046781</v>
      </c>
    </row>
    <row r="26383" spans="1:2" x14ac:dyDescent="0.25">
      <c r="A26383" s="2">
        <v>26378</v>
      </c>
      <c r="B26383" s="11" t="str">
        <f>"01046787"</f>
        <v>01046787</v>
      </c>
    </row>
    <row r="26384" spans="1:2" x14ac:dyDescent="0.25">
      <c r="A26384" s="2">
        <v>26379</v>
      </c>
      <c r="B26384" s="11" t="str">
        <f>"01046834"</f>
        <v>01046834</v>
      </c>
    </row>
    <row r="26385" spans="1:2" x14ac:dyDescent="0.25">
      <c r="A26385" s="2">
        <v>26380</v>
      </c>
      <c r="B26385" s="11" t="str">
        <f>"01046845"</f>
        <v>01046845</v>
      </c>
    </row>
    <row r="26386" spans="1:2" x14ac:dyDescent="0.25">
      <c r="A26386" s="2">
        <v>26381</v>
      </c>
      <c r="B26386" s="11" t="str">
        <f>"01046852"</f>
        <v>01046852</v>
      </c>
    </row>
    <row r="26387" spans="1:2" x14ac:dyDescent="0.25">
      <c r="A26387" s="2">
        <v>26382</v>
      </c>
      <c r="B26387" s="11" t="str">
        <f>"01046865"</f>
        <v>01046865</v>
      </c>
    </row>
    <row r="26388" spans="1:2" x14ac:dyDescent="0.25">
      <c r="A26388" s="2">
        <v>26383</v>
      </c>
      <c r="B26388" s="11" t="str">
        <f>"01046873"</f>
        <v>01046873</v>
      </c>
    </row>
    <row r="26389" spans="1:2" x14ac:dyDescent="0.25">
      <c r="A26389" s="2">
        <v>26384</v>
      </c>
      <c r="B26389" s="11" t="str">
        <f>"01046874"</f>
        <v>01046874</v>
      </c>
    </row>
    <row r="26390" spans="1:2" x14ac:dyDescent="0.25">
      <c r="A26390" s="2">
        <v>26385</v>
      </c>
      <c r="B26390" s="11" t="str">
        <f>"01046886"</f>
        <v>01046886</v>
      </c>
    </row>
    <row r="26391" spans="1:2" x14ac:dyDescent="0.25">
      <c r="A26391" s="2">
        <v>26386</v>
      </c>
      <c r="B26391" s="11" t="str">
        <f>"01046887"</f>
        <v>01046887</v>
      </c>
    </row>
    <row r="26392" spans="1:2" x14ac:dyDescent="0.25">
      <c r="A26392" s="2">
        <v>26387</v>
      </c>
      <c r="B26392" s="11" t="str">
        <f>"01046905"</f>
        <v>01046905</v>
      </c>
    </row>
    <row r="26393" spans="1:2" x14ac:dyDescent="0.25">
      <c r="A26393" s="2">
        <v>26388</v>
      </c>
      <c r="B26393" s="11" t="str">
        <f>"01046927"</f>
        <v>01046927</v>
      </c>
    </row>
    <row r="26394" spans="1:2" x14ac:dyDescent="0.25">
      <c r="A26394" s="2">
        <v>26389</v>
      </c>
      <c r="B26394" s="11" t="str">
        <f>"01046932"</f>
        <v>01046932</v>
      </c>
    </row>
    <row r="26395" spans="1:2" x14ac:dyDescent="0.25">
      <c r="A26395" s="2">
        <v>26390</v>
      </c>
      <c r="B26395" s="11" t="str">
        <f>"01046946"</f>
        <v>01046946</v>
      </c>
    </row>
    <row r="26396" spans="1:2" x14ac:dyDescent="0.25">
      <c r="A26396" s="2">
        <v>26391</v>
      </c>
      <c r="B26396" s="11" t="str">
        <f>"01046964"</f>
        <v>01046964</v>
      </c>
    </row>
    <row r="26397" spans="1:2" x14ac:dyDescent="0.25">
      <c r="A26397" s="2">
        <v>26392</v>
      </c>
      <c r="B26397" s="11" t="str">
        <f>"01046967"</f>
        <v>01046967</v>
      </c>
    </row>
    <row r="26398" spans="1:2" x14ac:dyDescent="0.25">
      <c r="A26398" s="2">
        <v>26393</v>
      </c>
      <c r="B26398" s="11" t="str">
        <f>"01046983"</f>
        <v>01046983</v>
      </c>
    </row>
    <row r="26399" spans="1:2" x14ac:dyDescent="0.25">
      <c r="A26399" s="2">
        <v>26394</v>
      </c>
      <c r="B26399" s="11" t="str">
        <f>"01046996"</f>
        <v>01046996</v>
      </c>
    </row>
    <row r="26400" spans="1:2" x14ac:dyDescent="0.25">
      <c r="A26400" s="2">
        <v>26395</v>
      </c>
      <c r="B26400" s="11" t="str">
        <f>"01047015"</f>
        <v>01047015</v>
      </c>
    </row>
    <row r="26401" spans="1:2" x14ac:dyDescent="0.25">
      <c r="A26401" s="2">
        <v>26396</v>
      </c>
      <c r="B26401" s="11" t="str">
        <f>"01047017"</f>
        <v>01047017</v>
      </c>
    </row>
    <row r="26402" spans="1:2" x14ac:dyDescent="0.25">
      <c r="A26402" s="2">
        <v>26397</v>
      </c>
      <c r="B26402" s="11" t="str">
        <f>"01047038"</f>
        <v>01047038</v>
      </c>
    </row>
    <row r="26403" spans="1:2" x14ac:dyDescent="0.25">
      <c r="A26403" s="2">
        <v>26398</v>
      </c>
      <c r="B26403" s="11" t="str">
        <f>"01047041"</f>
        <v>01047041</v>
      </c>
    </row>
    <row r="26404" spans="1:2" x14ac:dyDescent="0.25">
      <c r="A26404" s="2">
        <v>26399</v>
      </c>
      <c r="B26404" s="11" t="str">
        <f>"01047045"</f>
        <v>01047045</v>
      </c>
    </row>
    <row r="26405" spans="1:2" x14ac:dyDescent="0.25">
      <c r="A26405" s="2">
        <v>26400</v>
      </c>
      <c r="B26405" s="11" t="str">
        <f>"01047061"</f>
        <v>01047061</v>
      </c>
    </row>
    <row r="26406" spans="1:2" x14ac:dyDescent="0.25">
      <c r="A26406" s="2">
        <v>26401</v>
      </c>
      <c r="B26406" s="11" t="str">
        <f>"01047072"</f>
        <v>01047072</v>
      </c>
    </row>
    <row r="26407" spans="1:2" x14ac:dyDescent="0.25">
      <c r="A26407" s="2">
        <v>26402</v>
      </c>
      <c r="B26407" s="11" t="str">
        <f>"01047073"</f>
        <v>01047073</v>
      </c>
    </row>
    <row r="26408" spans="1:2" x14ac:dyDescent="0.25">
      <c r="A26408" s="2">
        <v>26403</v>
      </c>
      <c r="B26408" s="11" t="str">
        <f>"01047096"</f>
        <v>01047096</v>
      </c>
    </row>
    <row r="26409" spans="1:2" x14ac:dyDescent="0.25">
      <c r="A26409" s="2">
        <v>26404</v>
      </c>
      <c r="B26409" s="11" t="str">
        <f>"01047110"</f>
        <v>01047110</v>
      </c>
    </row>
    <row r="26410" spans="1:2" x14ac:dyDescent="0.25">
      <c r="A26410" s="2">
        <v>26405</v>
      </c>
      <c r="B26410" s="11" t="str">
        <f>"01047146"</f>
        <v>01047146</v>
      </c>
    </row>
    <row r="26411" spans="1:2" x14ac:dyDescent="0.25">
      <c r="A26411" s="2">
        <v>26406</v>
      </c>
      <c r="B26411" s="11" t="str">
        <f>"01047149"</f>
        <v>01047149</v>
      </c>
    </row>
    <row r="26412" spans="1:2" x14ac:dyDescent="0.25">
      <c r="A26412" s="2">
        <v>26407</v>
      </c>
      <c r="B26412" s="11" t="str">
        <f>"01047154"</f>
        <v>01047154</v>
      </c>
    </row>
    <row r="26413" spans="1:2" x14ac:dyDescent="0.25">
      <c r="A26413" s="2">
        <v>26408</v>
      </c>
      <c r="B26413" s="11" t="str">
        <f>"01047157"</f>
        <v>01047157</v>
      </c>
    </row>
    <row r="26414" spans="1:2" x14ac:dyDescent="0.25">
      <c r="A26414" s="2">
        <v>26409</v>
      </c>
      <c r="B26414" s="11" t="str">
        <f>"01047158"</f>
        <v>01047158</v>
      </c>
    </row>
    <row r="26415" spans="1:2" x14ac:dyDescent="0.25">
      <c r="A26415" s="2">
        <v>26410</v>
      </c>
      <c r="B26415" s="11" t="str">
        <f>"01047159"</f>
        <v>01047159</v>
      </c>
    </row>
    <row r="26416" spans="1:2" x14ac:dyDescent="0.25">
      <c r="A26416" s="2">
        <v>26411</v>
      </c>
      <c r="B26416" s="11" t="str">
        <f>"01047178"</f>
        <v>01047178</v>
      </c>
    </row>
    <row r="26417" spans="1:2" x14ac:dyDescent="0.25">
      <c r="A26417" s="2">
        <v>26412</v>
      </c>
      <c r="B26417" s="11" t="str">
        <f>"01047196"</f>
        <v>01047196</v>
      </c>
    </row>
    <row r="26418" spans="1:2" x14ac:dyDescent="0.25">
      <c r="A26418" s="2">
        <v>26413</v>
      </c>
      <c r="B26418" s="11" t="str">
        <f>"01047225"</f>
        <v>01047225</v>
      </c>
    </row>
    <row r="26419" spans="1:2" x14ac:dyDescent="0.25">
      <c r="A26419" s="2">
        <v>26414</v>
      </c>
      <c r="B26419" s="11" t="str">
        <f>"01047248"</f>
        <v>01047248</v>
      </c>
    </row>
    <row r="26420" spans="1:2" x14ac:dyDescent="0.25">
      <c r="A26420" s="2">
        <v>26415</v>
      </c>
      <c r="B26420" s="11" t="str">
        <f>"01047250"</f>
        <v>01047250</v>
      </c>
    </row>
    <row r="26421" spans="1:2" x14ac:dyDescent="0.25">
      <c r="A26421" s="2">
        <v>26416</v>
      </c>
      <c r="B26421" s="11" t="str">
        <f>"01047267"</f>
        <v>01047267</v>
      </c>
    </row>
    <row r="26422" spans="1:2" x14ac:dyDescent="0.25">
      <c r="A26422" s="2">
        <v>26417</v>
      </c>
      <c r="B26422" s="11" t="str">
        <f>"01047268"</f>
        <v>01047268</v>
      </c>
    </row>
    <row r="26423" spans="1:2" x14ac:dyDescent="0.25">
      <c r="A26423" s="2">
        <v>26418</v>
      </c>
      <c r="B26423" s="11" t="str">
        <f>"01047272"</f>
        <v>01047272</v>
      </c>
    </row>
    <row r="26424" spans="1:2" x14ac:dyDescent="0.25">
      <c r="A26424" s="2">
        <v>26419</v>
      </c>
      <c r="B26424" s="11" t="str">
        <f>"01047276"</f>
        <v>01047276</v>
      </c>
    </row>
    <row r="26425" spans="1:2" x14ac:dyDescent="0.25">
      <c r="A26425" s="2">
        <v>26420</v>
      </c>
      <c r="B26425" s="11" t="str">
        <f>"01047331"</f>
        <v>01047331</v>
      </c>
    </row>
    <row r="26426" spans="1:2" x14ac:dyDescent="0.25">
      <c r="A26426" s="2">
        <v>26421</v>
      </c>
      <c r="B26426" s="11" t="str">
        <f>"01047335"</f>
        <v>01047335</v>
      </c>
    </row>
    <row r="26427" spans="1:2" x14ac:dyDescent="0.25">
      <c r="A26427" s="2">
        <v>26422</v>
      </c>
      <c r="B26427" s="11" t="str">
        <f>"01047337"</f>
        <v>01047337</v>
      </c>
    </row>
    <row r="26428" spans="1:2" x14ac:dyDescent="0.25">
      <c r="A26428" s="2">
        <v>26423</v>
      </c>
      <c r="B26428" s="11" t="str">
        <f>"01047360"</f>
        <v>01047360</v>
      </c>
    </row>
    <row r="26429" spans="1:2" x14ac:dyDescent="0.25">
      <c r="A26429" s="2">
        <v>26424</v>
      </c>
      <c r="B26429" s="11" t="str">
        <f>"01047370"</f>
        <v>01047370</v>
      </c>
    </row>
    <row r="26430" spans="1:2" x14ac:dyDescent="0.25">
      <c r="A26430" s="2">
        <v>26425</v>
      </c>
      <c r="B26430" s="11" t="str">
        <f>"01047422"</f>
        <v>01047422</v>
      </c>
    </row>
    <row r="26431" spans="1:2" x14ac:dyDescent="0.25">
      <c r="A26431" s="2">
        <v>26426</v>
      </c>
      <c r="B26431" s="11" t="str">
        <f>"01047449"</f>
        <v>01047449</v>
      </c>
    </row>
    <row r="26432" spans="1:2" x14ac:dyDescent="0.25">
      <c r="A26432" s="2">
        <v>26427</v>
      </c>
      <c r="B26432" s="11" t="str">
        <f>"01047488"</f>
        <v>01047488</v>
      </c>
    </row>
    <row r="26433" spans="1:2" x14ac:dyDescent="0.25">
      <c r="A26433" s="2">
        <v>26428</v>
      </c>
      <c r="B26433" s="11" t="str">
        <f>"01047498"</f>
        <v>01047498</v>
      </c>
    </row>
    <row r="26434" spans="1:2" x14ac:dyDescent="0.25">
      <c r="A26434" s="2">
        <v>26429</v>
      </c>
      <c r="B26434" s="11" t="str">
        <f>"01047512"</f>
        <v>01047512</v>
      </c>
    </row>
    <row r="26435" spans="1:2" x14ac:dyDescent="0.25">
      <c r="A26435" s="2">
        <v>26430</v>
      </c>
      <c r="B26435" s="11" t="str">
        <f>"01047551"</f>
        <v>01047551</v>
      </c>
    </row>
    <row r="26436" spans="1:2" x14ac:dyDescent="0.25">
      <c r="A26436" s="2">
        <v>26431</v>
      </c>
      <c r="B26436" s="11" t="str">
        <f>"01047557"</f>
        <v>01047557</v>
      </c>
    </row>
    <row r="26437" spans="1:2" x14ac:dyDescent="0.25">
      <c r="A26437" s="2">
        <v>26432</v>
      </c>
      <c r="B26437" s="11" t="str">
        <f>"01047571"</f>
        <v>01047571</v>
      </c>
    </row>
    <row r="26438" spans="1:2" x14ac:dyDescent="0.25">
      <c r="A26438" s="2">
        <v>26433</v>
      </c>
      <c r="B26438" s="11" t="str">
        <f>"01047573"</f>
        <v>01047573</v>
      </c>
    </row>
    <row r="26439" spans="1:2" x14ac:dyDescent="0.25">
      <c r="A26439" s="2">
        <v>26434</v>
      </c>
      <c r="B26439" s="11" t="str">
        <f>"01047577"</f>
        <v>01047577</v>
      </c>
    </row>
    <row r="26440" spans="1:2" x14ac:dyDescent="0.25">
      <c r="A26440" s="2">
        <v>26435</v>
      </c>
      <c r="B26440" s="11" t="str">
        <f>"01047615"</f>
        <v>01047615</v>
      </c>
    </row>
    <row r="26441" spans="1:2" x14ac:dyDescent="0.25">
      <c r="A26441" s="2">
        <v>26436</v>
      </c>
      <c r="B26441" s="11" t="str">
        <f>"01047631"</f>
        <v>01047631</v>
      </c>
    </row>
    <row r="26442" spans="1:2" x14ac:dyDescent="0.25">
      <c r="A26442" s="2">
        <v>26437</v>
      </c>
      <c r="B26442" s="11" t="str">
        <f>"01047634"</f>
        <v>01047634</v>
      </c>
    </row>
    <row r="26443" spans="1:2" x14ac:dyDescent="0.25">
      <c r="A26443" s="2">
        <v>26438</v>
      </c>
      <c r="B26443" s="11" t="str">
        <f>"01047672"</f>
        <v>01047672</v>
      </c>
    </row>
    <row r="26444" spans="1:2" x14ac:dyDescent="0.25">
      <c r="A26444" s="2">
        <v>26439</v>
      </c>
      <c r="B26444" s="11" t="str">
        <f>"01047674"</f>
        <v>01047674</v>
      </c>
    </row>
    <row r="26445" spans="1:2" x14ac:dyDescent="0.25">
      <c r="A26445" s="2">
        <v>26440</v>
      </c>
      <c r="B26445" s="11" t="str">
        <f>"01047676"</f>
        <v>01047676</v>
      </c>
    </row>
    <row r="26446" spans="1:2" x14ac:dyDescent="0.25">
      <c r="A26446" s="2">
        <v>26441</v>
      </c>
      <c r="B26446" s="11" t="str">
        <f>"01047722"</f>
        <v>01047722</v>
      </c>
    </row>
    <row r="26447" spans="1:2" x14ac:dyDescent="0.25">
      <c r="A26447" s="2">
        <v>26442</v>
      </c>
      <c r="B26447" s="11" t="str">
        <f>"01047723"</f>
        <v>01047723</v>
      </c>
    </row>
    <row r="26448" spans="1:2" x14ac:dyDescent="0.25">
      <c r="A26448" s="2">
        <v>26443</v>
      </c>
      <c r="B26448" s="11" t="str">
        <f>"01047726"</f>
        <v>01047726</v>
      </c>
    </row>
    <row r="26449" spans="1:2" x14ac:dyDescent="0.25">
      <c r="A26449" s="2">
        <v>26444</v>
      </c>
      <c r="B26449" s="11" t="str">
        <f>"01047735"</f>
        <v>01047735</v>
      </c>
    </row>
    <row r="26450" spans="1:2" x14ac:dyDescent="0.25">
      <c r="A26450" s="2">
        <v>26445</v>
      </c>
      <c r="B26450" s="11" t="str">
        <f>"01047766"</f>
        <v>01047766</v>
      </c>
    </row>
    <row r="26451" spans="1:2" x14ac:dyDescent="0.25">
      <c r="A26451" s="2">
        <v>26446</v>
      </c>
      <c r="B26451" s="11" t="str">
        <f>"01047776"</f>
        <v>01047776</v>
      </c>
    </row>
    <row r="26452" spans="1:2" x14ac:dyDescent="0.25">
      <c r="A26452" s="2">
        <v>26447</v>
      </c>
      <c r="B26452" s="11" t="str">
        <f>"01047779"</f>
        <v>01047779</v>
      </c>
    </row>
    <row r="26453" spans="1:2" x14ac:dyDescent="0.25">
      <c r="A26453" s="2">
        <v>26448</v>
      </c>
      <c r="B26453" s="11" t="str">
        <f>"01047790"</f>
        <v>01047790</v>
      </c>
    </row>
    <row r="26454" spans="1:2" x14ac:dyDescent="0.25">
      <c r="A26454" s="2">
        <v>26449</v>
      </c>
      <c r="B26454" s="11" t="str">
        <f>"01047797"</f>
        <v>01047797</v>
      </c>
    </row>
    <row r="26455" spans="1:2" x14ac:dyDescent="0.25">
      <c r="A26455" s="2">
        <v>26450</v>
      </c>
      <c r="B26455" s="11" t="str">
        <f>"01047798"</f>
        <v>01047798</v>
      </c>
    </row>
    <row r="26456" spans="1:2" x14ac:dyDescent="0.25">
      <c r="A26456" s="2">
        <v>26451</v>
      </c>
      <c r="B26456" s="11" t="str">
        <f>"01047800"</f>
        <v>01047800</v>
      </c>
    </row>
    <row r="26457" spans="1:2" x14ac:dyDescent="0.25">
      <c r="A26457" s="2">
        <v>26452</v>
      </c>
      <c r="B26457" s="11" t="str">
        <f>"01047802"</f>
        <v>01047802</v>
      </c>
    </row>
    <row r="26458" spans="1:2" x14ac:dyDescent="0.25">
      <c r="A26458" s="2">
        <v>26453</v>
      </c>
      <c r="B26458" s="11" t="str">
        <f>"01047811"</f>
        <v>01047811</v>
      </c>
    </row>
    <row r="26459" spans="1:2" x14ac:dyDescent="0.25">
      <c r="A26459" s="2">
        <v>26454</v>
      </c>
      <c r="B26459" s="11" t="str">
        <f>"01047816"</f>
        <v>01047816</v>
      </c>
    </row>
    <row r="26460" spans="1:2" x14ac:dyDescent="0.25">
      <c r="A26460" s="2">
        <v>26455</v>
      </c>
      <c r="B26460" s="11" t="str">
        <f>"01047832"</f>
        <v>01047832</v>
      </c>
    </row>
    <row r="26461" spans="1:2" x14ac:dyDescent="0.25">
      <c r="A26461" s="2">
        <v>26456</v>
      </c>
      <c r="B26461" s="11" t="str">
        <f>"01047840"</f>
        <v>01047840</v>
      </c>
    </row>
    <row r="26462" spans="1:2" x14ac:dyDescent="0.25">
      <c r="A26462" s="2">
        <v>26457</v>
      </c>
      <c r="B26462" s="11" t="str">
        <f>"01047844"</f>
        <v>01047844</v>
      </c>
    </row>
    <row r="26463" spans="1:2" x14ac:dyDescent="0.25">
      <c r="A26463" s="2">
        <v>26458</v>
      </c>
      <c r="B26463" s="11" t="str">
        <f>"01047872"</f>
        <v>01047872</v>
      </c>
    </row>
    <row r="26464" spans="1:2" x14ac:dyDescent="0.25">
      <c r="A26464" s="2">
        <v>26459</v>
      </c>
      <c r="B26464" s="11" t="str">
        <f>"01047873"</f>
        <v>01047873</v>
      </c>
    </row>
    <row r="26465" spans="1:2" x14ac:dyDescent="0.25">
      <c r="A26465" s="2">
        <v>26460</v>
      </c>
      <c r="B26465" s="11" t="str">
        <f>"01047914"</f>
        <v>01047914</v>
      </c>
    </row>
    <row r="26466" spans="1:2" x14ac:dyDescent="0.25">
      <c r="A26466" s="2">
        <v>26461</v>
      </c>
      <c r="B26466" s="11" t="str">
        <f>"01047917"</f>
        <v>01047917</v>
      </c>
    </row>
    <row r="26467" spans="1:2" x14ac:dyDescent="0.25">
      <c r="A26467" s="2">
        <v>26462</v>
      </c>
      <c r="B26467" s="11" t="str">
        <f>"01047924"</f>
        <v>01047924</v>
      </c>
    </row>
    <row r="26468" spans="1:2" x14ac:dyDescent="0.25">
      <c r="A26468" s="2">
        <v>26463</v>
      </c>
      <c r="B26468" s="11" t="str">
        <f>"01047935"</f>
        <v>01047935</v>
      </c>
    </row>
    <row r="26469" spans="1:2" x14ac:dyDescent="0.25">
      <c r="A26469" s="2">
        <v>26464</v>
      </c>
      <c r="B26469" s="11" t="str">
        <f>"01047953"</f>
        <v>01047953</v>
      </c>
    </row>
    <row r="26470" spans="1:2" x14ac:dyDescent="0.25">
      <c r="A26470" s="2">
        <v>26465</v>
      </c>
      <c r="B26470" s="11" t="str">
        <f>"01047954"</f>
        <v>01047954</v>
      </c>
    </row>
    <row r="26471" spans="1:2" x14ac:dyDescent="0.25">
      <c r="A26471" s="2">
        <v>26466</v>
      </c>
      <c r="B26471" s="11" t="str">
        <f>"01047962"</f>
        <v>01047962</v>
      </c>
    </row>
    <row r="26472" spans="1:2" x14ac:dyDescent="0.25">
      <c r="A26472" s="2">
        <v>26467</v>
      </c>
      <c r="B26472" s="11" t="str">
        <f>"01047998"</f>
        <v>01047998</v>
      </c>
    </row>
    <row r="26473" spans="1:2" x14ac:dyDescent="0.25">
      <c r="A26473" s="2">
        <v>26468</v>
      </c>
      <c r="B26473" s="11" t="str">
        <f>"01047999"</f>
        <v>01047999</v>
      </c>
    </row>
    <row r="26474" spans="1:2" x14ac:dyDescent="0.25">
      <c r="A26474" s="2">
        <v>26469</v>
      </c>
      <c r="B26474" s="11" t="str">
        <f>"01048005"</f>
        <v>01048005</v>
      </c>
    </row>
    <row r="26475" spans="1:2" x14ac:dyDescent="0.25">
      <c r="A26475" s="2">
        <v>26470</v>
      </c>
      <c r="B26475" s="11" t="str">
        <f>"01048024"</f>
        <v>01048024</v>
      </c>
    </row>
    <row r="26476" spans="1:2" x14ac:dyDescent="0.25">
      <c r="A26476" s="2">
        <v>26471</v>
      </c>
      <c r="B26476" s="11" t="str">
        <f>"01048033"</f>
        <v>01048033</v>
      </c>
    </row>
    <row r="26477" spans="1:2" x14ac:dyDescent="0.25">
      <c r="A26477" s="2">
        <v>26472</v>
      </c>
      <c r="B26477" s="11" t="str">
        <f>"01048057"</f>
        <v>01048057</v>
      </c>
    </row>
    <row r="26478" spans="1:2" x14ac:dyDescent="0.25">
      <c r="A26478" s="2">
        <v>26473</v>
      </c>
      <c r="B26478" s="11" t="str">
        <f>"01048058"</f>
        <v>01048058</v>
      </c>
    </row>
    <row r="26479" spans="1:2" x14ac:dyDescent="0.25">
      <c r="A26479" s="2">
        <v>26474</v>
      </c>
      <c r="B26479" s="11" t="str">
        <f>"01048069"</f>
        <v>01048069</v>
      </c>
    </row>
    <row r="26480" spans="1:2" x14ac:dyDescent="0.25">
      <c r="A26480" s="2">
        <v>26475</v>
      </c>
      <c r="B26480" s="11" t="str">
        <f>"01048082"</f>
        <v>01048082</v>
      </c>
    </row>
    <row r="26481" spans="1:2" x14ac:dyDescent="0.25">
      <c r="A26481" s="2">
        <v>26476</v>
      </c>
      <c r="B26481" s="11" t="str">
        <f>"01048090"</f>
        <v>01048090</v>
      </c>
    </row>
    <row r="26482" spans="1:2" x14ac:dyDescent="0.25">
      <c r="A26482" s="2">
        <v>26477</v>
      </c>
      <c r="B26482" s="11" t="str">
        <f>"01048091"</f>
        <v>01048091</v>
      </c>
    </row>
    <row r="26483" spans="1:2" x14ac:dyDescent="0.25">
      <c r="A26483" s="2">
        <v>26478</v>
      </c>
      <c r="B26483" s="11" t="str">
        <f>"01048113"</f>
        <v>01048113</v>
      </c>
    </row>
    <row r="26484" spans="1:2" x14ac:dyDescent="0.25">
      <c r="A26484" s="2">
        <v>26479</v>
      </c>
      <c r="B26484" s="11" t="str">
        <f>"01048121"</f>
        <v>01048121</v>
      </c>
    </row>
    <row r="26485" spans="1:2" x14ac:dyDescent="0.25">
      <c r="A26485" s="2">
        <v>26480</v>
      </c>
      <c r="B26485" s="11" t="str">
        <f>"01048130"</f>
        <v>01048130</v>
      </c>
    </row>
    <row r="26486" spans="1:2" x14ac:dyDescent="0.25">
      <c r="A26486" s="2">
        <v>26481</v>
      </c>
      <c r="B26486" s="11" t="str">
        <f>"01048139"</f>
        <v>01048139</v>
      </c>
    </row>
    <row r="26487" spans="1:2" x14ac:dyDescent="0.25">
      <c r="A26487" s="2">
        <v>26482</v>
      </c>
      <c r="B26487" s="11" t="str">
        <f>"01048147"</f>
        <v>01048147</v>
      </c>
    </row>
    <row r="26488" spans="1:2" x14ac:dyDescent="0.25">
      <c r="A26488" s="2">
        <v>26483</v>
      </c>
      <c r="B26488" s="11" t="str">
        <f>"01048152"</f>
        <v>01048152</v>
      </c>
    </row>
    <row r="26489" spans="1:2" x14ac:dyDescent="0.25">
      <c r="A26489" s="2">
        <v>26484</v>
      </c>
      <c r="B26489" s="11" t="str">
        <f>"01048159"</f>
        <v>01048159</v>
      </c>
    </row>
    <row r="26490" spans="1:2" x14ac:dyDescent="0.25">
      <c r="A26490" s="2">
        <v>26485</v>
      </c>
      <c r="B26490" s="11" t="str">
        <f>"01048165"</f>
        <v>01048165</v>
      </c>
    </row>
    <row r="26491" spans="1:2" x14ac:dyDescent="0.25">
      <c r="A26491" s="2">
        <v>26486</v>
      </c>
      <c r="B26491" s="11" t="str">
        <f>"01048173"</f>
        <v>01048173</v>
      </c>
    </row>
    <row r="26492" spans="1:2" x14ac:dyDescent="0.25">
      <c r="A26492" s="2">
        <v>26487</v>
      </c>
      <c r="B26492" s="11" t="str">
        <f>"01048241"</f>
        <v>01048241</v>
      </c>
    </row>
    <row r="26493" spans="1:2" x14ac:dyDescent="0.25">
      <c r="A26493" s="2">
        <v>26488</v>
      </c>
      <c r="B26493" s="11" t="str">
        <f>"01048245"</f>
        <v>01048245</v>
      </c>
    </row>
    <row r="26494" spans="1:2" x14ac:dyDescent="0.25">
      <c r="A26494" s="2">
        <v>26489</v>
      </c>
      <c r="B26494" s="11" t="str">
        <f>"01048246"</f>
        <v>01048246</v>
      </c>
    </row>
    <row r="26495" spans="1:2" x14ac:dyDescent="0.25">
      <c r="A26495" s="2">
        <v>26490</v>
      </c>
      <c r="B26495" s="11" t="str">
        <f>"01048250"</f>
        <v>01048250</v>
      </c>
    </row>
    <row r="26496" spans="1:2" x14ac:dyDescent="0.25">
      <c r="A26496" s="2">
        <v>26491</v>
      </c>
      <c r="B26496" s="11" t="str">
        <f>"01048252"</f>
        <v>01048252</v>
      </c>
    </row>
    <row r="26497" spans="1:2" x14ac:dyDescent="0.25">
      <c r="A26497" s="2">
        <v>26492</v>
      </c>
      <c r="B26497" s="11" t="str">
        <f>"01048282"</f>
        <v>01048282</v>
      </c>
    </row>
    <row r="26498" spans="1:2" x14ac:dyDescent="0.25">
      <c r="A26498" s="2">
        <v>26493</v>
      </c>
      <c r="B26498" s="11" t="str">
        <f>"01048286"</f>
        <v>01048286</v>
      </c>
    </row>
    <row r="26499" spans="1:2" x14ac:dyDescent="0.25">
      <c r="A26499" s="2">
        <v>26494</v>
      </c>
      <c r="B26499" s="11" t="str">
        <f>"01048326"</f>
        <v>01048326</v>
      </c>
    </row>
    <row r="26500" spans="1:2" x14ac:dyDescent="0.25">
      <c r="A26500" s="2">
        <v>26495</v>
      </c>
      <c r="B26500" s="11" t="str">
        <f>"01048348"</f>
        <v>01048348</v>
      </c>
    </row>
    <row r="26501" spans="1:2" x14ac:dyDescent="0.25">
      <c r="A26501" s="2">
        <v>26496</v>
      </c>
      <c r="B26501" s="11" t="str">
        <f>"01048356"</f>
        <v>01048356</v>
      </c>
    </row>
    <row r="26502" spans="1:2" x14ac:dyDescent="0.25">
      <c r="A26502" s="2">
        <v>26497</v>
      </c>
      <c r="B26502" s="11" t="str">
        <f>"01048376"</f>
        <v>01048376</v>
      </c>
    </row>
    <row r="26503" spans="1:2" x14ac:dyDescent="0.25">
      <c r="A26503" s="2">
        <v>26498</v>
      </c>
      <c r="B26503" s="11" t="str">
        <f>"01048393"</f>
        <v>01048393</v>
      </c>
    </row>
    <row r="26504" spans="1:2" x14ac:dyDescent="0.25">
      <c r="A26504" s="2">
        <v>26499</v>
      </c>
      <c r="B26504" s="11" t="str">
        <f>"01048396"</f>
        <v>01048396</v>
      </c>
    </row>
    <row r="26505" spans="1:2" x14ac:dyDescent="0.25">
      <c r="A26505" s="2">
        <v>26500</v>
      </c>
      <c r="B26505" s="11" t="str">
        <f>"01048408"</f>
        <v>01048408</v>
      </c>
    </row>
    <row r="26506" spans="1:2" x14ac:dyDescent="0.25">
      <c r="A26506" s="2">
        <v>26501</v>
      </c>
      <c r="B26506" s="11" t="str">
        <f>"01048454"</f>
        <v>01048454</v>
      </c>
    </row>
    <row r="26507" spans="1:2" x14ac:dyDescent="0.25">
      <c r="A26507" s="2">
        <v>26502</v>
      </c>
      <c r="B26507" s="11" t="str">
        <f>"01048457"</f>
        <v>01048457</v>
      </c>
    </row>
    <row r="26508" spans="1:2" x14ac:dyDescent="0.25">
      <c r="A26508" s="2">
        <v>26503</v>
      </c>
      <c r="B26508" s="11" t="str">
        <f>"01048462"</f>
        <v>01048462</v>
      </c>
    </row>
    <row r="26509" spans="1:2" x14ac:dyDescent="0.25">
      <c r="A26509" s="2">
        <v>26504</v>
      </c>
      <c r="B26509" s="11" t="str">
        <f>"01048504"</f>
        <v>01048504</v>
      </c>
    </row>
    <row r="26510" spans="1:2" x14ac:dyDescent="0.25">
      <c r="A26510" s="2">
        <v>26505</v>
      </c>
      <c r="B26510" s="11" t="str">
        <f>"01048514"</f>
        <v>01048514</v>
      </c>
    </row>
    <row r="26511" spans="1:2" x14ac:dyDescent="0.25">
      <c r="A26511" s="2">
        <v>26506</v>
      </c>
      <c r="B26511" s="11" t="str">
        <f>"01048531"</f>
        <v>01048531</v>
      </c>
    </row>
    <row r="26512" spans="1:2" x14ac:dyDescent="0.25">
      <c r="A26512" s="2">
        <v>26507</v>
      </c>
      <c r="B26512" s="11" t="str">
        <f>"01048534"</f>
        <v>01048534</v>
      </c>
    </row>
    <row r="26513" spans="1:2" x14ac:dyDescent="0.25">
      <c r="A26513" s="2">
        <v>26508</v>
      </c>
      <c r="B26513" s="11" t="str">
        <f>"01048561"</f>
        <v>01048561</v>
      </c>
    </row>
    <row r="26514" spans="1:2" x14ac:dyDescent="0.25">
      <c r="A26514" s="2">
        <v>26509</v>
      </c>
      <c r="B26514" s="11" t="str">
        <f>"01048574"</f>
        <v>01048574</v>
      </c>
    </row>
    <row r="26515" spans="1:2" x14ac:dyDescent="0.25">
      <c r="A26515" s="2">
        <v>26510</v>
      </c>
      <c r="B26515" s="11" t="str">
        <f>"01048575"</f>
        <v>01048575</v>
      </c>
    </row>
    <row r="26516" spans="1:2" x14ac:dyDescent="0.25">
      <c r="A26516" s="2">
        <v>26511</v>
      </c>
      <c r="B26516" s="11" t="str">
        <f>"01048612"</f>
        <v>01048612</v>
      </c>
    </row>
    <row r="26517" spans="1:2" x14ac:dyDescent="0.25">
      <c r="A26517" s="2">
        <v>26512</v>
      </c>
      <c r="B26517" s="11" t="str">
        <f>"01048621"</f>
        <v>01048621</v>
      </c>
    </row>
    <row r="26518" spans="1:2" x14ac:dyDescent="0.25">
      <c r="A26518" s="2">
        <v>26513</v>
      </c>
      <c r="B26518" s="11" t="str">
        <f>"01048624"</f>
        <v>01048624</v>
      </c>
    </row>
    <row r="26519" spans="1:2" x14ac:dyDescent="0.25">
      <c r="A26519" s="2">
        <v>26514</v>
      </c>
      <c r="B26519" s="11" t="str">
        <f>"01048640"</f>
        <v>01048640</v>
      </c>
    </row>
    <row r="26520" spans="1:2" x14ac:dyDescent="0.25">
      <c r="A26520" s="2">
        <v>26515</v>
      </c>
      <c r="B26520" s="11" t="str">
        <f>"01048654"</f>
        <v>01048654</v>
      </c>
    </row>
    <row r="26521" spans="1:2" x14ac:dyDescent="0.25">
      <c r="A26521" s="2">
        <v>26516</v>
      </c>
      <c r="B26521" s="11" t="str">
        <f>"01048684"</f>
        <v>01048684</v>
      </c>
    </row>
    <row r="26522" spans="1:2" x14ac:dyDescent="0.25">
      <c r="A26522" s="2">
        <v>26517</v>
      </c>
      <c r="B26522" s="11" t="str">
        <f>"01048697"</f>
        <v>01048697</v>
      </c>
    </row>
    <row r="26523" spans="1:2" x14ac:dyDescent="0.25">
      <c r="A26523" s="2">
        <v>26518</v>
      </c>
      <c r="B26523" s="11" t="str">
        <f>"01048701"</f>
        <v>01048701</v>
      </c>
    </row>
    <row r="26524" spans="1:2" x14ac:dyDescent="0.25">
      <c r="A26524" s="2">
        <v>26519</v>
      </c>
      <c r="B26524" s="11" t="str">
        <f>"01048710"</f>
        <v>01048710</v>
      </c>
    </row>
    <row r="26525" spans="1:2" x14ac:dyDescent="0.25">
      <c r="A26525" s="2">
        <v>26520</v>
      </c>
      <c r="B26525" s="11" t="str">
        <f>"01048761"</f>
        <v>01048761</v>
      </c>
    </row>
    <row r="26526" spans="1:2" x14ac:dyDescent="0.25">
      <c r="A26526" s="2">
        <v>26521</v>
      </c>
      <c r="B26526" s="11" t="str">
        <f>"01048765"</f>
        <v>01048765</v>
      </c>
    </row>
    <row r="26527" spans="1:2" x14ac:dyDescent="0.25">
      <c r="A26527" s="2">
        <v>26522</v>
      </c>
      <c r="B26527" s="11" t="str">
        <f>"01048800"</f>
        <v>01048800</v>
      </c>
    </row>
    <row r="26528" spans="1:2" x14ac:dyDescent="0.25">
      <c r="A26528" s="2">
        <v>26523</v>
      </c>
      <c r="B26528" s="11" t="str">
        <f>"01048811"</f>
        <v>01048811</v>
      </c>
    </row>
    <row r="26529" spans="1:2" x14ac:dyDescent="0.25">
      <c r="A26529" s="2">
        <v>26524</v>
      </c>
      <c r="B26529" s="11" t="str">
        <f>"01048822"</f>
        <v>01048822</v>
      </c>
    </row>
    <row r="26530" spans="1:2" x14ac:dyDescent="0.25">
      <c r="A26530" s="2">
        <v>26525</v>
      </c>
      <c r="B26530" s="11" t="str">
        <f>"01048834"</f>
        <v>01048834</v>
      </c>
    </row>
    <row r="26531" spans="1:2" x14ac:dyDescent="0.25">
      <c r="A26531" s="2">
        <v>26526</v>
      </c>
      <c r="B26531" s="11" t="str">
        <f>"01048855"</f>
        <v>01048855</v>
      </c>
    </row>
    <row r="26532" spans="1:2" x14ac:dyDescent="0.25">
      <c r="A26532" s="2">
        <v>26527</v>
      </c>
      <c r="B26532" s="11" t="str">
        <f>"01048857"</f>
        <v>01048857</v>
      </c>
    </row>
    <row r="26533" spans="1:2" x14ac:dyDescent="0.25">
      <c r="A26533" s="2">
        <v>26528</v>
      </c>
      <c r="B26533" s="11" t="str">
        <f>"01048866"</f>
        <v>01048866</v>
      </c>
    </row>
    <row r="26534" spans="1:2" x14ac:dyDescent="0.25">
      <c r="A26534" s="2">
        <v>26529</v>
      </c>
      <c r="B26534" s="11" t="str">
        <f>"01048867"</f>
        <v>01048867</v>
      </c>
    </row>
    <row r="26535" spans="1:2" x14ac:dyDescent="0.25">
      <c r="A26535" s="2">
        <v>26530</v>
      </c>
      <c r="B26535" s="11" t="str">
        <f>"01048884"</f>
        <v>01048884</v>
      </c>
    </row>
    <row r="26536" spans="1:2" x14ac:dyDescent="0.25">
      <c r="A26536" s="2">
        <v>26531</v>
      </c>
      <c r="B26536" s="11" t="str">
        <f>"01048910"</f>
        <v>01048910</v>
      </c>
    </row>
    <row r="26537" spans="1:2" x14ac:dyDescent="0.25">
      <c r="A26537" s="2">
        <v>26532</v>
      </c>
      <c r="B26537" s="11" t="str">
        <f>"01048927"</f>
        <v>01048927</v>
      </c>
    </row>
    <row r="26538" spans="1:2" x14ac:dyDescent="0.25">
      <c r="A26538" s="2">
        <v>26533</v>
      </c>
      <c r="B26538" s="11" t="str">
        <f>"01048931"</f>
        <v>01048931</v>
      </c>
    </row>
    <row r="26539" spans="1:2" x14ac:dyDescent="0.25">
      <c r="A26539" s="2">
        <v>26534</v>
      </c>
      <c r="B26539" s="11" t="str">
        <f>"01048934"</f>
        <v>01048934</v>
      </c>
    </row>
    <row r="26540" spans="1:2" x14ac:dyDescent="0.25">
      <c r="A26540" s="2">
        <v>26535</v>
      </c>
      <c r="B26540" s="11" t="str">
        <f>"01048955"</f>
        <v>01048955</v>
      </c>
    </row>
    <row r="26541" spans="1:2" x14ac:dyDescent="0.25">
      <c r="A26541" s="2">
        <v>26536</v>
      </c>
      <c r="B26541" s="11" t="str">
        <f>"01048967"</f>
        <v>01048967</v>
      </c>
    </row>
    <row r="26542" spans="1:2" x14ac:dyDescent="0.25">
      <c r="A26542" s="2">
        <v>26537</v>
      </c>
      <c r="B26542" s="11" t="str">
        <f>"01048972"</f>
        <v>01048972</v>
      </c>
    </row>
    <row r="26543" spans="1:2" x14ac:dyDescent="0.25">
      <c r="A26543" s="2">
        <v>26538</v>
      </c>
      <c r="B26543" s="11" t="str">
        <f>"01049018"</f>
        <v>01049018</v>
      </c>
    </row>
    <row r="26544" spans="1:2" x14ac:dyDescent="0.25">
      <c r="A26544" s="2">
        <v>26539</v>
      </c>
      <c r="B26544" s="11" t="str">
        <f>"01049046"</f>
        <v>01049046</v>
      </c>
    </row>
    <row r="26545" spans="1:2" x14ac:dyDescent="0.25">
      <c r="A26545" s="2">
        <v>26540</v>
      </c>
      <c r="B26545" s="11" t="str">
        <f>"01049062"</f>
        <v>01049062</v>
      </c>
    </row>
    <row r="26546" spans="1:2" x14ac:dyDescent="0.25">
      <c r="A26546" s="2">
        <v>26541</v>
      </c>
      <c r="B26546" s="11" t="str">
        <f>"01049064"</f>
        <v>01049064</v>
      </c>
    </row>
    <row r="26547" spans="1:2" x14ac:dyDescent="0.25">
      <c r="A26547" s="2">
        <v>26542</v>
      </c>
      <c r="B26547" s="11" t="str">
        <f>"01049107"</f>
        <v>01049107</v>
      </c>
    </row>
    <row r="26548" spans="1:2" x14ac:dyDescent="0.25">
      <c r="A26548" s="2">
        <v>26543</v>
      </c>
      <c r="B26548" s="11" t="str">
        <f>"01049108"</f>
        <v>01049108</v>
      </c>
    </row>
    <row r="26549" spans="1:2" x14ac:dyDescent="0.25">
      <c r="A26549" s="2">
        <v>26544</v>
      </c>
      <c r="B26549" s="11" t="str">
        <f>"01049111"</f>
        <v>01049111</v>
      </c>
    </row>
    <row r="26550" spans="1:2" x14ac:dyDescent="0.25">
      <c r="A26550" s="2">
        <v>26545</v>
      </c>
      <c r="B26550" s="11" t="str">
        <f>"01049127"</f>
        <v>01049127</v>
      </c>
    </row>
    <row r="26551" spans="1:2" x14ac:dyDescent="0.25">
      <c r="A26551" s="2">
        <v>26546</v>
      </c>
      <c r="B26551" s="11" t="str">
        <f>"01049133"</f>
        <v>01049133</v>
      </c>
    </row>
    <row r="26552" spans="1:2" x14ac:dyDescent="0.25">
      <c r="A26552" s="2">
        <v>26547</v>
      </c>
      <c r="B26552" s="11" t="str">
        <f>"01049143"</f>
        <v>01049143</v>
      </c>
    </row>
    <row r="26553" spans="1:2" x14ac:dyDescent="0.25">
      <c r="A26553" s="2">
        <v>26548</v>
      </c>
      <c r="B26553" s="11" t="str">
        <f>"01049164"</f>
        <v>01049164</v>
      </c>
    </row>
    <row r="26554" spans="1:2" x14ac:dyDescent="0.25">
      <c r="A26554" s="2">
        <v>26549</v>
      </c>
      <c r="B26554" s="11" t="str">
        <f>"01049165"</f>
        <v>01049165</v>
      </c>
    </row>
    <row r="26555" spans="1:2" x14ac:dyDescent="0.25">
      <c r="A26555" s="2">
        <v>26550</v>
      </c>
      <c r="B26555" s="11" t="str">
        <f>"01049182"</f>
        <v>01049182</v>
      </c>
    </row>
    <row r="26556" spans="1:2" x14ac:dyDescent="0.25">
      <c r="A26556" s="2">
        <v>26551</v>
      </c>
      <c r="B26556" s="11" t="str">
        <f>"01049219"</f>
        <v>01049219</v>
      </c>
    </row>
    <row r="26557" spans="1:2" x14ac:dyDescent="0.25">
      <c r="A26557" s="2">
        <v>26552</v>
      </c>
      <c r="B26557" s="11" t="str">
        <f>"01049238"</f>
        <v>01049238</v>
      </c>
    </row>
    <row r="26558" spans="1:2" x14ac:dyDescent="0.25">
      <c r="A26558" s="2">
        <v>26553</v>
      </c>
      <c r="B26558" s="11" t="str">
        <f>"01049255"</f>
        <v>01049255</v>
      </c>
    </row>
    <row r="26559" spans="1:2" x14ac:dyDescent="0.25">
      <c r="A26559" s="2">
        <v>26554</v>
      </c>
      <c r="B26559" s="11" t="str">
        <f>"01049261"</f>
        <v>01049261</v>
      </c>
    </row>
    <row r="26560" spans="1:2" x14ac:dyDescent="0.25">
      <c r="A26560" s="2">
        <v>26555</v>
      </c>
      <c r="B26560" s="11" t="str">
        <f>"01049264"</f>
        <v>01049264</v>
      </c>
    </row>
    <row r="26561" spans="1:2" x14ac:dyDescent="0.25">
      <c r="A26561" s="2">
        <v>26556</v>
      </c>
      <c r="B26561" s="11" t="str">
        <f>"01049277"</f>
        <v>01049277</v>
      </c>
    </row>
    <row r="26562" spans="1:2" x14ac:dyDescent="0.25">
      <c r="A26562" s="2">
        <v>26557</v>
      </c>
      <c r="B26562" s="11" t="str">
        <f>"01049279"</f>
        <v>01049279</v>
      </c>
    </row>
    <row r="26563" spans="1:2" x14ac:dyDescent="0.25">
      <c r="A26563" s="2">
        <v>26558</v>
      </c>
      <c r="B26563" s="11" t="str">
        <f>"01049313"</f>
        <v>01049313</v>
      </c>
    </row>
    <row r="26564" spans="1:2" x14ac:dyDescent="0.25">
      <c r="A26564" s="2">
        <v>26559</v>
      </c>
      <c r="B26564" s="11" t="str">
        <f>"01049326"</f>
        <v>01049326</v>
      </c>
    </row>
    <row r="26565" spans="1:2" x14ac:dyDescent="0.25">
      <c r="A26565" s="2">
        <v>26560</v>
      </c>
      <c r="B26565" s="11" t="str">
        <f>"01049328"</f>
        <v>01049328</v>
      </c>
    </row>
    <row r="26566" spans="1:2" x14ac:dyDescent="0.25">
      <c r="A26566" s="2">
        <v>26561</v>
      </c>
      <c r="B26566" s="11" t="str">
        <f>"01049334"</f>
        <v>01049334</v>
      </c>
    </row>
    <row r="26567" spans="1:2" x14ac:dyDescent="0.25">
      <c r="A26567" s="2">
        <v>26562</v>
      </c>
      <c r="B26567" s="11" t="str">
        <f>"01049339"</f>
        <v>01049339</v>
      </c>
    </row>
    <row r="26568" spans="1:2" x14ac:dyDescent="0.25">
      <c r="A26568" s="2">
        <v>26563</v>
      </c>
      <c r="B26568" s="11" t="str">
        <f>"01049343"</f>
        <v>01049343</v>
      </c>
    </row>
    <row r="26569" spans="1:2" x14ac:dyDescent="0.25">
      <c r="A26569" s="2">
        <v>26564</v>
      </c>
      <c r="B26569" s="11" t="str">
        <f>"01049349"</f>
        <v>01049349</v>
      </c>
    </row>
    <row r="26570" spans="1:2" x14ac:dyDescent="0.25">
      <c r="A26570" s="2">
        <v>26565</v>
      </c>
      <c r="B26570" s="11" t="str">
        <f>"01049351"</f>
        <v>01049351</v>
      </c>
    </row>
    <row r="26571" spans="1:2" x14ac:dyDescent="0.25">
      <c r="A26571" s="2">
        <v>26566</v>
      </c>
      <c r="B26571" s="11" t="str">
        <f>"01049365"</f>
        <v>01049365</v>
      </c>
    </row>
    <row r="26572" spans="1:2" x14ac:dyDescent="0.25">
      <c r="A26572" s="2">
        <v>26567</v>
      </c>
      <c r="B26572" s="11" t="str">
        <f>"01049374"</f>
        <v>01049374</v>
      </c>
    </row>
    <row r="26573" spans="1:2" x14ac:dyDescent="0.25">
      <c r="A26573" s="2">
        <v>26568</v>
      </c>
      <c r="B26573" s="11" t="str">
        <f>"01049385"</f>
        <v>01049385</v>
      </c>
    </row>
    <row r="26574" spans="1:2" x14ac:dyDescent="0.25">
      <c r="A26574" s="2">
        <v>26569</v>
      </c>
      <c r="B26574" s="11" t="str">
        <f>"01049395"</f>
        <v>01049395</v>
      </c>
    </row>
    <row r="26575" spans="1:2" x14ac:dyDescent="0.25">
      <c r="A26575" s="2">
        <v>26570</v>
      </c>
      <c r="B26575" s="11" t="str">
        <f>"01049396"</f>
        <v>01049396</v>
      </c>
    </row>
    <row r="26576" spans="1:2" x14ac:dyDescent="0.25">
      <c r="A26576" s="2">
        <v>26571</v>
      </c>
      <c r="B26576" s="11" t="str">
        <f>"01049407"</f>
        <v>01049407</v>
      </c>
    </row>
    <row r="26577" spans="1:2" x14ac:dyDescent="0.25">
      <c r="A26577" s="2">
        <v>26572</v>
      </c>
      <c r="B26577" s="11" t="str">
        <f>"01049419"</f>
        <v>01049419</v>
      </c>
    </row>
    <row r="26578" spans="1:2" x14ac:dyDescent="0.25">
      <c r="A26578" s="2">
        <v>26573</v>
      </c>
      <c r="B26578" s="11" t="str">
        <f>"01049429"</f>
        <v>01049429</v>
      </c>
    </row>
    <row r="26579" spans="1:2" x14ac:dyDescent="0.25">
      <c r="A26579" s="2">
        <v>26574</v>
      </c>
      <c r="B26579" s="11" t="str">
        <f>"01049447"</f>
        <v>01049447</v>
      </c>
    </row>
    <row r="26580" spans="1:2" x14ac:dyDescent="0.25">
      <c r="A26580" s="2">
        <v>26575</v>
      </c>
      <c r="B26580" s="11" t="str">
        <f>"01049461"</f>
        <v>01049461</v>
      </c>
    </row>
    <row r="26581" spans="1:2" x14ac:dyDescent="0.25">
      <c r="A26581" s="2">
        <v>26576</v>
      </c>
      <c r="B26581" s="11" t="str">
        <f>"01049487"</f>
        <v>01049487</v>
      </c>
    </row>
    <row r="26582" spans="1:2" x14ac:dyDescent="0.25">
      <c r="A26582" s="2">
        <v>26577</v>
      </c>
      <c r="B26582" s="11" t="str">
        <f>"01049529"</f>
        <v>01049529</v>
      </c>
    </row>
    <row r="26583" spans="1:2" x14ac:dyDescent="0.25">
      <c r="A26583" s="2">
        <v>26578</v>
      </c>
      <c r="B26583" s="11" t="str">
        <f>"01049531"</f>
        <v>01049531</v>
      </c>
    </row>
    <row r="26584" spans="1:2" x14ac:dyDescent="0.25">
      <c r="A26584" s="2">
        <v>26579</v>
      </c>
      <c r="B26584" s="11" t="str">
        <f>"01049537"</f>
        <v>01049537</v>
      </c>
    </row>
    <row r="26585" spans="1:2" x14ac:dyDescent="0.25">
      <c r="A26585" s="2">
        <v>26580</v>
      </c>
      <c r="B26585" s="11" t="str">
        <f>"01049538"</f>
        <v>01049538</v>
      </c>
    </row>
    <row r="26586" spans="1:2" x14ac:dyDescent="0.25">
      <c r="A26586" s="2">
        <v>26581</v>
      </c>
      <c r="B26586" s="11" t="str">
        <f>"01049550"</f>
        <v>01049550</v>
      </c>
    </row>
    <row r="26587" spans="1:2" x14ac:dyDescent="0.25">
      <c r="A26587" s="2">
        <v>26582</v>
      </c>
      <c r="B26587" s="11" t="str">
        <f>"01049570"</f>
        <v>01049570</v>
      </c>
    </row>
    <row r="26588" spans="1:2" x14ac:dyDescent="0.25">
      <c r="A26588" s="2">
        <v>26583</v>
      </c>
      <c r="B26588" s="11" t="str">
        <f>"01049603"</f>
        <v>01049603</v>
      </c>
    </row>
    <row r="26589" spans="1:2" x14ac:dyDescent="0.25">
      <c r="A26589" s="2">
        <v>26584</v>
      </c>
      <c r="B26589" s="11" t="str">
        <f>"01049604"</f>
        <v>01049604</v>
      </c>
    </row>
    <row r="26590" spans="1:2" x14ac:dyDescent="0.25">
      <c r="A26590" s="2">
        <v>26585</v>
      </c>
      <c r="B26590" s="11" t="str">
        <f>"01049631"</f>
        <v>01049631</v>
      </c>
    </row>
    <row r="26591" spans="1:2" x14ac:dyDescent="0.25">
      <c r="A26591" s="2">
        <v>26586</v>
      </c>
      <c r="B26591" s="11" t="str">
        <f>"01049634"</f>
        <v>01049634</v>
      </c>
    </row>
    <row r="26592" spans="1:2" x14ac:dyDescent="0.25">
      <c r="A26592" s="2">
        <v>26587</v>
      </c>
      <c r="B26592" s="11" t="str">
        <f>"01049669"</f>
        <v>01049669</v>
      </c>
    </row>
    <row r="26593" spans="1:2" x14ac:dyDescent="0.25">
      <c r="A26593" s="2">
        <v>26588</v>
      </c>
      <c r="B26593" s="11" t="str">
        <f>"01049709"</f>
        <v>01049709</v>
      </c>
    </row>
    <row r="26594" spans="1:2" x14ac:dyDescent="0.25">
      <c r="A26594" s="2">
        <v>26589</v>
      </c>
      <c r="B26594" s="11" t="str">
        <f>"01049711"</f>
        <v>01049711</v>
      </c>
    </row>
    <row r="26595" spans="1:2" x14ac:dyDescent="0.25">
      <c r="A26595" s="2">
        <v>26590</v>
      </c>
      <c r="B26595" s="11" t="str">
        <f>"01049737"</f>
        <v>01049737</v>
      </c>
    </row>
    <row r="26596" spans="1:2" x14ac:dyDescent="0.25">
      <c r="A26596" s="2">
        <v>26591</v>
      </c>
      <c r="B26596" s="11" t="str">
        <f>"01049759"</f>
        <v>01049759</v>
      </c>
    </row>
    <row r="26597" spans="1:2" x14ac:dyDescent="0.25">
      <c r="A26597" s="2">
        <v>26592</v>
      </c>
      <c r="B26597" s="11" t="str">
        <f>"01049782"</f>
        <v>01049782</v>
      </c>
    </row>
    <row r="26598" spans="1:2" x14ac:dyDescent="0.25">
      <c r="A26598" s="2">
        <v>26593</v>
      </c>
      <c r="B26598" s="11" t="str">
        <f>"01049784"</f>
        <v>01049784</v>
      </c>
    </row>
    <row r="26599" spans="1:2" x14ac:dyDescent="0.25">
      <c r="A26599" s="2">
        <v>26594</v>
      </c>
      <c r="B26599" s="11" t="str">
        <f>"01049795"</f>
        <v>01049795</v>
      </c>
    </row>
    <row r="26600" spans="1:2" x14ac:dyDescent="0.25">
      <c r="A26600" s="2">
        <v>26595</v>
      </c>
      <c r="B26600" s="11" t="str">
        <f>"01049796"</f>
        <v>01049796</v>
      </c>
    </row>
    <row r="26601" spans="1:2" x14ac:dyDescent="0.25">
      <c r="A26601" s="2">
        <v>26596</v>
      </c>
      <c r="B26601" s="11" t="str">
        <f>"01049797"</f>
        <v>01049797</v>
      </c>
    </row>
    <row r="26602" spans="1:2" x14ac:dyDescent="0.25">
      <c r="A26602" s="2">
        <v>26597</v>
      </c>
      <c r="B26602" s="11" t="str">
        <f>"01049814"</f>
        <v>01049814</v>
      </c>
    </row>
    <row r="26603" spans="1:2" x14ac:dyDescent="0.25">
      <c r="A26603" s="2">
        <v>26598</v>
      </c>
      <c r="B26603" s="11" t="str">
        <f>"01049829"</f>
        <v>01049829</v>
      </c>
    </row>
    <row r="26604" spans="1:2" x14ac:dyDescent="0.25">
      <c r="A26604" s="2">
        <v>26599</v>
      </c>
      <c r="B26604" s="11" t="str">
        <f>"01049846"</f>
        <v>01049846</v>
      </c>
    </row>
    <row r="26605" spans="1:2" x14ac:dyDescent="0.25">
      <c r="A26605" s="2">
        <v>26600</v>
      </c>
      <c r="B26605" s="11" t="str">
        <f>"01049861"</f>
        <v>01049861</v>
      </c>
    </row>
    <row r="26606" spans="1:2" x14ac:dyDescent="0.25">
      <c r="A26606" s="2">
        <v>26601</v>
      </c>
      <c r="B26606" s="11" t="str">
        <f>"01049884"</f>
        <v>01049884</v>
      </c>
    </row>
    <row r="26607" spans="1:2" x14ac:dyDescent="0.25">
      <c r="A26607" s="2">
        <v>26602</v>
      </c>
      <c r="B26607" s="11" t="str">
        <f>"01049885"</f>
        <v>01049885</v>
      </c>
    </row>
    <row r="26608" spans="1:2" x14ac:dyDescent="0.25">
      <c r="A26608" s="2">
        <v>26603</v>
      </c>
      <c r="B26608" s="11" t="str">
        <f>"01049891"</f>
        <v>01049891</v>
      </c>
    </row>
    <row r="26609" spans="1:2" x14ac:dyDescent="0.25">
      <c r="A26609" s="2">
        <v>26604</v>
      </c>
      <c r="B26609" s="11" t="str">
        <f>"01049897"</f>
        <v>01049897</v>
      </c>
    </row>
    <row r="26610" spans="1:2" x14ac:dyDescent="0.25">
      <c r="A26610" s="2">
        <v>26605</v>
      </c>
      <c r="B26610" s="11" t="str">
        <f>"01049909"</f>
        <v>01049909</v>
      </c>
    </row>
    <row r="26611" spans="1:2" x14ac:dyDescent="0.25">
      <c r="A26611" s="2">
        <v>26606</v>
      </c>
      <c r="B26611" s="11" t="str">
        <f>"01049911"</f>
        <v>01049911</v>
      </c>
    </row>
    <row r="26612" spans="1:2" x14ac:dyDescent="0.25">
      <c r="A26612" s="2">
        <v>26607</v>
      </c>
      <c r="B26612" s="11" t="str">
        <f>"01049921"</f>
        <v>01049921</v>
      </c>
    </row>
    <row r="26613" spans="1:2" x14ac:dyDescent="0.25">
      <c r="A26613" s="2">
        <v>26608</v>
      </c>
      <c r="B26613" s="11" t="str">
        <f>"01049942"</f>
        <v>01049942</v>
      </c>
    </row>
    <row r="26614" spans="1:2" x14ac:dyDescent="0.25">
      <c r="A26614" s="2">
        <v>26609</v>
      </c>
      <c r="B26614" s="11" t="str">
        <f>"01049948"</f>
        <v>01049948</v>
      </c>
    </row>
    <row r="26615" spans="1:2" x14ac:dyDescent="0.25">
      <c r="A26615" s="2">
        <v>26610</v>
      </c>
      <c r="B26615" s="11" t="str">
        <f>"01049961"</f>
        <v>01049961</v>
      </c>
    </row>
    <row r="26616" spans="1:2" x14ac:dyDescent="0.25">
      <c r="A26616" s="2">
        <v>26611</v>
      </c>
      <c r="B26616" s="11" t="str">
        <f>"01049973"</f>
        <v>01049973</v>
      </c>
    </row>
    <row r="26617" spans="1:2" x14ac:dyDescent="0.25">
      <c r="A26617" s="2">
        <v>26612</v>
      </c>
      <c r="B26617" s="11" t="str">
        <f>"01049976"</f>
        <v>01049976</v>
      </c>
    </row>
    <row r="26618" spans="1:2" x14ac:dyDescent="0.25">
      <c r="A26618" s="2">
        <v>26613</v>
      </c>
      <c r="B26618" s="11" t="str">
        <f>"01050003"</f>
        <v>01050003</v>
      </c>
    </row>
    <row r="26619" spans="1:2" x14ac:dyDescent="0.25">
      <c r="A26619" s="2">
        <v>26614</v>
      </c>
      <c r="B26619" s="11" t="str">
        <f>"01050007"</f>
        <v>01050007</v>
      </c>
    </row>
    <row r="26620" spans="1:2" x14ac:dyDescent="0.25">
      <c r="A26620" s="2">
        <v>26615</v>
      </c>
      <c r="B26620" s="11" t="str">
        <f>"01050045"</f>
        <v>01050045</v>
      </c>
    </row>
    <row r="26621" spans="1:2" x14ac:dyDescent="0.25">
      <c r="A26621" s="2">
        <v>26616</v>
      </c>
      <c r="B26621" s="11" t="str">
        <f>"01050050"</f>
        <v>01050050</v>
      </c>
    </row>
    <row r="26622" spans="1:2" x14ac:dyDescent="0.25">
      <c r="A26622" s="2">
        <v>26617</v>
      </c>
      <c r="B26622" s="11" t="str">
        <f>"01050064"</f>
        <v>01050064</v>
      </c>
    </row>
    <row r="26623" spans="1:2" x14ac:dyDescent="0.25">
      <c r="A26623" s="2">
        <v>26618</v>
      </c>
      <c r="B26623" s="11" t="str">
        <f>"01050066"</f>
        <v>01050066</v>
      </c>
    </row>
    <row r="26624" spans="1:2" x14ac:dyDescent="0.25">
      <c r="A26624" s="2">
        <v>26619</v>
      </c>
      <c r="B26624" s="11" t="str">
        <f>"01050075"</f>
        <v>01050075</v>
      </c>
    </row>
    <row r="26625" spans="1:2" x14ac:dyDescent="0.25">
      <c r="A26625" s="2">
        <v>26620</v>
      </c>
      <c r="B26625" s="11" t="str">
        <f>"01050079"</f>
        <v>01050079</v>
      </c>
    </row>
    <row r="26626" spans="1:2" x14ac:dyDescent="0.25">
      <c r="A26626" s="2">
        <v>26621</v>
      </c>
      <c r="B26626" s="11" t="str">
        <f>"01050085"</f>
        <v>01050085</v>
      </c>
    </row>
    <row r="26627" spans="1:2" x14ac:dyDescent="0.25">
      <c r="A26627" s="2">
        <v>26622</v>
      </c>
      <c r="B26627" s="11" t="str">
        <f>"01050089"</f>
        <v>01050089</v>
      </c>
    </row>
    <row r="26628" spans="1:2" x14ac:dyDescent="0.25">
      <c r="A26628" s="2">
        <v>26623</v>
      </c>
      <c r="B26628" s="11" t="str">
        <f>"01050095"</f>
        <v>01050095</v>
      </c>
    </row>
    <row r="26629" spans="1:2" x14ac:dyDescent="0.25">
      <c r="A26629" s="2">
        <v>26624</v>
      </c>
      <c r="B26629" s="11" t="str">
        <f>"01050098"</f>
        <v>01050098</v>
      </c>
    </row>
    <row r="26630" spans="1:2" x14ac:dyDescent="0.25">
      <c r="A26630" s="2">
        <v>26625</v>
      </c>
      <c r="B26630" s="11" t="str">
        <f>"01050101"</f>
        <v>01050101</v>
      </c>
    </row>
    <row r="26631" spans="1:2" x14ac:dyDescent="0.25">
      <c r="A26631" s="2">
        <v>26626</v>
      </c>
      <c r="B26631" s="11" t="str">
        <f>"01050102"</f>
        <v>01050102</v>
      </c>
    </row>
    <row r="26632" spans="1:2" x14ac:dyDescent="0.25">
      <c r="A26632" s="2">
        <v>26627</v>
      </c>
      <c r="B26632" s="11" t="str">
        <f>"01050108"</f>
        <v>01050108</v>
      </c>
    </row>
    <row r="26633" spans="1:2" x14ac:dyDescent="0.25">
      <c r="A26633" s="2">
        <v>26628</v>
      </c>
      <c r="B26633" s="11" t="str">
        <f>"01050134"</f>
        <v>01050134</v>
      </c>
    </row>
    <row r="26634" spans="1:2" x14ac:dyDescent="0.25">
      <c r="A26634" s="2">
        <v>26629</v>
      </c>
      <c r="B26634" s="11" t="str">
        <f>"01050137"</f>
        <v>01050137</v>
      </c>
    </row>
    <row r="26635" spans="1:2" x14ac:dyDescent="0.25">
      <c r="A26635" s="2">
        <v>26630</v>
      </c>
      <c r="B26635" s="11" t="str">
        <f>"01050143"</f>
        <v>01050143</v>
      </c>
    </row>
    <row r="26636" spans="1:2" x14ac:dyDescent="0.25">
      <c r="A26636" s="2">
        <v>26631</v>
      </c>
      <c r="B26636" s="11" t="str">
        <f>"01050147"</f>
        <v>01050147</v>
      </c>
    </row>
    <row r="26637" spans="1:2" x14ac:dyDescent="0.25">
      <c r="A26637" s="2">
        <v>26632</v>
      </c>
      <c r="B26637" s="11" t="str">
        <f>"01050149"</f>
        <v>01050149</v>
      </c>
    </row>
    <row r="26638" spans="1:2" x14ac:dyDescent="0.25">
      <c r="A26638" s="2">
        <v>26633</v>
      </c>
      <c r="B26638" s="11" t="str">
        <f>"01050162"</f>
        <v>01050162</v>
      </c>
    </row>
    <row r="26639" spans="1:2" x14ac:dyDescent="0.25">
      <c r="A26639" s="2">
        <v>26634</v>
      </c>
      <c r="B26639" s="11" t="str">
        <f>"01050175"</f>
        <v>01050175</v>
      </c>
    </row>
    <row r="26640" spans="1:2" x14ac:dyDescent="0.25">
      <c r="A26640" s="2">
        <v>26635</v>
      </c>
      <c r="B26640" s="11" t="str">
        <f>"01050208"</f>
        <v>01050208</v>
      </c>
    </row>
    <row r="26641" spans="1:2" x14ac:dyDescent="0.25">
      <c r="A26641" s="2">
        <v>26636</v>
      </c>
      <c r="B26641" s="11" t="str">
        <f>"01050222"</f>
        <v>01050222</v>
      </c>
    </row>
    <row r="26642" spans="1:2" x14ac:dyDescent="0.25">
      <c r="A26642" s="2">
        <v>26637</v>
      </c>
      <c r="B26642" s="11" t="str">
        <f>"01050227"</f>
        <v>01050227</v>
      </c>
    </row>
    <row r="26643" spans="1:2" x14ac:dyDescent="0.25">
      <c r="A26643" s="2">
        <v>26638</v>
      </c>
      <c r="B26643" s="11" t="str">
        <f>"01050228"</f>
        <v>01050228</v>
      </c>
    </row>
    <row r="26644" spans="1:2" x14ac:dyDescent="0.25">
      <c r="A26644" s="2">
        <v>26639</v>
      </c>
      <c r="B26644" s="11" t="str">
        <f>"01050259"</f>
        <v>01050259</v>
      </c>
    </row>
    <row r="26645" spans="1:2" x14ac:dyDescent="0.25">
      <c r="A26645" s="2">
        <v>26640</v>
      </c>
      <c r="B26645" s="11" t="str">
        <f>"01050262"</f>
        <v>01050262</v>
      </c>
    </row>
    <row r="26646" spans="1:2" x14ac:dyDescent="0.25">
      <c r="A26646" s="2">
        <v>26641</v>
      </c>
      <c r="B26646" s="11" t="str">
        <f>"01050265"</f>
        <v>01050265</v>
      </c>
    </row>
    <row r="26647" spans="1:2" x14ac:dyDescent="0.25">
      <c r="A26647" s="2">
        <v>26642</v>
      </c>
      <c r="B26647" s="11" t="str">
        <f>"01050269"</f>
        <v>01050269</v>
      </c>
    </row>
    <row r="26648" spans="1:2" x14ac:dyDescent="0.25">
      <c r="A26648" s="2">
        <v>26643</v>
      </c>
      <c r="B26648" s="11" t="str">
        <f>"01050284"</f>
        <v>01050284</v>
      </c>
    </row>
    <row r="26649" spans="1:2" x14ac:dyDescent="0.25">
      <c r="A26649" s="2">
        <v>26644</v>
      </c>
      <c r="B26649" s="11" t="str">
        <f>"01050286"</f>
        <v>01050286</v>
      </c>
    </row>
    <row r="26650" spans="1:2" x14ac:dyDescent="0.25">
      <c r="A26650" s="2">
        <v>26645</v>
      </c>
      <c r="B26650" s="11" t="str">
        <f>"01050307"</f>
        <v>01050307</v>
      </c>
    </row>
    <row r="26651" spans="1:2" x14ac:dyDescent="0.25">
      <c r="A26651" s="2">
        <v>26646</v>
      </c>
      <c r="B26651" s="11" t="str">
        <f>"01050344"</f>
        <v>01050344</v>
      </c>
    </row>
    <row r="26652" spans="1:2" x14ac:dyDescent="0.25">
      <c r="A26652" s="2">
        <v>26647</v>
      </c>
      <c r="B26652" s="11" t="str">
        <f>"01050350"</f>
        <v>01050350</v>
      </c>
    </row>
    <row r="26653" spans="1:2" x14ac:dyDescent="0.25">
      <c r="A26653" s="2">
        <v>26648</v>
      </c>
      <c r="B26653" s="11" t="str">
        <f>"01050382"</f>
        <v>01050382</v>
      </c>
    </row>
    <row r="26654" spans="1:2" x14ac:dyDescent="0.25">
      <c r="A26654" s="2">
        <v>26649</v>
      </c>
      <c r="B26654" s="11" t="str">
        <f>"01050404"</f>
        <v>01050404</v>
      </c>
    </row>
    <row r="26655" spans="1:2" x14ac:dyDescent="0.25">
      <c r="A26655" s="2">
        <v>26650</v>
      </c>
      <c r="B26655" s="11" t="str">
        <f>"01050432"</f>
        <v>01050432</v>
      </c>
    </row>
    <row r="26656" spans="1:2" x14ac:dyDescent="0.25">
      <c r="A26656" s="2">
        <v>26651</v>
      </c>
      <c r="B26656" s="11" t="str">
        <f>"01050439"</f>
        <v>01050439</v>
      </c>
    </row>
    <row r="26657" spans="1:2" x14ac:dyDescent="0.25">
      <c r="A26657" s="2">
        <v>26652</v>
      </c>
      <c r="B26657" s="11" t="str">
        <f>"01050447"</f>
        <v>01050447</v>
      </c>
    </row>
    <row r="26658" spans="1:2" x14ac:dyDescent="0.25">
      <c r="A26658" s="2">
        <v>26653</v>
      </c>
      <c r="B26658" s="11" t="str">
        <f>"01050451"</f>
        <v>01050451</v>
      </c>
    </row>
    <row r="26659" spans="1:2" x14ac:dyDescent="0.25">
      <c r="A26659" s="2">
        <v>26654</v>
      </c>
      <c r="B26659" s="11" t="str">
        <f>"01050471"</f>
        <v>01050471</v>
      </c>
    </row>
    <row r="26660" spans="1:2" x14ac:dyDescent="0.25">
      <c r="A26660" s="2">
        <v>26655</v>
      </c>
      <c r="B26660" s="11" t="str">
        <f>"01050503"</f>
        <v>01050503</v>
      </c>
    </row>
    <row r="26661" spans="1:2" x14ac:dyDescent="0.25">
      <c r="A26661" s="2">
        <v>26656</v>
      </c>
      <c r="B26661" s="11" t="str">
        <f>"01050506"</f>
        <v>01050506</v>
      </c>
    </row>
    <row r="26662" spans="1:2" x14ac:dyDescent="0.25">
      <c r="A26662" s="2">
        <v>26657</v>
      </c>
      <c r="B26662" s="11" t="str">
        <f>"01050510"</f>
        <v>01050510</v>
      </c>
    </row>
    <row r="26663" spans="1:2" x14ac:dyDescent="0.25">
      <c r="A26663" s="2">
        <v>26658</v>
      </c>
      <c r="B26663" s="11" t="str">
        <f>"01050513"</f>
        <v>01050513</v>
      </c>
    </row>
    <row r="26664" spans="1:2" x14ac:dyDescent="0.25">
      <c r="A26664" s="2">
        <v>26659</v>
      </c>
      <c r="B26664" s="11" t="str">
        <f>"01050540"</f>
        <v>01050540</v>
      </c>
    </row>
    <row r="26665" spans="1:2" x14ac:dyDescent="0.25">
      <c r="A26665" s="2">
        <v>26660</v>
      </c>
      <c r="B26665" s="11" t="str">
        <f>"01050546"</f>
        <v>01050546</v>
      </c>
    </row>
    <row r="26666" spans="1:2" x14ac:dyDescent="0.25">
      <c r="A26666" s="2">
        <v>26661</v>
      </c>
      <c r="B26666" s="11" t="str">
        <f>"01050547"</f>
        <v>01050547</v>
      </c>
    </row>
    <row r="26667" spans="1:2" x14ac:dyDescent="0.25">
      <c r="A26667" s="2">
        <v>26662</v>
      </c>
      <c r="B26667" s="11" t="str">
        <f>"01050565"</f>
        <v>01050565</v>
      </c>
    </row>
    <row r="26668" spans="1:2" x14ac:dyDescent="0.25">
      <c r="A26668" s="2">
        <v>26663</v>
      </c>
      <c r="B26668" s="11" t="str">
        <f>"01050567"</f>
        <v>01050567</v>
      </c>
    </row>
    <row r="26669" spans="1:2" x14ac:dyDescent="0.25">
      <c r="A26669" s="2">
        <v>26664</v>
      </c>
      <c r="B26669" s="11" t="str">
        <f>"01050581"</f>
        <v>01050581</v>
      </c>
    </row>
    <row r="26670" spans="1:2" x14ac:dyDescent="0.25">
      <c r="A26670" s="2">
        <v>26665</v>
      </c>
      <c r="B26670" s="11" t="str">
        <f>"01050620"</f>
        <v>01050620</v>
      </c>
    </row>
    <row r="26671" spans="1:2" x14ac:dyDescent="0.25">
      <c r="A26671" s="2">
        <v>26666</v>
      </c>
      <c r="B26671" s="11" t="str">
        <f>"01050625"</f>
        <v>01050625</v>
      </c>
    </row>
    <row r="26672" spans="1:2" x14ac:dyDescent="0.25">
      <c r="A26672" s="2">
        <v>26667</v>
      </c>
      <c r="B26672" s="11" t="str">
        <f>"01050677"</f>
        <v>01050677</v>
      </c>
    </row>
    <row r="26673" spans="1:2" x14ac:dyDescent="0.25">
      <c r="A26673" s="2">
        <v>26668</v>
      </c>
      <c r="B26673" s="11" t="str">
        <f>"01050696"</f>
        <v>01050696</v>
      </c>
    </row>
    <row r="26674" spans="1:2" x14ac:dyDescent="0.25">
      <c r="A26674" s="2">
        <v>26669</v>
      </c>
      <c r="B26674" s="11" t="str">
        <f>"01050704"</f>
        <v>01050704</v>
      </c>
    </row>
    <row r="26675" spans="1:2" x14ac:dyDescent="0.25">
      <c r="A26675" s="2">
        <v>26670</v>
      </c>
      <c r="B26675" s="11" t="str">
        <f>"01050729"</f>
        <v>01050729</v>
      </c>
    </row>
    <row r="26676" spans="1:2" x14ac:dyDescent="0.25">
      <c r="A26676" s="2">
        <v>26671</v>
      </c>
      <c r="B26676" s="11" t="str">
        <f>"01050735"</f>
        <v>01050735</v>
      </c>
    </row>
    <row r="26677" spans="1:2" x14ac:dyDescent="0.25">
      <c r="A26677" s="2">
        <v>26672</v>
      </c>
      <c r="B26677" s="11" t="str">
        <f>"01050741"</f>
        <v>01050741</v>
      </c>
    </row>
    <row r="26678" spans="1:2" x14ac:dyDescent="0.25">
      <c r="A26678" s="2">
        <v>26673</v>
      </c>
      <c r="B26678" s="11" t="str">
        <f>"01050759"</f>
        <v>01050759</v>
      </c>
    </row>
    <row r="26679" spans="1:2" x14ac:dyDescent="0.25">
      <c r="A26679" s="2">
        <v>26674</v>
      </c>
      <c r="B26679" s="11" t="str">
        <f>"01050780"</f>
        <v>01050780</v>
      </c>
    </row>
    <row r="26680" spans="1:2" x14ac:dyDescent="0.25">
      <c r="A26680" s="2">
        <v>26675</v>
      </c>
      <c r="B26680" s="11" t="str">
        <f>"01050784"</f>
        <v>01050784</v>
      </c>
    </row>
    <row r="26681" spans="1:2" x14ac:dyDescent="0.25">
      <c r="A26681" s="2">
        <v>26676</v>
      </c>
      <c r="B26681" s="11" t="str">
        <f>"01050795"</f>
        <v>01050795</v>
      </c>
    </row>
    <row r="26682" spans="1:2" x14ac:dyDescent="0.25">
      <c r="A26682" s="2">
        <v>26677</v>
      </c>
      <c r="B26682" s="11" t="str">
        <f>"01050826"</f>
        <v>01050826</v>
      </c>
    </row>
    <row r="26683" spans="1:2" x14ac:dyDescent="0.25">
      <c r="A26683" s="2">
        <v>26678</v>
      </c>
      <c r="B26683" s="11" t="str">
        <f>"01050829"</f>
        <v>01050829</v>
      </c>
    </row>
    <row r="26684" spans="1:2" x14ac:dyDescent="0.25">
      <c r="A26684" s="2">
        <v>26679</v>
      </c>
      <c r="B26684" s="11" t="str">
        <f>"01050867"</f>
        <v>01050867</v>
      </c>
    </row>
    <row r="26685" spans="1:2" x14ac:dyDescent="0.25">
      <c r="A26685" s="2">
        <v>26680</v>
      </c>
      <c r="B26685" s="11" t="str">
        <f>"01050897"</f>
        <v>01050897</v>
      </c>
    </row>
    <row r="26686" spans="1:2" x14ac:dyDescent="0.25">
      <c r="A26686" s="2">
        <v>26681</v>
      </c>
      <c r="B26686" s="11" t="str">
        <f>"01050906"</f>
        <v>01050906</v>
      </c>
    </row>
    <row r="26687" spans="1:2" x14ac:dyDescent="0.25">
      <c r="A26687" s="2">
        <v>26682</v>
      </c>
      <c r="B26687" s="11" t="str">
        <f>"01050913"</f>
        <v>01050913</v>
      </c>
    </row>
    <row r="26688" spans="1:2" x14ac:dyDescent="0.25">
      <c r="A26688" s="2">
        <v>26683</v>
      </c>
      <c r="B26688" s="11" t="str">
        <f>"01050919"</f>
        <v>01050919</v>
      </c>
    </row>
    <row r="26689" spans="1:2" x14ac:dyDescent="0.25">
      <c r="A26689" s="2">
        <v>26684</v>
      </c>
      <c r="B26689" s="11" t="str">
        <f>"01050924"</f>
        <v>01050924</v>
      </c>
    </row>
    <row r="26690" spans="1:2" x14ac:dyDescent="0.25">
      <c r="A26690" s="2">
        <v>26685</v>
      </c>
      <c r="B26690" s="11" t="str">
        <f>"01050945"</f>
        <v>01050945</v>
      </c>
    </row>
    <row r="26691" spans="1:2" x14ac:dyDescent="0.25">
      <c r="A26691" s="2">
        <v>26686</v>
      </c>
      <c r="B26691" s="11" t="str">
        <f>"01050964"</f>
        <v>01050964</v>
      </c>
    </row>
    <row r="26692" spans="1:2" x14ac:dyDescent="0.25">
      <c r="A26692" s="2">
        <v>26687</v>
      </c>
      <c r="B26692" s="11" t="str">
        <f>"01050971"</f>
        <v>01050971</v>
      </c>
    </row>
    <row r="26693" spans="1:2" x14ac:dyDescent="0.25">
      <c r="A26693" s="2">
        <v>26688</v>
      </c>
      <c r="B26693" s="11" t="str">
        <f>"01050993"</f>
        <v>01050993</v>
      </c>
    </row>
    <row r="26694" spans="1:2" x14ac:dyDescent="0.25">
      <c r="A26694" s="2">
        <v>26689</v>
      </c>
      <c r="B26694" s="11" t="str">
        <f>"01051021"</f>
        <v>01051021</v>
      </c>
    </row>
    <row r="26695" spans="1:2" x14ac:dyDescent="0.25">
      <c r="A26695" s="2">
        <v>26690</v>
      </c>
      <c r="B26695" s="11" t="str">
        <f>"01051036"</f>
        <v>01051036</v>
      </c>
    </row>
    <row r="26696" spans="1:2" x14ac:dyDescent="0.25">
      <c r="A26696" s="2">
        <v>26691</v>
      </c>
      <c r="B26696" s="11" t="str">
        <f>"01051041"</f>
        <v>01051041</v>
      </c>
    </row>
    <row r="26697" spans="1:2" x14ac:dyDescent="0.25">
      <c r="A26697" s="2">
        <v>26692</v>
      </c>
      <c r="B26697" s="11" t="str">
        <f>"01051045"</f>
        <v>01051045</v>
      </c>
    </row>
    <row r="26698" spans="1:2" x14ac:dyDescent="0.25">
      <c r="A26698" s="2">
        <v>26693</v>
      </c>
      <c r="B26698" s="11" t="str">
        <f>"01051072"</f>
        <v>01051072</v>
      </c>
    </row>
    <row r="26699" spans="1:2" x14ac:dyDescent="0.25">
      <c r="A26699" s="2">
        <v>26694</v>
      </c>
      <c r="B26699" s="11" t="str">
        <f>"01051085"</f>
        <v>01051085</v>
      </c>
    </row>
    <row r="26700" spans="1:2" x14ac:dyDescent="0.25">
      <c r="A26700" s="2">
        <v>26695</v>
      </c>
      <c r="B26700" s="11" t="str">
        <f>"01051092"</f>
        <v>01051092</v>
      </c>
    </row>
    <row r="26701" spans="1:2" x14ac:dyDescent="0.25">
      <c r="A26701" s="2">
        <v>26696</v>
      </c>
      <c r="B26701" s="11" t="str">
        <f>"01051118"</f>
        <v>01051118</v>
      </c>
    </row>
    <row r="26702" spans="1:2" x14ac:dyDescent="0.25">
      <c r="A26702" s="2">
        <v>26697</v>
      </c>
      <c r="B26702" s="11" t="str">
        <f>"01051119"</f>
        <v>01051119</v>
      </c>
    </row>
    <row r="26703" spans="1:2" x14ac:dyDescent="0.25">
      <c r="A26703" s="2">
        <v>26698</v>
      </c>
      <c r="B26703" s="11" t="str">
        <f>"01051135"</f>
        <v>01051135</v>
      </c>
    </row>
    <row r="26704" spans="1:2" x14ac:dyDescent="0.25">
      <c r="A26704" s="2">
        <v>26699</v>
      </c>
      <c r="B26704" s="11" t="str">
        <f>"01051145"</f>
        <v>01051145</v>
      </c>
    </row>
    <row r="26705" spans="1:2" x14ac:dyDescent="0.25">
      <c r="A26705" s="2">
        <v>26700</v>
      </c>
      <c r="B26705" s="11" t="str">
        <f>"01051155"</f>
        <v>01051155</v>
      </c>
    </row>
    <row r="26706" spans="1:2" x14ac:dyDescent="0.25">
      <c r="A26706" s="2">
        <v>26701</v>
      </c>
      <c r="B26706" s="11" t="str">
        <f>"01051160"</f>
        <v>01051160</v>
      </c>
    </row>
    <row r="26707" spans="1:2" x14ac:dyDescent="0.25">
      <c r="A26707" s="2">
        <v>26702</v>
      </c>
      <c r="B26707" s="11" t="str">
        <f>"01051199"</f>
        <v>01051199</v>
      </c>
    </row>
    <row r="26708" spans="1:2" x14ac:dyDescent="0.25">
      <c r="A26708" s="2">
        <v>26703</v>
      </c>
      <c r="B26708" s="11" t="str">
        <f>"01051231"</f>
        <v>01051231</v>
      </c>
    </row>
    <row r="26709" spans="1:2" x14ac:dyDescent="0.25">
      <c r="A26709" s="2">
        <v>26704</v>
      </c>
      <c r="B26709" s="11" t="str">
        <f>"01051238"</f>
        <v>01051238</v>
      </c>
    </row>
    <row r="26710" spans="1:2" x14ac:dyDescent="0.25">
      <c r="A26710" s="2">
        <v>26705</v>
      </c>
      <c r="B26710" s="11" t="str">
        <f>"01051241"</f>
        <v>01051241</v>
      </c>
    </row>
    <row r="26711" spans="1:2" x14ac:dyDescent="0.25">
      <c r="A26711" s="2">
        <v>26706</v>
      </c>
      <c r="B26711" s="11" t="str">
        <f>"01051244"</f>
        <v>01051244</v>
      </c>
    </row>
    <row r="26712" spans="1:2" x14ac:dyDescent="0.25">
      <c r="A26712" s="2">
        <v>26707</v>
      </c>
      <c r="B26712" s="11" t="str">
        <f>"01051248"</f>
        <v>01051248</v>
      </c>
    </row>
    <row r="26713" spans="1:2" x14ac:dyDescent="0.25">
      <c r="A26713" s="2">
        <v>26708</v>
      </c>
      <c r="B26713" s="11" t="str">
        <f>"01051262"</f>
        <v>01051262</v>
      </c>
    </row>
    <row r="26714" spans="1:2" x14ac:dyDescent="0.25">
      <c r="A26714" s="2">
        <v>26709</v>
      </c>
      <c r="B26714" s="11" t="str">
        <f>"01051273"</f>
        <v>01051273</v>
      </c>
    </row>
    <row r="26715" spans="1:2" x14ac:dyDescent="0.25">
      <c r="A26715" s="2">
        <v>26710</v>
      </c>
      <c r="B26715" s="11" t="str">
        <f>"01051298"</f>
        <v>01051298</v>
      </c>
    </row>
    <row r="26716" spans="1:2" x14ac:dyDescent="0.25">
      <c r="A26716" s="2">
        <v>26711</v>
      </c>
      <c r="B26716" s="11" t="str">
        <f>"01051301"</f>
        <v>01051301</v>
      </c>
    </row>
    <row r="26717" spans="1:2" x14ac:dyDescent="0.25">
      <c r="A26717" s="2">
        <v>26712</v>
      </c>
      <c r="B26717" s="11" t="str">
        <f>"01051305"</f>
        <v>01051305</v>
      </c>
    </row>
    <row r="26718" spans="1:2" x14ac:dyDescent="0.25">
      <c r="A26718" s="2">
        <v>26713</v>
      </c>
      <c r="B26718" s="11" t="str">
        <f>"01051309"</f>
        <v>01051309</v>
      </c>
    </row>
    <row r="26719" spans="1:2" x14ac:dyDescent="0.25">
      <c r="A26719" s="2">
        <v>26714</v>
      </c>
      <c r="B26719" s="11" t="str">
        <f>"01051330"</f>
        <v>01051330</v>
      </c>
    </row>
    <row r="26720" spans="1:2" x14ac:dyDescent="0.25">
      <c r="A26720" s="2">
        <v>26715</v>
      </c>
      <c r="B26720" s="11" t="str">
        <f>"01051342"</f>
        <v>01051342</v>
      </c>
    </row>
    <row r="26721" spans="1:2" x14ac:dyDescent="0.25">
      <c r="A26721" s="2">
        <v>26716</v>
      </c>
      <c r="B26721" s="11" t="str">
        <f>"01051352"</f>
        <v>01051352</v>
      </c>
    </row>
    <row r="26722" spans="1:2" x14ac:dyDescent="0.25">
      <c r="A26722" s="2">
        <v>26717</v>
      </c>
      <c r="B26722" s="11" t="str">
        <f>"01051373"</f>
        <v>01051373</v>
      </c>
    </row>
    <row r="26723" spans="1:2" x14ac:dyDescent="0.25">
      <c r="A26723" s="2">
        <v>26718</v>
      </c>
      <c r="B26723" s="11" t="str">
        <f>"01051386"</f>
        <v>01051386</v>
      </c>
    </row>
    <row r="26724" spans="1:2" x14ac:dyDescent="0.25">
      <c r="A26724" s="2">
        <v>26719</v>
      </c>
      <c r="B26724" s="11" t="str">
        <f>"01051402"</f>
        <v>01051402</v>
      </c>
    </row>
    <row r="26725" spans="1:2" x14ac:dyDescent="0.25">
      <c r="A26725" s="2">
        <v>26720</v>
      </c>
      <c r="B26725" s="11" t="str">
        <f>"01051419"</f>
        <v>01051419</v>
      </c>
    </row>
    <row r="26726" spans="1:2" x14ac:dyDescent="0.25">
      <c r="A26726" s="2">
        <v>26721</v>
      </c>
      <c r="B26726" s="11" t="str">
        <f>"01051443"</f>
        <v>01051443</v>
      </c>
    </row>
    <row r="26727" spans="1:2" x14ac:dyDescent="0.25">
      <c r="A26727" s="2">
        <v>26722</v>
      </c>
      <c r="B26727" s="11" t="str">
        <f>"01051456"</f>
        <v>01051456</v>
      </c>
    </row>
    <row r="26728" spans="1:2" x14ac:dyDescent="0.25">
      <c r="A26728" s="2">
        <v>26723</v>
      </c>
      <c r="B26728" s="11" t="str">
        <f>"01051466"</f>
        <v>01051466</v>
      </c>
    </row>
    <row r="26729" spans="1:2" x14ac:dyDescent="0.25">
      <c r="A26729" s="2">
        <v>26724</v>
      </c>
      <c r="B26729" s="11" t="str">
        <f>"01051469"</f>
        <v>01051469</v>
      </c>
    </row>
    <row r="26730" spans="1:2" x14ac:dyDescent="0.25">
      <c r="A26730" s="2">
        <v>26725</v>
      </c>
      <c r="B26730" s="11" t="str">
        <f>"01051501"</f>
        <v>01051501</v>
      </c>
    </row>
    <row r="26731" spans="1:2" x14ac:dyDescent="0.25">
      <c r="A26731" s="2">
        <v>26726</v>
      </c>
      <c r="B26731" s="11" t="str">
        <f>"01051509"</f>
        <v>01051509</v>
      </c>
    </row>
    <row r="26732" spans="1:2" x14ac:dyDescent="0.25">
      <c r="A26732" s="2">
        <v>26727</v>
      </c>
      <c r="B26732" s="11" t="str">
        <f>"01051519"</f>
        <v>01051519</v>
      </c>
    </row>
    <row r="26733" spans="1:2" x14ac:dyDescent="0.25">
      <c r="A26733" s="2">
        <v>26728</v>
      </c>
      <c r="B26733" s="11" t="str">
        <f>"01051523"</f>
        <v>01051523</v>
      </c>
    </row>
    <row r="26734" spans="1:2" x14ac:dyDescent="0.25">
      <c r="A26734" s="2">
        <v>26729</v>
      </c>
      <c r="B26734" s="11" t="str">
        <f>"01051542"</f>
        <v>01051542</v>
      </c>
    </row>
    <row r="26735" spans="1:2" x14ac:dyDescent="0.25">
      <c r="A26735" s="2">
        <v>26730</v>
      </c>
      <c r="B26735" s="11" t="str">
        <f>"01051546"</f>
        <v>01051546</v>
      </c>
    </row>
    <row r="26736" spans="1:2" x14ac:dyDescent="0.25">
      <c r="A26736" s="2">
        <v>26731</v>
      </c>
      <c r="B26736" s="11" t="str">
        <f>"01051569"</f>
        <v>01051569</v>
      </c>
    </row>
    <row r="26737" spans="1:2" x14ac:dyDescent="0.25">
      <c r="A26737" s="2">
        <v>26732</v>
      </c>
      <c r="B26737" s="11" t="str">
        <f>"01051572"</f>
        <v>01051572</v>
      </c>
    </row>
    <row r="26738" spans="1:2" x14ac:dyDescent="0.25">
      <c r="A26738" s="2">
        <v>26733</v>
      </c>
      <c r="B26738" s="11" t="str">
        <f>"01051595"</f>
        <v>01051595</v>
      </c>
    </row>
    <row r="26739" spans="1:2" x14ac:dyDescent="0.25">
      <c r="A26739" s="2">
        <v>26734</v>
      </c>
      <c r="B26739" s="11" t="str">
        <f>"01051599"</f>
        <v>01051599</v>
      </c>
    </row>
    <row r="26740" spans="1:2" x14ac:dyDescent="0.25">
      <c r="A26740" s="2">
        <v>26735</v>
      </c>
      <c r="B26740" s="11" t="str">
        <f>"01051613"</f>
        <v>01051613</v>
      </c>
    </row>
    <row r="26741" spans="1:2" x14ac:dyDescent="0.25">
      <c r="A26741" s="2">
        <v>26736</v>
      </c>
      <c r="B26741" s="11" t="str">
        <f>"01051628"</f>
        <v>01051628</v>
      </c>
    </row>
    <row r="26742" spans="1:2" x14ac:dyDescent="0.25">
      <c r="A26742" s="2">
        <v>26737</v>
      </c>
      <c r="B26742" s="11" t="str">
        <f>"01051663"</f>
        <v>01051663</v>
      </c>
    </row>
    <row r="26743" spans="1:2" x14ac:dyDescent="0.25">
      <c r="A26743" s="2">
        <v>26738</v>
      </c>
      <c r="B26743" s="11" t="str">
        <f>"01051672"</f>
        <v>01051672</v>
      </c>
    </row>
    <row r="26744" spans="1:2" x14ac:dyDescent="0.25">
      <c r="A26744" s="2">
        <v>26739</v>
      </c>
      <c r="B26744" s="11" t="str">
        <f>"01051682"</f>
        <v>01051682</v>
      </c>
    </row>
    <row r="26745" spans="1:2" x14ac:dyDescent="0.25">
      <c r="A26745" s="2">
        <v>26740</v>
      </c>
      <c r="B26745" s="11" t="str">
        <f>"01051691"</f>
        <v>01051691</v>
      </c>
    </row>
    <row r="26746" spans="1:2" x14ac:dyDescent="0.25">
      <c r="A26746" s="2">
        <v>26741</v>
      </c>
      <c r="B26746" s="11" t="str">
        <f>"01051697"</f>
        <v>01051697</v>
      </c>
    </row>
    <row r="26747" spans="1:2" x14ac:dyDescent="0.25">
      <c r="A26747" s="2">
        <v>26742</v>
      </c>
      <c r="B26747" s="11" t="str">
        <f>"01051706"</f>
        <v>01051706</v>
      </c>
    </row>
    <row r="26748" spans="1:2" x14ac:dyDescent="0.25">
      <c r="A26748" s="2">
        <v>26743</v>
      </c>
      <c r="B26748" s="11" t="str">
        <f>"01051711"</f>
        <v>01051711</v>
      </c>
    </row>
    <row r="26749" spans="1:2" x14ac:dyDescent="0.25">
      <c r="A26749" s="2">
        <v>26744</v>
      </c>
      <c r="B26749" s="11" t="str">
        <f>"01051737"</f>
        <v>01051737</v>
      </c>
    </row>
    <row r="26750" spans="1:2" x14ac:dyDescent="0.25">
      <c r="A26750" s="2">
        <v>26745</v>
      </c>
      <c r="B26750" s="11" t="str">
        <f>"01051752"</f>
        <v>01051752</v>
      </c>
    </row>
    <row r="26751" spans="1:2" x14ac:dyDescent="0.25">
      <c r="A26751" s="2">
        <v>26746</v>
      </c>
      <c r="B26751" s="11" t="str">
        <f>"01051758"</f>
        <v>01051758</v>
      </c>
    </row>
    <row r="26752" spans="1:2" x14ac:dyDescent="0.25">
      <c r="A26752" s="2">
        <v>26747</v>
      </c>
      <c r="B26752" s="11" t="str">
        <f>"01051765"</f>
        <v>01051765</v>
      </c>
    </row>
    <row r="26753" spans="1:2" x14ac:dyDescent="0.25">
      <c r="A26753" s="2">
        <v>26748</v>
      </c>
      <c r="B26753" s="11" t="str">
        <f>"01051801"</f>
        <v>01051801</v>
      </c>
    </row>
    <row r="26754" spans="1:2" x14ac:dyDescent="0.25">
      <c r="A26754" s="2">
        <v>26749</v>
      </c>
      <c r="B26754" s="11" t="str">
        <f>"01051807"</f>
        <v>01051807</v>
      </c>
    </row>
    <row r="26755" spans="1:2" x14ac:dyDescent="0.25">
      <c r="A26755" s="2">
        <v>26750</v>
      </c>
      <c r="B26755" s="11" t="str">
        <f>"01051828"</f>
        <v>01051828</v>
      </c>
    </row>
    <row r="26756" spans="1:2" x14ac:dyDescent="0.25">
      <c r="A26756" s="2">
        <v>26751</v>
      </c>
      <c r="B26756" s="11" t="str">
        <f>"01051836"</f>
        <v>01051836</v>
      </c>
    </row>
    <row r="26757" spans="1:2" x14ac:dyDescent="0.25">
      <c r="A26757" s="2">
        <v>26752</v>
      </c>
      <c r="B26757" s="11" t="str">
        <f>"01051879"</f>
        <v>01051879</v>
      </c>
    </row>
    <row r="26758" spans="1:2" x14ac:dyDescent="0.25">
      <c r="A26758" s="2">
        <v>26753</v>
      </c>
      <c r="B26758" s="11" t="str">
        <f>"01051887"</f>
        <v>01051887</v>
      </c>
    </row>
    <row r="26759" spans="1:2" x14ac:dyDescent="0.25">
      <c r="A26759" s="2">
        <v>26754</v>
      </c>
      <c r="B26759" s="11" t="str">
        <f>"01051892"</f>
        <v>01051892</v>
      </c>
    </row>
    <row r="26760" spans="1:2" x14ac:dyDescent="0.25">
      <c r="A26760" s="2">
        <v>26755</v>
      </c>
      <c r="B26760" s="11" t="str">
        <f>"01051954"</f>
        <v>01051954</v>
      </c>
    </row>
    <row r="26761" spans="1:2" x14ac:dyDescent="0.25">
      <c r="A26761" s="2">
        <v>26756</v>
      </c>
      <c r="B26761" s="11" t="str">
        <f>"01051957"</f>
        <v>01051957</v>
      </c>
    </row>
    <row r="26762" spans="1:2" x14ac:dyDescent="0.25">
      <c r="A26762" s="2">
        <v>26757</v>
      </c>
      <c r="B26762" s="11" t="str">
        <f>"01051965"</f>
        <v>01051965</v>
      </c>
    </row>
    <row r="26763" spans="1:2" x14ac:dyDescent="0.25">
      <c r="A26763" s="2">
        <v>26758</v>
      </c>
      <c r="B26763" s="11" t="str">
        <f>"01051966"</f>
        <v>01051966</v>
      </c>
    </row>
    <row r="26764" spans="1:2" x14ac:dyDescent="0.25">
      <c r="A26764" s="2">
        <v>26759</v>
      </c>
      <c r="B26764" s="11" t="str">
        <f>"01051977"</f>
        <v>01051977</v>
      </c>
    </row>
    <row r="26765" spans="1:2" x14ac:dyDescent="0.25">
      <c r="A26765" s="2">
        <v>26760</v>
      </c>
      <c r="B26765" s="11" t="str">
        <f>"01051981"</f>
        <v>01051981</v>
      </c>
    </row>
    <row r="26766" spans="1:2" x14ac:dyDescent="0.25">
      <c r="A26766" s="2">
        <v>26761</v>
      </c>
      <c r="B26766" s="11" t="str">
        <f>"01051984"</f>
        <v>01051984</v>
      </c>
    </row>
    <row r="26767" spans="1:2" x14ac:dyDescent="0.25">
      <c r="A26767" s="2">
        <v>26762</v>
      </c>
      <c r="B26767" s="11" t="str">
        <f>"01051994"</f>
        <v>01051994</v>
      </c>
    </row>
    <row r="26768" spans="1:2" x14ac:dyDescent="0.25">
      <c r="A26768" s="2">
        <v>26763</v>
      </c>
      <c r="B26768" s="11" t="str">
        <f>"01051996"</f>
        <v>01051996</v>
      </c>
    </row>
    <row r="26769" spans="1:2" x14ac:dyDescent="0.25">
      <c r="A26769" s="2">
        <v>26764</v>
      </c>
      <c r="B26769" s="11" t="str">
        <f>"01052002"</f>
        <v>01052002</v>
      </c>
    </row>
    <row r="26770" spans="1:2" x14ac:dyDescent="0.25">
      <c r="A26770" s="2">
        <v>26765</v>
      </c>
      <c r="B26770" s="11" t="str">
        <f>"01052010"</f>
        <v>01052010</v>
      </c>
    </row>
    <row r="26771" spans="1:2" x14ac:dyDescent="0.25">
      <c r="A26771" s="2">
        <v>26766</v>
      </c>
      <c r="B26771" s="11" t="str">
        <f>"01052014"</f>
        <v>01052014</v>
      </c>
    </row>
    <row r="26772" spans="1:2" x14ac:dyDescent="0.25">
      <c r="A26772" s="2">
        <v>26767</v>
      </c>
      <c r="B26772" s="11" t="str">
        <f>"01052027"</f>
        <v>01052027</v>
      </c>
    </row>
    <row r="26773" spans="1:2" x14ac:dyDescent="0.25">
      <c r="A26773" s="2">
        <v>26768</v>
      </c>
      <c r="B26773" s="11" t="str">
        <f>"01052040"</f>
        <v>01052040</v>
      </c>
    </row>
    <row r="26774" spans="1:2" x14ac:dyDescent="0.25">
      <c r="A26774" s="2">
        <v>26769</v>
      </c>
      <c r="B26774" s="11" t="str">
        <f>"01052062"</f>
        <v>01052062</v>
      </c>
    </row>
    <row r="26775" spans="1:2" x14ac:dyDescent="0.25">
      <c r="A26775" s="2">
        <v>26770</v>
      </c>
      <c r="B26775" s="11" t="str">
        <f>"01052063"</f>
        <v>01052063</v>
      </c>
    </row>
    <row r="26776" spans="1:2" x14ac:dyDescent="0.25">
      <c r="A26776" s="2">
        <v>26771</v>
      </c>
      <c r="B26776" s="11" t="str">
        <f>"01052077"</f>
        <v>01052077</v>
      </c>
    </row>
    <row r="26777" spans="1:2" x14ac:dyDescent="0.25">
      <c r="A26777" s="2">
        <v>26772</v>
      </c>
      <c r="B26777" s="11" t="str">
        <f>"01052078"</f>
        <v>01052078</v>
      </c>
    </row>
    <row r="26778" spans="1:2" x14ac:dyDescent="0.25">
      <c r="A26778" s="2">
        <v>26773</v>
      </c>
      <c r="B26778" s="11" t="str">
        <f>"01052086"</f>
        <v>01052086</v>
      </c>
    </row>
    <row r="26779" spans="1:2" x14ac:dyDescent="0.25">
      <c r="A26779" s="2">
        <v>26774</v>
      </c>
      <c r="B26779" s="11" t="str">
        <f>"01052106"</f>
        <v>01052106</v>
      </c>
    </row>
    <row r="26780" spans="1:2" x14ac:dyDescent="0.25">
      <c r="A26780" s="2">
        <v>26775</v>
      </c>
      <c r="B26780" s="11" t="str">
        <f>"01052107"</f>
        <v>01052107</v>
      </c>
    </row>
    <row r="26781" spans="1:2" x14ac:dyDescent="0.25">
      <c r="A26781" s="2">
        <v>26776</v>
      </c>
      <c r="B26781" s="11" t="str">
        <f>"01052110"</f>
        <v>01052110</v>
      </c>
    </row>
    <row r="26782" spans="1:2" x14ac:dyDescent="0.25">
      <c r="A26782" s="2">
        <v>26777</v>
      </c>
      <c r="B26782" s="11" t="str">
        <f>"01052136"</f>
        <v>01052136</v>
      </c>
    </row>
    <row r="26783" spans="1:2" x14ac:dyDescent="0.25">
      <c r="A26783" s="2">
        <v>26778</v>
      </c>
      <c r="B26783" s="11" t="str">
        <f>"01052146"</f>
        <v>01052146</v>
      </c>
    </row>
    <row r="26784" spans="1:2" x14ac:dyDescent="0.25">
      <c r="A26784" s="2">
        <v>26779</v>
      </c>
      <c r="B26784" s="11" t="str">
        <f>"01052152"</f>
        <v>01052152</v>
      </c>
    </row>
    <row r="26785" spans="1:2" x14ac:dyDescent="0.25">
      <c r="A26785" s="2">
        <v>26780</v>
      </c>
      <c r="B26785" s="11" t="str">
        <f>"01052155"</f>
        <v>01052155</v>
      </c>
    </row>
    <row r="26786" spans="1:2" x14ac:dyDescent="0.25">
      <c r="A26786" s="2">
        <v>26781</v>
      </c>
      <c r="B26786" s="11" t="str">
        <f>"01052208"</f>
        <v>01052208</v>
      </c>
    </row>
    <row r="26787" spans="1:2" x14ac:dyDescent="0.25">
      <c r="A26787" s="2">
        <v>26782</v>
      </c>
      <c r="B26787" s="11" t="str">
        <f>"01052220"</f>
        <v>01052220</v>
      </c>
    </row>
    <row r="26788" spans="1:2" x14ac:dyDescent="0.25">
      <c r="A26788" s="2">
        <v>26783</v>
      </c>
      <c r="B26788" s="11" t="str">
        <f>"01052223"</f>
        <v>01052223</v>
      </c>
    </row>
    <row r="26789" spans="1:2" x14ac:dyDescent="0.25">
      <c r="A26789" s="2">
        <v>26784</v>
      </c>
      <c r="B26789" s="11" t="str">
        <f>"01052249"</f>
        <v>01052249</v>
      </c>
    </row>
    <row r="26790" spans="1:2" x14ac:dyDescent="0.25">
      <c r="A26790" s="2">
        <v>26785</v>
      </c>
      <c r="B26790" s="11" t="str">
        <f>"01052251"</f>
        <v>01052251</v>
      </c>
    </row>
    <row r="26791" spans="1:2" x14ac:dyDescent="0.25">
      <c r="A26791" s="2">
        <v>26786</v>
      </c>
      <c r="B26791" s="11" t="str">
        <f>"01052252"</f>
        <v>01052252</v>
      </c>
    </row>
    <row r="26792" spans="1:2" x14ac:dyDescent="0.25">
      <c r="A26792" s="2">
        <v>26787</v>
      </c>
      <c r="B26792" s="11" t="str">
        <f>"01052264"</f>
        <v>01052264</v>
      </c>
    </row>
    <row r="26793" spans="1:2" x14ac:dyDescent="0.25">
      <c r="A26793" s="2">
        <v>26788</v>
      </c>
      <c r="B26793" s="11" t="str">
        <f>"01052297"</f>
        <v>01052297</v>
      </c>
    </row>
    <row r="26794" spans="1:2" x14ac:dyDescent="0.25">
      <c r="A26794" s="2">
        <v>26789</v>
      </c>
      <c r="B26794" s="11" t="str">
        <f>"01052308"</f>
        <v>01052308</v>
      </c>
    </row>
    <row r="26795" spans="1:2" x14ac:dyDescent="0.25">
      <c r="A26795" s="2">
        <v>26790</v>
      </c>
      <c r="B26795" s="11" t="str">
        <f>"01052323"</f>
        <v>01052323</v>
      </c>
    </row>
    <row r="26796" spans="1:2" x14ac:dyDescent="0.25">
      <c r="A26796" s="2">
        <v>26791</v>
      </c>
      <c r="B26796" s="11" t="str">
        <f>"01052326"</f>
        <v>01052326</v>
      </c>
    </row>
    <row r="26797" spans="1:2" x14ac:dyDescent="0.25">
      <c r="A26797" s="2">
        <v>26792</v>
      </c>
      <c r="B26797" s="11" t="str">
        <f>"01052360"</f>
        <v>01052360</v>
      </c>
    </row>
    <row r="26798" spans="1:2" x14ac:dyDescent="0.25">
      <c r="A26798" s="2">
        <v>26793</v>
      </c>
      <c r="B26798" s="11" t="str">
        <f>"01052370"</f>
        <v>01052370</v>
      </c>
    </row>
    <row r="26799" spans="1:2" x14ac:dyDescent="0.25">
      <c r="A26799" s="2">
        <v>26794</v>
      </c>
      <c r="B26799" s="11" t="str">
        <f>"01052380"</f>
        <v>01052380</v>
      </c>
    </row>
    <row r="26800" spans="1:2" x14ac:dyDescent="0.25">
      <c r="A26800" s="2">
        <v>26795</v>
      </c>
      <c r="B26800" s="11" t="str">
        <f>"01052420"</f>
        <v>01052420</v>
      </c>
    </row>
    <row r="26801" spans="1:2" x14ac:dyDescent="0.25">
      <c r="A26801" s="2">
        <v>26796</v>
      </c>
      <c r="B26801" s="11" t="str">
        <f>"01052456"</f>
        <v>01052456</v>
      </c>
    </row>
    <row r="26802" spans="1:2" x14ac:dyDescent="0.25">
      <c r="A26802" s="2">
        <v>26797</v>
      </c>
      <c r="B26802" s="11" t="str">
        <f>"01052479"</f>
        <v>01052479</v>
      </c>
    </row>
    <row r="26803" spans="1:2" x14ac:dyDescent="0.25">
      <c r="A26803" s="2">
        <v>26798</v>
      </c>
      <c r="B26803" s="11" t="str">
        <f>"01052551"</f>
        <v>01052551</v>
      </c>
    </row>
    <row r="26804" spans="1:2" x14ac:dyDescent="0.25">
      <c r="A26804" s="2">
        <v>26799</v>
      </c>
      <c r="B26804" s="11" t="str">
        <f>"01052566"</f>
        <v>01052566</v>
      </c>
    </row>
    <row r="26805" spans="1:2" x14ac:dyDescent="0.25">
      <c r="A26805" s="2">
        <v>26800</v>
      </c>
      <c r="B26805" s="11" t="str">
        <f>"01052567"</f>
        <v>01052567</v>
      </c>
    </row>
    <row r="26806" spans="1:2" x14ac:dyDescent="0.25">
      <c r="A26806" s="2">
        <v>26801</v>
      </c>
      <c r="B26806" s="11" t="str">
        <f>"01052572"</f>
        <v>01052572</v>
      </c>
    </row>
    <row r="26807" spans="1:2" x14ac:dyDescent="0.25">
      <c r="A26807" s="2">
        <v>26802</v>
      </c>
      <c r="B26807" s="11" t="str">
        <f>"01052578"</f>
        <v>01052578</v>
      </c>
    </row>
    <row r="26808" spans="1:2" x14ac:dyDescent="0.25">
      <c r="A26808" s="2">
        <v>26803</v>
      </c>
      <c r="B26808" s="11" t="str">
        <f>"01052581"</f>
        <v>01052581</v>
      </c>
    </row>
    <row r="26809" spans="1:2" x14ac:dyDescent="0.25">
      <c r="A26809" s="2">
        <v>26804</v>
      </c>
      <c r="B26809" s="11" t="str">
        <f>"01052599"</f>
        <v>01052599</v>
      </c>
    </row>
    <row r="26810" spans="1:2" x14ac:dyDescent="0.25">
      <c r="A26810" s="2">
        <v>26805</v>
      </c>
      <c r="B26810" s="11" t="str">
        <f>"01052661"</f>
        <v>01052661</v>
      </c>
    </row>
    <row r="26811" spans="1:2" x14ac:dyDescent="0.25">
      <c r="A26811" s="2">
        <v>26806</v>
      </c>
      <c r="B26811" s="11" t="str">
        <f>"01052690"</f>
        <v>01052690</v>
      </c>
    </row>
    <row r="26812" spans="1:2" x14ac:dyDescent="0.25">
      <c r="A26812" s="2">
        <v>26807</v>
      </c>
      <c r="B26812" s="11" t="str">
        <f>"01052704"</f>
        <v>01052704</v>
      </c>
    </row>
    <row r="26813" spans="1:2" x14ac:dyDescent="0.25">
      <c r="A26813" s="2">
        <v>26808</v>
      </c>
      <c r="B26813" s="11" t="str">
        <f>"01052712"</f>
        <v>01052712</v>
      </c>
    </row>
    <row r="26814" spans="1:2" x14ac:dyDescent="0.25">
      <c r="A26814" s="2">
        <v>26809</v>
      </c>
      <c r="B26814" s="11" t="str">
        <f>"01052731"</f>
        <v>01052731</v>
      </c>
    </row>
    <row r="26815" spans="1:2" x14ac:dyDescent="0.25">
      <c r="A26815" s="2">
        <v>26810</v>
      </c>
      <c r="B26815" s="11" t="str">
        <f>"01052732"</f>
        <v>01052732</v>
      </c>
    </row>
    <row r="26816" spans="1:2" x14ac:dyDescent="0.25">
      <c r="A26816" s="2">
        <v>26811</v>
      </c>
      <c r="B26816" s="11" t="str">
        <f>"01052753"</f>
        <v>01052753</v>
      </c>
    </row>
    <row r="26817" spans="1:2" x14ac:dyDescent="0.25">
      <c r="A26817" s="2">
        <v>26812</v>
      </c>
      <c r="B26817" s="11" t="str">
        <f>"01052762"</f>
        <v>01052762</v>
      </c>
    </row>
    <row r="26818" spans="1:2" x14ac:dyDescent="0.25">
      <c r="A26818" s="2">
        <v>26813</v>
      </c>
      <c r="B26818" s="11" t="str">
        <f>"01052764"</f>
        <v>01052764</v>
      </c>
    </row>
    <row r="26819" spans="1:2" x14ac:dyDescent="0.25">
      <c r="A26819" s="2">
        <v>26814</v>
      </c>
      <c r="B26819" s="11" t="str">
        <f>"01052798"</f>
        <v>01052798</v>
      </c>
    </row>
    <row r="26820" spans="1:2" x14ac:dyDescent="0.25">
      <c r="A26820" s="2">
        <v>26815</v>
      </c>
      <c r="B26820" s="11" t="str">
        <f>"01052826"</f>
        <v>01052826</v>
      </c>
    </row>
    <row r="26821" spans="1:2" x14ac:dyDescent="0.25">
      <c r="A26821" s="2">
        <v>26816</v>
      </c>
      <c r="B26821" s="11" t="str">
        <f>"01052871"</f>
        <v>01052871</v>
      </c>
    </row>
    <row r="26822" spans="1:2" x14ac:dyDescent="0.25">
      <c r="A26822" s="2">
        <v>26817</v>
      </c>
      <c r="B26822" s="11" t="str">
        <f>"01052894"</f>
        <v>01052894</v>
      </c>
    </row>
    <row r="26823" spans="1:2" x14ac:dyDescent="0.25">
      <c r="A26823" s="2">
        <v>26818</v>
      </c>
      <c r="B26823" s="11" t="str">
        <f>"01052898"</f>
        <v>01052898</v>
      </c>
    </row>
    <row r="26824" spans="1:2" x14ac:dyDescent="0.25">
      <c r="A26824" s="2">
        <v>26819</v>
      </c>
      <c r="B26824" s="11" t="str">
        <f>"01052918"</f>
        <v>01052918</v>
      </c>
    </row>
    <row r="26825" spans="1:2" x14ac:dyDescent="0.25">
      <c r="A26825" s="2">
        <v>26820</v>
      </c>
      <c r="B26825" s="11" t="str">
        <f>"01052940"</f>
        <v>01052940</v>
      </c>
    </row>
    <row r="26826" spans="1:2" x14ac:dyDescent="0.25">
      <c r="A26826" s="2">
        <v>26821</v>
      </c>
      <c r="B26826" s="11" t="str">
        <f>"01052941"</f>
        <v>01052941</v>
      </c>
    </row>
    <row r="26827" spans="1:2" x14ac:dyDescent="0.25">
      <c r="A26827" s="2">
        <v>26822</v>
      </c>
      <c r="B26827" s="11" t="str">
        <f>"01052949"</f>
        <v>01052949</v>
      </c>
    </row>
    <row r="26828" spans="1:2" x14ac:dyDescent="0.25">
      <c r="A26828" s="2">
        <v>26823</v>
      </c>
      <c r="B26828" s="11" t="str">
        <f>"01052957"</f>
        <v>01052957</v>
      </c>
    </row>
    <row r="26829" spans="1:2" x14ac:dyDescent="0.25">
      <c r="A26829" s="2">
        <v>26824</v>
      </c>
      <c r="B26829" s="11" t="str">
        <f>"01052989"</f>
        <v>01052989</v>
      </c>
    </row>
    <row r="26830" spans="1:2" x14ac:dyDescent="0.25">
      <c r="A26830" s="2">
        <v>26825</v>
      </c>
      <c r="B26830" s="11" t="str">
        <f>"01053001"</f>
        <v>01053001</v>
      </c>
    </row>
    <row r="26831" spans="1:2" x14ac:dyDescent="0.25">
      <c r="A26831" s="2">
        <v>26826</v>
      </c>
      <c r="B26831" s="11" t="str">
        <f>"01053006"</f>
        <v>01053006</v>
      </c>
    </row>
    <row r="26832" spans="1:2" x14ac:dyDescent="0.25">
      <c r="A26832" s="2">
        <v>26827</v>
      </c>
      <c r="B26832" s="11" t="str">
        <f>"01053022"</f>
        <v>01053022</v>
      </c>
    </row>
    <row r="26833" spans="1:2" x14ac:dyDescent="0.25">
      <c r="A26833" s="2">
        <v>26828</v>
      </c>
      <c r="B26833" s="11" t="str">
        <f>"01053076"</f>
        <v>01053076</v>
      </c>
    </row>
    <row r="26834" spans="1:2" x14ac:dyDescent="0.25">
      <c r="A26834" s="2">
        <v>26829</v>
      </c>
      <c r="B26834" s="11" t="str">
        <f>"01053081"</f>
        <v>01053081</v>
      </c>
    </row>
    <row r="26835" spans="1:2" x14ac:dyDescent="0.25">
      <c r="A26835" s="2">
        <v>26830</v>
      </c>
      <c r="B26835" s="11" t="str">
        <f>"01053084"</f>
        <v>01053084</v>
      </c>
    </row>
    <row r="26836" spans="1:2" x14ac:dyDescent="0.25">
      <c r="A26836" s="2">
        <v>26831</v>
      </c>
      <c r="B26836" s="11" t="str">
        <f>"01053096"</f>
        <v>01053096</v>
      </c>
    </row>
    <row r="26837" spans="1:2" x14ac:dyDescent="0.25">
      <c r="A26837" s="2">
        <v>26832</v>
      </c>
      <c r="B26837" s="11" t="str">
        <f>"01053097"</f>
        <v>01053097</v>
      </c>
    </row>
    <row r="26838" spans="1:2" x14ac:dyDescent="0.25">
      <c r="A26838" s="2">
        <v>26833</v>
      </c>
      <c r="B26838" s="11" t="str">
        <f>"01053099"</f>
        <v>01053099</v>
      </c>
    </row>
    <row r="26839" spans="1:2" x14ac:dyDescent="0.25">
      <c r="A26839" s="2">
        <v>26834</v>
      </c>
      <c r="B26839" s="11" t="str">
        <f>"01053108"</f>
        <v>01053108</v>
      </c>
    </row>
    <row r="26840" spans="1:2" x14ac:dyDescent="0.25">
      <c r="A26840" s="2">
        <v>26835</v>
      </c>
      <c r="B26840" s="11" t="str">
        <f>"01053111"</f>
        <v>01053111</v>
      </c>
    </row>
    <row r="26841" spans="1:2" x14ac:dyDescent="0.25">
      <c r="A26841" s="2">
        <v>26836</v>
      </c>
      <c r="B26841" s="11" t="str">
        <f>"01053151"</f>
        <v>01053151</v>
      </c>
    </row>
    <row r="26842" spans="1:2" x14ac:dyDescent="0.25">
      <c r="A26842" s="2">
        <v>26837</v>
      </c>
      <c r="B26842" s="11" t="str">
        <f>"01053154"</f>
        <v>01053154</v>
      </c>
    </row>
    <row r="26843" spans="1:2" x14ac:dyDescent="0.25">
      <c r="A26843" s="2">
        <v>26838</v>
      </c>
      <c r="B26843" s="11" t="str">
        <f>"01053174"</f>
        <v>01053174</v>
      </c>
    </row>
    <row r="26844" spans="1:2" x14ac:dyDescent="0.25">
      <c r="A26844" s="2">
        <v>26839</v>
      </c>
      <c r="B26844" s="11" t="str">
        <f>"01053211"</f>
        <v>01053211</v>
      </c>
    </row>
    <row r="26845" spans="1:2" x14ac:dyDescent="0.25">
      <c r="A26845" s="2">
        <v>26840</v>
      </c>
      <c r="B26845" s="11" t="str">
        <f>"01053220"</f>
        <v>01053220</v>
      </c>
    </row>
    <row r="26846" spans="1:2" x14ac:dyDescent="0.25">
      <c r="A26846" s="2">
        <v>26841</v>
      </c>
      <c r="B26846" s="11" t="str">
        <f>"01053228"</f>
        <v>01053228</v>
      </c>
    </row>
    <row r="26847" spans="1:2" x14ac:dyDescent="0.25">
      <c r="A26847" s="2">
        <v>26842</v>
      </c>
      <c r="B26847" s="11" t="str">
        <f>"01053273"</f>
        <v>01053273</v>
      </c>
    </row>
    <row r="26848" spans="1:2" x14ac:dyDescent="0.25">
      <c r="A26848" s="2">
        <v>26843</v>
      </c>
      <c r="B26848" s="11" t="str">
        <f>"01053282"</f>
        <v>01053282</v>
      </c>
    </row>
    <row r="26849" spans="1:2" x14ac:dyDescent="0.25">
      <c r="A26849" s="2">
        <v>26844</v>
      </c>
      <c r="B26849" s="11" t="str">
        <f>"01053289"</f>
        <v>01053289</v>
      </c>
    </row>
    <row r="26850" spans="1:2" x14ac:dyDescent="0.25">
      <c r="A26850" s="2">
        <v>26845</v>
      </c>
      <c r="B26850" s="11" t="str">
        <f>"01053298"</f>
        <v>01053298</v>
      </c>
    </row>
    <row r="26851" spans="1:2" x14ac:dyDescent="0.25">
      <c r="A26851" s="2">
        <v>26846</v>
      </c>
      <c r="B26851" s="11" t="str">
        <f>"01053304"</f>
        <v>01053304</v>
      </c>
    </row>
    <row r="26852" spans="1:2" x14ac:dyDescent="0.25">
      <c r="A26852" s="2">
        <v>26847</v>
      </c>
      <c r="B26852" s="11" t="str">
        <f>"01053357"</f>
        <v>01053357</v>
      </c>
    </row>
    <row r="26853" spans="1:2" x14ac:dyDescent="0.25">
      <c r="A26853" s="2">
        <v>26848</v>
      </c>
      <c r="B26853" s="11" t="str">
        <f>"01053391"</f>
        <v>01053391</v>
      </c>
    </row>
    <row r="26854" spans="1:2" x14ac:dyDescent="0.25">
      <c r="A26854" s="2">
        <v>26849</v>
      </c>
      <c r="B26854" s="11" t="str">
        <f>"01053397"</f>
        <v>01053397</v>
      </c>
    </row>
    <row r="26855" spans="1:2" x14ac:dyDescent="0.25">
      <c r="A26855" s="2">
        <v>26850</v>
      </c>
      <c r="B26855" s="11" t="str">
        <f>"01053491"</f>
        <v>01053491</v>
      </c>
    </row>
    <row r="26856" spans="1:2" x14ac:dyDescent="0.25">
      <c r="A26856" s="2">
        <v>26851</v>
      </c>
      <c r="B26856" s="11" t="str">
        <f>"01053494"</f>
        <v>01053494</v>
      </c>
    </row>
    <row r="26857" spans="1:2" x14ac:dyDescent="0.25">
      <c r="A26857" s="2">
        <v>26852</v>
      </c>
      <c r="B26857" s="11" t="str">
        <f>"01053503"</f>
        <v>01053503</v>
      </c>
    </row>
    <row r="26858" spans="1:2" x14ac:dyDescent="0.25">
      <c r="A26858" s="2">
        <v>26853</v>
      </c>
      <c r="B26858" s="11" t="str">
        <f>"01053511"</f>
        <v>01053511</v>
      </c>
    </row>
    <row r="26859" spans="1:2" x14ac:dyDescent="0.25">
      <c r="A26859" s="2">
        <v>26854</v>
      </c>
      <c r="B26859" s="11" t="str">
        <f>"01053542"</f>
        <v>01053542</v>
      </c>
    </row>
    <row r="26860" spans="1:2" x14ac:dyDescent="0.25">
      <c r="A26860" s="2">
        <v>26855</v>
      </c>
      <c r="B26860" s="11" t="str">
        <f>"01053543"</f>
        <v>01053543</v>
      </c>
    </row>
    <row r="26861" spans="1:2" x14ac:dyDescent="0.25">
      <c r="A26861" s="2">
        <v>26856</v>
      </c>
      <c r="B26861" s="11" t="str">
        <f>"01053566"</f>
        <v>01053566</v>
      </c>
    </row>
    <row r="26862" spans="1:2" x14ac:dyDescent="0.25">
      <c r="A26862" s="2">
        <v>26857</v>
      </c>
      <c r="B26862" s="11" t="str">
        <f>"01053585"</f>
        <v>01053585</v>
      </c>
    </row>
    <row r="26863" spans="1:2" x14ac:dyDescent="0.25">
      <c r="A26863" s="2">
        <v>26858</v>
      </c>
      <c r="B26863" s="11" t="str">
        <f>"01053586"</f>
        <v>01053586</v>
      </c>
    </row>
    <row r="26864" spans="1:2" x14ac:dyDescent="0.25">
      <c r="A26864" s="2">
        <v>26859</v>
      </c>
      <c r="B26864" s="11" t="str">
        <f>"01053623"</f>
        <v>01053623</v>
      </c>
    </row>
    <row r="26865" spans="1:2" x14ac:dyDescent="0.25">
      <c r="A26865" s="2">
        <v>26860</v>
      </c>
      <c r="B26865" s="11" t="str">
        <f>"01053657"</f>
        <v>01053657</v>
      </c>
    </row>
    <row r="26866" spans="1:2" x14ac:dyDescent="0.25">
      <c r="A26866" s="2">
        <v>26861</v>
      </c>
      <c r="B26866" s="11" t="str">
        <f>"01053663"</f>
        <v>01053663</v>
      </c>
    </row>
    <row r="26867" spans="1:2" x14ac:dyDescent="0.25">
      <c r="A26867" s="2">
        <v>26862</v>
      </c>
      <c r="B26867" s="11" t="str">
        <f>"01053687"</f>
        <v>01053687</v>
      </c>
    </row>
    <row r="26868" spans="1:2" x14ac:dyDescent="0.25">
      <c r="A26868" s="2">
        <v>26863</v>
      </c>
      <c r="B26868" s="11" t="str">
        <f>"01053710"</f>
        <v>01053710</v>
      </c>
    </row>
    <row r="26869" spans="1:2" x14ac:dyDescent="0.25">
      <c r="A26869" s="2">
        <v>26864</v>
      </c>
      <c r="B26869" s="11" t="str">
        <f>"01053744"</f>
        <v>01053744</v>
      </c>
    </row>
    <row r="26870" spans="1:2" x14ac:dyDescent="0.25">
      <c r="A26870" s="2">
        <v>26865</v>
      </c>
      <c r="B26870" s="11" t="str">
        <f>"01053760"</f>
        <v>01053760</v>
      </c>
    </row>
    <row r="26871" spans="1:2" x14ac:dyDescent="0.25">
      <c r="A26871" s="2">
        <v>26866</v>
      </c>
      <c r="B26871" s="11" t="str">
        <f>"01053771"</f>
        <v>01053771</v>
      </c>
    </row>
    <row r="26872" spans="1:2" x14ac:dyDescent="0.25">
      <c r="A26872" s="2">
        <v>26867</v>
      </c>
      <c r="B26872" s="11" t="str">
        <f>"01053773"</f>
        <v>01053773</v>
      </c>
    </row>
    <row r="26873" spans="1:2" x14ac:dyDescent="0.25">
      <c r="A26873" s="2">
        <v>26868</v>
      </c>
      <c r="B26873" s="11" t="str">
        <f>"01053776"</f>
        <v>01053776</v>
      </c>
    </row>
    <row r="26874" spans="1:2" x14ac:dyDescent="0.25">
      <c r="A26874" s="2">
        <v>26869</v>
      </c>
      <c r="B26874" s="11" t="str">
        <f>"01053789"</f>
        <v>01053789</v>
      </c>
    </row>
    <row r="26875" spans="1:2" x14ac:dyDescent="0.25">
      <c r="A26875" s="2">
        <v>26870</v>
      </c>
      <c r="B26875" s="11" t="str">
        <f>"01053816"</f>
        <v>01053816</v>
      </c>
    </row>
    <row r="26876" spans="1:2" x14ac:dyDescent="0.25">
      <c r="A26876" s="2">
        <v>26871</v>
      </c>
      <c r="B26876" s="11" t="str">
        <f>"01053824"</f>
        <v>01053824</v>
      </c>
    </row>
    <row r="26877" spans="1:2" x14ac:dyDescent="0.25">
      <c r="A26877" s="2">
        <v>26872</v>
      </c>
      <c r="B26877" s="11" t="str">
        <f>"01053825"</f>
        <v>01053825</v>
      </c>
    </row>
    <row r="26878" spans="1:2" x14ac:dyDescent="0.25">
      <c r="A26878" s="2">
        <v>26873</v>
      </c>
      <c r="B26878" s="11" t="str">
        <f>"01053829"</f>
        <v>01053829</v>
      </c>
    </row>
    <row r="26879" spans="1:2" x14ac:dyDescent="0.25">
      <c r="A26879" s="2">
        <v>26874</v>
      </c>
      <c r="B26879" s="11" t="str">
        <f>"01053838"</f>
        <v>01053838</v>
      </c>
    </row>
    <row r="26880" spans="1:2" x14ac:dyDescent="0.25">
      <c r="A26880" s="2">
        <v>26875</v>
      </c>
      <c r="B26880" s="11" t="str">
        <f>"01053851"</f>
        <v>01053851</v>
      </c>
    </row>
    <row r="26881" spans="1:2" x14ac:dyDescent="0.25">
      <c r="A26881" s="2">
        <v>26876</v>
      </c>
      <c r="B26881" s="11" t="str">
        <f>"01053856"</f>
        <v>01053856</v>
      </c>
    </row>
    <row r="26882" spans="1:2" x14ac:dyDescent="0.25">
      <c r="A26882" s="2">
        <v>26877</v>
      </c>
      <c r="B26882" s="11" t="str">
        <f>"01053894"</f>
        <v>01053894</v>
      </c>
    </row>
    <row r="26883" spans="1:2" x14ac:dyDescent="0.25">
      <c r="A26883" s="2">
        <v>26878</v>
      </c>
      <c r="B26883" s="11" t="str">
        <f>"01053911"</f>
        <v>01053911</v>
      </c>
    </row>
    <row r="26884" spans="1:2" x14ac:dyDescent="0.25">
      <c r="A26884" s="2">
        <v>26879</v>
      </c>
      <c r="B26884" s="11" t="str">
        <f>"01053948"</f>
        <v>01053948</v>
      </c>
    </row>
    <row r="26885" spans="1:2" x14ac:dyDescent="0.25">
      <c r="A26885" s="2">
        <v>26880</v>
      </c>
      <c r="B26885" s="11" t="str">
        <f>"01053975"</f>
        <v>01053975</v>
      </c>
    </row>
    <row r="26886" spans="1:2" x14ac:dyDescent="0.25">
      <c r="A26886" s="2">
        <v>26881</v>
      </c>
      <c r="B26886" s="11" t="str">
        <f>"01054020"</f>
        <v>01054020</v>
      </c>
    </row>
    <row r="26887" spans="1:2" x14ac:dyDescent="0.25">
      <c r="A26887" s="2">
        <v>26882</v>
      </c>
      <c r="B26887" s="11" t="str">
        <f>"01054034"</f>
        <v>01054034</v>
      </c>
    </row>
    <row r="26888" spans="1:2" x14ac:dyDescent="0.25">
      <c r="A26888" s="2">
        <v>26883</v>
      </c>
      <c r="B26888" s="11" t="str">
        <f>"01054036"</f>
        <v>01054036</v>
      </c>
    </row>
    <row r="26889" spans="1:2" x14ac:dyDescent="0.25">
      <c r="A26889" s="2">
        <v>26884</v>
      </c>
      <c r="B26889" s="11" t="str">
        <f>"01054123"</f>
        <v>01054123</v>
      </c>
    </row>
    <row r="26890" spans="1:2" x14ac:dyDescent="0.25">
      <c r="A26890" s="2">
        <v>26885</v>
      </c>
      <c r="B26890" s="11" t="str">
        <f>"01054185"</f>
        <v>01054185</v>
      </c>
    </row>
    <row r="26891" spans="1:2" x14ac:dyDescent="0.25">
      <c r="A26891" s="2">
        <v>26886</v>
      </c>
      <c r="B26891" s="11" t="str">
        <f>"01054186"</f>
        <v>01054186</v>
      </c>
    </row>
    <row r="26892" spans="1:2" x14ac:dyDescent="0.25">
      <c r="A26892" s="2">
        <v>26887</v>
      </c>
      <c r="B26892" s="11" t="str">
        <f>"01054187"</f>
        <v>01054187</v>
      </c>
    </row>
    <row r="26893" spans="1:2" x14ac:dyDescent="0.25">
      <c r="A26893" s="2">
        <v>26888</v>
      </c>
      <c r="B26893" s="11" t="str">
        <f>"01054189"</f>
        <v>01054189</v>
      </c>
    </row>
    <row r="26894" spans="1:2" x14ac:dyDescent="0.25">
      <c r="A26894" s="2">
        <v>26889</v>
      </c>
      <c r="B26894" s="11" t="str">
        <f>"01054190"</f>
        <v>01054190</v>
      </c>
    </row>
    <row r="26895" spans="1:2" x14ac:dyDescent="0.25">
      <c r="A26895" s="2">
        <v>26890</v>
      </c>
      <c r="B26895" s="11" t="str">
        <f>"01054193"</f>
        <v>01054193</v>
      </c>
    </row>
    <row r="26896" spans="1:2" x14ac:dyDescent="0.25">
      <c r="A26896" s="2">
        <v>26891</v>
      </c>
      <c r="B26896" s="11" t="str">
        <f>"01054223"</f>
        <v>01054223</v>
      </c>
    </row>
    <row r="26897" spans="1:2" x14ac:dyDescent="0.25">
      <c r="A26897" s="2">
        <v>26892</v>
      </c>
      <c r="B26897" s="11" t="str">
        <f>"01054228"</f>
        <v>01054228</v>
      </c>
    </row>
    <row r="26898" spans="1:2" x14ac:dyDescent="0.25">
      <c r="A26898" s="2">
        <v>26893</v>
      </c>
      <c r="B26898" s="11" t="str">
        <f>"01054230"</f>
        <v>01054230</v>
      </c>
    </row>
    <row r="26899" spans="1:2" x14ac:dyDescent="0.25">
      <c r="A26899" s="2">
        <v>26894</v>
      </c>
      <c r="B26899" s="11" t="str">
        <f>"01054250"</f>
        <v>01054250</v>
      </c>
    </row>
    <row r="26900" spans="1:2" x14ac:dyDescent="0.25">
      <c r="A26900" s="2">
        <v>26895</v>
      </c>
      <c r="B26900" s="11" t="str">
        <f>"01054267"</f>
        <v>01054267</v>
      </c>
    </row>
    <row r="26901" spans="1:2" x14ac:dyDescent="0.25">
      <c r="A26901" s="2">
        <v>26896</v>
      </c>
      <c r="B26901" s="11" t="str">
        <f>"01054271"</f>
        <v>01054271</v>
      </c>
    </row>
    <row r="26902" spans="1:2" x14ac:dyDescent="0.25">
      <c r="A26902" s="2">
        <v>26897</v>
      </c>
      <c r="B26902" s="11" t="str">
        <f>"01054290"</f>
        <v>01054290</v>
      </c>
    </row>
    <row r="26903" spans="1:2" x14ac:dyDescent="0.25">
      <c r="A26903" s="2">
        <v>26898</v>
      </c>
      <c r="B26903" s="11" t="str">
        <f>"01054299"</f>
        <v>01054299</v>
      </c>
    </row>
    <row r="26904" spans="1:2" x14ac:dyDescent="0.25">
      <c r="A26904" s="2">
        <v>26899</v>
      </c>
      <c r="B26904" s="11" t="str">
        <f>"01054300"</f>
        <v>01054300</v>
      </c>
    </row>
    <row r="26905" spans="1:2" x14ac:dyDescent="0.25">
      <c r="A26905" s="2">
        <v>26900</v>
      </c>
      <c r="B26905" s="11" t="str">
        <f>"01054308"</f>
        <v>01054308</v>
      </c>
    </row>
    <row r="26906" spans="1:2" x14ac:dyDescent="0.25">
      <c r="A26906" s="2">
        <v>26901</v>
      </c>
      <c r="B26906" s="11" t="str">
        <f>"01054334"</f>
        <v>01054334</v>
      </c>
    </row>
    <row r="26907" spans="1:2" x14ac:dyDescent="0.25">
      <c r="A26907" s="2">
        <v>26902</v>
      </c>
      <c r="B26907" s="11" t="str">
        <f>"01054336"</f>
        <v>01054336</v>
      </c>
    </row>
    <row r="26908" spans="1:2" x14ac:dyDescent="0.25">
      <c r="A26908" s="2">
        <v>26903</v>
      </c>
      <c r="B26908" s="11" t="str">
        <f>"01054369"</f>
        <v>01054369</v>
      </c>
    </row>
    <row r="26909" spans="1:2" x14ac:dyDescent="0.25">
      <c r="A26909" s="2">
        <v>26904</v>
      </c>
      <c r="B26909" s="11" t="str">
        <f>"01054372"</f>
        <v>01054372</v>
      </c>
    </row>
    <row r="26910" spans="1:2" x14ac:dyDescent="0.25">
      <c r="A26910" s="2">
        <v>26905</v>
      </c>
      <c r="B26910" s="11" t="str">
        <f>"01054381"</f>
        <v>01054381</v>
      </c>
    </row>
    <row r="26911" spans="1:2" x14ac:dyDescent="0.25">
      <c r="A26911" s="2">
        <v>26906</v>
      </c>
      <c r="B26911" s="11" t="str">
        <f>"01054385"</f>
        <v>01054385</v>
      </c>
    </row>
    <row r="26912" spans="1:2" x14ac:dyDescent="0.25">
      <c r="A26912" s="2">
        <v>26907</v>
      </c>
      <c r="B26912" s="11" t="str">
        <f>"01054388"</f>
        <v>01054388</v>
      </c>
    </row>
    <row r="26913" spans="1:2" x14ac:dyDescent="0.25">
      <c r="A26913" s="2">
        <v>26908</v>
      </c>
      <c r="B26913" s="11" t="str">
        <f>"01054390"</f>
        <v>01054390</v>
      </c>
    </row>
    <row r="26914" spans="1:2" x14ac:dyDescent="0.25">
      <c r="A26914" s="2">
        <v>26909</v>
      </c>
      <c r="B26914" s="11" t="str">
        <f>"01054404"</f>
        <v>01054404</v>
      </c>
    </row>
    <row r="26915" spans="1:2" x14ac:dyDescent="0.25">
      <c r="A26915" s="2">
        <v>26910</v>
      </c>
      <c r="B26915" s="11" t="str">
        <f>"01054419"</f>
        <v>01054419</v>
      </c>
    </row>
    <row r="26916" spans="1:2" x14ac:dyDescent="0.25">
      <c r="A26916" s="2">
        <v>26911</v>
      </c>
      <c r="B26916" s="11" t="str">
        <f>"01054422"</f>
        <v>01054422</v>
      </c>
    </row>
    <row r="26917" spans="1:2" x14ac:dyDescent="0.25">
      <c r="A26917" s="2">
        <v>26912</v>
      </c>
      <c r="B26917" s="11" t="str">
        <f>"01054423"</f>
        <v>01054423</v>
      </c>
    </row>
    <row r="26918" spans="1:2" x14ac:dyDescent="0.25">
      <c r="A26918" s="2">
        <v>26913</v>
      </c>
      <c r="B26918" s="11" t="str">
        <f>"01054453"</f>
        <v>01054453</v>
      </c>
    </row>
    <row r="26919" spans="1:2" x14ac:dyDescent="0.25">
      <c r="A26919" s="2">
        <v>26914</v>
      </c>
      <c r="B26919" s="11" t="str">
        <f>"01054464"</f>
        <v>01054464</v>
      </c>
    </row>
    <row r="26920" spans="1:2" x14ac:dyDescent="0.25">
      <c r="A26920" s="2">
        <v>26915</v>
      </c>
      <c r="B26920" s="11" t="str">
        <f>"01054469"</f>
        <v>01054469</v>
      </c>
    </row>
    <row r="26921" spans="1:2" x14ac:dyDescent="0.25">
      <c r="A26921" s="2">
        <v>26916</v>
      </c>
      <c r="B26921" s="11" t="str">
        <f>"01054491"</f>
        <v>01054491</v>
      </c>
    </row>
    <row r="26922" spans="1:2" x14ac:dyDescent="0.25">
      <c r="A26922" s="2">
        <v>26917</v>
      </c>
      <c r="B26922" s="11" t="str">
        <f>"01054492"</f>
        <v>01054492</v>
      </c>
    </row>
    <row r="26923" spans="1:2" x14ac:dyDescent="0.25">
      <c r="A26923" s="2">
        <v>26918</v>
      </c>
      <c r="B26923" s="11" t="str">
        <f>"01054533"</f>
        <v>01054533</v>
      </c>
    </row>
    <row r="26924" spans="1:2" x14ac:dyDescent="0.25">
      <c r="A26924" s="2">
        <v>26919</v>
      </c>
      <c r="B26924" s="11" t="str">
        <f>"01054588"</f>
        <v>01054588</v>
      </c>
    </row>
    <row r="26925" spans="1:2" x14ac:dyDescent="0.25">
      <c r="A26925" s="2">
        <v>26920</v>
      </c>
      <c r="B26925" s="11" t="str">
        <f>"01054650"</f>
        <v>01054650</v>
      </c>
    </row>
    <row r="26926" spans="1:2" x14ac:dyDescent="0.25">
      <c r="A26926" s="2">
        <v>26921</v>
      </c>
      <c r="B26926" s="11" t="str">
        <f>"01054653"</f>
        <v>01054653</v>
      </c>
    </row>
    <row r="26927" spans="1:2" x14ac:dyDescent="0.25">
      <c r="A26927" s="2">
        <v>26922</v>
      </c>
      <c r="B26927" s="11" t="str">
        <f>"01054662"</f>
        <v>01054662</v>
      </c>
    </row>
    <row r="26928" spans="1:2" x14ac:dyDescent="0.25">
      <c r="A26928" s="2">
        <v>26923</v>
      </c>
      <c r="B26928" s="11" t="str">
        <f>"01054673"</f>
        <v>01054673</v>
      </c>
    </row>
    <row r="26929" spans="1:2" x14ac:dyDescent="0.25">
      <c r="A26929" s="2">
        <v>26924</v>
      </c>
      <c r="B26929" s="11" t="str">
        <f>"01054677"</f>
        <v>01054677</v>
      </c>
    </row>
    <row r="26930" spans="1:2" x14ac:dyDescent="0.25">
      <c r="A26930" s="2">
        <v>26925</v>
      </c>
      <c r="B26930" s="11" t="str">
        <f>"01054681"</f>
        <v>01054681</v>
      </c>
    </row>
    <row r="26931" spans="1:2" x14ac:dyDescent="0.25">
      <c r="A26931" s="2">
        <v>26926</v>
      </c>
      <c r="B26931" s="11" t="str">
        <f>"01054688"</f>
        <v>01054688</v>
      </c>
    </row>
    <row r="26932" spans="1:2" x14ac:dyDescent="0.25">
      <c r="A26932" s="2">
        <v>26927</v>
      </c>
      <c r="B26932" s="11" t="str">
        <f>"01054697"</f>
        <v>01054697</v>
      </c>
    </row>
    <row r="26933" spans="1:2" x14ac:dyDescent="0.25">
      <c r="A26933" s="2">
        <v>26928</v>
      </c>
      <c r="B26933" s="11" t="str">
        <f>"01054715"</f>
        <v>01054715</v>
      </c>
    </row>
    <row r="26934" spans="1:2" x14ac:dyDescent="0.25">
      <c r="A26934" s="2">
        <v>26929</v>
      </c>
      <c r="B26934" s="11" t="str">
        <f>"01054727"</f>
        <v>01054727</v>
      </c>
    </row>
    <row r="26935" spans="1:2" x14ac:dyDescent="0.25">
      <c r="A26935" s="2">
        <v>26930</v>
      </c>
      <c r="B26935" s="11" t="str">
        <f>"01054764"</f>
        <v>01054764</v>
      </c>
    </row>
    <row r="26936" spans="1:2" x14ac:dyDescent="0.25">
      <c r="A26936" s="2">
        <v>26931</v>
      </c>
      <c r="B26936" s="11" t="str">
        <f>"01054777"</f>
        <v>01054777</v>
      </c>
    </row>
    <row r="26937" spans="1:2" x14ac:dyDescent="0.25">
      <c r="A26937" s="2">
        <v>26932</v>
      </c>
      <c r="B26937" s="11" t="str">
        <f>"01054863"</f>
        <v>01054863</v>
      </c>
    </row>
    <row r="26938" spans="1:2" x14ac:dyDescent="0.25">
      <c r="A26938" s="2">
        <v>26933</v>
      </c>
      <c r="B26938" s="11" t="str">
        <f>"01054872"</f>
        <v>01054872</v>
      </c>
    </row>
    <row r="26939" spans="1:2" x14ac:dyDescent="0.25">
      <c r="A26939" s="2">
        <v>26934</v>
      </c>
      <c r="B26939" s="11" t="str">
        <f>"01054904"</f>
        <v>01054904</v>
      </c>
    </row>
    <row r="26940" spans="1:2" x14ac:dyDescent="0.25">
      <c r="A26940" s="2">
        <v>26935</v>
      </c>
      <c r="B26940" s="11" t="str">
        <f>"01054929"</f>
        <v>01054929</v>
      </c>
    </row>
    <row r="26941" spans="1:2" x14ac:dyDescent="0.25">
      <c r="A26941" s="2">
        <v>26936</v>
      </c>
      <c r="B26941" s="11" t="str">
        <f>"01054931"</f>
        <v>01054931</v>
      </c>
    </row>
    <row r="26942" spans="1:2" x14ac:dyDescent="0.25">
      <c r="A26942" s="2">
        <v>26937</v>
      </c>
      <c r="B26942" s="11" t="str">
        <f>"01054935"</f>
        <v>01054935</v>
      </c>
    </row>
    <row r="26943" spans="1:2" x14ac:dyDescent="0.25">
      <c r="A26943" s="2">
        <v>26938</v>
      </c>
      <c r="B26943" s="11" t="str">
        <f>"01054945"</f>
        <v>01054945</v>
      </c>
    </row>
    <row r="26944" spans="1:2" x14ac:dyDescent="0.25">
      <c r="A26944" s="2">
        <v>26939</v>
      </c>
      <c r="B26944" s="11" t="str">
        <f>"01054959"</f>
        <v>01054959</v>
      </c>
    </row>
    <row r="26945" spans="1:2" x14ac:dyDescent="0.25">
      <c r="A26945" s="2">
        <v>26940</v>
      </c>
      <c r="B26945" s="11" t="str">
        <f>"01055066"</f>
        <v>01055066</v>
      </c>
    </row>
    <row r="26946" spans="1:2" x14ac:dyDescent="0.25">
      <c r="A26946" s="2">
        <v>26941</v>
      </c>
      <c r="B26946" s="11" t="str">
        <f>"01055068"</f>
        <v>01055068</v>
      </c>
    </row>
    <row r="26947" spans="1:2" x14ac:dyDescent="0.25">
      <c r="A26947" s="2">
        <v>26942</v>
      </c>
      <c r="B26947" s="11" t="str">
        <f>"01055072"</f>
        <v>01055072</v>
      </c>
    </row>
    <row r="26948" spans="1:2" x14ac:dyDescent="0.25">
      <c r="A26948" s="2">
        <v>26943</v>
      </c>
      <c r="B26948" s="11" t="str">
        <f>"01055095"</f>
        <v>01055095</v>
      </c>
    </row>
    <row r="26949" spans="1:2" x14ac:dyDescent="0.25">
      <c r="A26949" s="2">
        <v>26944</v>
      </c>
      <c r="B26949" s="11" t="str">
        <f>"01055099"</f>
        <v>01055099</v>
      </c>
    </row>
    <row r="26950" spans="1:2" x14ac:dyDescent="0.25">
      <c r="A26950" s="2">
        <v>26945</v>
      </c>
      <c r="B26950" s="11" t="str">
        <f>"01055106"</f>
        <v>01055106</v>
      </c>
    </row>
    <row r="26951" spans="1:2" x14ac:dyDescent="0.25">
      <c r="A26951" s="2">
        <v>26946</v>
      </c>
      <c r="B26951" s="11" t="str">
        <f>"01055107"</f>
        <v>01055107</v>
      </c>
    </row>
    <row r="26952" spans="1:2" x14ac:dyDescent="0.25">
      <c r="A26952" s="2">
        <v>26947</v>
      </c>
      <c r="B26952" s="11" t="str">
        <f>"01055110"</f>
        <v>01055110</v>
      </c>
    </row>
    <row r="26953" spans="1:2" x14ac:dyDescent="0.25">
      <c r="A26953" s="2">
        <v>26948</v>
      </c>
      <c r="B26953" s="11" t="str">
        <f>"01055113"</f>
        <v>01055113</v>
      </c>
    </row>
    <row r="26954" spans="1:2" x14ac:dyDescent="0.25">
      <c r="A26954" s="2">
        <v>26949</v>
      </c>
      <c r="B26954" s="11" t="str">
        <f>"01055142"</f>
        <v>01055142</v>
      </c>
    </row>
    <row r="26955" spans="1:2" x14ac:dyDescent="0.25">
      <c r="A26955" s="2">
        <v>26950</v>
      </c>
      <c r="B26955" s="11" t="str">
        <f>"01055157"</f>
        <v>01055157</v>
      </c>
    </row>
    <row r="26956" spans="1:2" x14ac:dyDescent="0.25">
      <c r="A26956" s="2">
        <v>26951</v>
      </c>
      <c r="B26956" s="11" t="str">
        <f>"01055158"</f>
        <v>01055158</v>
      </c>
    </row>
    <row r="26957" spans="1:2" x14ac:dyDescent="0.25">
      <c r="A26957" s="2">
        <v>26952</v>
      </c>
      <c r="B26957" s="11" t="str">
        <f>"01055170"</f>
        <v>01055170</v>
      </c>
    </row>
    <row r="26958" spans="1:2" x14ac:dyDescent="0.25">
      <c r="A26958" s="2">
        <v>26953</v>
      </c>
      <c r="B26958" s="11" t="str">
        <f>"01055217"</f>
        <v>01055217</v>
      </c>
    </row>
    <row r="26959" spans="1:2" x14ac:dyDescent="0.25">
      <c r="A26959" s="2">
        <v>26954</v>
      </c>
      <c r="B26959" s="11" t="str">
        <f>"01055238"</f>
        <v>01055238</v>
      </c>
    </row>
    <row r="26960" spans="1:2" x14ac:dyDescent="0.25">
      <c r="A26960" s="2">
        <v>26955</v>
      </c>
      <c r="B26960" s="11" t="str">
        <f>"01055261"</f>
        <v>01055261</v>
      </c>
    </row>
    <row r="26961" spans="1:2" x14ac:dyDescent="0.25">
      <c r="A26961" s="2">
        <v>26956</v>
      </c>
      <c r="B26961" s="11" t="str">
        <f>"01055270"</f>
        <v>01055270</v>
      </c>
    </row>
    <row r="26962" spans="1:2" x14ac:dyDescent="0.25">
      <c r="A26962" s="2">
        <v>26957</v>
      </c>
      <c r="B26962" s="11" t="str">
        <f>"01055278"</f>
        <v>01055278</v>
      </c>
    </row>
    <row r="26963" spans="1:2" x14ac:dyDescent="0.25">
      <c r="A26963" s="2">
        <v>26958</v>
      </c>
      <c r="B26963" s="11" t="str">
        <f>"01055302"</f>
        <v>01055302</v>
      </c>
    </row>
    <row r="26964" spans="1:2" x14ac:dyDescent="0.25">
      <c r="A26964" s="2">
        <v>26959</v>
      </c>
      <c r="B26964" s="11" t="str">
        <f>"01055314"</f>
        <v>01055314</v>
      </c>
    </row>
    <row r="26965" spans="1:2" x14ac:dyDescent="0.25">
      <c r="A26965" s="2">
        <v>26960</v>
      </c>
      <c r="B26965" s="11" t="str">
        <f>"01055327"</f>
        <v>01055327</v>
      </c>
    </row>
    <row r="26966" spans="1:2" x14ac:dyDescent="0.25">
      <c r="A26966" s="2">
        <v>26961</v>
      </c>
      <c r="B26966" s="11" t="str">
        <f>"01055340"</f>
        <v>01055340</v>
      </c>
    </row>
    <row r="26967" spans="1:2" x14ac:dyDescent="0.25">
      <c r="A26967" s="2">
        <v>26962</v>
      </c>
      <c r="B26967" s="11" t="str">
        <f>"01055341"</f>
        <v>01055341</v>
      </c>
    </row>
    <row r="26968" spans="1:2" x14ac:dyDescent="0.25">
      <c r="A26968" s="2">
        <v>26963</v>
      </c>
      <c r="B26968" s="11" t="str">
        <f>"01055344"</f>
        <v>01055344</v>
      </c>
    </row>
    <row r="26969" spans="1:2" x14ac:dyDescent="0.25">
      <c r="A26969" s="2">
        <v>26964</v>
      </c>
      <c r="B26969" s="11" t="str">
        <f>"01055372"</f>
        <v>01055372</v>
      </c>
    </row>
    <row r="26970" spans="1:2" x14ac:dyDescent="0.25">
      <c r="A26970" s="2">
        <v>26965</v>
      </c>
      <c r="B26970" s="11" t="str">
        <f>"01055374"</f>
        <v>01055374</v>
      </c>
    </row>
    <row r="26971" spans="1:2" x14ac:dyDescent="0.25">
      <c r="A26971" s="2">
        <v>26966</v>
      </c>
      <c r="B26971" s="11" t="str">
        <f>"01055396"</f>
        <v>01055396</v>
      </c>
    </row>
    <row r="26972" spans="1:2" x14ac:dyDescent="0.25">
      <c r="A26972" s="2">
        <v>26967</v>
      </c>
      <c r="B26972" s="11" t="str">
        <f>"01055422"</f>
        <v>01055422</v>
      </c>
    </row>
    <row r="26973" spans="1:2" x14ac:dyDescent="0.25">
      <c r="A26973" s="2">
        <v>26968</v>
      </c>
      <c r="B26973" s="11" t="str">
        <f>"01055459"</f>
        <v>01055459</v>
      </c>
    </row>
    <row r="26974" spans="1:2" x14ac:dyDescent="0.25">
      <c r="A26974" s="2">
        <v>26969</v>
      </c>
      <c r="B26974" s="11" t="str">
        <f>"01055475"</f>
        <v>01055475</v>
      </c>
    </row>
    <row r="26975" spans="1:2" x14ac:dyDescent="0.25">
      <c r="A26975" s="2">
        <v>26970</v>
      </c>
      <c r="B26975" s="11" t="str">
        <f>"01055478"</f>
        <v>01055478</v>
      </c>
    </row>
    <row r="26976" spans="1:2" x14ac:dyDescent="0.25">
      <c r="A26976" s="2">
        <v>26971</v>
      </c>
      <c r="B26976" s="11" t="str">
        <f>"01055495"</f>
        <v>01055495</v>
      </c>
    </row>
    <row r="26977" spans="1:2" x14ac:dyDescent="0.25">
      <c r="A26977" s="2">
        <v>26972</v>
      </c>
      <c r="B26977" s="11" t="str">
        <f>"01055507"</f>
        <v>01055507</v>
      </c>
    </row>
    <row r="26978" spans="1:2" x14ac:dyDescent="0.25">
      <c r="A26978" s="2">
        <v>26973</v>
      </c>
      <c r="B26978" s="11" t="str">
        <f>"01055508"</f>
        <v>01055508</v>
      </c>
    </row>
    <row r="26979" spans="1:2" x14ac:dyDescent="0.25">
      <c r="A26979" s="2">
        <v>26974</v>
      </c>
      <c r="B26979" s="11" t="str">
        <f>"01055513"</f>
        <v>01055513</v>
      </c>
    </row>
    <row r="26980" spans="1:2" x14ac:dyDescent="0.25">
      <c r="A26980" s="2">
        <v>26975</v>
      </c>
      <c r="B26980" s="11" t="str">
        <f>"01055516"</f>
        <v>01055516</v>
      </c>
    </row>
    <row r="26981" spans="1:2" x14ac:dyDescent="0.25">
      <c r="A26981" s="2">
        <v>26976</v>
      </c>
      <c r="B26981" s="11" t="str">
        <f>"01055519"</f>
        <v>01055519</v>
      </c>
    </row>
    <row r="26982" spans="1:2" x14ac:dyDescent="0.25">
      <c r="A26982" s="2">
        <v>26977</v>
      </c>
      <c r="B26982" s="11" t="str">
        <f>"01055547"</f>
        <v>01055547</v>
      </c>
    </row>
    <row r="26983" spans="1:2" x14ac:dyDescent="0.25">
      <c r="A26983" s="2">
        <v>26978</v>
      </c>
      <c r="B26983" s="11" t="str">
        <f>"01055560"</f>
        <v>01055560</v>
      </c>
    </row>
    <row r="26984" spans="1:2" x14ac:dyDescent="0.25">
      <c r="A26984" s="2">
        <v>26979</v>
      </c>
      <c r="B26984" s="11" t="str">
        <f>"01055567"</f>
        <v>01055567</v>
      </c>
    </row>
    <row r="26985" spans="1:2" x14ac:dyDescent="0.25">
      <c r="A26985" s="2">
        <v>26980</v>
      </c>
      <c r="B26985" s="11" t="str">
        <f>"01055571"</f>
        <v>01055571</v>
      </c>
    </row>
    <row r="26986" spans="1:2" x14ac:dyDescent="0.25">
      <c r="A26986" s="2">
        <v>26981</v>
      </c>
      <c r="B26986" s="11" t="str">
        <f>"01055572"</f>
        <v>01055572</v>
      </c>
    </row>
    <row r="26987" spans="1:2" x14ac:dyDescent="0.25">
      <c r="A26987" s="2">
        <v>26982</v>
      </c>
      <c r="B26987" s="11" t="str">
        <f>"01055649"</f>
        <v>01055649</v>
      </c>
    </row>
    <row r="26988" spans="1:2" x14ac:dyDescent="0.25">
      <c r="A26988" s="2">
        <v>26983</v>
      </c>
      <c r="B26988" s="11" t="str">
        <f>"01055650"</f>
        <v>01055650</v>
      </c>
    </row>
    <row r="26989" spans="1:2" x14ac:dyDescent="0.25">
      <c r="A26989" s="2">
        <v>26984</v>
      </c>
      <c r="B26989" s="11" t="str">
        <f>"01055689"</f>
        <v>01055689</v>
      </c>
    </row>
    <row r="26990" spans="1:2" x14ac:dyDescent="0.25">
      <c r="A26990" s="2">
        <v>26985</v>
      </c>
      <c r="B26990" s="11" t="str">
        <f>"01055713"</f>
        <v>01055713</v>
      </c>
    </row>
    <row r="26991" spans="1:2" x14ac:dyDescent="0.25">
      <c r="A26991" s="2">
        <v>26986</v>
      </c>
      <c r="B26991" s="11" t="str">
        <f>"01055750"</f>
        <v>01055750</v>
      </c>
    </row>
    <row r="26992" spans="1:2" x14ac:dyDescent="0.25">
      <c r="A26992" s="2">
        <v>26987</v>
      </c>
      <c r="B26992" s="11" t="str">
        <f>"01055751"</f>
        <v>01055751</v>
      </c>
    </row>
    <row r="26993" spans="1:2" x14ac:dyDescent="0.25">
      <c r="A26993" s="2">
        <v>26988</v>
      </c>
      <c r="B26993" s="11" t="str">
        <f>"01055756"</f>
        <v>01055756</v>
      </c>
    </row>
    <row r="26994" spans="1:2" x14ac:dyDescent="0.25">
      <c r="A26994" s="2">
        <v>26989</v>
      </c>
      <c r="B26994" s="11" t="str">
        <f>"01055772"</f>
        <v>01055772</v>
      </c>
    </row>
    <row r="26995" spans="1:2" x14ac:dyDescent="0.25">
      <c r="A26995" s="2">
        <v>26990</v>
      </c>
      <c r="B26995" s="11" t="str">
        <f>"01055801"</f>
        <v>01055801</v>
      </c>
    </row>
    <row r="26996" spans="1:2" x14ac:dyDescent="0.25">
      <c r="A26996" s="2">
        <v>26991</v>
      </c>
      <c r="B26996" s="11" t="str">
        <f>"01055821"</f>
        <v>01055821</v>
      </c>
    </row>
    <row r="26997" spans="1:2" x14ac:dyDescent="0.25">
      <c r="A26997" s="2">
        <v>26992</v>
      </c>
      <c r="B26997" s="11" t="str">
        <f>"01055823"</f>
        <v>01055823</v>
      </c>
    </row>
    <row r="26998" spans="1:2" x14ac:dyDescent="0.25">
      <c r="A26998" s="2">
        <v>26993</v>
      </c>
      <c r="B26998" s="11" t="str">
        <f>"01055830"</f>
        <v>01055830</v>
      </c>
    </row>
    <row r="26999" spans="1:2" x14ac:dyDescent="0.25">
      <c r="A26999" s="2">
        <v>26994</v>
      </c>
      <c r="B26999" s="11" t="str">
        <f>"01055850"</f>
        <v>01055850</v>
      </c>
    </row>
    <row r="27000" spans="1:2" x14ac:dyDescent="0.25">
      <c r="A27000" s="2">
        <v>26995</v>
      </c>
      <c r="B27000" s="11" t="str">
        <f>"01055851"</f>
        <v>01055851</v>
      </c>
    </row>
    <row r="27001" spans="1:2" x14ac:dyDescent="0.25">
      <c r="A27001" s="2">
        <v>26996</v>
      </c>
      <c r="B27001" s="11" t="str">
        <f>"01055861"</f>
        <v>01055861</v>
      </c>
    </row>
    <row r="27002" spans="1:2" x14ac:dyDescent="0.25">
      <c r="A27002" s="2">
        <v>26997</v>
      </c>
      <c r="B27002" s="11" t="str">
        <f>"01055896"</f>
        <v>01055896</v>
      </c>
    </row>
    <row r="27003" spans="1:2" x14ac:dyDescent="0.25">
      <c r="A27003" s="2">
        <v>26998</v>
      </c>
      <c r="B27003" s="11" t="str">
        <f>"01055902"</f>
        <v>01055902</v>
      </c>
    </row>
    <row r="27004" spans="1:2" x14ac:dyDescent="0.25">
      <c r="A27004" s="2">
        <v>26999</v>
      </c>
      <c r="B27004" s="11" t="str">
        <f>"01055909"</f>
        <v>01055909</v>
      </c>
    </row>
    <row r="27005" spans="1:2" x14ac:dyDescent="0.25">
      <c r="A27005" s="2">
        <v>27000</v>
      </c>
      <c r="B27005" s="11" t="str">
        <f>"01055924"</f>
        <v>01055924</v>
      </c>
    </row>
    <row r="27006" spans="1:2" x14ac:dyDescent="0.25">
      <c r="A27006" s="2">
        <v>27001</v>
      </c>
      <c r="B27006" s="11" t="str">
        <f>"01055944"</f>
        <v>01055944</v>
      </c>
    </row>
    <row r="27007" spans="1:2" x14ac:dyDescent="0.25">
      <c r="A27007" s="2">
        <v>27002</v>
      </c>
      <c r="B27007" s="11" t="str">
        <f>"01055981"</f>
        <v>01055981</v>
      </c>
    </row>
    <row r="27008" spans="1:2" x14ac:dyDescent="0.25">
      <c r="A27008" s="2">
        <v>27003</v>
      </c>
      <c r="B27008" s="11" t="str">
        <f>"01056041"</f>
        <v>01056041</v>
      </c>
    </row>
    <row r="27009" spans="1:2" x14ac:dyDescent="0.25">
      <c r="A27009" s="2">
        <v>27004</v>
      </c>
      <c r="B27009" s="11" t="str">
        <f>"01056046"</f>
        <v>01056046</v>
      </c>
    </row>
    <row r="27010" spans="1:2" x14ac:dyDescent="0.25">
      <c r="A27010" s="2">
        <v>27005</v>
      </c>
      <c r="B27010" s="11" t="str">
        <f>"01056069"</f>
        <v>01056069</v>
      </c>
    </row>
    <row r="27011" spans="1:2" x14ac:dyDescent="0.25">
      <c r="A27011" s="2">
        <v>27006</v>
      </c>
      <c r="B27011" s="11" t="str">
        <f>"01056108"</f>
        <v>01056108</v>
      </c>
    </row>
    <row r="27012" spans="1:2" x14ac:dyDescent="0.25">
      <c r="A27012" s="2">
        <v>27007</v>
      </c>
      <c r="B27012" s="11" t="str">
        <f>"01056109"</f>
        <v>01056109</v>
      </c>
    </row>
    <row r="27013" spans="1:2" x14ac:dyDescent="0.25">
      <c r="A27013" s="2">
        <v>27008</v>
      </c>
      <c r="B27013" s="11" t="str">
        <f>"01056117"</f>
        <v>01056117</v>
      </c>
    </row>
    <row r="27014" spans="1:2" x14ac:dyDescent="0.25">
      <c r="A27014" s="2">
        <v>27009</v>
      </c>
      <c r="B27014" s="11" t="str">
        <f>"01056197"</f>
        <v>01056197</v>
      </c>
    </row>
    <row r="27015" spans="1:2" x14ac:dyDescent="0.25">
      <c r="A27015" s="2">
        <v>27010</v>
      </c>
      <c r="B27015" s="11" t="str">
        <f>"01056211"</f>
        <v>01056211</v>
      </c>
    </row>
    <row r="27016" spans="1:2" x14ac:dyDescent="0.25">
      <c r="A27016" s="2">
        <v>27011</v>
      </c>
      <c r="B27016" s="11" t="str">
        <f>"01056265"</f>
        <v>01056265</v>
      </c>
    </row>
    <row r="27017" spans="1:2" x14ac:dyDescent="0.25">
      <c r="A27017" s="2">
        <v>27012</v>
      </c>
      <c r="B27017" s="11" t="str">
        <f>"01056293"</f>
        <v>01056293</v>
      </c>
    </row>
    <row r="27018" spans="1:2" x14ac:dyDescent="0.25">
      <c r="A27018" s="2">
        <v>27013</v>
      </c>
      <c r="B27018" s="11" t="str">
        <f>"01056322"</f>
        <v>01056322</v>
      </c>
    </row>
    <row r="27019" spans="1:2" x14ac:dyDescent="0.25">
      <c r="A27019" s="2">
        <v>27014</v>
      </c>
      <c r="B27019" s="11" t="str">
        <f>"01056331"</f>
        <v>01056331</v>
      </c>
    </row>
    <row r="27020" spans="1:2" x14ac:dyDescent="0.25">
      <c r="A27020" s="2">
        <v>27015</v>
      </c>
      <c r="B27020" s="11" t="str">
        <f>"01056359"</f>
        <v>01056359</v>
      </c>
    </row>
    <row r="27021" spans="1:2" x14ac:dyDescent="0.25">
      <c r="A27021" s="2">
        <v>27016</v>
      </c>
      <c r="B27021" s="11" t="str">
        <f>"01056373"</f>
        <v>01056373</v>
      </c>
    </row>
    <row r="27022" spans="1:2" x14ac:dyDescent="0.25">
      <c r="A27022" s="2">
        <v>27017</v>
      </c>
      <c r="B27022" s="11" t="str">
        <f>"01056375"</f>
        <v>01056375</v>
      </c>
    </row>
    <row r="27023" spans="1:2" x14ac:dyDescent="0.25">
      <c r="A27023" s="2">
        <v>27018</v>
      </c>
      <c r="B27023" s="11" t="str">
        <f>"01056380"</f>
        <v>01056380</v>
      </c>
    </row>
    <row r="27024" spans="1:2" x14ac:dyDescent="0.25">
      <c r="A27024" s="2">
        <v>27019</v>
      </c>
      <c r="B27024" s="11" t="str">
        <f>"01056381"</f>
        <v>01056381</v>
      </c>
    </row>
    <row r="27025" spans="1:2" x14ac:dyDescent="0.25">
      <c r="A27025" s="2">
        <v>27020</v>
      </c>
      <c r="B27025" s="11" t="str">
        <f>"01056391"</f>
        <v>01056391</v>
      </c>
    </row>
    <row r="27026" spans="1:2" x14ac:dyDescent="0.25">
      <c r="A27026" s="2">
        <v>27021</v>
      </c>
      <c r="B27026" s="11" t="str">
        <f>"01056394"</f>
        <v>01056394</v>
      </c>
    </row>
    <row r="27027" spans="1:2" x14ac:dyDescent="0.25">
      <c r="A27027" s="2">
        <v>27022</v>
      </c>
      <c r="B27027" s="11" t="str">
        <f>"01056417"</f>
        <v>01056417</v>
      </c>
    </row>
    <row r="27028" spans="1:2" x14ac:dyDescent="0.25">
      <c r="A27028" s="2">
        <v>27023</v>
      </c>
      <c r="B27028" s="11" t="str">
        <f>"01056424"</f>
        <v>01056424</v>
      </c>
    </row>
    <row r="27029" spans="1:2" x14ac:dyDescent="0.25">
      <c r="A27029" s="2">
        <v>27024</v>
      </c>
      <c r="B27029" s="11" t="str">
        <f>"01056427"</f>
        <v>01056427</v>
      </c>
    </row>
    <row r="27030" spans="1:2" x14ac:dyDescent="0.25">
      <c r="A27030" s="2">
        <v>27025</v>
      </c>
      <c r="B27030" s="11" t="str">
        <f>"01056433"</f>
        <v>01056433</v>
      </c>
    </row>
    <row r="27031" spans="1:2" x14ac:dyDescent="0.25">
      <c r="A27031" s="2">
        <v>27026</v>
      </c>
      <c r="B27031" s="11" t="str">
        <f>"01056435"</f>
        <v>01056435</v>
      </c>
    </row>
    <row r="27032" spans="1:2" x14ac:dyDescent="0.25">
      <c r="A27032" s="2">
        <v>27027</v>
      </c>
      <c r="B27032" s="11" t="str">
        <f>"01056439"</f>
        <v>01056439</v>
      </c>
    </row>
    <row r="27033" spans="1:2" x14ac:dyDescent="0.25">
      <c r="A27033" s="2">
        <v>27028</v>
      </c>
      <c r="B27033" s="11" t="str">
        <f>"01056440"</f>
        <v>01056440</v>
      </c>
    </row>
    <row r="27034" spans="1:2" x14ac:dyDescent="0.25">
      <c r="A27034" s="2">
        <v>27029</v>
      </c>
      <c r="B27034" s="11" t="str">
        <f>"01056441"</f>
        <v>01056441</v>
      </c>
    </row>
    <row r="27035" spans="1:2" x14ac:dyDescent="0.25">
      <c r="A27035" s="2">
        <v>27030</v>
      </c>
      <c r="B27035" s="11" t="str">
        <f>"01056442"</f>
        <v>01056442</v>
      </c>
    </row>
    <row r="27036" spans="1:2" x14ac:dyDescent="0.25">
      <c r="A27036" s="2">
        <v>27031</v>
      </c>
      <c r="B27036" s="11" t="str">
        <f>"01056446"</f>
        <v>01056446</v>
      </c>
    </row>
    <row r="27037" spans="1:2" x14ac:dyDescent="0.25">
      <c r="A27037" s="2">
        <v>27032</v>
      </c>
      <c r="B27037" s="11" t="str">
        <f>"01056455"</f>
        <v>01056455</v>
      </c>
    </row>
    <row r="27038" spans="1:2" x14ac:dyDescent="0.25">
      <c r="A27038" s="2">
        <v>27033</v>
      </c>
      <c r="B27038" s="11" t="str">
        <f>"01056466"</f>
        <v>01056466</v>
      </c>
    </row>
    <row r="27039" spans="1:2" x14ac:dyDescent="0.25">
      <c r="A27039" s="2">
        <v>27034</v>
      </c>
      <c r="B27039" s="11" t="str">
        <f>"01056476"</f>
        <v>01056476</v>
      </c>
    </row>
    <row r="27040" spans="1:2" x14ac:dyDescent="0.25">
      <c r="A27040" s="2">
        <v>27035</v>
      </c>
      <c r="B27040" s="11" t="str">
        <f>"01056499"</f>
        <v>01056499</v>
      </c>
    </row>
    <row r="27041" spans="1:2" x14ac:dyDescent="0.25">
      <c r="A27041" s="2">
        <v>27036</v>
      </c>
      <c r="B27041" s="11" t="str">
        <f>"01056526"</f>
        <v>01056526</v>
      </c>
    </row>
    <row r="27042" spans="1:2" x14ac:dyDescent="0.25">
      <c r="A27042" s="2">
        <v>27037</v>
      </c>
      <c r="B27042" s="11" t="str">
        <f>"01056561"</f>
        <v>01056561</v>
      </c>
    </row>
    <row r="27043" spans="1:2" x14ac:dyDescent="0.25">
      <c r="A27043" s="2">
        <v>27038</v>
      </c>
      <c r="B27043" s="11" t="str">
        <f>"01056562"</f>
        <v>01056562</v>
      </c>
    </row>
    <row r="27044" spans="1:2" x14ac:dyDescent="0.25">
      <c r="A27044" s="2">
        <v>27039</v>
      </c>
      <c r="B27044" s="11" t="str">
        <f>"01056564"</f>
        <v>01056564</v>
      </c>
    </row>
    <row r="27045" spans="1:2" x14ac:dyDescent="0.25">
      <c r="A27045" s="2">
        <v>27040</v>
      </c>
      <c r="B27045" s="11" t="str">
        <f>"01056579"</f>
        <v>01056579</v>
      </c>
    </row>
    <row r="27046" spans="1:2" x14ac:dyDescent="0.25">
      <c r="A27046" s="2">
        <v>27041</v>
      </c>
      <c r="B27046" s="11" t="str">
        <f>"01056583"</f>
        <v>01056583</v>
      </c>
    </row>
    <row r="27047" spans="1:2" x14ac:dyDescent="0.25">
      <c r="A27047" s="2">
        <v>27042</v>
      </c>
      <c r="B27047" s="11" t="str">
        <f>"01056588"</f>
        <v>01056588</v>
      </c>
    </row>
    <row r="27048" spans="1:2" x14ac:dyDescent="0.25">
      <c r="A27048" s="2">
        <v>27043</v>
      </c>
      <c r="B27048" s="11" t="str">
        <f>"01056601"</f>
        <v>01056601</v>
      </c>
    </row>
    <row r="27049" spans="1:2" x14ac:dyDescent="0.25">
      <c r="A27049" s="2">
        <v>27044</v>
      </c>
      <c r="B27049" s="11" t="str">
        <f>"01056611"</f>
        <v>01056611</v>
      </c>
    </row>
    <row r="27050" spans="1:2" x14ac:dyDescent="0.25">
      <c r="A27050" s="2">
        <v>27045</v>
      </c>
      <c r="B27050" s="11" t="str">
        <f>"01056620"</f>
        <v>01056620</v>
      </c>
    </row>
    <row r="27051" spans="1:2" x14ac:dyDescent="0.25">
      <c r="A27051" s="2">
        <v>27046</v>
      </c>
      <c r="B27051" s="11" t="str">
        <f>"01056637"</f>
        <v>01056637</v>
      </c>
    </row>
    <row r="27052" spans="1:2" x14ac:dyDescent="0.25">
      <c r="A27052" s="2">
        <v>27047</v>
      </c>
      <c r="B27052" s="11" t="str">
        <f>"01056657"</f>
        <v>01056657</v>
      </c>
    </row>
    <row r="27053" spans="1:2" x14ac:dyDescent="0.25">
      <c r="A27053" s="2">
        <v>27048</v>
      </c>
      <c r="B27053" s="11" t="str">
        <f>"01056660"</f>
        <v>01056660</v>
      </c>
    </row>
    <row r="27054" spans="1:2" x14ac:dyDescent="0.25">
      <c r="A27054" s="2">
        <v>27049</v>
      </c>
      <c r="B27054" s="11" t="str">
        <f>"01056663"</f>
        <v>01056663</v>
      </c>
    </row>
    <row r="27055" spans="1:2" x14ac:dyDescent="0.25">
      <c r="A27055" s="2">
        <v>27050</v>
      </c>
      <c r="B27055" s="11" t="str">
        <f>"01056666"</f>
        <v>01056666</v>
      </c>
    </row>
    <row r="27056" spans="1:2" x14ac:dyDescent="0.25">
      <c r="A27056" s="2">
        <v>27051</v>
      </c>
      <c r="B27056" s="11" t="str">
        <f>"01056673"</f>
        <v>01056673</v>
      </c>
    </row>
    <row r="27057" spans="1:2" x14ac:dyDescent="0.25">
      <c r="A27057" s="2">
        <v>27052</v>
      </c>
      <c r="B27057" s="11" t="str">
        <f>"01056676"</f>
        <v>01056676</v>
      </c>
    </row>
    <row r="27058" spans="1:2" x14ac:dyDescent="0.25">
      <c r="A27058" s="2">
        <v>27053</v>
      </c>
      <c r="B27058" s="11" t="str">
        <f>"01056682"</f>
        <v>01056682</v>
      </c>
    </row>
    <row r="27059" spans="1:2" x14ac:dyDescent="0.25">
      <c r="A27059" s="2">
        <v>27054</v>
      </c>
      <c r="B27059" s="11" t="str">
        <f>"01056686"</f>
        <v>01056686</v>
      </c>
    </row>
    <row r="27060" spans="1:2" x14ac:dyDescent="0.25">
      <c r="A27060" s="2">
        <v>27055</v>
      </c>
      <c r="B27060" s="11" t="str">
        <f>"01056696"</f>
        <v>01056696</v>
      </c>
    </row>
    <row r="27061" spans="1:2" x14ac:dyDescent="0.25">
      <c r="A27061" s="2">
        <v>27056</v>
      </c>
      <c r="B27061" s="11" t="str">
        <f>"01056717"</f>
        <v>01056717</v>
      </c>
    </row>
    <row r="27062" spans="1:2" x14ac:dyDescent="0.25">
      <c r="A27062" s="2">
        <v>27057</v>
      </c>
      <c r="B27062" s="11" t="str">
        <f>"01056718"</f>
        <v>01056718</v>
      </c>
    </row>
    <row r="27063" spans="1:2" x14ac:dyDescent="0.25">
      <c r="A27063" s="2">
        <v>27058</v>
      </c>
      <c r="B27063" s="11" t="str">
        <f>"01056723"</f>
        <v>01056723</v>
      </c>
    </row>
    <row r="27064" spans="1:2" x14ac:dyDescent="0.25">
      <c r="A27064" s="2">
        <v>27059</v>
      </c>
      <c r="B27064" s="11" t="str">
        <f>"01056732"</f>
        <v>01056732</v>
      </c>
    </row>
    <row r="27065" spans="1:2" x14ac:dyDescent="0.25">
      <c r="A27065" s="2">
        <v>27060</v>
      </c>
      <c r="B27065" s="11" t="str">
        <f>"01056751"</f>
        <v>01056751</v>
      </c>
    </row>
    <row r="27066" spans="1:2" x14ac:dyDescent="0.25">
      <c r="A27066" s="2">
        <v>27061</v>
      </c>
      <c r="B27066" s="11" t="str">
        <f>"01056759"</f>
        <v>01056759</v>
      </c>
    </row>
    <row r="27067" spans="1:2" x14ac:dyDescent="0.25">
      <c r="A27067" s="2">
        <v>27062</v>
      </c>
      <c r="B27067" s="11" t="str">
        <f>"01056767"</f>
        <v>01056767</v>
      </c>
    </row>
    <row r="27068" spans="1:2" x14ac:dyDescent="0.25">
      <c r="A27068" s="2">
        <v>27063</v>
      </c>
      <c r="B27068" s="11" t="str">
        <f>"01056790"</f>
        <v>01056790</v>
      </c>
    </row>
    <row r="27069" spans="1:2" x14ac:dyDescent="0.25">
      <c r="A27069" s="2">
        <v>27064</v>
      </c>
      <c r="B27069" s="11" t="str">
        <f>"01056792"</f>
        <v>01056792</v>
      </c>
    </row>
    <row r="27070" spans="1:2" x14ac:dyDescent="0.25">
      <c r="A27070" s="2">
        <v>27065</v>
      </c>
      <c r="B27070" s="11" t="str">
        <f>"01056796"</f>
        <v>01056796</v>
      </c>
    </row>
    <row r="27071" spans="1:2" x14ac:dyDescent="0.25">
      <c r="A27071" s="2">
        <v>27066</v>
      </c>
      <c r="B27071" s="11" t="str">
        <f>"01056815"</f>
        <v>01056815</v>
      </c>
    </row>
    <row r="27072" spans="1:2" x14ac:dyDescent="0.25">
      <c r="A27072" s="2">
        <v>27067</v>
      </c>
      <c r="B27072" s="11" t="str">
        <f>"01056821"</f>
        <v>01056821</v>
      </c>
    </row>
    <row r="27073" spans="1:2" x14ac:dyDescent="0.25">
      <c r="A27073" s="2">
        <v>27068</v>
      </c>
      <c r="B27073" s="11" t="str">
        <f>"01056841"</f>
        <v>01056841</v>
      </c>
    </row>
    <row r="27074" spans="1:2" x14ac:dyDescent="0.25">
      <c r="A27074" s="2">
        <v>27069</v>
      </c>
      <c r="B27074" s="11" t="str">
        <f>"01056842"</f>
        <v>01056842</v>
      </c>
    </row>
    <row r="27075" spans="1:2" x14ac:dyDescent="0.25">
      <c r="A27075" s="2">
        <v>27070</v>
      </c>
      <c r="B27075" s="11" t="str">
        <f>"01056858"</f>
        <v>01056858</v>
      </c>
    </row>
    <row r="27076" spans="1:2" x14ac:dyDescent="0.25">
      <c r="A27076" s="2">
        <v>27071</v>
      </c>
      <c r="B27076" s="11" t="str">
        <f>"01056861"</f>
        <v>01056861</v>
      </c>
    </row>
    <row r="27077" spans="1:2" x14ac:dyDescent="0.25">
      <c r="A27077" s="2">
        <v>27072</v>
      </c>
      <c r="B27077" s="11" t="str">
        <f>"01056872"</f>
        <v>01056872</v>
      </c>
    </row>
    <row r="27078" spans="1:2" x14ac:dyDescent="0.25">
      <c r="A27078" s="2">
        <v>27073</v>
      </c>
      <c r="B27078" s="11" t="str">
        <f>"01056878"</f>
        <v>01056878</v>
      </c>
    </row>
    <row r="27079" spans="1:2" x14ac:dyDescent="0.25">
      <c r="A27079" s="2">
        <v>27074</v>
      </c>
      <c r="B27079" s="11" t="str">
        <f>"01056880"</f>
        <v>01056880</v>
      </c>
    </row>
    <row r="27080" spans="1:2" x14ac:dyDescent="0.25">
      <c r="A27080" s="2">
        <v>27075</v>
      </c>
      <c r="B27080" s="11" t="str">
        <f>"01056882"</f>
        <v>01056882</v>
      </c>
    </row>
    <row r="27081" spans="1:2" x14ac:dyDescent="0.25">
      <c r="A27081" s="2">
        <v>27076</v>
      </c>
      <c r="B27081" s="11" t="str">
        <f>"01056883"</f>
        <v>01056883</v>
      </c>
    </row>
    <row r="27082" spans="1:2" x14ac:dyDescent="0.25">
      <c r="A27082" s="2">
        <v>27077</v>
      </c>
      <c r="B27082" s="11" t="str">
        <f>"01056885"</f>
        <v>01056885</v>
      </c>
    </row>
    <row r="27083" spans="1:2" x14ac:dyDescent="0.25">
      <c r="A27083" s="2">
        <v>27078</v>
      </c>
      <c r="B27083" s="11" t="str">
        <f>"01056903"</f>
        <v>01056903</v>
      </c>
    </row>
    <row r="27084" spans="1:2" x14ac:dyDescent="0.25">
      <c r="A27084" s="2">
        <v>27079</v>
      </c>
      <c r="B27084" s="11" t="str">
        <f>"01056905"</f>
        <v>01056905</v>
      </c>
    </row>
    <row r="27085" spans="1:2" x14ac:dyDescent="0.25">
      <c r="A27085" s="2">
        <v>27080</v>
      </c>
      <c r="B27085" s="11" t="str">
        <f>"01056909"</f>
        <v>01056909</v>
      </c>
    </row>
    <row r="27086" spans="1:2" x14ac:dyDescent="0.25">
      <c r="A27086" s="2">
        <v>27081</v>
      </c>
      <c r="B27086" s="11" t="str">
        <f>"01056910"</f>
        <v>01056910</v>
      </c>
    </row>
    <row r="27087" spans="1:2" x14ac:dyDescent="0.25">
      <c r="A27087" s="2">
        <v>27082</v>
      </c>
      <c r="B27087" s="11" t="str">
        <f>"01056912"</f>
        <v>01056912</v>
      </c>
    </row>
    <row r="27088" spans="1:2" x14ac:dyDescent="0.25">
      <c r="A27088" s="2">
        <v>27083</v>
      </c>
      <c r="B27088" s="11" t="str">
        <f>"01056928"</f>
        <v>01056928</v>
      </c>
    </row>
    <row r="27089" spans="1:2" x14ac:dyDescent="0.25">
      <c r="A27089" s="2">
        <v>27084</v>
      </c>
      <c r="B27089" s="11" t="str">
        <f>"01056940"</f>
        <v>01056940</v>
      </c>
    </row>
    <row r="27090" spans="1:2" x14ac:dyDescent="0.25">
      <c r="A27090" s="2">
        <v>27085</v>
      </c>
      <c r="B27090" s="11" t="str">
        <f>"01056952"</f>
        <v>01056952</v>
      </c>
    </row>
    <row r="27091" spans="1:2" x14ac:dyDescent="0.25">
      <c r="A27091" s="2">
        <v>27086</v>
      </c>
      <c r="B27091" s="11" t="str">
        <f>"01056958"</f>
        <v>01056958</v>
      </c>
    </row>
    <row r="27092" spans="1:2" x14ac:dyDescent="0.25">
      <c r="A27092" s="2">
        <v>27087</v>
      </c>
      <c r="B27092" s="11" t="str">
        <f>"01056960"</f>
        <v>01056960</v>
      </c>
    </row>
    <row r="27093" spans="1:2" x14ac:dyDescent="0.25">
      <c r="A27093" s="2">
        <v>27088</v>
      </c>
      <c r="B27093" s="11" t="str">
        <f>"01056962"</f>
        <v>01056962</v>
      </c>
    </row>
    <row r="27094" spans="1:2" x14ac:dyDescent="0.25">
      <c r="A27094" s="2">
        <v>27089</v>
      </c>
      <c r="B27094" s="11" t="str">
        <f>"01056986"</f>
        <v>01056986</v>
      </c>
    </row>
    <row r="27095" spans="1:2" x14ac:dyDescent="0.25">
      <c r="A27095" s="2">
        <v>27090</v>
      </c>
      <c r="B27095" s="11" t="str">
        <f>"01056989"</f>
        <v>01056989</v>
      </c>
    </row>
    <row r="27096" spans="1:2" x14ac:dyDescent="0.25">
      <c r="A27096" s="2">
        <v>27091</v>
      </c>
      <c r="B27096" s="11" t="str">
        <f>"01057002"</f>
        <v>01057002</v>
      </c>
    </row>
    <row r="27097" spans="1:2" x14ac:dyDescent="0.25">
      <c r="A27097" s="2">
        <v>27092</v>
      </c>
      <c r="B27097" s="11" t="str">
        <f>"01057006"</f>
        <v>01057006</v>
      </c>
    </row>
    <row r="27098" spans="1:2" x14ac:dyDescent="0.25">
      <c r="A27098" s="2">
        <v>27093</v>
      </c>
      <c r="B27098" s="11" t="str">
        <f>"01057016"</f>
        <v>01057016</v>
      </c>
    </row>
    <row r="27099" spans="1:2" x14ac:dyDescent="0.25">
      <c r="A27099" s="2">
        <v>27094</v>
      </c>
      <c r="B27099" s="11" t="str">
        <f>"01057028"</f>
        <v>01057028</v>
      </c>
    </row>
    <row r="27100" spans="1:2" x14ac:dyDescent="0.25">
      <c r="A27100" s="2">
        <v>27095</v>
      </c>
      <c r="B27100" s="11" t="str">
        <f>"01057037"</f>
        <v>01057037</v>
      </c>
    </row>
    <row r="27101" spans="1:2" x14ac:dyDescent="0.25">
      <c r="A27101" s="2">
        <v>27096</v>
      </c>
      <c r="B27101" s="11" t="str">
        <f>"01057045"</f>
        <v>01057045</v>
      </c>
    </row>
    <row r="27102" spans="1:2" x14ac:dyDescent="0.25">
      <c r="A27102" s="2">
        <v>27097</v>
      </c>
      <c r="B27102" s="11" t="str">
        <f>"01057049"</f>
        <v>01057049</v>
      </c>
    </row>
    <row r="27103" spans="1:2" x14ac:dyDescent="0.25">
      <c r="A27103" s="2">
        <v>27098</v>
      </c>
      <c r="B27103" s="11" t="str">
        <f>"01057053"</f>
        <v>01057053</v>
      </c>
    </row>
    <row r="27104" spans="1:2" x14ac:dyDescent="0.25">
      <c r="A27104" s="2">
        <v>27099</v>
      </c>
      <c r="B27104" s="11" t="str">
        <f>"01057058"</f>
        <v>01057058</v>
      </c>
    </row>
    <row r="27105" spans="1:2" x14ac:dyDescent="0.25">
      <c r="A27105" s="2">
        <v>27100</v>
      </c>
      <c r="B27105" s="11" t="str">
        <f>"01057066"</f>
        <v>01057066</v>
      </c>
    </row>
    <row r="27106" spans="1:2" x14ac:dyDescent="0.25">
      <c r="A27106" s="2">
        <v>27101</v>
      </c>
      <c r="B27106" s="11" t="str">
        <f>"01057081"</f>
        <v>01057081</v>
      </c>
    </row>
    <row r="27107" spans="1:2" x14ac:dyDescent="0.25">
      <c r="A27107" s="2">
        <v>27102</v>
      </c>
      <c r="B27107" s="11" t="str">
        <f>"01057091"</f>
        <v>01057091</v>
      </c>
    </row>
    <row r="27108" spans="1:2" x14ac:dyDescent="0.25">
      <c r="A27108" s="2">
        <v>27103</v>
      </c>
      <c r="B27108" s="11" t="str">
        <f>"01057092"</f>
        <v>01057092</v>
      </c>
    </row>
    <row r="27109" spans="1:2" x14ac:dyDescent="0.25">
      <c r="A27109" s="2">
        <v>27104</v>
      </c>
      <c r="B27109" s="11" t="str">
        <f>"01057099"</f>
        <v>01057099</v>
      </c>
    </row>
    <row r="27110" spans="1:2" x14ac:dyDescent="0.25">
      <c r="A27110" s="2">
        <v>27105</v>
      </c>
      <c r="B27110" s="11" t="str">
        <f>"01057126"</f>
        <v>01057126</v>
      </c>
    </row>
    <row r="27111" spans="1:2" x14ac:dyDescent="0.25">
      <c r="A27111" s="2">
        <v>27106</v>
      </c>
      <c r="B27111" s="11" t="str">
        <f>"01057137"</f>
        <v>01057137</v>
      </c>
    </row>
    <row r="27112" spans="1:2" x14ac:dyDescent="0.25">
      <c r="A27112" s="2">
        <v>27107</v>
      </c>
      <c r="B27112" s="11" t="str">
        <f>"01057142"</f>
        <v>01057142</v>
      </c>
    </row>
    <row r="27113" spans="1:2" x14ac:dyDescent="0.25">
      <c r="A27113" s="2">
        <v>27108</v>
      </c>
      <c r="B27113" s="11" t="str">
        <f>"01057155"</f>
        <v>01057155</v>
      </c>
    </row>
    <row r="27114" spans="1:2" x14ac:dyDescent="0.25">
      <c r="A27114" s="2">
        <v>27109</v>
      </c>
      <c r="B27114" s="11" t="str">
        <f>"01057159"</f>
        <v>01057159</v>
      </c>
    </row>
    <row r="27115" spans="1:2" x14ac:dyDescent="0.25">
      <c r="A27115" s="2">
        <v>27110</v>
      </c>
      <c r="B27115" s="11" t="str">
        <f>"01057170"</f>
        <v>01057170</v>
      </c>
    </row>
    <row r="27116" spans="1:2" x14ac:dyDescent="0.25">
      <c r="A27116" s="2">
        <v>27111</v>
      </c>
      <c r="B27116" s="11" t="str">
        <f>"01057172"</f>
        <v>01057172</v>
      </c>
    </row>
    <row r="27117" spans="1:2" x14ac:dyDescent="0.25">
      <c r="A27117" s="2">
        <v>27112</v>
      </c>
      <c r="B27117" s="11" t="str">
        <f>"01057173"</f>
        <v>01057173</v>
      </c>
    </row>
    <row r="27118" spans="1:2" x14ac:dyDescent="0.25">
      <c r="A27118" s="2">
        <v>27113</v>
      </c>
      <c r="B27118" s="11" t="str">
        <f>"01057189"</f>
        <v>01057189</v>
      </c>
    </row>
    <row r="27119" spans="1:2" x14ac:dyDescent="0.25">
      <c r="A27119" s="2">
        <v>27114</v>
      </c>
      <c r="B27119" s="11" t="str">
        <f>"01057190"</f>
        <v>01057190</v>
      </c>
    </row>
    <row r="27120" spans="1:2" x14ac:dyDescent="0.25">
      <c r="A27120" s="2">
        <v>27115</v>
      </c>
      <c r="B27120" s="11" t="str">
        <f>"01057198"</f>
        <v>01057198</v>
      </c>
    </row>
    <row r="27121" spans="1:2" x14ac:dyDescent="0.25">
      <c r="A27121" s="2">
        <v>27116</v>
      </c>
      <c r="B27121" s="11" t="str">
        <f>"01057201"</f>
        <v>01057201</v>
      </c>
    </row>
    <row r="27122" spans="1:2" x14ac:dyDescent="0.25">
      <c r="A27122" s="2">
        <v>27117</v>
      </c>
      <c r="B27122" s="11" t="str">
        <f>"01057218"</f>
        <v>01057218</v>
      </c>
    </row>
    <row r="27123" spans="1:2" x14ac:dyDescent="0.25">
      <c r="A27123" s="2">
        <v>27118</v>
      </c>
      <c r="B27123" s="11" t="str">
        <f>"01057244"</f>
        <v>01057244</v>
      </c>
    </row>
    <row r="27124" spans="1:2" x14ac:dyDescent="0.25">
      <c r="A27124" s="2">
        <v>27119</v>
      </c>
      <c r="B27124" s="11" t="str">
        <f>"01057247"</f>
        <v>01057247</v>
      </c>
    </row>
    <row r="27125" spans="1:2" x14ac:dyDescent="0.25">
      <c r="A27125" s="2">
        <v>27120</v>
      </c>
      <c r="B27125" s="11" t="str">
        <f>"01057249"</f>
        <v>01057249</v>
      </c>
    </row>
    <row r="27126" spans="1:2" x14ac:dyDescent="0.25">
      <c r="A27126" s="2">
        <v>27121</v>
      </c>
      <c r="B27126" s="11" t="str">
        <f>"01057255"</f>
        <v>01057255</v>
      </c>
    </row>
    <row r="27127" spans="1:2" x14ac:dyDescent="0.25">
      <c r="A27127" s="2">
        <v>27122</v>
      </c>
      <c r="B27127" s="11" t="str">
        <f>"01057260"</f>
        <v>01057260</v>
      </c>
    </row>
    <row r="27128" spans="1:2" x14ac:dyDescent="0.25">
      <c r="A27128" s="2">
        <v>27123</v>
      </c>
      <c r="B27128" s="11" t="str">
        <f>"01057286"</f>
        <v>01057286</v>
      </c>
    </row>
    <row r="27129" spans="1:2" x14ac:dyDescent="0.25">
      <c r="A27129" s="2">
        <v>27124</v>
      </c>
      <c r="B27129" s="11" t="str">
        <f>"01057295"</f>
        <v>01057295</v>
      </c>
    </row>
    <row r="27130" spans="1:2" x14ac:dyDescent="0.25">
      <c r="A27130" s="2">
        <v>27125</v>
      </c>
      <c r="B27130" s="11" t="str">
        <f>"01057297"</f>
        <v>01057297</v>
      </c>
    </row>
    <row r="27131" spans="1:2" x14ac:dyDescent="0.25">
      <c r="A27131" s="2">
        <v>27126</v>
      </c>
      <c r="B27131" s="11" t="str">
        <f>"01057299"</f>
        <v>01057299</v>
      </c>
    </row>
    <row r="27132" spans="1:2" x14ac:dyDescent="0.25">
      <c r="A27132" s="2">
        <v>27127</v>
      </c>
      <c r="B27132" s="11" t="str">
        <f>"01057322"</f>
        <v>01057322</v>
      </c>
    </row>
    <row r="27133" spans="1:2" x14ac:dyDescent="0.25">
      <c r="A27133" s="2">
        <v>27128</v>
      </c>
      <c r="B27133" s="11" t="str">
        <f>"01057328"</f>
        <v>01057328</v>
      </c>
    </row>
    <row r="27134" spans="1:2" x14ac:dyDescent="0.25">
      <c r="A27134" s="2">
        <v>27129</v>
      </c>
      <c r="B27134" s="11" t="str">
        <f>"01057332"</f>
        <v>01057332</v>
      </c>
    </row>
    <row r="27135" spans="1:2" x14ac:dyDescent="0.25">
      <c r="A27135" s="2">
        <v>27130</v>
      </c>
      <c r="B27135" s="11" t="str">
        <f>"01057335"</f>
        <v>01057335</v>
      </c>
    </row>
    <row r="27136" spans="1:2" x14ac:dyDescent="0.25">
      <c r="A27136" s="2">
        <v>27131</v>
      </c>
      <c r="B27136" s="11" t="str">
        <f>"01057337"</f>
        <v>01057337</v>
      </c>
    </row>
    <row r="27137" spans="1:2" x14ac:dyDescent="0.25">
      <c r="A27137" s="2">
        <v>27132</v>
      </c>
      <c r="B27137" s="11" t="str">
        <f>"01057338"</f>
        <v>01057338</v>
      </c>
    </row>
    <row r="27138" spans="1:2" x14ac:dyDescent="0.25">
      <c r="A27138" s="2">
        <v>27133</v>
      </c>
      <c r="B27138" s="11" t="str">
        <f>"01057340"</f>
        <v>01057340</v>
      </c>
    </row>
    <row r="27139" spans="1:2" x14ac:dyDescent="0.25">
      <c r="A27139" s="2">
        <v>27134</v>
      </c>
      <c r="B27139" s="11" t="str">
        <f>"01057342"</f>
        <v>01057342</v>
      </c>
    </row>
    <row r="27140" spans="1:2" x14ac:dyDescent="0.25">
      <c r="A27140" s="2">
        <v>27135</v>
      </c>
      <c r="B27140" s="11" t="str">
        <f>"01057349"</f>
        <v>01057349</v>
      </c>
    </row>
    <row r="27141" spans="1:2" x14ac:dyDescent="0.25">
      <c r="A27141" s="2">
        <v>27136</v>
      </c>
      <c r="B27141" s="11" t="str">
        <f>"01057354"</f>
        <v>01057354</v>
      </c>
    </row>
    <row r="27142" spans="1:2" x14ac:dyDescent="0.25">
      <c r="A27142" s="2">
        <v>27137</v>
      </c>
      <c r="B27142" s="11" t="str">
        <f>"01057365"</f>
        <v>01057365</v>
      </c>
    </row>
    <row r="27143" spans="1:2" x14ac:dyDescent="0.25">
      <c r="A27143" s="2">
        <v>27138</v>
      </c>
      <c r="B27143" s="11" t="str">
        <f>"01057370"</f>
        <v>01057370</v>
      </c>
    </row>
    <row r="27144" spans="1:2" x14ac:dyDescent="0.25">
      <c r="A27144" s="2">
        <v>27139</v>
      </c>
      <c r="B27144" s="11" t="str">
        <f>"01057375"</f>
        <v>01057375</v>
      </c>
    </row>
    <row r="27145" spans="1:2" x14ac:dyDescent="0.25">
      <c r="A27145" s="2">
        <v>27140</v>
      </c>
      <c r="B27145" s="11" t="str">
        <f>"01057381"</f>
        <v>01057381</v>
      </c>
    </row>
    <row r="27146" spans="1:2" x14ac:dyDescent="0.25">
      <c r="A27146" s="2">
        <v>27141</v>
      </c>
      <c r="B27146" s="11" t="str">
        <f>"01057392"</f>
        <v>01057392</v>
      </c>
    </row>
    <row r="27147" spans="1:2" x14ac:dyDescent="0.25">
      <c r="A27147" s="2">
        <v>27142</v>
      </c>
      <c r="B27147" s="11" t="str">
        <f>"01057397"</f>
        <v>01057397</v>
      </c>
    </row>
    <row r="27148" spans="1:2" x14ac:dyDescent="0.25">
      <c r="A27148" s="2">
        <v>27143</v>
      </c>
      <c r="B27148" s="11" t="str">
        <f>"01057404"</f>
        <v>01057404</v>
      </c>
    </row>
    <row r="27149" spans="1:2" x14ac:dyDescent="0.25">
      <c r="A27149" s="2">
        <v>27144</v>
      </c>
      <c r="B27149" s="11" t="str">
        <f>"01057408"</f>
        <v>01057408</v>
      </c>
    </row>
    <row r="27150" spans="1:2" x14ac:dyDescent="0.25">
      <c r="A27150" s="2">
        <v>27145</v>
      </c>
      <c r="B27150" s="11" t="str">
        <f>"01057449"</f>
        <v>01057449</v>
      </c>
    </row>
    <row r="27151" spans="1:2" x14ac:dyDescent="0.25">
      <c r="A27151" s="2">
        <v>27146</v>
      </c>
      <c r="B27151" s="11" t="str">
        <f>"01057452"</f>
        <v>01057452</v>
      </c>
    </row>
    <row r="27152" spans="1:2" x14ac:dyDescent="0.25">
      <c r="A27152" s="2">
        <v>27147</v>
      </c>
      <c r="B27152" s="11" t="str">
        <f>"01057455"</f>
        <v>01057455</v>
      </c>
    </row>
    <row r="27153" spans="1:2" x14ac:dyDescent="0.25">
      <c r="A27153" s="2">
        <v>27148</v>
      </c>
      <c r="B27153" s="11" t="str">
        <f>"01057456"</f>
        <v>01057456</v>
      </c>
    </row>
    <row r="27154" spans="1:2" x14ac:dyDescent="0.25">
      <c r="A27154" s="2">
        <v>27149</v>
      </c>
      <c r="B27154" s="11" t="str">
        <f>"01057457"</f>
        <v>01057457</v>
      </c>
    </row>
    <row r="27155" spans="1:2" x14ac:dyDescent="0.25">
      <c r="A27155" s="2">
        <v>27150</v>
      </c>
      <c r="B27155" s="11" t="str">
        <f>"01057461"</f>
        <v>01057461</v>
      </c>
    </row>
    <row r="27156" spans="1:2" x14ac:dyDescent="0.25">
      <c r="A27156" s="2">
        <v>27151</v>
      </c>
      <c r="B27156" s="11" t="str">
        <f>"01057463"</f>
        <v>01057463</v>
      </c>
    </row>
    <row r="27157" spans="1:2" x14ac:dyDescent="0.25">
      <c r="A27157" s="2">
        <v>27152</v>
      </c>
      <c r="B27157" s="11" t="str">
        <f>"01057466"</f>
        <v>01057466</v>
      </c>
    </row>
    <row r="27158" spans="1:2" x14ac:dyDescent="0.25">
      <c r="A27158" s="2">
        <v>27153</v>
      </c>
      <c r="B27158" s="11" t="str">
        <f>"01057478"</f>
        <v>01057478</v>
      </c>
    </row>
    <row r="27159" spans="1:2" x14ac:dyDescent="0.25">
      <c r="A27159" s="2">
        <v>27154</v>
      </c>
      <c r="B27159" s="11" t="str">
        <f>"01057495"</f>
        <v>01057495</v>
      </c>
    </row>
    <row r="27160" spans="1:2" x14ac:dyDescent="0.25">
      <c r="A27160" s="2">
        <v>27155</v>
      </c>
      <c r="B27160" s="11" t="str">
        <f>"01057499"</f>
        <v>01057499</v>
      </c>
    </row>
    <row r="27161" spans="1:2" x14ac:dyDescent="0.25">
      <c r="A27161" s="2">
        <v>27156</v>
      </c>
      <c r="B27161" s="11" t="str">
        <f>"01057500"</f>
        <v>01057500</v>
      </c>
    </row>
    <row r="27162" spans="1:2" x14ac:dyDescent="0.25">
      <c r="A27162" s="2">
        <v>27157</v>
      </c>
      <c r="B27162" s="11" t="str">
        <f>"01057502"</f>
        <v>01057502</v>
      </c>
    </row>
    <row r="27163" spans="1:2" x14ac:dyDescent="0.25">
      <c r="A27163" s="2">
        <v>27158</v>
      </c>
      <c r="B27163" s="11" t="str">
        <f>"01057504"</f>
        <v>01057504</v>
      </c>
    </row>
    <row r="27164" spans="1:2" x14ac:dyDescent="0.25">
      <c r="A27164" s="2">
        <v>27159</v>
      </c>
      <c r="B27164" s="11" t="str">
        <f>"01057505"</f>
        <v>01057505</v>
      </c>
    </row>
    <row r="27165" spans="1:2" x14ac:dyDescent="0.25">
      <c r="A27165" s="2">
        <v>27160</v>
      </c>
      <c r="B27165" s="11" t="str">
        <f>"01057512"</f>
        <v>01057512</v>
      </c>
    </row>
    <row r="27166" spans="1:2" x14ac:dyDescent="0.25">
      <c r="A27166" s="2">
        <v>27161</v>
      </c>
      <c r="B27166" s="11" t="str">
        <f>"01057520"</f>
        <v>01057520</v>
      </c>
    </row>
    <row r="27167" spans="1:2" x14ac:dyDescent="0.25">
      <c r="A27167" s="2">
        <v>27162</v>
      </c>
      <c r="B27167" s="11" t="str">
        <f>"01057524"</f>
        <v>01057524</v>
      </c>
    </row>
    <row r="27168" spans="1:2" x14ac:dyDescent="0.25">
      <c r="A27168" s="2">
        <v>27163</v>
      </c>
      <c r="B27168" s="11" t="str">
        <f>"01057529"</f>
        <v>01057529</v>
      </c>
    </row>
    <row r="27169" spans="1:2" x14ac:dyDescent="0.25">
      <c r="A27169" s="2">
        <v>27164</v>
      </c>
      <c r="B27169" s="11" t="str">
        <f>"01057536"</f>
        <v>01057536</v>
      </c>
    </row>
    <row r="27170" spans="1:2" x14ac:dyDescent="0.25">
      <c r="A27170" s="2">
        <v>27165</v>
      </c>
      <c r="B27170" s="11" t="str">
        <f>"01057541"</f>
        <v>01057541</v>
      </c>
    </row>
    <row r="27171" spans="1:2" x14ac:dyDescent="0.25">
      <c r="A27171" s="2">
        <v>27166</v>
      </c>
      <c r="B27171" s="11" t="str">
        <f>"01057546"</f>
        <v>01057546</v>
      </c>
    </row>
    <row r="27172" spans="1:2" x14ac:dyDescent="0.25">
      <c r="A27172" s="2">
        <v>27167</v>
      </c>
      <c r="B27172" s="11" t="str">
        <f>"01057559"</f>
        <v>01057559</v>
      </c>
    </row>
    <row r="27173" spans="1:2" x14ac:dyDescent="0.25">
      <c r="A27173" s="2">
        <v>27168</v>
      </c>
      <c r="B27173" s="11" t="str">
        <f>"01057560"</f>
        <v>01057560</v>
      </c>
    </row>
    <row r="27174" spans="1:2" x14ac:dyDescent="0.25">
      <c r="A27174" s="2">
        <v>27169</v>
      </c>
      <c r="B27174" s="11" t="str">
        <f>"01057576"</f>
        <v>01057576</v>
      </c>
    </row>
    <row r="27175" spans="1:2" x14ac:dyDescent="0.25">
      <c r="A27175" s="2">
        <v>27170</v>
      </c>
      <c r="B27175" s="11" t="str">
        <f>"01057592"</f>
        <v>01057592</v>
      </c>
    </row>
    <row r="27176" spans="1:2" x14ac:dyDescent="0.25">
      <c r="A27176" s="2">
        <v>27171</v>
      </c>
      <c r="B27176" s="11" t="str">
        <f>"01057594"</f>
        <v>01057594</v>
      </c>
    </row>
    <row r="27177" spans="1:2" x14ac:dyDescent="0.25">
      <c r="A27177" s="2">
        <v>27172</v>
      </c>
      <c r="B27177" s="11" t="str">
        <f>"01057596"</f>
        <v>01057596</v>
      </c>
    </row>
    <row r="27178" spans="1:2" x14ac:dyDescent="0.25">
      <c r="A27178" s="2">
        <v>27173</v>
      </c>
      <c r="B27178" s="11" t="str">
        <f>"01057610"</f>
        <v>01057610</v>
      </c>
    </row>
    <row r="27179" spans="1:2" x14ac:dyDescent="0.25">
      <c r="A27179" s="2">
        <v>27174</v>
      </c>
      <c r="B27179" s="11" t="str">
        <f>"01057617"</f>
        <v>01057617</v>
      </c>
    </row>
    <row r="27180" spans="1:2" x14ac:dyDescent="0.25">
      <c r="A27180" s="2">
        <v>27175</v>
      </c>
      <c r="B27180" s="11" t="str">
        <f>"01057627"</f>
        <v>01057627</v>
      </c>
    </row>
    <row r="27181" spans="1:2" x14ac:dyDescent="0.25">
      <c r="A27181" s="2">
        <v>27176</v>
      </c>
      <c r="B27181" s="11" t="str">
        <f>"01057630"</f>
        <v>01057630</v>
      </c>
    </row>
    <row r="27182" spans="1:2" x14ac:dyDescent="0.25">
      <c r="A27182" s="2">
        <v>27177</v>
      </c>
      <c r="B27182" s="11" t="str">
        <f>"01057638"</f>
        <v>01057638</v>
      </c>
    </row>
    <row r="27183" spans="1:2" x14ac:dyDescent="0.25">
      <c r="A27183" s="2">
        <v>27178</v>
      </c>
      <c r="B27183" s="11" t="str">
        <f>"01057639"</f>
        <v>01057639</v>
      </c>
    </row>
    <row r="27184" spans="1:2" x14ac:dyDescent="0.25">
      <c r="A27184" s="2">
        <v>27179</v>
      </c>
      <c r="B27184" s="11" t="str">
        <f>"01057651"</f>
        <v>01057651</v>
      </c>
    </row>
    <row r="27185" spans="1:2" x14ac:dyDescent="0.25">
      <c r="A27185" s="2">
        <v>27180</v>
      </c>
      <c r="B27185" s="11" t="str">
        <f>"01057664"</f>
        <v>01057664</v>
      </c>
    </row>
    <row r="27186" spans="1:2" x14ac:dyDescent="0.25">
      <c r="A27186" s="2">
        <v>27181</v>
      </c>
      <c r="B27186" s="11" t="str">
        <f>"01057666"</f>
        <v>01057666</v>
      </c>
    </row>
    <row r="27187" spans="1:2" x14ac:dyDescent="0.25">
      <c r="A27187" s="2">
        <v>27182</v>
      </c>
      <c r="B27187" s="11" t="str">
        <f>"01057673"</f>
        <v>01057673</v>
      </c>
    </row>
    <row r="27188" spans="1:2" x14ac:dyDescent="0.25">
      <c r="A27188" s="2">
        <v>27183</v>
      </c>
      <c r="B27188" s="11" t="str">
        <f>"01057680"</f>
        <v>01057680</v>
      </c>
    </row>
    <row r="27189" spans="1:2" x14ac:dyDescent="0.25">
      <c r="A27189" s="2">
        <v>27184</v>
      </c>
      <c r="B27189" s="11" t="str">
        <f>"01057697"</f>
        <v>01057697</v>
      </c>
    </row>
    <row r="27190" spans="1:2" x14ac:dyDescent="0.25">
      <c r="A27190" s="2">
        <v>27185</v>
      </c>
      <c r="B27190" s="11" t="str">
        <f>"01057698"</f>
        <v>01057698</v>
      </c>
    </row>
    <row r="27191" spans="1:2" x14ac:dyDescent="0.25">
      <c r="A27191" s="2">
        <v>27186</v>
      </c>
      <c r="B27191" s="11" t="str">
        <f>"01057707"</f>
        <v>01057707</v>
      </c>
    </row>
    <row r="27192" spans="1:2" x14ac:dyDescent="0.25">
      <c r="A27192" s="2">
        <v>27187</v>
      </c>
      <c r="B27192" s="11" t="str">
        <f>"01057714"</f>
        <v>01057714</v>
      </c>
    </row>
    <row r="27193" spans="1:2" x14ac:dyDescent="0.25">
      <c r="A27193" s="2">
        <v>27188</v>
      </c>
      <c r="B27193" s="11" t="str">
        <f>"01057748"</f>
        <v>01057748</v>
      </c>
    </row>
    <row r="27194" spans="1:2" x14ac:dyDescent="0.25">
      <c r="A27194" s="2">
        <v>27189</v>
      </c>
      <c r="B27194" s="11" t="str">
        <f>"01057757"</f>
        <v>01057757</v>
      </c>
    </row>
    <row r="27195" spans="1:2" x14ac:dyDescent="0.25">
      <c r="A27195" s="2">
        <v>27190</v>
      </c>
      <c r="B27195" s="11" t="str">
        <f>"01057759"</f>
        <v>01057759</v>
      </c>
    </row>
    <row r="27196" spans="1:2" x14ac:dyDescent="0.25">
      <c r="A27196" s="2">
        <v>27191</v>
      </c>
      <c r="B27196" s="11" t="str">
        <f>"01057770"</f>
        <v>01057770</v>
      </c>
    </row>
    <row r="27197" spans="1:2" x14ac:dyDescent="0.25">
      <c r="A27197" s="2">
        <v>27192</v>
      </c>
      <c r="B27197" s="11" t="str">
        <f>"01057772"</f>
        <v>01057772</v>
      </c>
    </row>
    <row r="27198" spans="1:2" x14ac:dyDescent="0.25">
      <c r="A27198" s="2">
        <v>27193</v>
      </c>
      <c r="B27198" s="11" t="str">
        <f>"01057776"</f>
        <v>01057776</v>
      </c>
    </row>
    <row r="27199" spans="1:2" x14ac:dyDescent="0.25">
      <c r="A27199" s="2">
        <v>27194</v>
      </c>
      <c r="B27199" s="11" t="str">
        <f>"01057781"</f>
        <v>01057781</v>
      </c>
    </row>
    <row r="27200" spans="1:2" x14ac:dyDescent="0.25">
      <c r="A27200" s="2">
        <v>27195</v>
      </c>
      <c r="B27200" s="11" t="str">
        <f>"01057795"</f>
        <v>01057795</v>
      </c>
    </row>
    <row r="27201" spans="1:2" x14ac:dyDescent="0.25">
      <c r="A27201" s="2">
        <v>27196</v>
      </c>
      <c r="B27201" s="11" t="str">
        <f>"01057799"</f>
        <v>01057799</v>
      </c>
    </row>
    <row r="27202" spans="1:2" x14ac:dyDescent="0.25">
      <c r="A27202" s="2">
        <v>27197</v>
      </c>
      <c r="B27202" s="11" t="str">
        <f>"01057805"</f>
        <v>01057805</v>
      </c>
    </row>
    <row r="27203" spans="1:2" x14ac:dyDescent="0.25">
      <c r="A27203" s="2">
        <v>27198</v>
      </c>
      <c r="B27203" s="11" t="str">
        <f>"01057809"</f>
        <v>01057809</v>
      </c>
    </row>
    <row r="27204" spans="1:2" x14ac:dyDescent="0.25">
      <c r="A27204" s="2">
        <v>27199</v>
      </c>
      <c r="B27204" s="11" t="str">
        <f>"01057818"</f>
        <v>01057818</v>
      </c>
    </row>
    <row r="27205" spans="1:2" x14ac:dyDescent="0.25">
      <c r="A27205" s="2">
        <v>27200</v>
      </c>
      <c r="B27205" s="11" t="str">
        <f>"01057828"</f>
        <v>01057828</v>
      </c>
    </row>
    <row r="27206" spans="1:2" x14ac:dyDescent="0.25">
      <c r="A27206" s="2">
        <v>27201</v>
      </c>
      <c r="B27206" s="11" t="str">
        <f>"01057829"</f>
        <v>01057829</v>
      </c>
    </row>
    <row r="27207" spans="1:2" x14ac:dyDescent="0.25">
      <c r="A27207" s="2">
        <v>27202</v>
      </c>
      <c r="B27207" s="11" t="str">
        <f>"01057847"</f>
        <v>01057847</v>
      </c>
    </row>
    <row r="27208" spans="1:2" x14ac:dyDescent="0.25">
      <c r="A27208" s="2">
        <v>27203</v>
      </c>
      <c r="B27208" s="11" t="str">
        <f>"01057855"</f>
        <v>01057855</v>
      </c>
    </row>
    <row r="27209" spans="1:2" x14ac:dyDescent="0.25">
      <c r="A27209" s="2">
        <v>27204</v>
      </c>
      <c r="B27209" s="11" t="str">
        <f>"01057860"</f>
        <v>01057860</v>
      </c>
    </row>
    <row r="27210" spans="1:2" x14ac:dyDescent="0.25">
      <c r="A27210" s="2">
        <v>27205</v>
      </c>
      <c r="B27210" s="11" t="str">
        <f>"01057864"</f>
        <v>01057864</v>
      </c>
    </row>
    <row r="27211" spans="1:2" x14ac:dyDescent="0.25">
      <c r="A27211" s="2">
        <v>27206</v>
      </c>
      <c r="B27211" s="11" t="str">
        <f>"01057885"</f>
        <v>01057885</v>
      </c>
    </row>
    <row r="27212" spans="1:2" x14ac:dyDescent="0.25">
      <c r="A27212" s="2">
        <v>27207</v>
      </c>
      <c r="B27212" s="11" t="str">
        <f>"01057890"</f>
        <v>01057890</v>
      </c>
    </row>
    <row r="27213" spans="1:2" x14ac:dyDescent="0.25">
      <c r="A27213" s="2">
        <v>27208</v>
      </c>
      <c r="B27213" s="11" t="str">
        <f>"01057893"</f>
        <v>01057893</v>
      </c>
    </row>
    <row r="27214" spans="1:2" x14ac:dyDescent="0.25">
      <c r="A27214" s="2">
        <v>27209</v>
      </c>
      <c r="B27214" s="11" t="str">
        <f>"01057894"</f>
        <v>01057894</v>
      </c>
    </row>
    <row r="27215" spans="1:2" x14ac:dyDescent="0.25">
      <c r="A27215" s="2">
        <v>27210</v>
      </c>
      <c r="B27215" s="11" t="str">
        <f>"01057911"</f>
        <v>01057911</v>
      </c>
    </row>
    <row r="27216" spans="1:2" x14ac:dyDescent="0.25">
      <c r="A27216" s="2">
        <v>27211</v>
      </c>
      <c r="B27216" s="11" t="str">
        <f>"01057915"</f>
        <v>01057915</v>
      </c>
    </row>
    <row r="27217" spans="1:2" x14ac:dyDescent="0.25">
      <c r="A27217" s="2">
        <v>27212</v>
      </c>
      <c r="B27217" s="11" t="str">
        <f>"01057918"</f>
        <v>01057918</v>
      </c>
    </row>
    <row r="27218" spans="1:2" x14ac:dyDescent="0.25">
      <c r="A27218" s="2">
        <v>27213</v>
      </c>
      <c r="B27218" s="11" t="str">
        <f>"01057921"</f>
        <v>01057921</v>
      </c>
    </row>
    <row r="27219" spans="1:2" x14ac:dyDescent="0.25">
      <c r="A27219" s="2">
        <v>27214</v>
      </c>
      <c r="B27219" s="11" t="str">
        <f>"01057932"</f>
        <v>01057932</v>
      </c>
    </row>
    <row r="27220" spans="1:2" x14ac:dyDescent="0.25">
      <c r="A27220" s="2">
        <v>27215</v>
      </c>
      <c r="B27220" s="11" t="str">
        <f>"01057941"</f>
        <v>01057941</v>
      </c>
    </row>
    <row r="27221" spans="1:2" x14ac:dyDescent="0.25">
      <c r="A27221" s="2">
        <v>27216</v>
      </c>
      <c r="B27221" s="11" t="str">
        <f>"01057943"</f>
        <v>01057943</v>
      </c>
    </row>
    <row r="27222" spans="1:2" x14ac:dyDescent="0.25">
      <c r="A27222" s="2">
        <v>27217</v>
      </c>
      <c r="B27222" s="11" t="str">
        <f>"01057944"</f>
        <v>01057944</v>
      </c>
    </row>
    <row r="27223" spans="1:2" x14ac:dyDescent="0.25">
      <c r="A27223" s="2">
        <v>27218</v>
      </c>
      <c r="B27223" s="11" t="str">
        <f>"01057949"</f>
        <v>01057949</v>
      </c>
    </row>
    <row r="27224" spans="1:2" x14ac:dyDescent="0.25">
      <c r="A27224" s="2">
        <v>27219</v>
      </c>
      <c r="B27224" s="11" t="str">
        <f>"01057952"</f>
        <v>01057952</v>
      </c>
    </row>
    <row r="27225" spans="1:2" x14ac:dyDescent="0.25">
      <c r="A27225" s="2">
        <v>27220</v>
      </c>
      <c r="B27225" s="11" t="str">
        <f>"01057964"</f>
        <v>01057964</v>
      </c>
    </row>
    <row r="27226" spans="1:2" x14ac:dyDescent="0.25">
      <c r="A27226" s="2">
        <v>27221</v>
      </c>
      <c r="B27226" s="11" t="str">
        <f>"01057966"</f>
        <v>01057966</v>
      </c>
    </row>
    <row r="27227" spans="1:2" x14ac:dyDescent="0.25">
      <c r="A27227" s="2">
        <v>27222</v>
      </c>
      <c r="B27227" s="11" t="str">
        <f>"01057983"</f>
        <v>01057983</v>
      </c>
    </row>
    <row r="27228" spans="1:2" x14ac:dyDescent="0.25">
      <c r="A27228" s="2">
        <v>27223</v>
      </c>
      <c r="B27228" s="11" t="str">
        <f>"01057989"</f>
        <v>01057989</v>
      </c>
    </row>
    <row r="27229" spans="1:2" x14ac:dyDescent="0.25">
      <c r="A27229" s="2">
        <v>27224</v>
      </c>
      <c r="B27229" s="11" t="str">
        <f>"01057990"</f>
        <v>01057990</v>
      </c>
    </row>
    <row r="27230" spans="1:2" x14ac:dyDescent="0.25">
      <c r="A27230" s="2">
        <v>27225</v>
      </c>
      <c r="B27230" s="11" t="str">
        <f>"01058000"</f>
        <v>01058000</v>
      </c>
    </row>
    <row r="27231" spans="1:2" x14ac:dyDescent="0.25">
      <c r="A27231" s="2">
        <v>27226</v>
      </c>
      <c r="B27231" s="11" t="str">
        <f>"01058025"</f>
        <v>01058025</v>
      </c>
    </row>
    <row r="27232" spans="1:2" x14ac:dyDescent="0.25">
      <c r="A27232" s="2">
        <v>27227</v>
      </c>
      <c r="B27232" s="11" t="str">
        <f>"01058037"</f>
        <v>01058037</v>
      </c>
    </row>
    <row r="27233" spans="1:2" x14ac:dyDescent="0.25">
      <c r="A27233" s="2">
        <v>27228</v>
      </c>
      <c r="B27233" s="11" t="str">
        <f>"01058040"</f>
        <v>01058040</v>
      </c>
    </row>
    <row r="27234" spans="1:2" x14ac:dyDescent="0.25">
      <c r="A27234" s="2">
        <v>27229</v>
      </c>
      <c r="B27234" s="11" t="str">
        <f>"01058048"</f>
        <v>01058048</v>
      </c>
    </row>
    <row r="27235" spans="1:2" x14ac:dyDescent="0.25">
      <c r="A27235" s="2">
        <v>27230</v>
      </c>
      <c r="B27235" s="11" t="str">
        <f>"01058051"</f>
        <v>01058051</v>
      </c>
    </row>
    <row r="27236" spans="1:2" x14ac:dyDescent="0.25">
      <c r="A27236" s="2">
        <v>27231</v>
      </c>
      <c r="B27236" s="11" t="str">
        <f>"01058057"</f>
        <v>01058057</v>
      </c>
    </row>
    <row r="27237" spans="1:2" x14ac:dyDescent="0.25">
      <c r="A27237" s="2">
        <v>27232</v>
      </c>
      <c r="B27237" s="11" t="str">
        <f>"01058071"</f>
        <v>01058071</v>
      </c>
    </row>
    <row r="27238" spans="1:2" x14ac:dyDescent="0.25">
      <c r="A27238" s="2">
        <v>27233</v>
      </c>
      <c r="B27238" s="11" t="str">
        <f>"01058072"</f>
        <v>01058072</v>
      </c>
    </row>
    <row r="27239" spans="1:2" x14ac:dyDescent="0.25">
      <c r="A27239" s="2">
        <v>27234</v>
      </c>
      <c r="B27239" s="11" t="str">
        <f>"01058100"</f>
        <v>01058100</v>
      </c>
    </row>
    <row r="27240" spans="1:2" x14ac:dyDescent="0.25">
      <c r="A27240" s="2">
        <v>27235</v>
      </c>
      <c r="B27240" s="11" t="str">
        <f>"01058104"</f>
        <v>01058104</v>
      </c>
    </row>
    <row r="27241" spans="1:2" x14ac:dyDescent="0.25">
      <c r="A27241" s="2">
        <v>27236</v>
      </c>
      <c r="B27241" s="11" t="str">
        <f>"01058116"</f>
        <v>01058116</v>
      </c>
    </row>
    <row r="27242" spans="1:2" x14ac:dyDescent="0.25">
      <c r="A27242" s="2">
        <v>27237</v>
      </c>
      <c r="B27242" s="11" t="str">
        <f>"01058133"</f>
        <v>01058133</v>
      </c>
    </row>
    <row r="27243" spans="1:2" x14ac:dyDescent="0.25">
      <c r="A27243" s="2">
        <v>27238</v>
      </c>
      <c r="B27243" s="11" t="str">
        <f>"01058134"</f>
        <v>01058134</v>
      </c>
    </row>
    <row r="27244" spans="1:2" x14ac:dyDescent="0.25">
      <c r="A27244" s="2">
        <v>27239</v>
      </c>
      <c r="B27244" s="11" t="str">
        <f>"01058135"</f>
        <v>01058135</v>
      </c>
    </row>
    <row r="27245" spans="1:2" x14ac:dyDescent="0.25">
      <c r="A27245" s="2">
        <v>27240</v>
      </c>
      <c r="B27245" s="11" t="str">
        <f>"01058136"</f>
        <v>01058136</v>
      </c>
    </row>
    <row r="27246" spans="1:2" x14ac:dyDescent="0.25">
      <c r="A27246" s="2">
        <v>27241</v>
      </c>
      <c r="B27246" s="11" t="str">
        <f>"01058140"</f>
        <v>01058140</v>
      </c>
    </row>
    <row r="27247" spans="1:2" x14ac:dyDescent="0.25">
      <c r="A27247" s="2">
        <v>27242</v>
      </c>
      <c r="B27247" s="11" t="str">
        <f>"01058147"</f>
        <v>01058147</v>
      </c>
    </row>
    <row r="27248" spans="1:2" x14ac:dyDescent="0.25">
      <c r="A27248" s="2">
        <v>27243</v>
      </c>
      <c r="B27248" s="11" t="str">
        <f>"01058173"</f>
        <v>01058173</v>
      </c>
    </row>
    <row r="27249" spans="1:2" x14ac:dyDescent="0.25">
      <c r="A27249" s="2">
        <v>27244</v>
      </c>
      <c r="B27249" s="11" t="str">
        <f>"01058175"</f>
        <v>01058175</v>
      </c>
    </row>
    <row r="27250" spans="1:2" x14ac:dyDescent="0.25">
      <c r="A27250" s="2">
        <v>27245</v>
      </c>
      <c r="B27250" s="11" t="str">
        <f>"01058179"</f>
        <v>01058179</v>
      </c>
    </row>
    <row r="27251" spans="1:2" x14ac:dyDescent="0.25">
      <c r="A27251" s="2">
        <v>27246</v>
      </c>
      <c r="B27251" s="11" t="str">
        <f>"01058189"</f>
        <v>01058189</v>
      </c>
    </row>
    <row r="27252" spans="1:2" x14ac:dyDescent="0.25">
      <c r="A27252" s="2">
        <v>27247</v>
      </c>
      <c r="B27252" s="11" t="str">
        <f>"01058190"</f>
        <v>01058190</v>
      </c>
    </row>
    <row r="27253" spans="1:2" x14ac:dyDescent="0.25">
      <c r="A27253" s="2">
        <v>27248</v>
      </c>
      <c r="B27253" s="11" t="str">
        <f>"01058194"</f>
        <v>01058194</v>
      </c>
    </row>
    <row r="27254" spans="1:2" x14ac:dyDescent="0.25">
      <c r="A27254" s="2">
        <v>27249</v>
      </c>
      <c r="B27254" s="11" t="str">
        <f>"01058200"</f>
        <v>01058200</v>
      </c>
    </row>
    <row r="27255" spans="1:2" x14ac:dyDescent="0.25">
      <c r="A27255" s="2">
        <v>27250</v>
      </c>
      <c r="B27255" s="11" t="str">
        <f>"01058203"</f>
        <v>01058203</v>
      </c>
    </row>
    <row r="27256" spans="1:2" x14ac:dyDescent="0.25">
      <c r="A27256" s="2">
        <v>27251</v>
      </c>
      <c r="B27256" s="11" t="str">
        <f>"01058220"</f>
        <v>01058220</v>
      </c>
    </row>
    <row r="27257" spans="1:2" x14ac:dyDescent="0.25">
      <c r="A27257" s="2">
        <v>27252</v>
      </c>
      <c r="B27257" s="11" t="str">
        <f>"01058223"</f>
        <v>01058223</v>
      </c>
    </row>
    <row r="27258" spans="1:2" x14ac:dyDescent="0.25">
      <c r="A27258" s="2">
        <v>27253</v>
      </c>
      <c r="B27258" s="11" t="str">
        <f>"01058224"</f>
        <v>01058224</v>
      </c>
    </row>
    <row r="27259" spans="1:2" x14ac:dyDescent="0.25">
      <c r="A27259" s="2">
        <v>27254</v>
      </c>
      <c r="B27259" s="11" t="str">
        <f>"01058225"</f>
        <v>01058225</v>
      </c>
    </row>
    <row r="27260" spans="1:2" x14ac:dyDescent="0.25">
      <c r="A27260" s="2">
        <v>27255</v>
      </c>
      <c r="B27260" s="11" t="str">
        <f>"01058226"</f>
        <v>01058226</v>
      </c>
    </row>
    <row r="27261" spans="1:2" x14ac:dyDescent="0.25">
      <c r="A27261" s="2">
        <v>27256</v>
      </c>
      <c r="B27261" s="11" t="str">
        <f>"01058241"</f>
        <v>01058241</v>
      </c>
    </row>
    <row r="27262" spans="1:2" x14ac:dyDescent="0.25">
      <c r="A27262" s="2">
        <v>27257</v>
      </c>
      <c r="B27262" s="11" t="str">
        <f>"01058243"</f>
        <v>01058243</v>
      </c>
    </row>
    <row r="27263" spans="1:2" x14ac:dyDescent="0.25">
      <c r="A27263" s="2">
        <v>27258</v>
      </c>
      <c r="B27263" s="11" t="str">
        <f>"01058257"</f>
        <v>01058257</v>
      </c>
    </row>
    <row r="27264" spans="1:2" x14ac:dyDescent="0.25">
      <c r="A27264" s="2">
        <v>27259</v>
      </c>
      <c r="B27264" s="11" t="str">
        <f>"01058258"</f>
        <v>01058258</v>
      </c>
    </row>
    <row r="27265" spans="1:2" x14ac:dyDescent="0.25">
      <c r="A27265" s="2">
        <v>27260</v>
      </c>
      <c r="B27265" s="11" t="str">
        <f>"01058261"</f>
        <v>01058261</v>
      </c>
    </row>
    <row r="27266" spans="1:2" x14ac:dyDescent="0.25">
      <c r="A27266" s="2">
        <v>27261</v>
      </c>
      <c r="B27266" s="11" t="str">
        <f>"01058262"</f>
        <v>01058262</v>
      </c>
    </row>
    <row r="27267" spans="1:2" x14ac:dyDescent="0.25">
      <c r="A27267" s="2">
        <v>27262</v>
      </c>
      <c r="B27267" s="11" t="str">
        <f>"01058263"</f>
        <v>01058263</v>
      </c>
    </row>
    <row r="27268" spans="1:2" x14ac:dyDescent="0.25">
      <c r="A27268" s="2">
        <v>27263</v>
      </c>
      <c r="B27268" s="11" t="str">
        <f>"01058272"</f>
        <v>01058272</v>
      </c>
    </row>
    <row r="27269" spans="1:2" x14ac:dyDescent="0.25">
      <c r="A27269" s="2">
        <v>27264</v>
      </c>
      <c r="B27269" s="11" t="str">
        <f>"01058302"</f>
        <v>01058302</v>
      </c>
    </row>
    <row r="27270" spans="1:2" x14ac:dyDescent="0.25">
      <c r="A27270" s="2">
        <v>27265</v>
      </c>
      <c r="B27270" s="11" t="str">
        <f>"01058305"</f>
        <v>01058305</v>
      </c>
    </row>
    <row r="27271" spans="1:2" x14ac:dyDescent="0.25">
      <c r="A27271" s="2">
        <v>27266</v>
      </c>
      <c r="B27271" s="11" t="str">
        <f>"01058307"</f>
        <v>01058307</v>
      </c>
    </row>
    <row r="27272" spans="1:2" x14ac:dyDescent="0.25">
      <c r="A27272" s="2">
        <v>27267</v>
      </c>
      <c r="B27272" s="11" t="str">
        <f>"01058312"</f>
        <v>01058312</v>
      </c>
    </row>
    <row r="27273" spans="1:2" x14ac:dyDescent="0.25">
      <c r="A27273" s="2">
        <v>27268</v>
      </c>
      <c r="B27273" s="11" t="str">
        <f>"01058320"</f>
        <v>01058320</v>
      </c>
    </row>
    <row r="27274" spans="1:2" x14ac:dyDescent="0.25">
      <c r="A27274" s="2">
        <v>27269</v>
      </c>
      <c r="B27274" s="11" t="str">
        <f>"01058327"</f>
        <v>01058327</v>
      </c>
    </row>
    <row r="27275" spans="1:2" x14ac:dyDescent="0.25">
      <c r="A27275" s="2">
        <v>27270</v>
      </c>
      <c r="B27275" s="11" t="str">
        <f>"01058336"</f>
        <v>01058336</v>
      </c>
    </row>
    <row r="27276" spans="1:2" x14ac:dyDescent="0.25">
      <c r="A27276" s="2">
        <v>27271</v>
      </c>
      <c r="B27276" s="11" t="str">
        <f>"01058348"</f>
        <v>01058348</v>
      </c>
    </row>
    <row r="27277" spans="1:2" x14ac:dyDescent="0.25">
      <c r="A27277" s="2">
        <v>27272</v>
      </c>
      <c r="B27277" s="11" t="str">
        <f>"01058366"</f>
        <v>01058366</v>
      </c>
    </row>
    <row r="27278" spans="1:2" x14ac:dyDescent="0.25">
      <c r="A27278" s="2">
        <v>27273</v>
      </c>
      <c r="B27278" s="11" t="str">
        <f>"01058377"</f>
        <v>01058377</v>
      </c>
    </row>
    <row r="27279" spans="1:2" x14ac:dyDescent="0.25">
      <c r="A27279" s="2">
        <v>27274</v>
      </c>
      <c r="B27279" s="11" t="str">
        <f>"01058384"</f>
        <v>01058384</v>
      </c>
    </row>
    <row r="27280" spans="1:2" x14ac:dyDescent="0.25">
      <c r="A27280" s="2">
        <v>27275</v>
      </c>
      <c r="B27280" s="11" t="str">
        <f>"01058385"</f>
        <v>01058385</v>
      </c>
    </row>
    <row r="27281" spans="1:2" x14ac:dyDescent="0.25">
      <c r="A27281" s="2">
        <v>27276</v>
      </c>
      <c r="B27281" s="11" t="str">
        <f>"01058389"</f>
        <v>01058389</v>
      </c>
    </row>
    <row r="27282" spans="1:2" x14ac:dyDescent="0.25">
      <c r="A27282" s="2">
        <v>27277</v>
      </c>
      <c r="B27282" s="11" t="str">
        <f>"01058394"</f>
        <v>01058394</v>
      </c>
    </row>
    <row r="27283" spans="1:2" x14ac:dyDescent="0.25">
      <c r="A27283" s="2">
        <v>27278</v>
      </c>
      <c r="B27283" s="11" t="str">
        <f>"01058404"</f>
        <v>01058404</v>
      </c>
    </row>
    <row r="27284" spans="1:2" x14ac:dyDescent="0.25">
      <c r="A27284" s="2">
        <v>27279</v>
      </c>
      <c r="B27284" s="11" t="str">
        <f>"01058408"</f>
        <v>01058408</v>
      </c>
    </row>
    <row r="27285" spans="1:2" x14ac:dyDescent="0.25">
      <c r="A27285" s="2">
        <v>27280</v>
      </c>
      <c r="B27285" s="11" t="str">
        <f>"01058414"</f>
        <v>01058414</v>
      </c>
    </row>
    <row r="27286" spans="1:2" x14ac:dyDescent="0.25">
      <c r="A27286" s="2">
        <v>27281</v>
      </c>
      <c r="B27286" s="11" t="str">
        <f>"01058425"</f>
        <v>01058425</v>
      </c>
    </row>
    <row r="27287" spans="1:2" x14ac:dyDescent="0.25">
      <c r="A27287" s="2">
        <v>27282</v>
      </c>
      <c r="B27287" s="11" t="str">
        <f>"01058456"</f>
        <v>01058456</v>
      </c>
    </row>
    <row r="27288" spans="1:2" x14ac:dyDescent="0.25">
      <c r="A27288" s="2">
        <v>27283</v>
      </c>
      <c r="B27288" s="11" t="str">
        <f>"01058473"</f>
        <v>01058473</v>
      </c>
    </row>
    <row r="27289" spans="1:2" x14ac:dyDescent="0.25">
      <c r="A27289" s="2">
        <v>27284</v>
      </c>
      <c r="B27289" s="11" t="str">
        <f>"01058495"</f>
        <v>01058495</v>
      </c>
    </row>
    <row r="27290" spans="1:2" x14ac:dyDescent="0.25">
      <c r="A27290" s="2">
        <v>27285</v>
      </c>
      <c r="B27290" s="11" t="str">
        <f>"01058510"</f>
        <v>01058510</v>
      </c>
    </row>
    <row r="27291" spans="1:2" x14ac:dyDescent="0.25">
      <c r="A27291" s="2">
        <v>27286</v>
      </c>
      <c r="B27291" s="11" t="str">
        <f>"01058541"</f>
        <v>01058541</v>
      </c>
    </row>
    <row r="27292" spans="1:2" x14ac:dyDescent="0.25">
      <c r="A27292" s="2">
        <v>27287</v>
      </c>
      <c r="B27292" s="11" t="str">
        <f>"01058546"</f>
        <v>01058546</v>
      </c>
    </row>
    <row r="27293" spans="1:2" x14ac:dyDescent="0.25">
      <c r="A27293" s="2">
        <v>27288</v>
      </c>
      <c r="B27293" s="11" t="str">
        <f>"01058551"</f>
        <v>01058551</v>
      </c>
    </row>
    <row r="27294" spans="1:2" x14ac:dyDescent="0.25">
      <c r="A27294" s="2">
        <v>27289</v>
      </c>
      <c r="B27294" s="11" t="str">
        <f>"01058559"</f>
        <v>01058559</v>
      </c>
    </row>
    <row r="27295" spans="1:2" x14ac:dyDescent="0.25">
      <c r="A27295" s="2">
        <v>27290</v>
      </c>
      <c r="B27295" s="11" t="str">
        <f>"01058564"</f>
        <v>01058564</v>
      </c>
    </row>
    <row r="27296" spans="1:2" x14ac:dyDescent="0.25">
      <c r="A27296" s="2">
        <v>27291</v>
      </c>
      <c r="B27296" s="11" t="str">
        <f>"01058624"</f>
        <v>01058624</v>
      </c>
    </row>
    <row r="27297" spans="1:2" x14ac:dyDescent="0.25">
      <c r="A27297" s="2">
        <v>27292</v>
      </c>
      <c r="B27297" s="11" t="str">
        <f>"01058629"</f>
        <v>01058629</v>
      </c>
    </row>
    <row r="27298" spans="1:2" x14ac:dyDescent="0.25">
      <c r="A27298" s="2">
        <v>27293</v>
      </c>
      <c r="B27298" s="11" t="str">
        <f>"01058634"</f>
        <v>01058634</v>
      </c>
    </row>
    <row r="27299" spans="1:2" x14ac:dyDescent="0.25">
      <c r="A27299" s="2">
        <v>27294</v>
      </c>
      <c r="B27299" s="11" t="str">
        <f>"01058711"</f>
        <v>01058711</v>
      </c>
    </row>
    <row r="27300" spans="1:2" x14ac:dyDescent="0.25">
      <c r="A27300" s="2">
        <v>27295</v>
      </c>
      <c r="B27300" s="11" t="str">
        <f>"01058714"</f>
        <v>01058714</v>
      </c>
    </row>
    <row r="27301" spans="1:2" x14ac:dyDescent="0.25">
      <c r="A27301" s="2">
        <v>27296</v>
      </c>
      <c r="B27301" s="11" t="str">
        <f>"01058716"</f>
        <v>01058716</v>
      </c>
    </row>
    <row r="27302" spans="1:2" x14ac:dyDescent="0.25">
      <c r="A27302" s="2">
        <v>27297</v>
      </c>
      <c r="B27302" s="11" t="str">
        <f>"01058719"</f>
        <v>01058719</v>
      </c>
    </row>
    <row r="27303" spans="1:2" x14ac:dyDescent="0.25">
      <c r="A27303" s="2">
        <v>27298</v>
      </c>
      <c r="B27303" s="11" t="str">
        <f>"01058724"</f>
        <v>01058724</v>
      </c>
    </row>
    <row r="27304" spans="1:2" x14ac:dyDescent="0.25">
      <c r="A27304" s="2">
        <v>27299</v>
      </c>
      <c r="B27304" s="11" t="str">
        <f>"01058733"</f>
        <v>01058733</v>
      </c>
    </row>
    <row r="27305" spans="1:2" x14ac:dyDescent="0.25">
      <c r="A27305" s="2">
        <v>27300</v>
      </c>
      <c r="B27305" s="11" t="str">
        <f>"01058744"</f>
        <v>01058744</v>
      </c>
    </row>
    <row r="27306" spans="1:2" x14ac:dyDescent="0.25">
      <c r="A27306" s="2">
        <v>27301</v>
      </c>
      <c r="B27306" s="11" t="str">
        <f>"01058756"</f>
        <v>01058756</v>
      </c>
    </row>
    <row r="27307" spans="1:2" x14ac:dyDescent="0.25">
      <c r="A27307" s="2">
        <v>27302</v>
      </c>
      <c r="B27307" s="11" t="str">
        <f>"01058765"</f>
        <v>01058765</v>
      </c>
    </row>
    <row r="27308" spans="1:2" x14ac:dyDescent="0.25">
      <c r="A27308" s="2">
        <v>27303</v>
      </c>
      <c r="B27308" s="11" t="str">
        <f>"01058772"</f>
        <v>01058772</v>
      </c>
    </row>
    <row r="27309" spans="1:2" x14ac:dyDescent="0.25">
      <c r="A27309" s="2">
        <v>27304</v>
      </c>
      <c r="B27309" s="11" t="str">
        <f>"01058779"</f>
        <v>01058779</v>
      </c>
    </row>
    <row r="27310" spans="1:2" x14ac:dyDescent="0.25">
      <c r="A27310" s="2">
        <v>27305</v>
      </c>
      <c r="B27310" s="11" t="str">
        <f>"01058792"</f>
        <v>01058792</v>
      </c>
    </row>
    <row r="27311" spans="1:2" x14ac:dyDescent="0.25">
      <c r="A27311" s="2">
        <v>27306</v>
      </c>
      <c r="B27311" s="11" t="str">
        <f>"01058808"</f>
        <v>01058808</v>
      </c>
    </row>
    <row r="27312" spans="1:2" x14ac:dyDescent="0.25">
      <c r="A27312" s="2">
        <v>27307</v>
      </c>
      <c r="B27312" s="11" t="str">
        <f>"01058812"</f>
        <v>01058812</v>
      </c>
    </row>
    <row r="27313" spans="1:2" x14ac:dyDescent="0.25">
      <c r="A27313" s="2">
        <v>27308</v>
      </c>
      <c r="B27313" s="11" t="str">
        <f>"01058813"</f>
        <v>01058813</v>
      </c>
    </row>
    <row r="27314" spans="1:2" x14ac:dyDescent="0.25">
      <c r="A27314" s="2">
        <v>27309</v>
      </c>
      <c r="B27314" s="11" t="str">
        <f>"01058840"</f>
        <v>01058840</v>
      </c>
    </row>
    <row r="27315" spans="1:2" x14ac:dyDescent="0.25">
      <c r="A27315" s="2">
        <v>27310</v>
      </c>
      <c r="B27315" s="11" t="str">
        <f>"01058853"</f>
        <v>01058853</v>
      </c>
    </row>
    <row r="27316" spans="1:2" x14ac:dyDescent="0.25">
      <c r="A27316" s="2">
        <v>27311</v>
      </c>
      <c r="B27316" s="11" t="str">
        <f>"01058855"</f>
        <v>01058855</v>
      </c>
    </row>
    <row r="27317" spans="1:2" x14ac:dyDescent="0.25">
      <c r="A27317" s="2">
        <v>27312</v>
      </c>
      <c r="B27317" s="11" t="str">
        <f>"01058858"</f>
        <v>01058858</v>
      </c>
    </row>
    <row r="27318" spans="1:2" x14ac:dyDescent="0.25">
      <c r="A27318" s="2">
        <v>27313</v>
      </c>
      <c r="B27318" s="11" t="str">
        <f>"01058880"</f>
        <v>01058880</v>
      </c>
    </row>
    <row r="27319" spans="1:2" x14ac:dyDescent="0.25">
      <c r="A27319" s="2">
        <v>27314</v>
      </c>
      <c r="B27319" s="11" t="str">
        <f>"01058881"</f>
        <v>01058881</v>
      </c>
    </row>
    <row r="27320" spans="1:2" x14ac:dyDescent="0.25">
      <c r="A27320" s="2">
        <v>27315</v>
      </c>
      <c r="B27320" s="11" t="str">
        <f>"01058885"</f>
        <v>01058885</v>
      </c>
    </row>
    <row r="27321" spans="1:2" x14ac:dyDescent="0.25">
      <c r="A27321" s="2">
        <v>27316</v>
      </c>
      <c r="B27321" s="11" t="str">
        <f>"01058890"</f>
        <v>01058890</v>
      </c>
    </row>
    <row r="27322" spans="1:2" x14ac:dyDescent="0.25">
      <c r="A27322" s="2">
        <v>27317</v>
      </c>
      <c r="B27322" s="11" t="str">
        <f>"01058892"</f>
        <v>01058892</v>
      </c>
    </row>
    <row r="27323" spans="1:2" x14ac:dyDescent="0.25">
      <c r="A27323" s="2">
        <v>27318</v>
      </c>
      <c r="B27323" s="11" t="str">
        <f>"01058897"</f>
        <v>01058897</v>
      </c>
    </row>
    <row r="27324" spans="1:2" x14ac:dyDescent="0.25">
      <c r="A27324" s="2">
        <v>27319</v>
      </c>
      <c r="B27324" s="11" t="str">
        <f>"01058903"</f>
        <v>01058903</v>
      </c>
    </row>
    <row r="27325" spans="1:2" x14ac:dyDescent="0.25">
      <c r="A27325" s="2">
        <v>27320</v>
      </c>
      <c r="B27325" s="11" t="str">
        <f>"01058906"</f>
        <v>01058906</v>
      </c>
    </row>
    <row r="27326" spans="1:2" x14ac:dyDescent="0.25">
      <c r="A27326" s="2">
        <v>27321</v>
      </c>
      <c r="B27326" s="11" t="str">
        <f>"01058910"</f>
        <v>01058910</v>
      </c>
    </row>
    <row r="27327" spans="1:2" x14ac:dyDescent="0.25">
      <c r="A27327" s="2">
        <v>27322</v>
      </c>
      <c r="B27327" s="11" t="str">
        <f>"01058931"</f>
        <v>01058931</v>
      </c>
    </row>
    <row r="27328" spans="1:2" x14ac:dyDescent="0.25">
      <c r="A27328" s="2">
        <v>27323</v>
      </c>
      <c r="B27328" s="11" t="str">
        <f>"01058943"</f>
        <v>01058943</v>
      </c>
    </row>
    <row r="27329" spans="1:2" x14ac:dyDescent="0.25">
      <c r="A27329" s="2">
        <v>27324</v>
      </c>
      <c r="B27329" s="11" t="str">
        <f>"01058947"</f>
        <v>01058947</v>
      </c>
    </row>
    <row r="27330" spans="1:2" x14ac:dyDescent="0.25">
      <c r="A27330" s="2">
        <v>27325</v>
      </c>
      <c r="B27330" s="11" t="str">
        <f>"01058956"</f>
        <v>01058956</v>
      </c>
    </row>
    <row r="27331" spans="1:2" x14ac:dyDescent="0.25">
      <c r="A27331" s="2">
        <v>27326</v>
      </c>
      <c r="B27331" s="11" t="str">
        <f>"01058958"</f>
        <v>01058958</v>
      </c>
    </row>
    <row r="27332" spans="1:2" x14ac:dyDescent="0.25">
      <c r="A27332" s="2">
        <v>27327</v>
      </c>
      <c r="B27332" s="11" t="str">
        <f>"01058959"</f>
        <v>01058959</v>
      </c>
    </row>
    <row r="27333" spans="1:2" x14ac:dyDescent="0.25">
      <c r="A27333" s="2">
        <v>27328</v>
      </c>
      <c r="B27333" s="11" t="str">
        <f>"01058970"</f>
        <v>01058970</v>
      </c>
    </row>
    <row r="27334" spans="1:2" x14ac:dyDescent="0.25">
      <c r="A27334" s="2">
        <v>27329</v>
      </c>
      <c r="B27334" s="11" t="str">
        <f>"01058973"</f>
        <v>01058973</v>
      </c>
    </row>
    <row r="27335" spans="1:2" x14ac:dyDescent="0.25">
      <c r="A27335" s="2">
        <v>27330</v>
      </c>
      <c r="B27335" s="11" t="str">
        <f>"01058977"</f>
        <v>01058977</v>
      </c>
    </row>
    <row r="27336" spans="1:2" x14ac:dyDescent="0.25">
      <c r="A27336" s="2">
        <v>27331</v>
      </c>
      <c r="B27336" s="11" t="str">
        <f>"01058985"</f>
        <v>01058985</v>
      </c>
    </row>
    <row r="27337" spans="1:2" x14ac:dyDescent="0.25">
      <c r="A27337" s="2">
        <v>27332</v>
      </c>
      <c r="B27337" s="11" t="str">
        <f>"01058990"</f>
        <v>01058990</v>
      </c>
    </row>
    <row r="27338" spans="1:2" x14ac:dyDescent="0.25">
      <c r="A27338" s="2">
        <v>27333</v>
      </c>
      <c r="B27338" s="11" t="str">
        <f>"01059002"</f>
        <v>01059002</v>
      </c>
    </row>
    <row r="27339" spans="1:2" x14ac:dyDescent="0.25">
      <c r="A27339" s="2">
        <v>27334</v>
      </c>
      <c r="B27339" s="11" t="str">
        <f>"01059012"</f>
        <v>01059012</v>
      </c>
    </row>
    <row r="27340" spans="1:2" x14ac:dyDescent="0.25">
      <c r="A27340" s="2">
        <v>27335</v>
      </c>
      <c r="B27340" s="11" t="str">
        <f>"01059025"</f>
        <v>01059025</v>
      </c>
    </row>
    <row r="27341" spans="1:2" x14ac:dyDescent="0.25">
      <c r="A27341" s="2">
        <v>27336</v>
      </c>
      <c r="B27341" s="11" t="str">
        <f>"01059029"</f>
        <v>01059029</v>
      </c>
    </row>
    <row r="27342" spans="1:2" x14ac:dyDescent="0.25">
      <c r="A27342" s="2">
        <v>27337</v>
      </c>
      <c r="B27342" s="11" t="str">
        <f>"01059036"</f>
        <v>01059036</v>
      </c>
    </row>
    <row r="27343" spans="1:2" x14ac:dyDescent="0.25">
      <c r="A27343" s="2">
        <v>27338</v>
      </c>
      <c r="B27343" s="11" t="str">
        <f>"01059039"</f>
        <v>01059039</v>
      </c>
    </row>
    <row r="27344" spans="1:2" x14ac:dyDescent="0.25">
      <c r="A27344" s="2">
        <v>27339</v>
      </c>
      <c r="B27344" s="11" t="str">
        <f>"01059040"</f>
        <v>01059040</v>
      </c>
    </row>
    <row r="27345" spans="1:2" x14ac:dyDescent="0.25">
      <c r="A27345" s="2">
        <v>27340</v>
      </c>
      <c r="B27345" s="11" t="str">
        <f>"01059041"</f>
        <v>01059041</v>
      </c>
    </row>
    <row r="27346" spans="1:2" x14ac:dyDescent="0.25">
      <c r="A27346" s="2">
        <v>27341</v>
      </c>
      <c r="B27346" s="11" t="str">
        <f>"01059043"</f>
        <v>01059043</v>
      </c>
    </row>
    <row r="27347" spans="1:2" x14ac:dyDescent="0.25">
      <c r="A27347" s="2">
        <v>27342</v>
      </c>
      <c r="B27347" s="11" t="str">
        <f>"01059045"</f>
        <v>01059045</v>
      </c>
    </row>
    <row r="27348" spans="1:2" x14ac:dyDescent="0.25">
      <c r="A27348" s="2">
        <v>27343</v>
      </c>
      <c r="B27348" s="11" t="str">
        <f>"01059047"</f>
        <v>01059047</v>
      </c>
    </row>
    <row r="27349" spans="1:2" x14ac:dyDescent="0.25">
      <c r="A27349" s="2">
        <v>27344</v>
      </c>
      <c r="B27349" s="11" t="str">
        <f>"01059049"</f>
        <v>01059049</v>
      </c>
    </row>
    <row r="27350" spans="1:2" x14ac:dyDescent="0.25">
      <c r="A27350" s="2">
        <v>27345</v>
      </c>
      <c r="B27350" s="11" t="str">
        <f>"01059051"</f>
        <v>01059051</v>
      </c>
    </row>
    <row r="27351" spans="1:2" x14ac:dyDescent="0.25">
      <c r="A27351" s="2">
        <v>27346</v>
      </c>
      <c r="B27351" s="11" t="str">
        <f>"01059058"</f>
        <v>01059058</v>
      </c>
    </row>
    <row r="27352" spans="1:2" x14ac:dyDescent="0.25">
      <c r="A27352" s="2">
        <v>27347</v>
      </c>
      <c r="B27352" s="11" t="str">
        <f>"01059071"</f>
        <v>01059071</v>
      </c>
    </row>
    <row r="27353" spans="1:2" x14ac:dyDescent="0.25">
      <c r="A27353" s="2">
        <v>27348</v>
      </c>
      <c r="B27353" s="11" t="str">
        <f>"01059077"</f>
        <v>01059077</v>
      </c>
    </row>
    <row r="27354" spans="1:2" x14ac:dyDescent="0.25">
      <c r="A27354" s="2">
        <v>27349</v>
      </c>
      <c r="B27354" s="11" t="str">
        <f>"01059096"</f>
        <v>01059096</v>
      </c>
    </row>
    <row r="27355" spans="1:2" x14ac:dyDescent="0.25">
      <c r="A27355" s="2">
        <v>27350</v>
      </c>
      <c r="B27355" s="11" t="str">
        <f>"01059101"</f>
        <v>01059101</v>
      </c>
    </row>
    <row r="27356" spans="1:2" x14ac:dyDescent="0.25">
      <c r="A27356" s="2">
        <v>27351</v>
      </c>
      <c r="B27356" s="11" t="str">
        <f>"01059106"</f>
        <v>01059106</v>
      </c>
    </row>
    <row r="27357" spans="1:2" x14ac:dyDescent="0.25">
      <c r="A27357" s="2">
        <v>27352</v>
      </c>
      <c r="B27357" s="11" t="str">
        <f>"01059110"</f>
        <v>01059110</v>
      </c>
    </row>
    <row r="27358" spans="1:2" x14ac:dyDescent="0.25">
      <c r="A27358" s="2">
        <v>27353</v>
      </c>
      <c r="B27358" s="11" t="str">
        <f>"01059112"</f>
        <v>01059112</v>
      </c>
    </row>
    <row r="27359" spans="1:2" x14ac:dyDescent="0.25">
      <c r="A27359" s="2">
        <v>27354</v>
      </c>
      <c r="B27359" s="11" t="str">
        <f>"01059119"</f>
        <v>01059119</v>
      </c>
    </row>
    <row r="27360" spans="1:2" x14ac:dyDescent="0.25">
      <c r="A27360" s="2">
        <v>27355</v>
      </c>
      <c r="B27360" s="11" t="str">
        <f>"01059122"</f>
        <v>01059122</v>
      </c>
    </row>
    <row r="27361" spans="1:2" x14ac:dyDescent="0.25">
      <c r="A27361" s="2">
        <v>27356</v>
      </c>
      <c r="B27361" s="11" t="str">
        <f>"01059131"</f>
        <v>01059131</v>
      </c>
    </row>
    <row r="27362" spans="1:2" x14ac:dyDescent="0.25">
      <c r="A27362" s="2">
        <v>27357</v>
      </c>
      <c r="B27362" s="11" t="str">
        <f>"01059140"</f>
        <v>01059140</v>
      </c>
    </row>
    <row r="27363" spans="1:2" x14ac:dyDescent="0.25">
      <c r="A27363" s="2">
        <v>27358</v>
      </c>
      <c r="B27363" s="11" t="str">
        <f>"01059146"</f>
        <v>01059146</v>
      </c>
    </row>
    <row r="27364" spans="1:2" x14ac:dyDescent="0.25">
      <c r="A27364" s="2">
        <v>27359</v>
      </c>
      <c r="B27364" s="11" t="str">
        <f>"01059147"</f>
        <v>01059147</v>
      </c>
    </row>
    <row r="27365" spans="1:2" x14ac:dyDescent="0.25">
      <c r="A27365" s="2">
        <v>27360</v>
      </c>
      <c r="B27365" s="11" t="str">
        <f>"01059148"</f>
        <v>01059148</v>
      </c>
    </row>
    <row r="27366" spans="1:2" x14ac:dyDescent="0.25">
      <c r="A27366" s="2">
        <v>27361</v>
      </c>
      <c r="B27366" s="11" t="str">
        <f>"01059153"</f>
        <v>01059153</v>
      </c>
    </row>
    <row r="27367" spans="1:2" x14ac:dyDescent="0.25">
      <c r="A27367" s="2">
        <v>27362</v>
      </c>
      <c r="B27367" s="11" t="str">
        <f>"01059171"</f>
        <v>01059171</v>
      </c>
    </row>
    <row r="27368" spans="1:2" x14ac:dyDescent="0.25">
      <c r="A27368" s="2">
        <v>27363</v>
      </c>
      <c r="B27368" s="11" t="str">
        <f>"01059175"</f>
        <v>01059175</v>
      </c>
    </row>
    <row r="27369" spans="1:2" x14ac:dyDescent="0.25">
      <c r="A27369" s="2">
        <v>27364</v>
      </c>
      <c r="B27369" s="11" t="str">
        <f>"01059184"</f>
        <v>01059184</v>
      </c>
    </row>
    <row r="27370" spans="1:2" x14ac:dyDescent="0.25">
      <c r="A27370" s="2">
        <v>27365</v>
      </c>
      <c r="B27370" s="11" t="str">
        <f>"01059188"</f>
        <v>01059188</v>
      </c>
    </row>
    <row r="27371" spans="1:2" x14ac:dyDescent="0.25">
      <c r="A27371" s="2">
        <v>27366</v>
      </c>
      <c r="B27371" s="11" t="str">
        <f>"01059192"</f>
        <v>01059192</v>
      </c>
    </row>
    <row r="27372" spans="1:2" x14ac:dyDescent="0.25">
      <c r="A27372" s="2">
        <v>27367</v>
      </c>
      <c r="B27372" s="11" t="str">
        <f>"01059206"</f>
        <v>01059206</v>
      </c>
    </row>
    <row r="27373" spans="1:2" x14ac:dyDescent="0.25">
      <c r="A27373" s="2">
        <v>27368</v>
      </c>
      <c r="B27373" s="11" t="str">
        <f>"01059211"</f>
        <v>01059211</v>
      </c>
    </row>
    <row r="27374" spans="1:2" x14ac:dyDescent="0.25">
      <c r="A27374" s="2">
        <v>27369</v>
      </c>
      <c r="B27374" s="11" t="str">
        <f>"01059217"</f>
        <v>01059217</v>
      </c>
    </row>
    <row r="27375" spans="1:2" x14ac:dyDescent="0.25">
      <c r="A27375" s="2">
        <v>27370</v>
      </c>
      <c r="B27375" s="11" t="str">
        <f>"01059219"</f>
        <v>01059219</v>
      </c>
    </row>
    <row r="27376" spans="1:2" x14ac:dyDescent="0.25">
      <c r="A27376" s="2">
        <v>27371</v>
      </c>
      <c r="B27376" s="11" t="str">
        <f>"01059221"</f>
        <v>01059221</v>
      </c>
    </row>
    <row r="27377" spans="1:2" x14ac:dyDescent="0.25">
      <c r="A27377" s="2">
        <v>27372</v>
      </c>
      <c r="B27377" s="11" t="str">
        <f>"01059224"</f>
        <v>01059224</v>
      </c>
    </row>
    <row r="27378" spans="1:2" x14ac:dyDescent="0.25">
      <c r="A27378" s="2">
        <v>27373</v>
      </c>
      <c r="B27378" s="11" t="str">
        <f>"01059225"</f>
        <v>01059225</v>
      </c>
    </row>
    <row r="27379" spans="1:2" x14ac:dyDescent="0.25">
      <c r="A27379" s="2">
        <v>27374</v>
      </c>
      <c r="B27379" s="11" t="str">
        <f>"01059228"</f>
        <v>01059228</v>
      </c>
    </row>
    <row r="27380" spans="1:2" x14ac:dyDescent="0.25">
      <c r="A27380" s="2">
        <v>27375</v>
      </c>
      <c r="B27380" s="11" t="str">
        <f>"01059237"</f>
        <v>01059237</v>
      </c>
    </row>
    <row r="27381" spans="1:2" x14ac:dyDescent="0.25">
      <c r="A27381" s="2">
        <v>27376</v>
      </c>
      <c r="B27381" s="11" t="str">
        <f>"01059248"</f>
        <v>01059248</v>
      </c>
    </row>
    <row r="27382" spans="1:2" x14ac:dyDescent="0.25">
      <c r="A27382" s="2">
        <v>27377</v>
      </c>
      <c r="B27382" s="11" t="str">
        <f>"01059255"</f>
        <v>01059255</v>
      </c>
    </row>
    <row r="27383" spans="1:2" x14ac:dyDescent="0.25">
      <c r="A27383" s="2">
        <v>27378</v>
      </c>
      <c r="B27383" s="11" t="str">
        <f>"01059258"</f>
        <v>01059258</v>
      </c>
    </row>
    <row r="27384" spans="1:2" x14ac:dyDescent="0.25">
      <c r="A27384" s="2">
        <v>27379</v>
      </c>
      <c r="B27384" s="11" t="str">
        <f>"01059263"</f>
        <v>01059263</v>
      </c>
    </row>
    <row r="27385" spans="1:2" x14ac:dyDescent="0.25">
      <c r="A27385" s="2">
        <v>27380</v>
      </c>
      <c r="B27385" s="11" t="str">
        <f>"01059291"</f>
        <v>01059291</v>
      </c>
    </row>
    <row r="27386" spans="1:2" x14ac:dyDescent="0.25">
      <c r="A27386" s="2">
        <v>27381</v>
      </c>
      <c r="B27386" s="11" t="str">
        <f>"01059293"</f>
        <v>01059293</v>
      </c>
    </row>
    <row r="27387" spans="1:2" x14ac:dyDescent="0.25">
      <c r="A27387" s="2">
        <v>27382</v>
      </c>
      <c r="B27387" s="11" t="str">
        <f>"01059294"</f>
        <v>01059294</v>
      </c>
    </row>
    <row r="27388" spans="1:2" x14ac:dyDescent="0.25">
      <c r="A27388" s="2">
        <v>27383</v>
      </c>
      <c r="B27388" s="11" t="str">
        <f>"01059308"</f>
        <v>01059308</v>
      </c>
    </row>
    <row r="27389" spans="1:2" x14ac:dyDescent="0.25">
      <c r="A27389" s="2">
        <v>27384</v>
      </c>
      <c r="B27389" s="11" t="str">
        <f>"01059310"</f>
        <v>01059310</v>
      </c>
    </row>
    <row r="27390" spans="1:2" x14ac:dyDescent="0.25">
      <c r="A27390" s="2">
        <v>27385</v>
      </c>
      <c r="B27390" s="11" t="str">
        <f>"01059315"</f>
        <v>01059315</v>
      </c>
    </row>
    <row r="27391" spans="1:2" x14ac:dyDescent="0.25">
      <c r="A27391" s="2">
        <v>27386</v>
      </c>
      <c r="B27391" s="11" t="str">
        <f>"01059321"</f>
        <v>01059321</v>
      </c>
    </row>
    <row r="27392" spans="1:2" x14ac:dyDescent="0.25">
      <c r="A27392" s="2">
        <v>27387</v>
      </c>
      <c r="B27392" s="11" t="str">
        <f>"01059322"</f>
        <v>01059322</v>
      </c>
    </row>
    <row r="27393" spans="1:2" x14ac:dyDescent="0.25">
      <c r="A27393" s="2">
        <v>27388</v>
      </c>
      <c r="B27393" s="11" t="str">
        <f>"01059328"</f>
        <v>01059328</v>
      </c>
    </row>
    <row r="27394" spans="1:2" x14ac:dyDescent="0.25">
      <c r="A27394" s="2">
        <v>27389</v>
      </c>
      <c r="B27394" s="11" t="str">
        <f>"01059337"</f>
        <v>01059337</v>
      </c>
    </row>
    <row r="27395" spans="1:2" x14ac:dyDescent="0.25">
      <c r="A27395" s="2">
        <v>27390</v>
      </c>
      <c r="B27395" s="11" t="str">
        <f>"01059339"</f>
        <v>01059339</v>
      </c>
    </row>
    <row r="27396" spans="1:2" x14ac:dyDescent="0.25">
      <c r="A27396" s="2">
        <v>27391</v>
      </c>
      <c r="B27396" s="11" t="str">
        <f>"01059342"</f>
        <v>01059342</v>
      </c>
    </row>
    <row r="27397" spans="1:2" x14ac:dyDescent="0.25">
      <c r="A27397" s="2">
        <v>27392</v>
      </c>
      <c r="B27397" s="11" t="str">
        <f>"01059343"</f>
        <v>01059343</v>
      </c>
    </row>
    <row r="27398" spans="1:2" x14ac:dyDescent="0.25">
      <c r="A27398" s="2">
        <v>27393</v>
      </c>
      <c r="B27398" s="11" t="str">
        <f>"01059345"</f>
        <v>01059345</v>
      </c>
    </row>
    <row r="27399" spans="1:2" x14ac:dyDescent="0.25">
      <c r="A27399" s="2">
        <v>27394</v>
      </c>
      <c r="B27399" s="11" t="str">
        <f>"01059357"</f>
        <v>01059357</v>
      </c>
    </row>
    <row r="27400" spans="1:2" x14ac:dyDescent="0.25">
      <c r="A27400" s="2">
        <v>27395</v>
      </c>
      <c r="B27400" s="11" t="str">
        <f>"01059363"</f>
        <v>01059363</v>
      </c>
    </row>
    <row r="27401" spans="1:2" x14ac:dyDescent="0.25">
      <c r="A27401" s="2">
        <v>27396</v>
      </c>
      <c r="B27401" s="11" t="str">
        <f>"01059368"</f>
        <v>01059368</v>
      </c>
    </row>
    <row r="27402" spans="1:2" x14ac:dyDescent="0.25">
      <c r="A27402" s="2">
        <v>27397</v>
      </c>
      <c r="B27402" s="11" t="str">
        <f>"01059370"</f>
        <v>01059370</v>
      </c>
    </row>
    <row r="27403" spans="1:2" x14ac:dyDescent="0.25">
      <c r="A27403" s="2">
        <v>27398</v>
      </c>
      <c r="B27403" s="11" t="str">
        <f>"01059371"</f>
        <v>01059371</v>
      </c>
    </row>
    <row r="27404" spans="1:2" x14ac:dyDescent="0.25">
      <c r="A27404" s="2">
        <v>27399</v>
      </c>
      <c r="B27404" s="11" t="str">
        <f>"01059372"</f>
        <v>01059372</v>
      </c>
    </row>
    <row r="27405" spans="1:2" x14ac:dyDescent="0.25">
      <c r="A27405" s="2">
        <v>27400</v>
      </c>
      <c r="B27405" s="11" t="str">
        <f>"01059381"</f>
        <v>01059381</v>
      </c>
    </row>
    <row r="27406" spans="1:2" x14ac:dyDescent="0.25">
      <c r="A27406" s="2">
        <v>27401</v>
      </c>
      <c r="B27406" s="11" t="str">
        <f>"01059388"</f>
        <v>01059388</v>
      </c>
    </row>
    <row r="27407" spans="1:2" x14ac:dyDescent="0.25">
      <c r="A27407" s="2">
        <v>27402</v>
      </c>
      <c r="B27407" s="11" t="str">
        <f>"01059389"</f>
        <v>01059389</v>
      </c>
    </row>
    <row r="27408" spans="1:2" x14ac:dyDescent="0.25">
      <c r="A27408" s="2">
        <v>27403</v>
      </c>
      <c r="B27408" s="11" t="str">
        <f>"01059392"</f>
        <v>01059392</v>
      </c>
    </row>
    <row r="27409" spans="1:2" x14ac:dyDescent="0.25">
      <c r="A27409" s="2">
        <v>27404</v>
      </c>
      <c r="B27409" s="11" t="str">
        <f>"01059412"</f>
        <v>01059412</v>
      </c>
    </row>
    <row r="27410" spans="1:2" x14ac:dyDescent="0.25">
      <c r="A27410" s="2">
        <v>27405</v>
      </c>
      <c r="B27410" s="11" t="str">
        <f>"01059413"</f>
        <v>01059413</v>
      </c>
    </row>
    <row r="27411" spans="1:2" x14ac:dyDescent="0.25">
      <c r="A27411" s="2">
        <v>27406</v>
      </c>
      <c r="B27411" s="11" t="str">
        <f>"01059414"</f>
        <v>01059414</v>
      </c>
    </row>
    <row r="27412" spans="1:2" x14ac:dyDescent="0.25">
      <c r="A27412" s="2">
        <v>27407</v>
      </c>
      <c r="B27412" s="11" t="str">
        <f>"01059415"</f>
        <v>01059415</v>
      </c>
    </row>
    <row r="27413" spans="1:2" x14ac:dyDescent="0.25">
      <c r="A27413" s="2">
        <v>27408</v>
      </c>
      <c r="B27413" s="11" t="str">
        <f>"01059424"</f>
        <v>01059424</v>
      </c>
    </row>
    <row r="27414" spans="1:2" x14ac:dyDescent="0.25">
      <c r="A27414" s="2">
        <v>27409</v>
      </c>
      <c r="B27414" s="11" t="str">
        <f>"01059425"</f>
        <v>01059425</v>
      </c>
    </row>
    <row r="27415" spans="1:2" x14ac:dyDescent="0.25">
      <c r="A27415" s="2">
        <v>27410</v>
      </c>
      <c r="B27415" s="11" t="str">
        <f>"01059429"</f>
        <v>01059429</v>
      </c>
    </row>
    <row r="27416" spans="1:2" x14ac:dyDescent="0.25">
      <c r="A27416" s="2">
        <v>27411</v>
      </c>
      <c r="B27416" s="11" t="str">
        <f>"01059437"</f>
        <v>01059437</v>
      </c>
    </row>
    <row r="27417" spans="1:2" x14ac:dyDescent="0.25">
      <c r="A27417" s="2">
        <v>27412</v>
      </c>
      <c r="B27417" s="11" t="str">
        <f>"01059441"</f>
        <v>01059441</v>
      </c>
    </row>
    <row r="27418" spans="1:2" x14ac:dyDescent="0.25">
      <c r="A27418" s="2">
        <v>27413</v>
      </c>
      <c r="B27418" s="11" t="str">
        <f>"01059451"</f>
        <v>01059451</v>
      </c>
    </row>
    <row r="27419" spans="1:2" x14ac:dyDescent="0.25">
      <c r="A27419" s="2">
        <v>27414</v>
      </c>
      <c r="B27419" s="11" t="str">
        <f>"01059459"</f>
        <v>01059459</v>
      </c>
    </row>
    <row r="27420" spans="1:2" x14ac:dyDescent="0.25">
      <c r="A27420" s="2">
        <v>27415</v>
      </c>
      <c r="B27420" s="11" t="str">
        <f>"01059460"</f>
        <v>01059460</v>
      </c>
    </row>
    <row r="27421" spans="1:2" x14ac:dyDescent="0.25">
      <c r="A27421" s="2">
        <v>27416</v>
      </c>
      <c r="B27421" s="11" t="str">
        <f>"01059467"</f>
        <v>01059467</v>
      </c>
    </row>
    <row r="27422" spans="1:2" x14ac:dyDescent="0.25">
      <c r="A27422" s="2">
        <v>27417</v>
      </c>
      <c r="B27422" s="11" t="str">
        <f>"01059469"</f>
        <v>01059469</v>
      </c>
    </row>
    <row r="27423" spans="1:2" x14ac:dyDescent="0.25">
      <c r="A27423" s="2">
        <v>27418</v>
      </c>
      <c r="B27423" s="11" t="str">
        <f>"01059471"</f>
        <v>01059471</v>
      </c>
    </row>
    <row r="27424" spans="1:2" x14ac:dyDescent="0.25">
      <c r="A27424" s="2">
        <v>27419</v>
      </c>
      <c r="B27424" s="11" t="str">
        <f>"01059472"</f>
        <v>01059472</v>
      </c>
    </row>
    <row r="27425" spans="1:2" x14ac:dyDescent="0.25">
      <c r="A27425" s="2">
        <v>27420</v>
      </c>
      <c r="B27425" s="11" t="str">
        <f>"01059514"</f>
        <v>01059514</v>
      </c>
    </row>
    <row r="27426" spans="1:2" x14ac:dyDescent="0.25">
      <c r="A27426" s="2">
        <v>27421</v>
      </c>
      <c r="B27426" s="11" t="str">
        <f>"01059524"</f>
        <v>01059524</v>
      </c>
    </row>
    <row r="27427" spans="1:2" x14ac:dyDescent="0.25">
      <c r="A27427" s="2">
        <v>27422</v>
      </c>
      <c r="B27427" s="11" t="str">
        <f>"01059527"</f>
        <v>01059527</v>
      </c>
    </row>
    <row r="27428" spans="1:2" x14ac:dyDescent="0.25">
      <c r="A27428" s="2">
        <v>27423</v>
      </c>
      <c r="B27428" s="11" t="str">
        <f>"01059561"</f>
        <v>01059561</v>
      </c>
    </row>
    <row r="27429" spans="1:2" x14ac:dyDescent="0.25">
      <c r="A27429" s="2">
        <v>27424</v>
      </c>
      <c r="B27429" s="11" t="str">
        <f>"01059563"</f>
        <v>01059563</v>
      </c>
    </row>
    <row r="27430" spans="1:2" x14ac:dyDescent="0.25">
      <c r="A27430" s="2">
        <v>27425</v>
      </c>
      <c r="B27430" s="11" t="str">
        <f>"01059567"</f>
        <v>01059567</v>
      </c>
    </row>
    <row r="27431" spans="1:2" x14ac:dyDescent="0.25">
      <c r="A27431" s="2">
        <v>27426</v>
      </c>
      <c r="B27431" s="11" t="str">
        <f>"01059568"</f>
        <v>01059568</v>
      </c>
    </row>
    <row r="27432" spans="1:2" x14ac:dyDescent="0.25">
      <c r="A27432" s="2">
        <v>27427</v>
      </c>
      <c r="B27432" s="11" t="str">
        <f>"01059569"</f>
        <v>01059569</v>
      </c>
    </row>
    <row r="27433" spans="1:2" x14ac:dyDescent="0.25">
      <c r="A27433" s="2">
        <v>27428</v>
      </c>
      <c r="B27433" s="11" t="str">
        <f>"01059578"</f>
        <v>01059578</v>
      </c>
    </row>
    <row r="27434" spans="1:2" x14ac:dyDescent="0.25">
      <c r="A27434" s="2">
        <v>27429</v>
      </c>
      <c r="B27434" s="11" t="str">
        <f>"01059581"</f>
        <v>01059581</v>
      </c>
    </row>
    <row r="27435" spans="1:2" x14ac:dyDescent="0.25">
      <c r="A27435" s="2">
        <v>27430</v>
      </c>
      <c r="B27435" s="11" t="str">
        <f>"01059583"</f>
        <v>01059583</v>
      </c>
    </row>
    <row r="27436" spans="1:2" x14ac:dyDescent="0.25">
      <c r="A27436" s="2">
        <v>27431</v>
      </c>
      <c r="B27436" s="11" t="str">
        <f>"01059587"</f>
        <v>01059587</v>
      </c>
    </row>
    <row r="27437" spans="1:2" x14ac:dyDescent="0.25">
      <c r="A27437" s="2">
        <v>27432</v>
      </c>
      <c r="B27437" s="11" t="str">
        <f>"01059594"</f>
        <v>01059594</v>
      </c>
    </row>
    <row r="27438" spans="1:2" x14ac:dyDescent="0.25">
      <c r="A27438" s="2">
        <v>27433</v>
      </c>
      <c r="B27438" s="11" t="str">
        <f>"01059595"</f>
        <v>01059595</v>
      </c>
    </row>
    <row r="27439" spans="1:2" x14ac:dyDescent="0.25">
      <c r="A27439" s="2">
        <v>27434</v>
      </c>
      <c r="B27439" s="11" t="str">
        <f>"01059599"</f>
        <v>01059599</v>
      </c>
    </row>
    <row r="27440" spans="1:2" x14ac:dyDescent="0.25">
      <c r="A27440" s="2">
        <v>27435</v>
      </c>
      <c r="B27440" s="11" t="str">
        <f>"01059611"</f>
        <v>01059611</v>
      </c>
    </row>
    <row r="27441" spans="1:2" x14ac:dyDescent="0.25">
      <c r="A27441" s="2">
        <v>27436</v>
      </c>
      <c r="B27441" s="11" t="str">
        <f>"01059615"</f>
        <v>01059615</v>
      </c>
    </row>
    <row r="27442" spans="1:2" x14ac:dyDescent="0.25">
      <c r="A27442" s="2">
        <v>27437</v>
      </c>
      <c r="B27442" s="11" t="str">
        <f>"01059626"</f>
        <v>01059626</v>
      </c>
    </row>
    <row r="27443" spans="1:2" x14ac:dyDescent="0.25">
      <c r="A27443" s="2">
        <v>27438</v>
      </c>
      <c r="B27443" s="11" t="str">
        <f>"01059628"</f>
        <v>01059628</v>
      </c>
    </row>
    <row r="27444" spans="1:2" x14ac:dyDescent="0.25">
      <c r="A27444" s="2">
        <v>27439</v>
      </c>
      <c r="B27444" s="11" t="str">
        <f>"01059640"</f>
        <v>01059640</v>
      </c>
    </row>
    <row r="27445" spans="1:2" x14ac:dyDescent="0.25">
      <c r="A27445" s="2">
        <v>27440</v>
      </c>
      <c r="B27445" s="11" t="str">
        <f>"01059642"</f>
        <v>01059642</v>
      </c>
    </row>
    <row r="27446" spans="1:2" x14ac:dyDescent="0.25">
      <c r="A27446" s="2">
        <v>27441</v>
      </c>
      <c r="B27446" s="11" t="str">
        <f>"01059645"</f>
        <v>01059645</v>
      </c>
    </row>
    <row r="27447" spans="1:2" x14ac:dyDescent="0.25">
      <c r="A27447" s="2">
        <v>27442</v>
      </c>
      <c r="B27447" s="11" t="str">
        <f>"01059646"</f>
        <v>01059646</v>
      </c>
    </row>
    <row r="27448" spans="1:2" x14ac:dyDescent="0.25">
      <c r="A27448" s="2">
        <v>27443</v>
      </c>
      <c r="B27448" s="11" t="str">
        <f>"01059649"</f>
        <v>01059649</v>
      </c>
    </row>
    <row r="27449" spans="1:2" x14ac:dyDescent="0.25">
      <c r="A27449" s="2">
        <v>27444</v>
      </c>
      <c r="B27449" s="11" t="str">
        <f>"01059655"</f>
        <v>01059655</v>
      </c>
    </row>
    <row r="27450" spans="1:2" x14ac:dyDescent="0.25">
      <c r="A27450" s="2">
        <v>27445</v>
      </c>
      <c r="B27450" s="11" t="str">
        <f>"01059672"</f>
        <v>01059672</v>
      </c>
    </row>
    <row r="27451" spans="1:2" x14ac:dyDescent="0.25">
      <c r="A27451" s="2">
        <v>27446</v>
      </c>
      <c r="B27451" s="11" t="str">
        <f>"01059677"</f>
        <v>01059677</v>
      </c>
    </row>
    <row r="27452" spans="1:2" x14ac:dyDescent="0.25">
      <c r="A27452" s="2">
        <v>27447</v>
      </c>
      <c r="B27452" s="11" t="str">
        <f>"01059679"</f>
        <v>01059679</v>
      </c>
    </row>
    <row r="27453" spans="1:2" x14ac:dyDescent="0.25">
      <c r="A27453" s="2">
        <v>27448</v>
      </c>
      <c r="B27453" s="11" t="str">
        <f>"01059704"</f>
        <v>01059704</v>
      </c>
    </row>
    <row r="27454" spans="1:2" x14ac:dyDescent="0.25">
      <c r="A27454" s="2">
        <v>27449</v>
      </c>
      <c r="B27454" s="11" t="str">
        <f>"01059711"</f>
        <v>01059711</v>
      </c>
    </row>
    <row r="27455" spans="1:2" x14ac:dyDescent="0.25">
      <c r="A27455" s="2">
        <v>27450</v>
      </c>
      <c r="B27455" s="11" t="str">
        <f>"01059733"</f>
        <v>01059733</v>
      </c>
    </row>
    <row r="27456" spans="1:2" x14ac:dyDescent="0.25">
      <c r="A27456" s="2">
        <v>27451</v>
      </c>
      <c r="B27456" s="11" t="str">
        <f>"01059742"</f>
        <v>01059742</v>
      </c>
    </row>
    <row r="27457" spans="1:2" x14ac:dyDescent="0.25">
      <c r="A27457" s="2">
        <v>27452</v>
      </c>
      <c r="B27457" s="11" t="str">
        <f>"01059747"</f>
        <v>01059747</v>
      </c>
    </row>
    <row r="27458" spans="1:2" x14ac:dyDescent="0.25">
      <c r="A27458" s="2">
        <v>27453</v>
      </c>
      <c r="B27458" s="11" t="str">
        <f>"01059758"</f>
        <v>01059758</v>
      </c>
    </row>
    <row r="27459" spans="1:2" x14ac:dyDescent="0.25">
      <c r="A27459" s="2">
        <v>27454</v>
      </c>
      <c r="B27459" s="11" t="str">
        <f>"01059783"</f>
        <v>01059783</v>
      </c>
    </row>
    <row r="27460" spans="1:2" x14ac:dyDescent="0.25">
      <c r="A27460" s="2">
        <v>27455</v>
      </c>
      <c r="B27460" s="11" t="str">
        <f>"01059809"</f>
        <v>01059809</v>
      </c>
    </row>
    <row r="27461" spans="1:2" x14ac:dyDescent="0.25">
      <c r="A27461" s="2">
        <v>27456</v>
      </c>
      <c r="B27461" s="11" t="str">
        <f>"01059818"</f>
        <v>01059818</v>
      </c>
    </row>
    <row r="27462" spans="1:2" x14ac:dyDescent="0.25">
      <c r="A27462" s="2">
        <v>27457</v>
      </c>
      <c r="B27462" s="11" t="str">
        <f>"01059822"</f>
        <v>01059822</v>
      </c>
    </row>
    <row r="27463" spans="1:2" x14ac:dyDescent="0.25">
      <c r="A27463" s="2">
        <v>27458</v>
      </c>
      <c r="B27463" s="11" t="str">
        <f>"01059826"</f>
        <v>01059826</v>
      </c>
    </row>
    <row r="27464" spans="1:2" x14ac:dyDescent="0.25">
      <c r="A27464" s="2">
        <v>27459</v>
      </c>
      <c r="B27464" s="11" t="str">
        <f>"01059843"</f>
        <v>01059843</v>
      </c>
    </row>
    <row r="27465" spans="1:2" x14ac:dyDescent="0.25">
      <c r="A27465" s="2">
        <v>27460</v>
      </c>
      <c r="B27465" s="11" t="str">
        <f>"01059847"</f>
        <v>01059847</v>
      </c>
    </row>
    <row r="27466" spans="1:2" x14ac:dyDescent="0.25">
      <c r="A27466" s="2">
        <v>27461</v>
      </c>
      <c r="B27466" s="11" t="str">
        <f>"01059849"</f>
        <v>01059849</v>
      </c>
    </row>
    <row r="27467" spans="1:2" x14ac:dyDescent="0.25">
      <c r="A27467" s="2">
        <v>27462</v>
      </c>
      <c r="B27467" s="11" t="str">
        <f>"01059855"</f>
        <v>01059855</v>
      </c>
    </row>
    <row r="27468" spans="1:2" x14ac:dyDescent="0.25">
      <c r="A27468" s="2">
        <v>27463</v>
      </c>
      <c r="B27468" s="11" t="str">
        <f>"01059858"</f>
        <v>01059858</v>
      </c>
    </row>
    <row r="27469" spans="1:2" x14ac:dyDescent="0.25">
      <c r="A27469" s="2">
        <v>27464</v>
      </c>
      <c r="B27469" s="11" t="str">
        <f>"01059862"</f>
        <v>01059862</v>
      </c>
    </row>
    <row r="27470" spans="1:2" x14ac:dyDescent="0.25">
      <c r="A27470" s="2">
        <v>27465</v>
      </c>
      <c r="B27470" s="11" t="str">
        <f>"01059871"</f>
        <v>01059871</v>
      </c>
    </row>
    <row r="27471" spans="1:2" x14ac:dyDescent="0.25">
      <c r="A27471" s="2">
        <v>27466</v>
      </c>
      <c r="B27471" s="11" t="str">
        <f>"01059879"</f>
        <v>01059879</v>
      </c>
    </row>
    <row r="27472" spans="1:2" x14ac:dyDescent="0.25">
      <c r="A27472" s="2">
        <v>27467</v>
      </c>
      <c r="B27472" s="11" t="str">
        <f>"01059883"</f>
        <v>01059883</v>
      </c>
    </row>
    <row r="27473" spans="1:2" x14ac:dyDescent="0.25">
      <c r="A27473" s="2">
        <v>27468</v>
      </c>
      <c r="B27473" s="11" t="str">
        <f>"01059884"</f>
        <v>01059884</v>
      </c>
    </row>
    <row r="27474" spans="1:2" x14ac:dyDescent="0.25">
      <c r="A27474" s="2">
        <v>27469</v>
      </c>
      <c r="B27474" s="11" t="str">
        <f>"01059885"</f>
        <v>01059885</v>
      </c>
    </row>
    <row r="27475" spans="1:2" x14ac:dyDescent="0.25">
      <c r="A27475" s="2">
        <v>27470</v>
      </c>
      <c r="B27475" s="11" t="str">
        <f>"01059904"</f>
        <v>01059904</v>
      </c>
    </row>
    <row r="27476" spans="1:2" x14ac:dyDescent="0.25">
      <c r="A27476" s="2">
        <v>27471</v>
      </c>
      <c r="B27476" s="11" t="str">
        <f>"01059911"</f>
        <v>01059911</v>
      </c>
    </row>
    <row r="27477" spans="1:2" x14ac:dyDescent="0.25">
      <c r="A27477" s="2">
        <v>27472</v>
      </c>
      <c r="B27477" s="11" t="str">
        <f>"01059914"</f>
        <v>01059914</v>
      </c>
    </row>
    <row r="27478" spans="1:2" x14ac:dyDescent="0.25">
      <c r="A27478" s="2">
        <v>27473</v>
      </c>
      <c r="B27478" s="11" t="str">
        <f>"01059923"</f>
        <v>01059923</v>
      </c>
    </row>
    <row r="27479" spans="1:2" x14ac:dyDescent="0.25">
      <c r="A27479" s="2">
        <v>27474</v>
      </c>
      <c r="B27479" s="11" t="str">
        <f>"01059925"</f>
        <v>01059925</v>
      </c>
    </row>
    <row r="27480" spans="1:2" x14ac:dyDescent="0.25">
      <c r="A27480" s="2">
        <v>27475</v>
      </c>
      <c r="B27480" s="11" t="str">
        <f>"01059928"</f>
        <v>01059928</v>
      </c>
    </row>
    <row r="27481" spans="1:2" x14ac:dyDescent="0.25">
      <c r="A27481" s="2">
        <v>27476</v>
      </c>
      <c r="B27481" s="11" t="str">
        <f>"01059932"</f>
        <v>01059932</v>
      </c>
    </row>
    <row r="27482" spans="1:2" x14ac:dyDescent="0.25">
      <c r="A27482" s="2">
        <v>27477</v>
      </c>
      <c r="B27482" s="11" t="str">
        <f>"01059933"</f>
        <v>01059933</v>
      </c>
    </row>
    <row r="27483" spans="1:2" x14ac:dyDescent="0.25">
      <c r="A27483" s="2">
        <v>27478</v>
      </c>
      <c r="B27483" s="11" t="str">
        <f>"01059935"</f>
        <v>01059935</v>
      </c>
    </row>
    <row r="27484" spans="1:2" x14ac:dyDescent="0.25">
      <c r="A27484" s="2">
        <v>27479</v>
      </c>
      <c r="B27484" s="11" t="str">
        <f>"01059938"</f>
        <v>01059938</v>
      </c>
    </row>
    <row r="27485" spans="1:2" x14ac:dyDescent="0.25">
      <c r="A27485" s="2">
        <v>27480</v>
      </c>
      <c r="B27485" s="11" t="str">
        <f>"01059955"</f>
        <v>01059955</v>
      </c>
    </row>
    <row r="27486" spans="1:2" x14ac:dyDescent="0.25">
      <c r="A27486" s="2">
        <v>27481</v>
      </c>
      <c r="B27486" s="11" t="str">
        <f>"01059959"</f>
        <v>01059959</v>
      </c>
    </row>
    <row r="27487" spans="1:2" x14ac:dyDescent="0.25">
      <c r="A27487" s="2">
        <v>27482</v>
      </c>
      <c r="B27487" s="11" t="str">
        <f>"01059973"</f>
        <v>01059973</v>
      </c>
    </row>
    <row r="27488" spans="1:2" x14ac:dyDescent="0.25">
      <c r="A27488" s="2">
        <v>27483</v>
      </c>
      <c r="B27488" s="11" t="str">
        <f>"01059976"</f>
        <v>01059976</v>
      </c>
    </row>
    <row r="27489" spans="1:2" x14ac:dyDescent="0.25">
      <c r="A27489" s="2">
        <v>27484</v>
      </c>
      <c r="B27489" s="11" t="str">
        <f>"01059978"</f>
        <v>01059978</v>
      </c>
    </row>
    <row r="27490" spans="1:2" x14ac:dyDescent="0.25">
      <c r="A27490" s="2">
        <v>27485</v>
      </c>
      <c r="B27490" s="11" t="str">
        <f>"01059986"</f>
        <v>01059986</v>
      </c>
    </row>
    <row r="27491" spans="1:2" x14ac:dyDescent="0.25">
      <c r="A27491" s="2">
        <v>27486</v>
      </c>
      <c r="B27491" s="11" t="str">
        <f>"01060005"</f>
        <v>01060005</v>
      </c>
    </row>
    <row r="27492" spans="1:2" x14ac:dyDescent="0.25">
      <c r="A27492" s="2">
        <v>27487</v>
      </c>
      <c r="B27492" s="11" t="str">
        <f>"01060006"</f>
        <v>01060006</v>
      </c>
    </row>
    <row r="27493" spans="1:2" x14ac:dyDescent="0.25">
      <c r="A27493" s="2">
        <v>27488</v>
      </c>
      <c r="B27493" s="11" t="str">
        <f>"01060013"</f>
        <v>01060013</v>
      </c>
    </row>
    <row r="27494" spans="1:2" x14ac:dyDescent="0.25">
      <c r="A27494" s="2">
        <v>27489</v>
      </c>
      <c r="B27494" s="11" t="str">
        <f>"01060016"</f>
        <v>01060016</v>
      </c>
    </row>
    <row r="27495" spans="1:2" x14ac:dyDescent="0.25">
      <c r="A27495" s="2">
        <v>27490</v>
      </c>
      <c r="B27495" s="11" t="str">
        <f>"01060024"</f>
        <v>01060024</v>
      </c>
    </row>
    <row r="27496" spans="1:2" x14ac:dyDescent="0.25">
      <c r="A27496" s="2">
        <v>27491</v>
      </c>
      <c r="B27496" s="11" t="str">
        <f>"01060036"</f>
        <v>01060036</v>
      </c>
    </row>
    <row r="27497" spans="1:2" x14ac:dyDescent="0.25">
      <c r="A27497" s="2">
        <v>27492</v>
      </c>
      <c r="B27497" s="11" t="str">
        <f>"01060038"</f>
        <v>01060038</v>
      </c>
    </row>
    <row r="27498" spans="1:2" x14ac:dyDescent="0.25">
      <c r="A27498" s="2">
        <v>27493</v>
      </c>
      <c r="B27498" s="11" t="str">
        <f>"01060047"</f>
        <v>01060047</v>
      </c>
    </row>
    <row r="27499" spans="1:2" x14ac:dyDescent="0.25">
      <c r="A27499" s="2">
        <v>27494</v>
      </c>
      <c r="B27499" s="11" t="str">
        <f>"01060055"</f>
        <v>01060055</v>
      </c>
    </row>
    <row r="27500" spans="1:2" x14ac:dyDescent="0.25">
      <c r="A27500" s="2">
        <v>27495</v>
      </c>
      <c r="B27500" s="11" t="str">
        <f>"01060064"</f>
        <v>01060064</v>
      </c>
    </row>
    <row r="27501" spans="1:2" x14ac:dyDescent="0.25">
      <c r="A27501" s="2">
        <v>27496</v>
      </c>
      <c r="B27501" s="11" t="str">
        <f>"01060069"</f>
        <v>01060069</v>
      </c>
    </row>
    <row r="27502" spans="1:2" x14ac:dyDescent="0.25">
      <c r="A27502" s="2">
        <v>27497</v>
      </c>
      <c r="B27502" s="11" t="str">
        <f>"01060071"</f>
        <v>01060071</v>
      </c>
    </row>
    <row r="27503" spans="1:2" x14ac:dyDescent="0.25">
      <c r="A27503" s="2">
        <v>27498</v>
      </c>
      <c r="B27503" s="11" t="str">
        <f>"01060076"</f>
        <v>01060076</v>
      </c>
    </row>
    <row r="27504" spans="1:2" x14ac:dyDescent="0.25">
      <c r="A27504" s="2">
        <v>27499</v>
      </c>
      <c r="B27504" s="11" t="str">
        <f>"01060085"</f>
        <v>01060085</v>
      </c>
    </row>
    <row r="27505" spans="1:2" x14ac:dyDescent="0.25">
      <c r="A27505" s="2">
        <v>27500</v>
      </c>
      <c r="B27505" s="11" t="str">
        <f>"01060094"</f>
        <v>01060094</v>
      </c>
    </row>
    <row r="27506" spans="1:2" x14ac:dyDescent="0.25">
      <c r="A27506" s="2">
        <v>27501</v>
      </c>
      <c r="B27506" s="11" t="str">
        <f>"01060095"</f>
        <v>01060095</v>
      </c>
    </row>
    <row r="27507" spans="1:2" x14ac:dyDescent="0.25">
      <c r="A27507" s="2">
        <v>27502</v>
      </c>
      <c r="B27507" s="11" t="str">
        <f>"01060108"</f>
        <v>01060108</v>
      </c>
    </row>
    <row r="27508" spans="1:2" x14ac:dyDescent="0.25">
      <c r="A27508" s="2">
        <v>27503</v>
      </c>
      <c r="B27508" s="11" t="str">
        <f>"01060123"</f>
        <v>01060123</v>
      </c>
    </row>
    <row r="27509" spans="1:2" x14ac:dyDescent="0.25">
      <c r="A27509" s="2">
        <v>27504</v>
      </c>
      <c r="B27509" s="11" t="str">
        <f>"01060131"</f>
        <v>01060131</v>
      </c>
    </row>
    <row r="27510" spans="1:2" x14ac:dyDescent="0.25">
      <c r="A27510" s="2">
        <v>27505</v>
      </c>
      <c r="B27510" s="11" t="str">
        <f>"01060143"</f>
        <v>01060143</v>
      </c>
    </row>
    <row r="27511" spans="1:2" x14ac:dyDescent="0.25">
      <c r="A27511" s="2">
        <v>27506</v>
      </c>
      <c r="B27511" s="11" t="str">
        <f>"01060144"</f>
        <v>01060144</v>
      </c>
    </row>
    <row r="27512" spans="1:2" x14ac:dyDescent="0.25">
      <c r="A27512" s="2">
        <v>27507</v>
      </c>
      <c r="B27512" s="11" t="str">
        <f>"01060150"</f>
        <v>01060150</v>
      </c>
    </row>
    <row r="27513" spans="1:2" x14ac:dyDescent="0.25">
      <c r="A27513" s="2">
        <v>27508</v>
      </c>
      <c r="B27513" s="11" t="str">
        <f>"01060151"</f>
        <v>01060151</v>
      </c>
    </row>
    <row r="27514" spans="1:2" x14ac:dyDescent="0.25">
      <c r="A27514" s="2">
        <v>27509</v>
      </c>
      <c r="B27514" s="11" t="str">
        <f>"01060153"</f>
        <v>01060153</v>
      </c>
    </row>
    <row r="27515" spans="1:2" x14ac:dyDescent="0.25">
      <c r="A27515" s="2">
        <v>27510</v>
      </c>
      <c r="B27515" s="11" t="str">
        <f>"01060154"</f>
        <v>01060154</v>
      </c>
    </row>
    <row r="27516" spans="1:2" x14ac:dyDescent="0.25">
      <c r="A27516" s="2">
        <v>27511</v>
      </c>
      <c r="B27516" s="11" t="str">
        <f>"01060157"</f>
        <v>01060157</v>
      </c>
    </row>
    <row r="27517" spans="1:2" x14ac:dyDescent="0.25">
      <c r="A27517" s="2">
        <v>27512</v>
      </c>
      <c r="B27517" s="11" t="str">
        <f>"01060159"</f>
        <v>01060159</v>
      </c>
    </row>
    <row r="27518" spans="1:2" x14ac:dyDescent="0.25">
      <c r="A27518" s="2">
        <v>27513</v>
      </c>
      <c r="B27518" s="11" t="str">
        <f>"01060161"</f>
        <v>01060161</v>
      </c>
    </row>
    <row r="27519" spans="1:2" x14ac:dyDescent="0.25">
      <c r="A27519" s="2">
        <v>27514</v>
      </c>
      <c r="B27519" s="11" t="str">
        <f>"01060164"</f>
        <v>01060164</v>
      </c>
    </row>
    <row r="27520" spans="1:2" x14ac:dyDescent="0.25">
      <c r="A27520" s="2">
        <v>27515</v>
      </c>
      <c r="B27520" s="11" t="str">
        <f>"01060170"</f>
        <v>01060170</v>
      </c>
    </row>
    <row r="27521" spans="1:2" x14ac:dyDescent="0.25">
      <c r="A27521" s="2">
        <v>27516</v>
      </c>
      <c r="B27521" s="11" t="str">
        <f>"01060174"</f>
        <v>01060174</v>
      </c>
    </row>
    <row r="27522" spans="1:2" x14ac:dyDescent="0.25">
      <c r="A27522" s="2">
        <v>27517</v>
      </c>
      <c r="B27522" s="11" t="str">
        <f>"01060176"</f>
        <v>01060176</v>
      </c>
    </row>
    <row r="27523" spans="1:2" x14ac:dyDescent="0.25">
      <c r="A27523" s="2">
        <v>27518</v>
      </c>
      <c r="B27523" s="11" t="str">
        <f>"01060192"</f>
        <v>01060192</v>
      </c>
    </row>
    <row r="27524" spans="1:2" x14ac:dyDescent="0.25">
      <c r="A27524" s="2">
        <v>27519</v>
      </c>
      <c r="B27524" s="11" t="str">
        <f>"01060198"</f>
        <v>01060198</v>
      </c>
    </row>
    <row r="27525" spans="1:2" x14ac:dyDescent="0.25">
      <c r="A27525" s="2">
        <v>27520</v>
      </c>
      <c r="B27525" s="11" t="str">
        <f>"01060199"</f>
        <v>01060199</v>
      </c>
    </row>
    <row r="27526" spans="1:2" x14ac:dyDescent="0.25">
      <c r="A27526" s="2">
        <v>27521</v>
      </c>
      <c r="B27526" s="11" t="str">
        <f>"01060201"</f>
        <v>01060201</v>
      </c>
    </row>
    <row r="27527" spans="1:2" x14ac:dyDescent="0.25">
      <c r="A27527" s="2">
        <v>27522</v>
      </c>
      <c r="B27527" s="11" t="str">
        <f>"01060206"</f>
        <v>01060206</v>
      </c>
    </row>
    <row r="27528" spans="1:2" x14ac:dyDescent="0.25">
      <c r="A27528" s="2">
        <v>27523</v>
      </c>
      <c r="B27528" s="11" t="str">
        <f>"01060207"</f>
        <v>01060207</v>
      </c>
    </row>
    <row r="27529" spans="1:2" x14ac:dyDescent="0.25">
      <c r="A27529" s="2">
        <v>27524</v>
      </c>
      <c r="B27529" s="11" t="str">
        <f>"01060210"</f>
        <v>01060210</v>
      </c>
    </row>
    <row r="27530" spans="1:2" x14ac:dyDescent="0.25">
      <c r="A27530" s="2">
        <v>27525</v>
      </c>
      <c r="B27530" s="11" t="str">
        <f>"01060222"</f>
        <v>01060222</v>
      </c>
    </row>
    <row r="27531" spans="1:2" x14ac:dyDescent="0.25">
      <c r="A27531" s="2">
        <v>27526</v>
      </c>
      <c r="B27531" s="11" t="str">
        <f>"01060225"</f>
        <v>01060225</v>
      </c>
    </row>
    <row r="27532" spans="1:2" x14ac:dyDescent="0.25">
      <c r="A27532" s="2">
        <v>27527</v>
      </c>
      <c r="B27532" s="11" t="str">
        <f>"01060240"</f>
        <v>01060240</v>
      </c>
    </row>
    <row r="27533" spans="1:2" x14ac:dyDescent="0.25">
      <c r="A27533" s="2">
        <v>27528</v>
      </c>
      <c r="B27533" s="11" t="str">
        <f>"01060248"</f>
        <v>01060248</v>
      </c>
    </row>
    <row r="27534" spans="1:2" x14ac:dyDescent="0.25">
      <c r="A27534" s="2">
        <v>27529</v>
      </c>
      <c r="B27534" s="11" t="str">
        <f>"01060257"</f>
        <v>01060257</v>
      </c>
    </row>
    <row r="27535" spans="1:2" x14ac:dyDescent="0.25">
      <c r="A27535" s="2">
        <v>27530</v>
      </c>
      <c r="B27535" s="11" t="str">
        <f>"01060263"</f>
        <v>01060263</v>
      </c>
    </row>
    <row r="27536" spans="1:2" x14ac:dyDescent="0.25">
      <c r="A27536" s="2">
        <v>27531</v>
      </c>
      <c r="B27536" s="11" t="str">
        <f>"01060270"</f>
        <v>01060270</v>
      </c>
    </row>
    <row r="27537" spans="1:2" x14ac:dyDescent="0.25">
      <c r="A27537" s="2">
        <v>27532</v>
      </c>
      <c r="B27537" s="11" t="str">
        <f>"01060275"</f>
        <v>01060275</v>
      </c>
    </row>
    <row r="27538" spans="1:2" x14ac:dyDescent="0.25">
      <c r="A27538" s="2">
        <v>27533</v>
      </c>
      <c r="B27538" s="11" t="str">
        <f>"01060278"</f>
        <v>01060278</v>
      </c>
    </row>
    <row r="27539" spans="1:2" x14ac:dyDescent="0.25">
      <c r="A27539" s="2">
        <v>27534</v>
      </c>
      <c r="B27539" s="11" t="str">
        <f>"01060281"</f>
        <v>01060281</v>
      </c>
    </row>
    <row r="27540" spans="1:2" x14ac:dyDescent="0.25">
      <c r="A27540" s="2">
        <v>27535</v>
      </c>
      <c r="B27540" s="11" t="str">
        <f>"01060295"</f>
        <v>01060295</v>
      </c>
    </row>
    <row r="27541" spans="1:2" x14ac:dyDescent="0.25">
      <c r="A27541" s="2">
        <v>27536</v>
      </c>
      <c r="B27541" s="11" t="str">
        <f>"01060297"</f>
        <v>01060297</v>
      </c>
    </row>
    <row r="27542" spans="1:2" x14ac:dyDescent="0.25">
      <c r="A27542" s="2">
        <v>27537</v>
      </c>
      <c r="B27542" s="11" t="str">
        <f>"01060307"</f>
        <v>01060307</v>
      </c>
    </row>
    <row r="27543" spans="1:2" x14ac:dyDescent="0.25">
      <c r="A27543" s="2">
        <v>27538</v>
      </c>
      <c r="B27543" s="11" t="str">
        <f>"01060310"</f>
        <v>01060310</v>
      </c>
    </row>
    <row r="27544" spans="1:2" x14ac:dyDescent="0.25">
      <c r="A27544" s="2">
        <v>27539</v>
      </c>
      <c r="B27544" s="11" t="str">
        <f>"01060314"</f>
        <v>01060314</v>
      </c>
    </row>
    <row r="27545" spans="1:2" x14ac:dyDescent="0.25">
      <c r="A27545" s="2">
        <v>27540</v>
      </c>
      <c r="B27545" s="11" t="str">
        <f>"01060318"</f>
        <v>01060318</v>
      </c>
    </row>
    <row r="27546" spans="1:2" x14ac:dyDescent="0.25">
      <c r="A27546" s="2">
        <v>27541</v>
      </c>
      <c r="B27546" s="11" t="str">
        <f>"01060319"</f>
        <v>01060319</v>
      </c>
    </row>
    <row r="27547" spans="1:2" x14ac:dyDescent="0.25">
      <c r="A27547" s="2">
        <v>27542</v>
      </c>
      <c r="B27547" s="11" t="str">
        <f>"01060330"</f>
        <v>01060330</v>
      </c>
    </row>
    <row r="27548" spans="1:2" x14ac:dyDescent="0.25">
      <c r="A27548" s="2">
        <v>27543</v>
      </c>
      <c r="B27548" s="11" t="str">
        <f>"01060331"</f>
        <v>01060331</v>
      </c>
    </row>
    <row r="27549" spans="1:2" x14ac:dyDescent="0.25">
      <c r="A27549" s="2">
        <v>27544</v>
      </c>
      <c r="B27549" s="11" t="str">
        <f>"01060334"</f>
        <v>01060334</v>
      </c>
    </row>
    <row r="27550" spans="1:2" x14ac:dyDescent="0.25">
      <c r="A27550" s="2">
        <v>27545</v>
      </c>
      <c r="B27550" s="11" t="str">
        <f>"01060394"</f>
        <v>01060394</v>
      </c>
    </row>
    <row r="27551" spans="1:2" x14ac:dyDescent="0.25">
      <c r="A27551" s="2">
        <v>27546</v>
      </c>
      <c r="B27551" s="11" t="str">
        <f>"01060409"</f>
        <v>01060409</v>
      </c>
    </row>
    <row r="27552" spans="1:2" x14ac:dyDescent="0.25">
      <c r="A27552" s="2">
        <v>27547</v>
      </c>
      <c r="B27552" s="11" t="str">
        <f>"01060414"</f>
        <v>01060414</v>
      </c>
    </row>
    <row r="27553" spans="1:2" x14ac:dyDescent="0.25">
      <c r="A27553" s="2">
        <v>27548</v>
      </c>
      <c r="B27553" s="11" t="str">
        <f>"01060419"</f>
        <v>01060419</v>
      </c>
    </row>
    <row r="27554" spans="1:2" x14ac:dyDescent="0.25">
      <c r="A27554" s="2">
        <v>27549</v>
      </c>
      <c r="B27554" s="11" t="str">
        <f>"01060441"</f>
        <v>01060441</v>
      </c>
    </row>
    <row r="27555" spans="1:2" x14ac:dyDescent="0.25">
      <c r="A27555" s="2">
        <v>27550</v>
      </c>
      <c r="B27555" s="11" t="str">
        <f>"01060453"</f>
        <v>01060453</v>
      </c>
    </row>
    <row r="27556" spans="1:2" x14ac:dyDescent="0.25">
      <c r="A27556" s="2">
        <v>27551</v>
      </c>
      <c r="B27556" s="11" t="str">
        <f>"01060455"</f>
        <v>01060455</v>
      </c>
    </row>
    <row r="27557" spans="1:2" x14ac:dyDescent="0.25">
      <c r="A27557" s="2">
        <v>27552</v>
      </c>
      <c r="B27557" s="11" t="str">
        <f>"01060470"</f>
        <v>01060470</v>
      </c>
    </row>
    <row r="27558" spans="1:2" x14ac:dyDescent="0.25">
      <c r="A27558" s="2">
        <v>27553</v>
      </c>
      <c r="B27558" s="11" t="str">
        <f>"01060478"</f>
        <v>01060478</v>
      </c>
    </row>
    <row r="27559" spans="1:2" x14ac:dyDescent="0.25">
      <c r="A27559" s="2">
        <v>27554</v>
      </c>
      <c r="B27559" s="11" t="str">
        <f>"01060484"</f>
        <v>01060484</v>
      </c>
    </row>
    <row r="27560" spans="1:2" x14ac:dyDescent="0.25">
      <c r="A27560" s="2">
        <v>27555</v>
      </c>
      <c r="B27560" s="11" t="str">
        <f>"01060487"</f>
        <v>01060487</v>
      </c>
    </row>
    <row r="27561" spans="1:2" x14ac:dyDescent="0.25">
      <c r="A27561" s="2">
        <v>27556</v>
      </c>
      <c r="B27561" s="11" t="str">
        <f>"01060497"</f>
        <v>01060497</v>
      </c>
    </row>
    <row r="27562" spans="1:2" x14ac:dyDescent="0.25">
      <c r="A27562" s="2">
        <v>27557</v>
      </c>
      <c r="B27562" s="11" t="str">
        <f>"01060506"</f>
        <v>01060506</v>
      </c>
    </row>
    <row r="27563" spans="1:2" x14ac:dyDescent="0.25">
      <c r="A27563" s="2">
        <v>27558</v>
      </c>
      <c r="B27563" s="11" t="str">
        <f>"01060507"</f>
        <v>01060507</v>
      </c>
    </row>
    <row r="27564" spans="1:2" x14ac:dyDescent="0.25">
      <c r="A27564" s="2">
        <v>27559</v>
      </c>
      <c r="B27564" s="11" t="str">
        <f>"01060511"</f>
        <v>01060511</v>
      </c>
    </row>
    <row r="27565" spans="1:2" x14ac:dyDescent="0.25">
      <c r="A27565" s="2">
        <v>27560</v>
      </c>
      <c r="B27565" s="11" t="str">
        <f>"01060557"</f>
        <v>01060557</v>
      </c>
    </row>
    <row r="27566" spans="1:2" x14ac:dyDescent="0.25">
      <c r="A27566" s="2">
        <v>27561</v>
      </c>
      <c r="B27566" s="11" t="str">
        <f>"01060567"</f>
        <v>01060567</v>
      </c>
    </row>
    <row r="27567" spans="1:2" x14ac:dyDescent="0.25">
      <c r="A27567" s="2">
        <v>27562</v>
      </c>
      <c r="B27567" s="11" t="str">
        <f>"01060579"</f>
        <v>01060579</v>
      </c>
    </row>
    <row r="27568" spans="1:2" x14ac:dyDescent="0.25">
      <c r="A27568" s="2">
        <v>27563</v>
      </c>
      <c r="B27568" s="11" t="str">
        <f>"01060580"</f>
        <v>01060580</v>
      </c>
    </row>
    <row r="27569" spans="1:2" x14ac:dyDescent="0.25">
      <c r="A27569" s="2">
        <v>27564</v>
      </c>
      <c r="B27569" s="11" t="str">
        <f>"01060597"</f>
        <v>01060597</v>
      </c>
    </row>
    <row r="27570" spans="1:2" x14ac:dyDescent="0.25">
      <c r="A27570" s="2">
        <v>27565</v>
      </c>
      <c r="B27570" s="11" t="str">
        <f>"01060599"</f>
        <v>01060599</v>
      </c>
    </row>
    <row r="27571" spans="1:2" x14ac:dyDescent="0.25">
      <c r="A27571" s="2">
        <v>27566</v>
      </c>
      <c r="B27571" s="11" t="str">
        <f>"01060607"</f>
        <v>01060607</v>
      </c>
    </row>
    <row r="27572" spans="1:2" x14ac:dyDescent="0.25">
      <c r="A27572" s="2">
        <v>27567</v>
      </c>
      <c r="B27572" s="11" t="str">
        <f>"01060630"</f>
        <v>01060630</v>
      </c>
    </row>
    <row r="27573" spans="1:2" x14ac:dyDescent="0.25">
      <c r="A27573" s="2">
        <v>27568</v>
      </c>
      <c r="B27573" s="11" t="str">
        <f>"01060663"</f>
        <v>01060663</v>
      </c>
    </row>
    <row r="27574" spans="1:2" x14ac:dyDescent="0.25">
      <c r="A27574" s="2">
        <v>27569</v>
      </c>
      <c r="B27574" s="11" t="str">
        <f>"01060671"</f>
        <v>01060671</v>
      </c>
    </row>
    <row r="27575" spans="1:2" x14ac:dyDescent="0.25">
      <c r="A27575" s="2">
        <v>27570</v>
      </c>
      <c r="B27575" s="11" t="str">
        <f>"01060703"</f>
        <v>01060703</v>
      </c>
    </row>
    <row r="27576" spans="1:2" x14ac:dyDescent="0.25">
      <c r="A27576" s="2">
        <v>27571</v>
      </c>
      <c r="B27576" s="11" t="str">
        <f>"01060706"</f>
        <v>01060706</v>
      </c>
    </row>
    <row r="27577" spans="1:2" x14ac:dyDescent="0.25">
      <c r="A27577" s="2">
        <v>27572</v>
      </c>
      <c r="B27577" s="11" t="str">
        <f>"01060713"</f>
        <v>01060713</v>
      </c>
    </row>
    <row r="27578" spans="1:2" x14ac:dyDescent="0.25">
      <c r="A27578" s="2">
        <v>27573</v>
      </c>
      <c r="B27578" s="11" t="str">
        <f>"01060719"</f>
        <v>01060719</v>
      </c>
    </row>
    <row r="27579" spans="1:2" x14ac:dyDescent="0.25">
      <c r="A27579" s="2">
        <v>27574</v>
      </c>
      <c r="B27579" s="11" t="str">
        <f>"01060724"</f>
        <v>01060724</v>
      </c>
    </row>
    <row r="27580" spans="1:2" x14ac:dyDescent="0.25">
      <c r="A27580" s="2">
        <v>27575</v>
      </c>
      <c r="B27580" s="11" t="str">
        <f>"01060736"</f>
        <v>01060736</v>
      </c>
    </row>
    <row r="27581" spans="1:2" x14ac:dyDescent="0.25">
      <c r="A27581" s="2">
        <v>27576</v>
      </c>
      <c r="B27581" s="11" t="str">
        <f>"01060742"</f>
        <v>01060742</v>
      </c>
    </row>
    <row r="27582" spans="1:2" x14ac:dyDescent="0.25">
      <c r="A27582" s="2">
        <v>27577</v>
      </c>
      <c r="B27582" s="11" t="str">
        <f>"01060747"</f>
        <v>01060747</v>
      </c>
    </row>
    <row r="27583" spans="1:2" x14ac:dyDescent="0.25">
      <c r="A27583" s="2">
        <v>27578</v>
      </c>
      <c r="B27583" s="11" t="str">
        <f>"01060751"</f>
        <v>01060751</v>
      </c>
    </row>
    <row r="27584" spans="1:2" x14ac:dyDescent="0.25">
      <c r="A27584" s="2">
        <v>27579</v>
      </c>
      <c r="B27584" s="11" t="str">
        <f>"01060755"</f>
        <v>01060755</v>
      </c>
    </row>
    <row r="27585" spans="1:2" x14ac:dyDescent="0.25">
      <c r="A27585" s="2">
        <v>27580</v>
      </c>
      <c r="B27585" s="11" t="str">
        <f>"01060757"</f>
        <v>01060757</v>
      </c>
    </row>
    <row r="27586" spans="1:2" x14ac:dyDescent="0.25">
      <c r="A27586" s="2">
        <v>27581</v>
      </c>
      <c r="B27586" s="11" t="str">
        <f>"01060778"</f>
        <v>01060778</v>
      </c>
    </row>
    <row r="27587" spans="1:2" x14ac:dyDescent="0.25">
      <c r="A27587" s="2">
        <v>27582</v>
      </c>
      <c r="B27587" s="11" t="str">
        <f>"01060782"</f>
        <v>01060782</v>
      </c>
    </row>
    <row r="27588" spans="1:2" x14ac:dyDescent="0.25">
      <c r="A27588" s="2">
        <v>27583</v>
      </c>
      <c r="B27588" s="11" t="str">
        <f>"01060786"</f>
        <v>01060786</v>
      </c>
    </row>
    <row r="27589" spans="1:2" x14ac:dyDescent="0.25">
      <c r="A27589" s="2">
        <v>27584</v>
      </c>
      <c r="B27589" s="11" t="str">
        <f>"01060788"</f>
        <v>01060788</v>
      </c>
    </row>
    <row r="27590" spans="1:2" x14ac:dyDescent="0.25">
      <c r="A27590" s="2">
        <v>27585</v>
      </c>
      <c r="B27590" s="11" t="str">
        <f>"01060798"</f>
        <v>01060798</v>
      </c>
    </row>
    <row r="27591" spans="1:2" x14ac:dyDescent="0.25">
      <c r="A27591" s="2">
        <v>27586</v>
      </c>
      <c r="B27591" s="11" t="str">
        <f>"01060802"</f>
        <v>01060802</v>
      </c>
    </row>
    <row r="27592" spans="1:2" x14ac:dyDescent="0.25">
      <c r="A27592" s="2">
        <v>27587</v>
      </c>
      <c r="B27592" s="11" t="str">
        <f>"01060806"</f>
        <v>01060806</v>
      </c>
    </row>
    <row r="27593" spans="1:2" x14ac:dyDescent="0.25">
      <c r="A27593" s="2">
        <v>27588</v>
      </c>
      <c r="B27593" s="11" t="str">
        <f>"01060830"</f>
        <v>01060830</v>
      </c>
    </row>
    <row r="27594" spans="1:2" x14ac:dyDescent="0.25">
      <c r="A27594" s="2">
        <v>27589</v>
      </c>
      <c r="B27594" s="11" t="str">
        <f>"01060832"</f>
        <v>01060832</v>
      </c>
    </row>
    <row r="27595" spans="1:2" x14ac:dyDescent="0.25">
      <c r="A27595" s="2">
        <v>27590</v>
      </c>
      <c r="B27595" s="11" t="str">
        <f>"01060834"</f>
        <v>01060834</v>
      </c>
    </row>
    <row r="27596" spans="1:2" x14ac:dyDescent="0.25">
      <c r="A27596" s="2">
        <v>27591</v>
      </c>
      <c r="B27596" s="11" t="str">
        <f>"01060836"</f>
        <v>01060836</v>
      </c>
    </row>
    <row r="27597" spans="1:2" x14ac:dyDescent="0.25">
      <c r="A27597" s="2">
        <v>27592</v>
      </c>
      <c r="B27597" s="11" t="str">
        <f>"01060841"</f>
        <v>01060841</v>
      </c>
    </row>
    <row r="27598" spans="1:2" x14ac:dyDescent="0.25">
      <c r="A27598" s="2">
        <v>27593</v>
      </c>
      <c r="B27598" s="11" t="str">
        <f>"01060856"</f>
        <v>01060856</v>
      </c>
    </row>
    <row r="27599" spans="1:2" x14ac:dyDescent="0.25">
      <c r="A27599" s="2">
        <v>27594</v>
      </c>
      <c r="B27599" s="11" t="str">
        <f>"01060860"</f>
        <v>01060860</v>
      </c>
    </row>
    <row r="27600" spans="1:2" x14ac:dyDescent="0.25">
      <c r="A27600" s="2">
        <v>27595</v>
      </c>
      <c r="B27600" s="11" t="str">
        <f>"01060868"</f>
        <v>01060868</v>
      </c>
    </row>
    <row r="27601" spans="1:2" x14ac:dyDescent="0.25">
      <c r="A27601" s="2">
        <v>27596</v>
      </c>
      <c r="B27601" s="11" t="str">
        <f>"01060875"</f>
        <v>01060875</v>
      </c>
    </row>
    <row r="27602" spans="1:2" x14ac:dyDescent="0.25">
      <c r="A27602" s="2">
        <v>27597</v>
      </c>
      <c r="B27602" s="11" t="str">
        <f>"01060883"</f>
        <v>01060883</v>
      </c>
    </row>
    <row r="27603" spans="1:2" x14ac:dyDescent="0.25">
      <c r="A27603" s="2">
        <v>27598</v>
      </c>
      <c r="B27603" s="11" t="str">
        <f>"01060886"</f>
        <v>01060886</v>
      </c>
    </row>
    <row r="27604" spans="1:2" x14ac:dyDescent="0.25">
      <c r="A27604" s="2">
        <v>27599</v>
      </c>
      <c r="B27604" s="11" t="str">
        <f>"01060887"</f>
        <v>01060887</v>
      </c>
    </row>
    <row r="27605" spans="1:2" x14ac:dyDescent="0.25">
      <c r="A27605" s="2">
        <v>27600</v>
      </c>
      <c r="B27605" s="11" t="str">
        <f>"01060889"</f>
        <v>01060889</v>
      </c>
    </row>
    <row r="27606" spans="1:2" x14ac:dyDescent="0.25">
      <c r="A27606" s="2">
        <v>27601</v>
      </c>
      <c r="B27606" s="11" t="str">
        <f>"01060890"</f>
        <v>01060890</v>
      </c>
    </row>
    <row r="27607" spans="1:2" x14ac:dyDescent="0.25">
      <c r="A27607" s="2">
        <v>27602</v>
      </c>
      <c r="B27607" s="11" t="str">
        <f>"01060891"</f>
        <v>01060891</v>
      </c>
    </row>
    <row r="27608" spans="1:2" x14ac:dyDescent="0.25">
      <c r="A27608" s="2">
        <v>27603</v>
      </c>
      <c r="B27608" s="11" t="str">
        <f>"01060892"</f>
        <v>01060892</v>
      </c>
    </row>
    <row r="27609" spans="1:2" x14ac:dyDescent="0.25">
      <c r="A27609" s="2">
        <v>27604</v>
      </c>
      <c r="B27609" s="11" t="str">
        <f>"01060894"</f>
        <v>01060894</v>
      </c>
    </row>
    <row r="27610" spans="1:2" x14ac:dyDescent="0.25">
      <c r="A27610" s="2">
        <v>27605</v>
      </c>
      <c r="B27610" s="11" t="str">
        <f>"01060899"</f>
        <v>01060899</v>
      </c>
    </row>
    <row r="27611" spans="1:2" x14ac:dyDescent="0.25">
      <c r="A27611" s="2">
        <v>27606</v>
      </c>
      <c r="B27611" s="11" t="str">
        <f>"01060901"</f>
        <v>01060901</v>
      </c>
    </row>
    <row r="27612" spans="1:2" x14ac:dyDescent="0.25">
      <c r="A27612" s="2">
        <v>27607</v>
      </c>
      <c r="B27612" s="11" t="str">
        <f>"01060909"</f>
        <v>01060909</v>
      </c>
    </row>
    <row r="27613" spans="1:2" x14ac:dyDescent="0.25">
      <c r="A27613" s="2">
        <v>27608</v>
      </c>
      <c r="B27613" s="11" t="str">
        <f>"01060910"</f>
        <v>01060910</v>
      </c>
    </row>
    <row r="27614" spans="1:2" x14ac:dyDescent="0.25">
      <c r="A27614" s="2">
        <v>27609</v>
      </c>
      <c r="B27614" s="11" t="str">
        <f>"01060938"</f>
        <v>01060938</v>
      </c>
    </row>
    <row r="27615" spans="1:2" x14ac:dyDescent="0.25">
      <c r="A27615" s="2">
        <v>27610</v>
      </c>
      <c r="B27615" s="11" t="str">
        <f>"01060943"</f>
        <v>01060943</v>
      </c>
    </row>
    <row r="27616" spans="1:2" x14ac:dyDescent="0.25">
      <c r="A27616" s="2">
        <v>27611</v>
      </c>
      <c r="B27616" s="11" t="str">
        <f>"01060955"</f>
        <v>01060955</v>
      </c>
    </row>
    <row r="27617" spans="1:2" x14ac:dyDescent="0.25">
      <c r="A27617" s="2">
        <v>27612</v>
      </c>
      <c r="B27617" s="11" t="str">
        <f>"01060973"</f>
        <v>01060973</v>
      </c>
    </row>
    <row r="27618" spans="1:2" x14ac:dyDescent="0.25">
      <c r="A27618" s="2">
        <v>27613</v>
      </c>
      <c r="B27618" s="11" t="str">
        <f>"01060974"</f>
        <v>01060974</v>
      </c>
    </row>
    <row r="27619" spans="1:2" x14ac:dyDescent="0.25">
      <c r="A27619" s="2">
        <v>27614</v>
      </c>
      <c r="B27619" s="11" t="str">
        <f>"01060975"</f>
        <v>01060975</v>
      </c>
    </row>
    <row r="27620" spans="1:2" x14ac:dyDescent="0.25">
      <c r="A27620" s="2">
        <v>27615</v>
      </c>
      <c r="B27620" s="11" t="str">
        <f>"01060993"</f>
        <v>01060993</v>
      </c>
    </row>
    <row r="27621" spans="1:2" x14ac:dyDescent="0.25">
      <c r="A27621" s="2">
        <v>27616</v>
      </c>
      <c r="B27621" s="11" t="str">
        <f>"01060996"</f>
        <v>01060996</v>
      </c>
    </row>
    <row r="27622" spans="1:2" x14ac:dyDescent="0.25">
      <c r="A27622" s="2">
        <v>27617</v>
      </c>
      <c r="B27622" s="11" t="str">
        <f>"01060998"</f>
        <v>01060998</v>
      </c>
    </row>
    <row r="27623" spans="1:2" x14ac:dyDescent="0.25">
      <c r="A27623" s="2">
        <v>27618</v>
      </c>
      <c r="B27623" s="11" t="str">
        <f>"01061009"</f>
        <v>01061009</v>
      </c>
    </row>
    <row r="27624" spans="1:2" x14ac:dyDescent="0.25">
      <c r="A27624" s="2">
        <v>27619</v>
      </c>
      <c r="B27624" s="11" t="str">
        <f>"01061011"</f>
        <v>01061011</v>
      </c>
    </row>
    <row r="27625" spans="1:2" x14ac:dyDescent="0.25">
      <c r="A27625" s="2">
        <v>27620</v>
      </c>
      <c r="B27625" s="11" t="str">
        <f>"01061013"</f>
        <v>01061013</v>
      </c>
    </row>
    <row r="27626" spans="1:2" x14ac:dyDescent="0.25">
      <c r="A27626" s="2">
        <v>27621</v>
      </c>
      <c r="B27626" s="11" t="str">
        <f>"01061014"</f>
        <v>01061014</v>
      </c>
    </row>
    <row r="27627" spans="1:2" x14ac:dyDescent="0.25">
      <c r="A27627" s="2">
        <v>27622</v>
      </c>
      <c r="B27627" s="11" t="str">
        <f>"01061015"</f>
        <v>01061015</v>
      </c>
    </row>
    <row r="27628" spans="1:2" x14ac:dyDescent="0.25">
      <c r="A27628" s="2">
        <v>27623</v>
      </c>
      <c r="B27628" s="11" t="str">
        <f>"01061025"</f>
        <v>01061025</v>
      </c>
    </row>
    <row r="27629" spans="1:2" x14ac:dyDescent="0.25">
      <c r="A27629" s="2">
        <v>27624</v>
      </c>
      <c r="B27629" s="11" t="str">
        <f>"01061028"</f>
        <v>01061028</v>
      </c>
    </row>
    <row r="27630" spans="1:2" x14ac:dyDescent="0.25">
      <c r="A27630" s="2">
        <v>27625</v>
      </c>
      <c r="B27630" s="11" t="str">
        <f>"01061029"</f>
        <v>01061029</v>
      </c>
    </row>
    <row r="27631" spans="1:2" x14ac:dyDescent="0.25">
      <c r="A27631" s="2">
        <v>27626</v>
      </c>
      <c r="B27631" s="11" t="str">
        <f>"01061030"</f>
        <v>01061030</v>
      </c>
    </row>
    <row r="27632" spans="1:2" x14ac:dyDescent="0.25">
      <c r="A27632" s="2">
        <v>27627</v>
      </c>
      <c r="B27632" s="11" t="str">
        <f>"01061034"</f>
        <v>01061034</v>
      </c>
    </row>
    <row r="27633" spans="1:2" x14ac:dyDescent="0.25">
      <c r="A27633" s="2">
        <v>27628</v>
      </c>
      <c r="B27633" s="11" t="str">
        <f>"01061047"</f>
        <v>01061047</v>
      </c>
    </row>
    <row r="27634" spans="1:2" x14ac:dyDescent="0.25">
      <c r="A27634" s="2">
        <v>27629</v>
      </c>
      <c r="B27634" s="11" t="str">
        <f>"01061052"</f>
        <v>01061052</v>
      </c>
    </row>
    <row r="27635" spans="1:2" x14ac:dyDescent="0.25">
      <c r="A27635" s="2">
        <v>27630</v>
      </c>
      <c r="B27635" s="11" t="str">
        <f>"01061054"</f>
        <v>01061054</v>
      </c>
    </row>
    <row r="27636" spans="1:2" x14ac:dyDescent="0.25">
      <c r="A27636" s="2">
        <v>27631</v>
      </c>
      <c r="B27636" s="11" t="str">
        <f>"01061061"</f>
        <v>01061061</v>
      </c>
    </row>
    <row r="27637" spans="1:2" x14ac:dyDescent="0.25">
      <c r="A27637" s="2">
        <v>27632</v>
      </c>
      <c r="B27637" s="11" t="str">
        <f>"01061066"</f>
        <v>01061066</v>
      </c>
    </row>
    <row r="27638" spans="1:2" x14ac:dyDescent="0.25">
      <c r="A27638" s="2">
        <v>27633</v>
      </c>
      <c r="B27638" s="11" t="str">
        <f>"01061067"</f>
        <v>01061067</v>
      </c>
    </row>
    <row r="27639" spans="1:2" x14ac:dyDescent="0.25">
      <c r="A27639" s="2">
        <v>27634</v>
      </c>
      <c r="B27639" s="11" t="str">
        <f>"01061071"</f>
        <v>01061071</v>
      </c>
    </row>
    <row r="27640" spans="1:2" x14ac:dyDescent="0.25">
      <c r="A27640" s="2">
        <v>27635</v>
      </c>
      <c r="B27640" s="11" t="str">
        <f>"01061072"</f>
        <v>01061072</v>
      </c>
    </row>
    <row r="27641" spans="1:2" x14ac:dyDescent="0.25">
      <c r="A27641" s="2">
        <v>27636</v>
      </c>
      <c r="B27641" s="11" t="str">
        <f>"01061073"</f>
        <v>01061073</v>
      </c>
    </row>
    <row r="27642" spans="1:2" x14ac:dyDescent="0.25">
      <c r="A27642" s="2">
        <v>27637</v>
      </c>
      <c r="B27642" s="11" t="str">
        <f>"01061081"</f>
        <v>01061081</v>
      </c>
    </row>
    <row r="27643" spans="1:2" x14ac:dyDescent="0.25">
      <c r="A27643" s="2">
        <v>27638</v>
      </c>
      <c r="B27643" s="11" t="str">
        <f>"01061082"</f>
        <v>01061082</v>
      </c>
    </row>
    <row r="27644" spans="1:2" x14ac:dyDescent="0.25">
      <c r="A27644" s="2">
        <v>27639</v>
      </c>
      <c r="B27644" s="11" t="str">
        <f>"01061093"</f>
        <v>01061093</v>
      </c>
    </row>
    <row r="27645" spans="1:2" x14ac:dyDescent="0.25">
      <c r="A27645" s="2">
        <v>27640</v>
      </c>
      <c r="B27645" s="11" t="str">
        <f>"01061112"</f>
        <v>01061112</v>
      </c>
    </row>
    <row r="27646" spans="1:2" x14ac:dyDescent="0.25">
      <c r="A27646" s="2">
        <v>27641</v>
      </c>
      <c r="B27646" s="11" t="str">
        <f>"01061114"</f>
        <v>01061114</v>
      </c>
    </row>
    <row r="27647" spans="1:2" x14ac:dyDescent="0.25">
      <c r="A27647" s="2">
        <v>27642</v>
      </c>
      <c r="B27647" s="11" t="str">
        <f>"01061117"</f>
        <v>01061117</v>
      </c>
    </row>
    <row r="27648" spans="1:2" x14ac:dyDescent="0.25">
      <c r="A27648" s="2">
        <v>27643</v>
      </c>
      <c r="B27648" s="11" t="str">
        <f>"01061123"</f>
        <v>01061123</v>
      </c>
    </row>
    <row r="27649" spans="1:2" x14ac:dyDescent="0.25">
      <c r="A27649" s="2">
        <v>27644</v>
      </c>
      <c r="B27649" s="11" t="str">
        <f>"01061126"</f>
        <v>01061126</v>
      </c>
    </row>
    <row r="27650" spans="1:2" x14ac:dyDescent="0.25">
      <c r="A27650" s="2">
        <v>27645</v>
      </c>
      <c r="B27650" s="11" t="str">
        <f>"01061128"</f>
        <v>01061128</v>
      </c>
    </row>
    <row r="27651" spans="1:2" x14ac:dyDescent="0.25">
      <c r="A27651" s="2">
        <v>27646</v>
      </c>
      <c r="B27651" s="11" t="str">
        <f>"01061131"</f>
        <v>01061131</v>
      </c>
    </row>
    <row r="27652" spans="1:2" x14ac:dyDescent="0.25">
      <c r="A27652" s="2">
        <v>27647</v>
      </c>
      <c r="B27652" s="11" t="str">
        <f>"01061139"</f>
        <v>01061139</v>
      </c>
    </row>
    <row r="27653" spans="1:2" x14ac:dyDescent="0.25">
      <c r="A27653" s="2">
        <v>27648</v>
      </c>
      <c r="B27653" s="11" t="str">
        <f>"01061153"</f>
        <v>01061153</v>
      </c>
    </row>
    <row r="27654" spans="1:2" x14ac:dyDescent="0.25">
      <c r="A27654" s="2">
        <v>27649</v>
      </c>
      <c r="B27654" s="11" t="str">
        <f>"01061155"</f>
        <v>01061155</v>
      </c>
    </row>
    <row r="27655" spans="1:2" x14ac:dyDescent="0.25">
      <c r="A27655" s="2">
        <v>27650</v>
      </c>
      <c r="B27655" s="11" t="str">
        <f>"01061162"</f>
        <v>01061162</v>
      </c>
    </row>
    <row r="27656" spans="1:2" x14ac:dyDescent="0.25">
      <c r="A27656" s="2">
        <v>27651</v>
      </c>
      <c r="B27656" s="11" t="str">
        <f>"01061174"</f>
        <v>01061174</v>
      </c>
    </row>
    <row r="27657" spans="1:2" x14ac:dyDescent="0.25">
      <c r="A27657" s="2">
        <v>27652</v>
      </c>
      <c r="B27657" s="11" t="str">
        <f>"01061182"</f>
        <v>01061182</v>
      </c>
    </row>
    <row r="27658" spans="1:2" x14ac:dyDescent="0.25">
      <c r="A27658" s="2">
        <v>27653</v>
      </c>
      <c r="B27658" s="11" t="str">
        <f>"01061183"</f>
        <v>01061183</v>
      </c>
    </row>
    <row r="27659" spans="1:2" x14ac:dyDescent="0.25">
      <c r="A27659" s="2">
        <v>27654</v>
      </c>
      <c r="B27659" s="11" t="str">
        <f>"01061185"</f>
        <v>01061185</v>
      </c>
    </row>
    <row r="27660" spans="1:2" x14ac:dyDescent="0.25">
      <c r="A27660" s="2">
        <v>27655</v>
      </c>
      <c r="B27660" s="11" t="str">
        <f>"01061188"</f>
        <v>01061188</v>
      </c>
    </row>
    <row r="27661" spans="1:2" x14ac:dyDescent="0.25">
      <c r="A27661" s="2">
        <v>27656</v>
      </c>
      <c r="B27661" s="11" t="str">
        <f>"01061201"</f>
        <v>01061201</v>
      </c>
    </row>
    <row r="27662" spans="1:2" x14ac:dyDescent="0.25">
      <c r="A27662" s="2">
        <v>27657</v>
      </c>
      <c r="B27662" s="11" t="str">
        <f>"01061205"</f>
        <v>01061205</v>
      </c>
    </row>
    <row r="27663" spans="1:2" x14ac:dyDescent="0.25">
      <c r="A27663" s="2">
        <v>27658</v>
      </c>
      <c r="B27663" s="11" t="str">
        <f>"01061206"</f>
        <v>01061206</v>
      </c>
    </row>
    <row r="27664" spans="1:2" x14ac:dyDescent="0.25">
      <c r="A27664" s="2">
        <v>27659</v>
      </c>
      <c r="B27664" s="11" t="str">
        <f>"01061214"</f>
        <v>01061214</v>
      </c>
    </row>
    <row r="27665" spans="1:2" x14ac:dyDescent="0.25">
      <c r="A27665" s="2">
        <v>27660</v>
      </c>
      <c r="B27665" s="11" t="str">
        <f>"01061219"</f>
        <v>01061219</v>
      </c>
    </row>
    <row r="27666" spans="1:2" x14ac:dyDescent="0.25">
      <c r="A27666" s="2">
        <v>27661</v>
      </c>
      <c r="B27666" s="11" t="str">
        <f>"01061227"</f>
        <v>01061227</v>
      </c>
    </row>
    <row r="27667" spans="1:2" x14ac:dyDescent="0.25">
      <c r="A27667" s="2">
        <v>27662</v>
      </c>
      <c r="B27667" s="11" t="str">
        <f>"01061228"</f>
        <v>01061228</v>
      </c>
    </row>
    <row r="27668" spans="1:2" x14ac:dyDescent="0.25">
      <c r="A27668" s="2">
        <v>27663</v>
      </c>
      <c r="B27668" s="11" t="str">
        <f>"01061229"</f>
        <v>01061229</v>
      </c>
    </row>
    <row r="27669" spans="1:2" x14ac:dyDescent="0.25">
      <c r="A27669" s="2">
        <v>27664</v>
      </c>
      <c r="B27669" s="11" t="str">
        <f>"01061232"</f>
        <v>01061232</v>
      </c>
    </row>
    <row r="27670" spans="1:2" x14ac:dyDescent="0.25">
      <c r="A27670" s="2">
        <v>27665</v>
      </c>
      <c r="B27670" s="11" t="str">
        <f>"01061246"</f>
        <v>01061246</v>
      </c>
    </row>
    <row r="27671" spans="1:2" x14ac:dyDescent="0.25">
      <c r="A27671" s="2">
        <v>27666</v>
      </c>
      <c r="B27671" s="11" t="str">
        <f>"01061262"</f>
        <v>01061262</v>
      </c>
    </row>
    <row r="27672" spans="1:2" x14ac:dyDescent="0.25">
      <c r="A27672" s="2">
        <v>27667</v>
      </c>
      <c r="B27672" s="11" t="str">
        <f>"01061278"</f>
        <v>01061278</v>
      </c>
    </row>
    <row r="27673" spans="1:2" x14ac:dyDescent="0.25">
      <c r="A27673" s="2">
        <v>27668</v>
      </c>
      <c r="B27673" s="11" t="str">
        <f>"01061281"</f>
        <v>01061281</v>
      </c>
    </row>
    <row r="27674" spans="1:2" x14ac:dyDescent="0.25">
      <c r="A27674" s="2">
        <v>27669</v>
      </c>
      <c r="B27674" s="11" t="str">
        <f>"01061291"</f>
        <v>01061291</v>
      </c>
    </row>
    <row r="27675" spans="1:2" x14ac:dyDescent="0.25">
      <c r="A27675" s="2">
        <v>27670</v>
      </c>
      <c r="B27675" s="11" t="str">
        <f>"01061296"</f>
        <v>01061296</v>
      </c>
    </row>
    <row r="27676" spans="1:2" x14ac:dyDescent="0.25">
      <c r="A27676" s="2">
        <v>27671</v>
      </c>
      <c r="B27676" s="11" t="str">
        <f>"01061302"</f>
        <v>01061302</v>
      </c>
    </row>
    <row r="27677" spans="1:2" x14ac:dyDescent="0.25">
      <c r="A27677" s="2">
        <v>27672</v>
      </c>
      <c r="B27677" s="11" t="str">
        <f>"01061332"</f>
        <v>01061332</v>
      </c>
    </row>
    <row r="27678" spans="1:2" x14ac:dyDescent="0.25">
      <c r="A27678" s="2">
        <v>27673</v>
      </c>
      <c r="B27678" s="11" t="str">
        <f>"01061334"</f>
        <v>01061334</v>
      </c>
    </row>
    <row r="27679" spans="1:2" x14ac:dyDescent="0.25">
      <c r="A27679" s="2">
        <v>27674</v>
      </c>
      <c r="B27679" s="11" t="str">
        <f>"01061342"</f>
        <v>01061342</v>
      </c>
    </row>
    <row r="27680" spans="1:2" x14ac:dyDescent="0.25">
      <c r="A27680" s="2">
        <v>27675</v>
      </c>
      <c r="B27680" s="11" t="str">
        <f>"01061360"</f>
        <v>01061360</v>
      </c>
    </row>
    <row r="27681" spans="1:2" x14ac:dyDescent="0.25">
      <c r="A27681" s="2">
        <v>27676</v>
      </c>
      <c r="B27681" s="11" t="str">
        <f>"01061361"</f>
        <v>01061361</v>
      </c>
    </row>
    <row r="27682" spans="1:2" x14ac:dyDescent="0.25">
      <c r="A27682" s="2">
        <v>27677</v>
      </c>
      <c r="B27682" s="11" t="str">
        <f>"01061371"</f>
        <v>01061371</v>
      </c>
    </row>
    <row r="27683" spans="1:2" x14ac:dyDescent="0.25">
      <c r="A27683" s="2">
        <v>27678</v>
      </c>
      <c r="B27683" s="11" t="str">
        <f>"01061380"</f>
        <v>01061380</v>
      </c>
    </row>
    <row r="27684" spans="1:2" x14ac:dyDescent="0.25">
      <c r="A27684" s="2">
        <v>27679</v>
      </c>
      <c r="B27684" s="11" t="str">
        <f>"01061381"</f>
        <v>01061381</v>
      </c>
    </row>
    <row r="27685" spans="1:2" x14ac:dyDescent="0.25">
      <c r="A27685" s="2">
        <v>27680</v>
      </c>
      <c r="B27685" s="11" t="str">
        <f>"01061385"</f>
        <v>01061385</v>
      </c>
    </row>
    <row r="27686" spans="1:2" x14ac:dyDescent="0.25">
      <c r="A27686" s="2">
        <v>27681</v>
      </c>
      <c r="B27686" s="11" t="str">
        <f>"01061390"</f>
        <v>01061390</v>
      </c>
    </row>
    <row r="27687" spans="1:2" x14ac:dyDescent="0.25">
      <c r="A27687" s="2">
        <v>27682</v>
      </c>
      <c r="B27687" s="11" t="str">
        <f>"01061392"</f>
        <v>01061392</v>
      </c>
    </row>
    <row r="27688" spans="1:2" x14ac:dyDescent="0.25">
      <c r="A27688" s="2">
        <v>27683</v>
      </c>
      <c r="B27688" s="11" t="str">
        <f>"01061396"</f>
        <v>01061396</v>
      </c>
    </row>
    <row r="27689" spans="1:2" x14ac:dyDescent="0.25">
      <c r="A27689" s="2">
        <v>27684</v>
      </c>
      <c r="B27689" s="11" t="str">
        <f>"01061421"</f>
        <v>01061421</v>
      </c>
    </row>
    <row r="27690" spans="1:2" x14ac:dyDescent="0.25">
      <c r="A27690" s="2">
        <v>27685</v>
      </c>
      <c r="B27690" s="11" t="str">
        <f>"01061429"</f>
        <v>01061429</v>
      </c>
    </row>
    <row r="27691" spans="1:2" x14ac:dyDescent="0.25">
      <c r="A27691" s="2">
        <v>27686</v>
      </c>
      <c r="B27691" s="11" t="str">
        <f>"01061430"</f>
        <v>01061430</v>
      </c>
    </row>
    <row r="27692" spans="1:2" x14ac:dyDescent="0.25">
      <c r="A27692" s="2">
        <v>27687</v>
      </c>
      <c r="B27692" s="11" t="str">
        <f>"01061432"</f>
        <v>01061432</v>
      </c>
    </row>
    <row r="27693" spans="1:2" x14ac:dyDescent="0.25">
      <c r="A27693" s="2">
        <v>27688</v>
      </c>
      <c r="B27693" s="11" t="str">
        <f>"01061444"</f>
        <v>01061444</v>
      </c>
    </row>
    <row r="27694" spans="1:2" x14ac:dyDescent="0.25">
      <c r="A27694" s="2">
        <v>27689</v>
      </c>
      <c r="B27694" s="11" t="str">
        <f>"01061453"</f>
        <v>01061453</v>
      </c>
    </row>
    <row r="27695" spans="1:2" x14ac:dyDescent="0.25">
      <c r="A27695" s="2">
        <v>27690</v>
      </c>
      <c r="B27695" s="11" t="str">
        <f>"01061456"</f>
        <v>01061456</v>
      </c>
    </row>
    <row r="27696" spans="1:2" x14ac:dyDescent="0.25">
      <c r="A27696" s="2">
        <v>27691</v>
      </c>
      <c r="B27696" s="11" t="str">
        <f>"01061474"</f>
        <v>01061474</v>
      </c>
    </row>
    <row r="27697" spans="1:2" x14ac:dyDescent="0.25">
      <c r="A27697" s="2">
        <v>27692</v>
      </c>
      <c r="B27697" s="11" t="str">
        <f>"01061476"</f>
        <v>01061476</v>
      </c>
    </row>
    <row r="27698" spans="1:2" x14ac:dyDescent="0.25">
      <c r="A27698" s="2">
        <v>27693</v>
      </c>
      <c r="B27698" s="11" t="str">
        <f>"01061482"</f>
        <v>01061482</v>
      </c>
    </row>
    <row r="27699" spans="1:2" x14ac:dyDescent="0.25">
      <c r="A27699" s="2">
        <v>27694</v>
      </c>
      <c r="B27699" s="11" t="str">
        <f>"01061486"</f>
        <v>01061486</v>
      </c>
    </row>
    <row r="27700" spans="1:2" x14ac:dyDescent="0.25">
      <c r="A27700" s="2">
        <v>27695</v>
      </c>
      <c r="B27700" s="11" t="str">
        <f>"01061487"</f>
        <v>01061487</v>
      </c>
    </row>
    <row r="27701" spans="1:2" x14ac:dyDescent="0.25">
      <c r="A27701" s="2">
        <v>27696</v>
      </c>
      <c r="B27701" s="11" t="str">
        <f>"01061489"</f>
        <v>01061489</v>
      </c>
    </row>
    <row r="27702" spans="1:2" x14ac:dyDescent="0.25">
      <c r="A27702" s="2">
        <v>27697</v>
      </c>
      <c r="B27702" s="11" t="str">
        <f>"01061490"</f>
        <v>01061490</v>
      </c>
    </row>
    <row r="27703" spans="1:2" x14ac:dyDescent="0.25">
      <c r="A27703" s="2">
        <v>27698</v>
      </c>
      <c r="B27703" s="11" t="str">
        <f>"01061495"</f>
        <v>01061495</v>
      </c>
    </row>
    <row r="27704" spans="1:2" x14ac:dyDescent="0.25">
      <c r="A27704" s="2">
        <v>27699</v>
      </c>
      <c r="B27704" s="11" t="str">
        <f>"01061508"</f>
        <v>01061508</v>
      </c>
    </row>
    <row r="27705" spans="1:2" x14ac:dyDescent="0.25">
      <c r="A27705" s="2">
        <v>27700</v>
      </c>
      <c r="B27705" s="11" t="str">
        <f>"01061514"</f>
        <v>01061514</v>
      </c>
    </row>
    <row r="27706" spans="1:2" x14ac:dyDescent="0.25">
      <c r="A27706" s="2">
        <v>27701</v>
      </c>
      <c r="B27706" s="11" t="str">
        <f>"01061515"</f>
        <v>01061515</v>
      </c>
    </row>
    <row r="27707" spans="1:2" x14ac:dyDescent="0.25">
      <c r="A27707" s="2">
        <v>27702</v>
      </c>
      <c r="B27707" s="11" t="str">
        <f>"01061516"</f>
        <v>01061516</v>
      </c>
    </row>
    <row r="27708" spans="1:2" x14ac:dyDescent="0.25">
      <c r="A27708" s="2">
        <v>27703</v>
      </c>
      <c r="B27708" s="11" t="str">
        <f>"01061519"</f>
        <v>01061519</v>
      </c>
    </row>
    <row r="27709" spans="1:2" x14ac:dyDescent="0.25">
      <c r="A27709" s="2">
        <v>27704</v>
      </c>
      <c r="B27709" s="11" t="str">
        <f>"01061522"</f>
        <v>01061522</v>
      </c>
    </row>
    <row r="27710" spans="1:2" x14ac:dyDescent="0.25">
      <c r="A27710" s="2">
        <v>27705</v>
      </c>
      <c r="B27710" s="11" t="str">
        <f>"01061526"</f>
        <v>01061526</v>
      </c>
    </row>
    <row r="27711" spans="1:2" x14ac:dyDescent="0.25">
      <c r="A27711" s="2">
        <v>27706</v>
      </c>
      <c r="B27711" s="11" t="str">
        <f>"01061530"</f>
        <v>01061530</v>
      </c>
    </row>
    <row r="27712" spans="1:2" x14ac:dyDescent="0.25">
      <c r="A27712" s="2">
        <v>27707</v>
      </c>
      <c r="B27712" s="11" t="str">
        <f>"01061531"</f>
        <v>01061531</v>
      </c>
    </row>
    <row r="27713" spans="1:2" x14ac:dyDescent="0.25">
      <c r="A27713" s="2">
        <v>27708</v>
      </c>
      <c r="B27713" s="11" t="str">
        <f>"01061532"</f>
        <v>01061532</v>
      </c>
    </row>
    <row r="27714" spans="1:2" x14ac:dyDescent="0.25">
      <c r="A27714" s="2">
        <v>27709</v>
      </c>
      <c r="B27714" s="11" t="str">
        <f>"01061534"</f>
        <v>01061534</v>
      </c>
    </row>
    <row r="27715" spans="1:2" x14ac:dyDescent="0.25">
      <c r="A27715" s="2">
        <v>27710</v>
      </c>
      <c r="B27715" s="11" t="str">
        <f>"01061535"</f>
        <v>01061535</v>
      </c>
    </row>
    <row r="27716" spans="1:2" x14ac:dyDescent="0.25">
      <c r="A27716" s="2">
        <v>27711</v>
      </c>
      <c r="B27716" s="11" t="str">
        <f>"01061537"</f>
        <v>01061537</v>
      </c>
    </row>
    <row r="27717" spans="1:2" x14ac:dyDescent="0.25">
      <c r="A27717" s="2">
        <v>27712</v>
      </c>
      <c r="B27717" s="11" t="str">
        <f>"01061543"</f>
        <v>01061543</v>
      </c>
    </row>
    <row r="27718" spans="1:2" x14ac:dyDescent="0.25">
      <c r="A27718" s="2">
        <v>27713</v>
      </c>
      <c r="B27718" s="11" t="str">
        <f>"01061545"</f>
        <v>01061545</v>
      </c>
    </row>
    <row r="27719" spans="1:2" x14ac:dyDescent="0.25">
      <c r="A27719" s="2">
        <v>27714</v>
      </c>
      <c r="B27719" s="11" t="str">
        <f>"01061549"</f>
        <v>01061549</v>
      </c>
    </row>
    <row r="27720" spans="1:2" x14ac:dyDescent="0.25">
      <c r="A27720" s="2">
        <v>27715</v>
      </c>
      <c r="B27720" s="11" t="str">
        <f>"01061559"</f>
        <v>01061559</v>
      </c>
    </row>
    <row r="27721" spans="1:2" x14ac:dyDescent="0.25">
      <c r="A27721" s="2">
        <v>27716</v>
      </c>
      <c r="B27721" s="11" t="str">
        <f>"01061560"</f>
        <v>01061560</v>
      </c>
    </row>
    <row r="27722" spans="1:2" x14ac:dyDescent="0.25">
      <c r="A27722" s="2">
        <v>27717</v>
      </c>
      <c r="B27722" s="11" t="str">
        <f>"01061561"</f>
        <v>01061561</v>
      </c>
    </row>
    <row r="27723" spans="1:2" x14ac:dyDescent="0.25">
      <c r="A27723" s="2">
        <v>27718</v>
      </c>
      <c r="B27723" s="11" t="str">
        <f>"01061568"</f>
        <v>01061568</v>
      </c>
    </row>
    <row r="27724" spans="1:2" x14ac:dyDescent="0.25">
      <c r="A27724" s="2">
        <v>27719</v>
      </c>
      <c r="B27724" s="11" t="str">
        <f>"01061569"</f>
        <v>01061569</v>
      </c>
    </row>
    <row r="27725" spans="1:2" x14ac:dyDescent="0.25">
      <c r="A27725" s="2">
        <v>27720</v>
      </c>
      <c r="B27725" s="11" t="str">
        <f>"01061576"</f>
        <v>01061576</v>
      </c>
    </row>
    <row r="27726" spans="1:2" x14ac:dyDescent="0.25">
      <c r="A27726" s="2">
        <v>27721</v>
      </c>
      <c r="B27726" s="11" t="str">
        <f>"01061591"</f>
        <v>01061591</v>
      </c>
    </row>
    <row r="27727" spans="1:2" x14ac:dyDescent="0.25">
      <c r="A27727" s="2">
        <v>27722</v>
      </c>
      <c r="B27727" s="11" t="str">
        <f>"01061599"</f>
        <v>01061599</v>
      </c>
    </row>
    <row r="27728" spans="1:2" x14ac:dyDescent="0.25">
      <c r="A27728" s="2">
        <v>27723</v>
      </c>
      <c r="B27728" s="11" t="str">
        <f>"01061603"</f>
        <v>01061603</v>
      </c>
    </row>
    <row r="27729" spans="1:2" x14ac:dyDescent="0.25">
      <c r="A27729" s="2">
        <v>27724</v>
      </c>
      <c r="B27729" s="11" t="str">
        <f>"01061610"</f>
        <v>01061610</v>
      </c>
    </row>
    <row r="27730" spans="1:2" x14ac:dyDescent="0.25">
      <c r="A27730" s="2">
        <v>27725</v>
      </c>
      <c r="B27730" s="11" t="str">
        <f>"01061614"</f>
        <v>01061614</v>
      </c>
    </row>
    <row r="27731" spans="1:2" x14ac:dyDescent="0.25">
      <c r="A27731" s="2">
        <v>27726</v>
      </c>
      <c r="B27731" s="11" t="str">
        <f>"01061615"</f>
        <v>01061615</v>
      </c>
    </row>
    <row r="27732" spans="1:2" x14ac:dyDescent="0.25">
      <c r="A27732" s="2">
        <v>27727</v>
      </c>
      <c r="B27732" s="11" t="str">
        <f>"01061623"</f>
        <v>01061623</v>
      </c>
    </row>
    <row r="27733" spans="1:2" x14ac:dyDescent="0.25">
      <c r="A27733" s="2">
        <v>27728</v>
      </c>
      <c r="B27733" s="11" t="str">
        <f>"01061637"</f>
        <v>01061637</v>
      </c>
    </row>
    <row r="27734" spans="1:2" x14ac:dyDescent="0.25">
      <c r="A27734" s="2">
        <v>27729</v>
      </c>
      <c r="B27734" s="11" t="str">
        <f>"01061640"</f>
        <v>01061640</v>
      </c>
    </row>
    <row r="27735" spans="1:2" x14ac:dyDescent="0.25">
      <c r="A27735" s="2">
        <v>27730</v>
      </c>
      <c r="B27735" s="11" t="str">
        <f>"01061644"</f>
        <v>01061644</v>
      </c>
    </row>
    <row r="27736" spans="1:2" x14ac:dyDescent="0.25">
      <c r="A27736" s="2">
        <v>27731</v>
      </c>
      <c r="B27736" s="11" t="str">
        <f>"01061647"</f>
        <v>01061647</v>
      </c>
    </row>
    <row r="27737" spans="1:2" x14ac:dyDescent="0.25">
      <c r="A27737" s="2">
        <v>27732</v>
      </c>
      <c r="B27737" s="11" t="str">
        <f>"01061648"</f>
        <v>01061648</v>
      </c>
    </row>
    <row r="27738" spans="1:2" x14ac:dyDescent="0.25">
      <c r="A27738" s="2">
        <v>27733</v>
      </c>
      <c r="B27738" s="11" t="str">
        <f>"01061651"</f>
        <v>01061651</v>
      </c>
    </row>
    <row r="27739" spans="1:2" x14ac:dyDescent="0.25">
      <c r="A27739" s="2">
        <v>27734</v>
      </c>
      <c r="B27739" s="11" t="str">
        <f>"01061667"</f>
        <v>01061667</v>
      </c>
    </row>
    <row r="27740" spans="1:2" x14ac:dyDescent="0.25">
      <c r="A27740" s="2">
        <v>27735</v>
      </c>
      <c r="B27740" s="11" t="str">
        <f>"01061668"</f>
        <v>01061668</v>
      </c>
    </row>
    <row r="27741" spans="1:2" x14ac:dyDescent="0.25">
      <c r="A27741" s="2">
        <v>27736</v>
      </c>
      <c r="B27741" s="11" t="str">
        <f>"01061669"</f>
        <v>01061669</v>
      </c>
    </row>
    <row r="27742" spans="1:2" x14ac:dyDescent="0.25">
      <c r="A27742" s="2">
        <v>27737</v>
      </c>
      <c r="B27742" s="11" t="str">
        <f>"01061671"</f>
        <v>01061671</v>
      </c>
    </row>
    <row r="27743" spans="1:2" x14ac:dyDescent="0.25">
      <c r="A27743" s="2">
        <v>27738</v>
      </c>
      <c r="B27743" s="11" t="str">
        <f>"01061672"</f>
        <v>01061672</v>
      </c>
    </row>
    <row r="27744" spans="1:2" x14ac:dyDescent="0.25">
      <c r="A27744" s="2">
        <v>27739</v>
      </c>
      <c r="B27744" s="11" t="str">
        <f>"01061675"</f>
        <v>01061675</v>
      </c>
    </row>
    <row r="27745" spans="1:2" x14ac:dyDescent="0.25">
      <c r="A27745" s="2">
        <v>27740</v>
      </c>
      <c r="B27745" s="11" t="str">
        <f>"01061678"</f>
        <v>01061678</v>
      </c>
    </row>
    <row r="27746" spans="1:2" x14ac:dyDescent="0.25">
      <c r="A27746" s="2">
        <v>27741</v>
      </c>
      <c r="B27746" s="11" t="str">
        <f>"01061688"</f>
        <v>01061688</v>
      </c>
    </row>
    <row r="27747" spans="1:2" x14ac:dyDescent="0.25">
      <c r="A27747" s="2">
        <v>27742</v>
      </c>
      <c r="B27747" s="11" t="str">
        <f>"01061691"</f>
        <v>01061691</v>
      </c>
    </row>
    <row r="27748" spans="1:2" x14ac:dyDescent="0.25">
      <c r="A27748" s="2">
        <v>27743</v>
      </c>
      <c r="B27748" s="11" t="str">
        <f>"01061694"</f>
        <v>01061694</v>
      </c>
    </row>
    <row r="27749" spans="1:2" x14ac:dyDescent="0.25">
      <c r="A27749" s="2">
        <v>27744</v>
      </c>
      <c r="B27749" s="11" t="str">
        <f>"01061696"</f>
        <v>01061696</v>
      </c>
    </row>
    <row r="27750" spans="1:2" x14ac:dyDescent="0.25">
      <c r="A27750" s="2">
        <v>27745</v>
      </c>
      <c r="B27750" s="11" t="str">
        <f>"01061698"</f>
        <v>01061698</v>
      </c>
    </row>
    <row r="27751" spans="1:2" x14ac:dyDescent="0.25">
      <c r="A27751" s="2">
        <v>27746</v>
      </c>
      <c r="B27751" s="11" t="str">
        <f>"01061699"</f>
        <v>01061699</v>
      </c>
    </row>
    <row r="27752" spans="1:2" x14ac:dyDescent="0.25">
      <c r="A27752" s="2">
        <v>27747</v>
      </c>
      <c r="B27752" s="11" t="str">
        <f>"01061709"</f>
        <v>01061709</v>
      </c>
    </row>
    <row r="27753" spans="1:2" x14ac:dyDescent="0.25">
      <c r="A27753" s="2">
        <v>27748</v>
      </c>
      <c r="B27753" s="11" t="str">
        <f>"01061710"</f>
        <v>01061710</v>
      </c>
    </row>
    <row r="27754" spans="1:2" x14ac:dyDescent="0.25">
      <c r="A27754" s="2">
        <v>27749</v>
      </c>
      <c r="B27754" s="11" t="str">
        <f>"01061713"</f>
        <v>01061713</v>
      </c>
    </row>
    <row r="27755" spans="1:2" x14ac:dyDescent="0.25">
      <c r="A27755" s="2">
        <v>27750</v>
      </c>
      <c r="B27755" s="11" t="str">
        <f>"01061714"</f>
        <v>01061714</v>
      </c>
    </row>
    <row r="27756" spans="1:2" x14ac:dyDescent="0.25">
      <c r="A27756" s="2">
        <v>27751</v>
      </c>
      <c r="B27756" s="11" t="str">
        <f>"01061716"</f>
        <v>01061716</v>
      </c>
    </row>
    <row r="27757" spans="1:2" x14ac:dyDescent="0.25">
      <c r="A27757" s="2">
        <v>27752</v>
      </c>
      <c r="B27757" s="11" t="str">
        <f>"01061722"</f>
        <v>01061722</v>
      </c>
    </row>
    <row r="27758" spans="1:2" x14ac:dyDescent="0.25">
      <c r="A27758" s="2">
        <v>27753</v>
      </c>
      <c r="B27758" s="11" t="str">
        <f>"01061735"</f>
        <v>01061735</v>
      </c>
    </row>
    <row r="27759" spans="1:2" x14ac:dyDescent="0.25">
      <c r="A27759" s="2">
        <v>27754</v>
      </c>
      <c r="B27759" s="11" t="str">
        <f>"01061736"</f>
        <v>01061736</v>
      </c>
    </row>
    <row r="27760" spans="1:2" x14ac:dyDescent="0.25">
      <c r="A27760" s="2">
        <v>27755</v>
      </c>
      <c r="B27760" s="11" t="str">
        <f>"01061737"</f>
        <v>01061737</v>
      </c>
    </row>
    <row r="27761" spans="1:2" x14ac:dyDescent="0.25">
      <c r="A27761" s="2">
        <v>27756</v>
      </c>
      <c r="B27761" s="11" t="str">
        <f>"01061744"</f>
        <v>01061744</v>
      </c>
    </row>
    <row r="27762" spans="1:2" x14ac:dyDescent="0.25">
      <c r="A27762" s="2">
        <v>27757</v>
      </c>
      <c r="B27762" s="11" t="str">
        <f>"01061749"</f>
        <v>01061749</v>
      </c>
    </row>
    <row r="27763" spans="1:2" x14ac:dyDescent="0.25">
      <c r="A27763" s="2">
        <v>27758</v>
      </c>
      <c r="B27763" s="11" t="str">
        <f>"01061752"</f>
        <v>01061752</v>
      </c>
    </row>
    <row r="27764" spans="1:2" x14ac:dyDescent="0.25">
      <c r="A27764" s="2">
        <v>27759</v>
      </c>
      <c r="B27764" s="11" t="str">
        <f>"01061761"</f>
        <v>01061761</v>
      </c>
    </row>
    <row r="27765" spans="1:2" x14ac:dyDescent="0.25">
      <c r="A27765" s="2">
        <v>27760</v>
      </c>
      <c r="B27765" s="11" t="str">
        <f>"01061763"</f>
        <v>01061763</v>
      </c>
    </row>
    <row r="27766" spans="1:2" x14ac:dyDescent="0.25">
      <c r="A27766" s="2">
        <v>27761</v>
      </c>
      <c r="B27766" s="11" t="str">
        <f>"01061764"</f>
        <v>01061764</v>
      </c>
    </row>
    <row r="27767" spans="1:2" x14ac:dyDescent="0.25">
      <c r="A27767" s="2">
        <v>27762</v>
      </c>
      <c r="B27767" s="11" t="str">
        <f>"01061765"</f>
        <v>01061765</v>
      </c>
    </row>
    <row r="27768" spans="1:2" x14ac:dyDescent="0.25">
      <c r="A27768" s="2">
        <v>27763</v>
      </c>
      <c r="B27768" s="11" t="str">
        <f>"01061772"</f>
        <v>01061772</v>
      </c>
    </row>
    <row r="27769" spans="1:2" x14ac:dyDescent="0.25">
      <c r="A27769" s="2">
        <v>27764</v>
      </c>
      <c r="B27769" s="11" t="str">
        <f>"01061776"</f>
        <v>01061776</v>
      </c>
    </row>
    <row r="27770" spans="1:2" x14ac:dyDescent="0.25">
      <c r="A27770" s="2">
        <v>27765</v>
      </c>
      <c r="B27770" s="11" t="str">
        <f>"01061777"</f>
        <v>01061777</v>
      </c>
    </row>
    <row r="27771" spans="1:2" x14ac:dyDescent="0.25">
      <c r="A27771" s="2">
        <v>27766</v>
      </c>
      <c r="B27771" s="11" t="str">
        <f>"01061778"</f>
        <v>01061778</v>
      </c>
    </row>
    <row r="27772" spans="1:2" x14ac:dyDescent="0.25">
      <c r="A27772" s="2">
        <v>27767</v>
      </c>
      <c r="B27772" s="11" t="str">
        <f>"01061781"</f>
        <v>01061781</v>
      </c>
    </row>
    <row r="27773" spans="1:2" x14ac:dyDescent="0.25">
      <c r="A27773" s="2">
        <v>27768</v>
      </c>
      <c r="B27773" s="11" t="str">
        <f>"01061784"</f>
        <v>01061784</v>
      </c>
    </row>
    <row r="27774" spans="1:2" x14ac:dyDescent="0.25">
      <c r="A27774" s="2">
        <v>27769</v>
      </c>
      <c r="B27774" s="11" t="str">
        <f>"01061786"</f>
        <v>01061786</v>
      </c>
    </row>
    <row r="27775" spans="1:2" x14ac:dyDescent="0.25">
      <c r="A27775" s="2">
        <v>27770</v>
      </c>
      <c r="B27775" s="11" t="str">
        <f>"01061799"</f>
        <v>01061799</v>
      </c>
    </row>
    <row r="27776" spans="1:2" x14ac:dyDescent="0.25">
      <c r="A27776" s="2">
        <v>27771</v>
      </c>
      <c r="B27776" s="11" t="str">
        <f>"01061801"</f>
        <v>01061801</v>
      </c>
    </row>
    <row r="27777" spans="1:2" x14ac:dyDescent="0.25">
      <c r="A27777" s="2">
        <v>27772</v>
      </c>
      <c r="B27777" s="11" t="str">
        <f>"01061804"</f>
        <v>01061804</v>
      </c>
    </row>
    <row r="27778" spans="1:2" x14ac:dyDescent="0.25">
      <c r="A27778" s="2">
        <v>27773</v>
      </c>
      <c r="B27778" s="11" t="str">
        <f>"01061813"</f>
        <v>01061813</v>
      </c>
    </row>
    <row r="27779" spans="1:2" x14ac:dyDescent="0.25">
      <c r="A27779" s="2">
        <v>27774</v>
      </c>
      <c r="B27779" s="11" t="str">
        <f>"01061829"</f>
        <v>01061829</v>
      </c>
    </row>
    <row r="27780" spans="1:2" x14ac:dyDescent="0.25">
      <c r="A27780" s="2">
        <v>27775</v>
      </c>
      <c r="B27780" s="11" t="str">
        <f>"01061840"</f>
        <v>01061840</v>
      </c>
    </row>
    <row r="27781" spans="1:2" x14ac:dyDescent="0.25">
      <c r="A27781" s="2">
        <v>27776</v>
      </c>
      <c r="B27781" s="11" t="str">
        <f>"01061843"</f>
        <v>01061843</v>
      </c>
    </row>
    <row r="27782" spans="1:2" x14ac:dyDescent="0.25">
      <c r="A27782" s="2">
        <v>27777</v>
      </c>
      <c r="B27782" s="11" t="str">
        <f>"01061844"</f>
        <v>01061844</v>
      </c>
    </row>
    <row r="27783" spans="1:2" x14ac:dyDescent="0.25">
      <c r="A27783" s="2">
        <v>27778</v>
      </c>
      <c r="B27783" s="11" t="str">
        <f>"01061850"</f>
        <v>01061850</v>
      </c>
    </row>
    <row r="27784" spans="1:2" x14ac:dyDescent="0.25">
      <c r="A27784" s="2">
        <v>27779</v>
      </c>
      <c r="B27784" s="11" t="str">
        <f>"01061858"</f>
        <v>01061858</v>
      </c>
    </row>
    <row r="27785" spans="1:2" x14ac:dyDescent="0.25">
      <c r="A27785" s="2">
        <v>27780</v>
      </c>
      <c r="B27785" s="11" t="str">
        <f>"01061862"</f>
        <v>01061862</v>
      </c>
    </row>
    <row r="27786" spans="1:2" x14ac:dyDescent="0.25">
      <c r="A27786" s="2">
        <v>27781</v>
      </c>
      <c r="B27786" s="11" t="str">
        <f>"01061866"</f>
        <v>01061866</v>
      </c>
    </row>
    <row r="27787" spans="1:2" x14ac:dyDescent="0.25">
      <c r="A27787" s="2">
        <v>27782</v>
      </c>
      <c r="B27787" s="11" t="str">
        <f>"01061869"</f>
        <v>01061869</v>
      </c>
    </row>
    <row r="27788" spans="1:2" x14ac:dyDescent="0.25">
      <c r="A27788" s="2">
        <v>27783</v>
      </c>
      <c r="B27788" s="11" t="str">
        <f>"01061875"</f>
        <v>01061875</v>
      </c>
    </row>
    <row r="27789" spans="1:2" x14ac:dyDescent="0.25">
      <c r="A27789" s="2">
        <v>27784</v>
      </c>
      <c r="B27789" s="11" t="str">
        <f>"01061882"</f>
        <v>01061882</v>
      </c>
    </row>
    <row r="27790" spans="1:2" x14ac:dyDescent="0.25">
      <c r="A27790" s="2">
        <v>27785</v>
      </c>
      <c r="B27790" s="11" t="str">
        <f>"01061892"</f>
        <v>01061892</v>
      </c>
    </row>
    <row r="27791" spans="1:2" x14ac:dyDescent="0.25">
      <c r="A27791" s="2">
        <v>27786</v>
      </c>
      <c r="B27791" s="11" t="str">
        <f>"01061893"</f>
        <v>01061893</v>
      </c>
    </row>
    <row r="27792" spans="1:2" x14ac:dyDescent="0.25">
      <c r="A27792" s="2">
        <v>27787</v>
      </c>
      <c r="B27792" s="11" t="str">
        <f>"01061901"</f>
        <v>01061901</v>
      </c>
    </row>
    <row r="27793" spans="1:2" x14ac:dyDescent="0.25">
      <c r="A27793" s="2">
        <v>27788</v>
      </c>
      <c r="B27793" s="11" t="str">
        <f>"01061904"</f>
        <v>01061904</v>
      </c>
    </row>
    <row r="27794" spans="1:2" x14ac:dyDescent="0.25">
      <c r="A27794" s="2">
        <v>27789</v>
      </c>
      <c r="B27794" s="11" t="str">
        <f>"01061905"</f>
        <v>01061905</v>
      </c>
    </row>
    <row r="27795" spans="1:2" x14ac:dyDescent="0.25">
      <c r="A27795" s="2">
        <v>27790</v>
      </c>
      <c r="B27795" s="11" t="str">
        <f>"01061912"</f>
        <v>01061912</v>
      </c>
    </row>
    <row r="27796" spans="1:2" x14ac:dyDescent="0.25">
      <c r="A27796" s="2">
        <v>27791</v>
      </c>
      <c r="B27796" s="11" t="str">
        <f>"01061914"</f>
        <v>01061914</v>
      </c>
    </row>
    <row r="27797" spans="1:2" x14ac:dyDescent="0.25">
      <c r="A27797" s="2">
        <v>27792</v>
      </c>
      <c r="B27797" s="11" t="str">
        <f>"01061915"</f>
        <v>01061915</v>
      </c>
    </row>
    <row r="27798" spans="1:2" x14ac:dyDescent="0.25">
      <c r="A27798" s="2">
        <v>27793</v>
      </c>
      <c r="B27798" s="11" t="str">
        <f>"01061916"</f>
        <v>01061916</v>
      </c>
    </row>
    <row r="27799" spans="1:2" x14ac:dyDescent="0.25">
      <c r="A27799" s="2">
        <v>27794</v>
      </c>
      <c r="B27799" s="11" t="str">
        <f>"01061919"</f>
        <v>01061919</v>
      </c>
    </row>
    <row r="27800" spans="1:2" x14ac:dyDescent="0.25">
      <c r="A27800" s="2">
        <v>27795</v>
      </c>
      <c r="B27800" s="11" t="str">
        <f>"01061926"</f>
        <v>01061926</v>
      </c>
    </row>
    <row r="27801" spans="1:2" x14ac:dyDescent="0.25">
      <c r="A27801" s="2">
        <v>27796</v>
      </c>
      <c r="B27801" s="11" t="str">
        <f>"01061943"</f>
        <v>01061943</v>
      </c>
    </row>
    <row r="27802" spans="1:2" x14ac:dyDescent="0.25">
      <c r="A27802" s="2">
        <v>27797</v>
      </c>
      <c r="B27802" s="11" t="str">
        <f>"01061960"</f>
        <v>01061960</v>
      </c>
    </row>
    <row r="27803" spans="1:2" x14ac:dyDescent="0.25">
      <c r="A27803" s="2">
        <v>27798</v>
      </c>
      <c r="B27803" s="11" t="str">
        <f>"01061964"</f>
        <v>01061964</v>
      </c>
    </row>
    <row r="27804" spans="1:2" x14ac:dyDescent="0.25">
      <c r="A27804" s="2">
        <v>27799</v>
      </c>
      <c r="B27804" s="11" t="str">
        <f>"01061966"</f>
        <v>01061966</v>
      </c>
    </row>
    <row r="27805" spans="1:2" x14ac:dyDescent="0.25">
      <c r="A27805" s="2">
        <v>27800</v>
      </c>
      <c r="B27805" s="11" t="str">
        <f>"01061984"</f>
        <v>01061984</v>
      </c>
    </row>
    <row r="27806" spans="1:2" x14ac:dyDescent="0.25">
      <c r="A27806" s="2">
        <v>27801</v>
      </c>
      <c r="B27806" s="11" t="str">
        <f>"01061987"</f>
        <v>01061987</v>
      </c>
    </row>
    <row r="27807" spans="1:2" x14ac:dyDescent="0.25">
      <c r="A27807" s="2">
        <v>27802</v>
      </c>
      <c r="B27807" s="11" t="str">
        <f>"01061989"</f>
        <v>01061989</v>
      </c>
    </row>
    <row r="27808" spans="1:2" x14ac:dyDescent="0.25">
      <c r="A27808" s="2">
        <v>27803</v>
      </c>
      <c r="B27808" s="11" t="str">
        <f>"01061995"</f>
        <v>01061995</v>
      </c>
    </row>
    <row r="27809" spans="1:2" x14ac:dyDescent="0.25">
      <c r="A27809" s="2">
        <v>27804</v>
      </c>
      <c r="B27809" s="11" t="str">
        <f>"01062007"</f>
        <v>01062007</v>
      </c>
    </row>
    <row r="27810" spans="1:2" x14ac:dyDescent="0.25">
      <c r="A27810" s="2">
        <v>27805</v>
      </c>
      <c r="B27810" s="11" t="str">
        <f>"01062010"</f>
        <v>01062010</v>
      </c>
    </row>
    <row r="27811" spans="1:2" x14ac:dyDescent="0.25">
      <c r="A27811" s="2">
        <v>27806</v>
      </c>
      <c r="B27811" s="11" t="str">
        <f>"01062012"</f>
        <v>01062012</v>
      </c>
    </row>
    <row r="27812" spans="1:2" x14ac:dyDescent="0.25">
      <c r="A27812" s="2">
        <v>27807</v>
      </c>
      <c r="B27812" s="11" t="str">
        <f>"01062016"</f>
        <v>01062016</v>
      </c>
    </row>
    <row r="27813" spans="1:2" x14ac:dyDescent="0.25">
      <c r="A27813" s="2">
        <v>27808</v>
      </c>
      <c r="B27813" s="11" t="str">
        <f>"01062022"</f>
        <v>01062022</v>
      </c>
    </row>
    <row r="27814" spans="1:2" x14ac:dyDescent="0.25">
      <c r="A27814" s="2">
        <v>27809</v>
      </c>
      <c r="B27814" s="11" t="str">
        <f>"01062034"</f>
        <v>01062034</v>
      </c>
    </row>
    <row r="27815" spans="1:2" x14ac:dyDescent="0.25">
      <c r="A27815" s="2">
        <v>27810</v>
      </c>
      <c r="B27815" s="11" t="str">
        <f>"01062035"</f>
        <v>01062035</v>
      </c>
    </row>
    <row r="27816" spans="1:2" x14ac:dyDescent="0.25">
      <c r="A27816" s="2">
        <v>27811</v>
      </c>
      <c r="B27816" s="11" t="str">
        <f>"01062048"</f>
        <v>01062048</v>
      </c>
    </row>
    <row r="27817" spans="1:2" x14ac:dyDescent="0.25">
      <c r="A27817" s="2">
        <v>27812</v>
      </c>
      <c r="B27817" s="11" t="str">
        <f>"01062049"</f>
        <v>01062049</v>
      </c>
    </row>
    <row r="27818" spans="1:2" x14ac:dyDescent="0.25">
      <c r="A27818" s="2">
        <v>27813</v>
      </c>
      <c r="B27818" s="11" t="str">
        <f>"01062054"</f>
        <v>01062054</v>
      </c>
    </row>
    <row r="27819" spans="1:2" x14ac:dyDescent="0.25">
      <c r="A27819" s="2">
        <v>27814</v>
      </c>
      <c r="B27819" s="11" t="str">
        <f>"01062072"</f>
        <v>01062072</v>
      </c>
    </row>
    <row r="27820" spans="1:2" x14ac:dyDescent="0.25">
      <c r="A27820" s="2">
        <v>27815</v>
      </c>
      <c r="B27820" s="11" t="str">
        <f>"01062080"</f>
        <v>01062080</v>
      </c>
    </row>
    <row r="27821" spans="1:2" x14ac:dyDescent="0.25">
      <c r="A27821" s="2">
        <v>27816</v>
      </c>
      <c r="B27821" s="11" t="str">
        <f>"01062081"</f>
        <v>01062081</v>
      </c>
    </row>
    <row r="27822" spans="1:2" x14ac:dyDescent="0.25">
      <c r="A27822" s="2">
        <v>27817</v>
      </c>
      <c r="B27822" s="11" t="str">
        <f>"01062087"</f>
        <v>01062087</v>
      </c>
    </row>
    <row r="27823" spans="1:2" x14ac:dyDescent="0.25">
      <c r="A27823" s="2">
        <v>27818</v>
      </c>
      <c r="B27823" s="11" t="str">
        <f>"01062092"</f>
        <v>01062092</v>
      </c>
    </row>
    <row r="27824" spans="1:2" x14ac:dyDescent="0.25">
      <c r="A27824" s="2">
        <v>27819</v>
      </c>
      <c r="B27824" s="11" t="str">
        <f>"01062097"</f>
        <v>01062097</v>
      </c>
    </row>
    <row r="27825" spans="1:2" x14ac:dyDescent="0.25">
      <c r="A27825" s="2">
        <v>27820</v>
      </c>
      <c r="B27825" s="11" t="str">
        <f>"01062098"</f>
        <v>01062098</v>
      </c>
    </row>
    <row r="27826" spans="1:2" x14ac:dyDescent="0.25">
      <c r="A27826" s="2">
        <v>27821</v>
      </c>
      <c r="B27826" s="11" t="str">
        <f>"01062103"</f>
        <v>01062103</v>
      </c>
    </row>
    <row r="27827" spans="1:2" x14ac:dyDescent="0.25">
      <c r="A27827" s="2">
        <v>27822</v>
      </c>
      <c r="B27827" s="11" t="str">
        <f>"01062106"</f>
        <v>01062106</v>
      </c>
    </row>
    <row r="27828" spans="1:2" x14ac:dyDescent="0.25">
      <c r="A27828" s="2">
        <v>27823</v>
      </c>
      <c r="B27828" s="11" t="str">
        <f>"01062107"</f>
        <v>01062107</v>
      </c>
    </row>
    <row r="27829" spans="1:2" x14ac:dyDescent="0.25">
      <c r="A27829" s="2">
        <v>27824</v>
      </c>
      <c r="B27829" s="11" t="str">
        <f>"01062120"</f>
        <v>01062120</v>
      </c>
    </row>
    <row r="27830" spans="1:2" x14ac:dyDescent="0.25">
      <c r="A27830" s="2">
        <v>27825</v>
      </c>
      <c r="B27830" s="11" t="str">
        <f>"01062128"</f>
        <v>01062128</v>
      </c>
    </row>
    <row r="27831" spans="1:2" x14ac:dyDescent="0.25">
      <c r="A27831" s="2">
        <v>27826</v>
      </c>
      <c r="B27831" s="11" t="str">
        <f>"01062132"</f>
        <v>01062132</v>
      </c>
    </row>
    <row r="27832" spans="1:2" x14ac:dyDescent="0.25">
      <c r="A27832" s="2">
        <v>27827</v>
      </c>
      <c r="B27832" s="11" t="str">
        <f>"01062135"</f>
        <v>01062135</v>
      </c>
    </row>
    <row r="27833" spans="1:2" x14ac:dyDescent="0.25">
      <c r="A27833" s="2">
        <v>27828</v>
      </c>
      <c r="B27833" s="11" t="str">
        <f>"01062137"</f>
        <v>01062137</v>
      </c>
    </row>
    <row r="27834" spans="1:2" x14ac:dyDescent="0.25">
      <c r="A27834" s="2">
        <v>27829</v>
      </c>
      <c r="B27834" s="11" t="str">
        <f>"01062140"</f>
        <v>01062140</v>
      </c>
    </row>
    <row r="27835" spans="1:2" x14ac:dyDescent="0.25">
      <c r="A27835" s="2">
        <v>27830</v>
      </c>
      <c r="B27835" s="11" t="str">
        <f>"01062142"</f>
        <v>01062142</v>
      </c>
    </row>
    <row r="27836" spans="1:2" x14ac:dyDescent="0.25">
      <c r="A27836" s="2">
        <v>27831</v>
      </c>
      <c r="B27836" s="11" t="str">
        <f>"01062145"</f>
        <v>01062145</v>
      </c>
    </row>
    <row r="27837" spans="1:2" x14ac:dyDescent="0.25">
      <c r="A27837" s="2">
        <v>27832</v>
      </c>
      <c r="B27837" s="11" t="str">
        <f>"01062146"</f>
        <v>01062146</v>
      </c>
    </row>
    <row r="27838" spans="1:2" x14ac:dyDescent="0.25">
      <c r="A27838" s="2">
        <v>27833</v>
      </c>
      <c r="B27838" s="11" t="str">
        <f>"01062147"</f>
        <v>01062147</v>
      </c>
    </row>
    <row r="27839" spans="1:2" x14ac:dyDescent="0.25">
      <c r="A27839" s="2">
        <v>27834</v>
      </c>
      <c r="B27839" s="11" t="str">
        <f>"01062148"</f>
        <v>01062148</v>
      </c>
    </row>
    <row r="27840" spans="1:2" x14ac:dyDescent="0.25">
      <c r="A27840" s="2">
        <v>27835</v>
      </c>
      <c r="B27840" s="11" t="str">
        <f>"01062155"</f>
        <v>01062155</v>
      </c>
    </row>
    <row r="27841" spans="1:2" x14ac:dyDescent="0.25">
      <c r="A27841" s="2">
        <v>27836</v>
      </c>
      <c r="B27841" s="11" t="str">
        <f>"01062156"</f>
        <v>01062156</v>
      </c>
    </row>
    <row r="27842" spans="1:2" x14ac:dyDescent="0.25">
      <c r="A27842" s="2">
        <v>27837</v>
      </c>
      <c r="B27842" s="11" t="str">
        <f>"01062167"</f>
        <v>01062167</v>
      </c>
    </row>
    <row r="27843" spans="1:2" x14ac:dyDescent="0.25">
      <c r="A27843" s="2">
        <v>27838</v>
      </c>
      <c r="B27843" s="11" t="str">
        <f>"01062180"</f>
        <v>01062180</v>
      </c>
    </row>
    <row r="27844" spans="1:2" x14ac:dyDescent="0.25">
      <c r="A27844" s="2">
        <v>27839</v>
      </c>
      <c r="B27844" s="11" t="str">
        <f>"01062182"</f>
        <v>01062182</v>
      </c>
    </row>
    <row r="27845" spans="1:2" x14ac:dyDescent="0.25">
      <c r="A27845" s="2">
        <v>27840</v>
      </c>
      <c r="B27845" s="11" t="str">
        <f>"01062188"</f>
        <v>01062188</v>
      </c>
    </row>
    <row r="27846" spans="1:2" x14ac:dyDescent="0.25">
      <c r="A27846" s="2">
        <v>27841</v>
      </c>
      <c r="B27846" s="11" t="str">
        <f>"01062193"</f>
        <v>01062193</v>
      </c>
    </row>
    <row r="27847" spans="1:2" x14ac:dyDescent="0.25">
      <c r="A27847" s="2">
        <v>27842</v>
      </c>
      <c r="B27847" s="11" t="str">
        <f>"01062194"</f>
        <v>01062194</v>
      </c>
    </row>
    <row r="27848" spans="1:2" x14ac:dyDescent="0.25">
      <c r="A27848" s="2">
        <v>27843</v>
      </c>
      <c r="B27848" s="11" t="str">
        <f>"01062197"</f>
        <v>01062197</v>
      </c>
    </row>
    <row r="27849" spans="1:2" x14ac:dyDescent="0.25">
      <c r="A27849" s="2">
        <v>27844</v>
      </c>
      <c r="B27849" s="11" t="str">
        <f>"01062219"</f>
        <v>01062219</v>
      </c>
    </row>
    <row r="27850" spans="1:2" x14ac:dyDescent="0.25">
      <c r="A27850" s="2">
        <v>27845</v>
      </c>
      <c r="B27850" s="11" t="str">
        <f>"01062220"</f>
        <v>01062220</v>
      </c>
    </row>
    <row r="27851" spans="1:2" x14ac:dyDescent="0.25">
      <c r="A27851" s="2">
        <v>27846</v>
      </c>
      <c r="B27851" s="11" t="str">
        <f>"01062224"</f>
        <v>01062224</v>
      </c>
    </row>
    <row r="27852" spans="1:2" x14ac:dyDescent="0.25">
      <c r="A27852" s="2">
        <v>27847</v>
      </c>
      <c r="B27852" s="11" t="str">
        <f>"01062226"</f>
        <v>01062226</v>
      </c>
    </row>
    <row r="27853" spans="1:2" x14ac:dyDescent="0.25">
      <c r="A27853" s="2">
        <v>27848</v>
      </c>
      <c r="B27853" s="11" t="str">
        <f>"01062230"</f>
        <v>01062230</v>
      </c>
    </row>
    <row r="27854" spans="1:2" x14ac:dyDescent="0.25">
      <c r="A27854" s="2">
        <v>27849</v>
      </c>
      <c r="B27854" s="11" t="str">
        <f>"01062232"</f>
        <v>01062232</v>
      </c>
    </row>
    <row r="27855" spans="1:2" x14ac:dyDescent="0.25">
      <c r="A27855" s="2">
        <v>27850</v>
      </c>
      <c r="B27855" s="11" t="str">
        <f>"01062236"</f>
        <v>01062236</v>
      </c>
    </row>
    <row r="27856" spans="1:2" x14ac:dyDescent="0.25">
      <c r="A27856" s="2">
        <v>27851</v>
      </c>
      <c r="B27856" s="11" t="str">
        <f>"01062237"</f>
        <v>01062237</v>
      </c>
    </row>
    <row r="27857" spans="1:2" x14ac:dyDescent="0.25">
      <c r="A27857" s="2">
        <v>27852</v>
      </c>
      <c r="B27857" s="11" t="str">
        <f>"01062239"</f>
        <v>01062239</v>
      </c>
    </row>
    <row r="27858" spans="1:2" x14ac:dyDescent="0.25">
      <c r="A27858" s="2">
        <v>27853</v>
      </c>
      <c r="B27858" s="11" t="str">
        <f>"01062240"</f>
        <v>01062240</v>
      </c>
    </row>
    <row r="27859" spans="1:2" x14ac:dyDescent="0.25">
      <c r="A27859" s="2">
        <v>27854</v>
      </c>
      <c r="B27859" s="11" t="str">
        <f>"01062245"</f>
        <v>01062245</v>
      </c>
    </row>
    <row r="27860" spans="1:2" x14ac:dyDescent="0.25">
      <c r="A27860" s="2">
        <v>27855</v>
      </c>
      <c r="B27860" s="11" t="str">
        <f>"01062246"</f>
        <v>01062246</v>
      </c>
    </row>
    <row r="27861" spans="1:2" x14ac:dyDescent="0.25">
      <c r="A27861" s="2">
        <v>27856</v>
      </c>
      <c r="B27861" s="11" t="str">
        <f>"01062249"</f>
        <v>01062249</v>
      </c>
    </row>
    <row r="27862" spans="1:2" x14ac:dyDescent="0.25">
      <c r="A27862" s="2">
        <v>27857</v>
      </c>
      <c r="B27862" s="11" t="str">
        <f>"01062250"</f>
        <v>01062250</v>
      </c>
    </row>
    <row r="27863" spans="1:2" x14ac:dyDescent="0.25">
      <c r="A27863" s="2">
        <v>27858</v>
      </c>
      <c r="B27863" s="11" t="str">
        <f>"01062251"</f>
        <v>01062251</v>
      </c>
    </row>
    <row r="27864" spans="1:2" x14ac:dyDescent="0.25">
      <c r="A27864" s="2">
        <v>27859</v>
      </c>
      <c r="B27864" s="11" t="str">
        <f>"01062254"</f>
        <v>01062254</v>
      </c>
    </row>
    <row r="27865" spans="1:2" x14ac:dyDescent="0.25">
      <c r="A27865" s="2">
        <v>27860</v>
      </c>
      <c r="B27865" s="11" t="str">
        <f>"01062258"</f>
        <v>01062258</v>
      </c>
    </row>
    <row r="27866" spans="1:2" x14ac:dyDescent="0.25">
      <c r="A27866" s="2">
        <v>27861</v>
      </c>
      <c r="B27866" s="11" t="str">
        <f>"01062266"</f>
        <v>01062266</v>
      </c>
    </row>
    <row r="27867" spans="1:2" x14ac:dyDescent="0.25">
      <c r="A27867" s="2">
        <v>27862</v>
      </c>
      <c r="B27867" s="11" t="str">
        <f>"01062269"</f>
        <v>01062269</v>
      </c>
    </row>
    <row r="27868" spans="1:2" x14ac:dyDescent="0.25">
      <c r="A27868" s="2">
        <v>27863</v>
      </c>
      <c r="B27868" s="11" t="str">
        <f>"01062273"</f>
        <v>01062273</v>
      </c>
    </row>
    <row r="27869" spans="1:2" x14ac:dyDescent="0.25">
      <c r="A27869" s="2">
        <v>27864</v>
      </c>
      <c r="B27869" s="11" t="str">
        <f>"01062276"</f>
        <v>01062276</v>
      </c>
    </row>
    <row r="27870" spans="1:2" x14ac:dyDescent="0.25">
      <c r="A27870" s="2">
        <v>27865</v>
      </c>
      <c r="B27870" s="11" t="str">
        <f>"01062285"</f>
        <v>01062285</v>
      </c>
    </row>
    <row r="27871" spans="1:2" x14ac:dyDescent="0.25">
      <c r="A27871" s="2">
        <v>27866</v>
      </c>
      <c r="B27871" s="11" t="str">
        <f>"01062291"</f>
        <v>01062291</v>
      </c>
    </row>
    <row r="27872" spans="1:2" x14ac:dyDescent="0.25">
      <c r="A27872" s="2">
        <v>27867</v>
      </c>
      <c r="B27872" s="11" t="str">
        <f>"01062294"</f>
        <v>01062294</v>
      </c>
    </row>
    <row r="27873" spans="1:2" x14ac:dyDescent="0.25">
      <c r="A27873" s="2">
        <v>27868</v>
      </c>
      <c r="B27873" s="11" t="str">
        <f>"01062297"</f>
        <v>01062297</v>
      </c>
    </row>
    <row r="27874" spans="1:2" x14ac:dyDescent="0.25">
      <c r="A27874" s="2">
        <v>27869</v>
      </c>
      <c r="B27874" s="11" t="str">
        <f>"01062301"</f>
        <v>01062301</v>
      </c>
    </row>
    <row r="27875" spans="1:2" x14ac:dyDescent="0.25">
      <c r="A27875" s="2">
        <v>27870</v>
      </c>
      <c r="B27875" s="11" t="str">
        <f>"01062303"</f>
        <v>01062303</v>
      </c>
    </row>
    <row r="27876" spans="1:2" x14ac:dyDescent="0.25">
      <c r="A27876" s="2">
        <v>27871</v>
      </c>
      <c r="B27876" s="11" t="str">
        <f>"01062304"</f>
        <v>01062304</v>
      </c>
    </row>
    <row r="27877" spans="1:2" x14ac:dyDescent="0.25">
      <c r="A27877" s="2">
        <v>27872</v>
      </c>
      <c r="B27877" s="11" t="str">
        <f>"01062309"</f>
        <v>01062309</v>
      </c>
    </row>
    <row r="27878" spans="1:2" x14ac:dyDescent="0.25">
      <c r="A27878" s="2">
        <v>27873</v>
      </c>
      <c r="B27878" s="11" t="str">
        <f>"01062312"</f>
        <v>01062312</v>
      </c>
    </row>
    <row r="27879" spans="1:2" x14ac:dyDescent="0.25">
      <c r="A27879" s="2">
        <v>27874</v>
      </c>
      <c r="B27879" s="11" t="str">
        <f>"01062317"</f>
        <v>01062317</v>
      </c>
    </row>
    <row r="27880" spans="1:2" x14ac:dyDescent="0.25">
      <c r="A27880" s="2">
        <v>27875</v>
      </c>
      <c r="B27880" s="11" t="str">
        <f>"01062321"</f>
        <v>01062321</v>
      </c>
    </row>
    <row r="27881" spans="1:2" x14ac:dyDescent="0.25">
      <c r="A27881" s="2">
        <v>27876</v>
      </c>
      <c r="B27881" s="11" t="str">
        <f>"01062322"</f>
        <v>01062322</v>
      </c>
    </row>
    <row r="27882" spans="1:2" x14ac:dyDescent="0.25">
      <c r="A27882" s="2">
        <v>27877</v>
      </c>
      <c r="B27882" s="11" t="str">
        <f>"01062323"</f>
        <v>01062323</v>
      </c>
    </row>
    <row r="27883" spans="1:2" x14ac:dyDescent="0.25">
      <c r="A27883" s="2">
        <v>27878</v>
      </c>
      <c r="B27883" s="11" t="str">
        <f>"01062324"</f>
        <v>01062324</v>
      </c>
    </row>
    <row r="27884" spans="1:2" x14ac:dyDescent="0.25">
      <c r="A27884" s="2">
        <v>27879</v>
      </c>
      <c r="B27884" s="11" t="str">
        <f>"01062325"</f>
        <v>01062325</v>
      </c>
    </row>
    <row r="27885" spans="1:2" x14ac:dyDescent="0.25">
      <c r="A27885" s="2">
        <v>27880</v>
      </c>
      <c r="B27885" s="11" t="str">
        <f>"01062330"</f>
        <v>01062330</v>
      </c>
    </row>
    <row r="27886" spans="1:2" x14ac:dyDescent="0.25">
      <c r="A27886" s="2">
        <v>27881</v>
      </c>
      <c r="B27886" s="11" t="str">
        <f>"01062335"</f>
        <v>01062335</v>
      </c>
    </row>
    <row r="27887" spans="1:2" x14ac:dyDescent="0.25">
      <c r="A27887" s="2">
        <v>27882</v>
      </c>
      <c r="B27887" s="11" t="str">
        <f>"01062341"</f>
        <v>01062341</v>
      </c>
    </row>
    <row r="27888" spans="1:2" x14ac:dyDescent="0.25">
      <c r="A27888" s="2">
        <v>27883</v>
      </c>
      <c r="B27888" s="11" t="str">
        <f>"01062342"</f>
        <v>01062342</v>
      </c>
    </row>
    <row r="27889" spans="1:2" x14ac:dyDescent="0.25">
      <c r="A27889" s="2">
        <v>27884</v>
      </c>
      <c r="B27889" s="11" t="str">
        <f>"01062359"</f>
        <v>01062359</v>
      </c>
    </row>
    <row r="27890" spans="1:2" x14ac:dyDescent="0.25">
      <c r="A27890" s="2">
        <v>27885</v>
      </c>
      <c r="B27890" s="11" t="str">
        <f>"01062363"</f>
        <v>01062363</v>
      </c>
    </row>
    <row r="27891" spans="1:2" x14ac:dyDescent="0.25">
      <c r="A27891" s="2">
        <v>27886</v>
      </c>
      <c r="B27891" s="11" t="str">
        <f>"01062368"</f>
        <v>01062368</v>
      </c>
    </row>
    <row r="27892" spans="1:2" x14ac:dyDescent="0.25">
      <c r="A27892" s="2">
        <v>27887</v>
      </c>
      <c r="B27892" s="11" t="str">
        <f>"01062371"</f>
        <v>01062371</v>
      </c>
    </row>
    <row r="27893" spans="1:2" x14ac:dyDescent="0.25">
      <c r="A27893" s="2">
        <v>27888</v>
      </c>
      <c r="B27893" s="11" t="str">
        <f>"01062372"</f>
        <v>01062372</v>
      </c>
    </row>
    <row r="27894" spans="1:2" x14ac:dyDescent="0.25">
      <c r="A27894" s="2">
        <v>27889</v>
      </c>
      <c r="B27894" s="11" t="str">
        <f>"01062374"</f>
        <v>01062374</v>
      </c>
    </row>
    <row r="27895" spans="1:2" x14ac:dyDescent="0.25">
      <c r="A27895" s="2">
        <v>27890</v>
      </c>
      <c r="B27895" s="11" t="str">
        <f>"01062376"</f>
        <v>01062376</v>
      </c>
    </row>
    <row r="27896" spans="1:2" x14ac:dyDescent="0.25">
      <c r="A27896" s="2">
        <v>27891</v>
      </c>
      <c r="B27896" s="11" t="str">
        <f>"01062385"</f>
        <v>01062385</v>
      </c>
    </row>
    <row r="27897" spans="1:2" x14ac:dyDescent="0.25">
      <c r="A27897" s="2">
        <v>27892</v>
      </c>
      <c r="B27897" s="11" t="str">
        <f>"01062392"</f>
        <v>01062392</v>
      </c>
    </row>
    <row r="27898" spans="1:2" x14ac:dyDescent="0.25">
      <c r="A27898" s="2">
        <v>27893</v>
      </c>
      <c r="B27898" s="11" t="str">
        <f>"01062402"</f>
        <v>01062402</v>
      </c>
    </row>
    <row r="27899" spans="1:2" x14ac:dyDescent="0.25">
      <c r="A27899" s="2">
        <v>27894</v>
      </c>
      <c r="B27899" s="11" t="str">
        <f>"01062406"</f>
        <v>01062406</v>
      </c>
    </row>
    <row r="27900" spans="1:2" x14ac:dyDescent="0.25">
      <c r="A27900" s="2">
        <v>27895</v>
      </c>
      <c r="B27900" s="11" t="str">
        <f>"01062409"</f>
        <v>01062409</v>
      </c>
    </row>
    <row r="27901" spans="1:2" x14ac:dyDescent="0.25">
      <c r="A27901" s="2">
        <v>27896</v>
      </c>
      <c r="B27901" s="11" t="str">
        <f>"01062415"</f>
        <v>01062415</v>
      </c>
    </row>
    <row r="27902" spans="1:2" x14ac:dyDescent="0.25">
      <c r="A27902" s="2">
        <v>27897</v>
      </c>
      <c r="B27902" s="11" t="str">
        <f>"01062418"</f>
        <v>01062418</v>
      </c>
    </row>
    <row r="27903" spans="1:2" x14ac:dyDescent="0.25">
      <c r="A27903" s="2">
        <v>27898</v>
      </c>
      <c r="B27903" s="11" t="str">
        <f>"01062421"</f>
        <v>01062421</v>
      </c>
    </row>
    <row r="27904" spans="1:2" x14ac:dyDescent="0.25">
      <c r="A27904" s="2">
        <v>27899</v>
      </c>
      <c r="B27904" s="11" t="str">
        <f>"01062428"</f>
        <v>01062428</v>
      </c>
    </row>
    <row r="27905" spans="1:2" x14ac:dyDescent="0.25">
      <c r="A27905" s="2">
        <v>27900</v>
      </c>
      <c r="B27905" s="11" t="str">
        <f>"01062430"</f>
        <v>01062430</v>
      </c>
    </row>
    <row r="27906" spans="1:2" x14ac:dyDescent="0.25">
      <c r="A27906" s="2">
        <v>27901</v>
      </c>
      <c r="B27906" s="11" t="str">
        <f>"01062431"</f>
        <v>01062431</v>
      </c>
    </row>
    <row r="27907" spans="1:2" x14ac:dyDescent="0.25">
      <c r="A27907" s="2">
        <v>27902</v>
      </c>
      <c r="B27907" s="11" t="str">
        <f>"01062438"</f>
        <v>01062438</v>
      </c>
    </row>
    <row r="27908" spans="1:2" x14ac:dyDescent="0.25">
      <c r="A27908" s="2">
        <v>27903</v>
      </c>
      <c r="B27908" s="11" t="str">
        <f>"01062441"</f>
        <v>01062441</v>
      </c>
    </row>
    <row r="27909" spans="1:2" x14ac:dyDescent="0.25">
      <c r="A27909" s="2">
        <v>27904</v>
      </c>
      <c r="B27909" s="11" t="str">
        <f>"01062446"</f>
        <v>01062446</v>
      </c>
    </row>
    <row r="27910" spans="1:2" x14ac:dyDescent="0.25">
      <c r="A27910" s="2">
        <v>27905</v>
      </c>
      <c r="B27910" s="11" t="str">
        <f>"01062447"</f>
        <v>01062447</v>
      </c>
    </row>
    <row r="27911" spans="1:2" x14ac:dyDescent="0.25">
      <c r="A27911" s="2">
        <v>27906</v>
      </c>
      <c r="B27911" s="11" t="str">
        <f>"01062450"</f>
        <v>01062450</v>
      </c>
    </row>
    <row r="27912" spans="1:2" x14ac:dyDescent="0.25">
      <c r="A27912" s="2">
        <v>27907</v>
      </c>
      <c r="B27912" s="11" t="str">
        <f>"01062454"</f>
        <v>01062454</v>
      </c>
    </row>
    <row r="27913" spans="1:2" x14ac:dyDescent="0.25">
      <c r="A27913" s="2">
        <v>27908</v>
      </c>
      <c r="B27913" s="11" t="str">
        <f>"01062466"</f>
        <v>01062466</v>
      </c>
    </row>
    <row r="27914" spans="1:2" x14ac:dyDescent="0.25">
      <c r="A27914" s="2">
        <v>27909</v>
      </c>
      <c r="B27914" s="11" t="str">
        <f>"01062474"</f>
        <v>01062474</v>
      </c>
    </row>
    <row r="27915" spans="1:2" x14ac:dyDescent="0.25">
      <c r="A27915" s="2">
        <v>27910</v>
      </c>
      <c r="B27915" s="11" t="str">
        <f>"01062482"</f>
        <v>01062482</v>
      </c>
    </row>
    <row r="27916" spans="1:2" x14ac:dyDescent="0.25">
      <c r="A27916" s="2">
        <v>27911</v>
      </c>
      <c r="B27916" s="11" t="str">
        <f>"01062487"</f>
        <v>01062487</v>
      </c>
    </row>
    <row r="27917" spans="1:2" x14ac:dyDescent="0.25">
      <c r="A27917" s="2">
        <v>27912</v>
      </c>
      <c r="B27917" s="11" t="str">
        <f>"01062489"</f>
        <v>01062489</v>
      </c>
    </row>
    <row r="27918" spans="1:2" x14ac:dyDescent="0.25">
      <c r="A27918" s="2">
        <v>27913</v>
      </c>
      <c r="B27918" s="11" t="str">
        <f>"01062491"</f>
        <v>01062491</v>
      </c>
    </row>
    <row r="27919" spans="1:2" x14ac:dyDescent="0.25">
      <c r="A27919" s="2">
        <v>27914</v>
      </c>
      <c r="B27919" s="11" t="str">
        <f>"01062493"</f>
        <v>01062493</v>
      </c>
    </row>
    <row r="27920" spans="1:2" x14ac:dyDescent="0.25">
      <c r="A27920" s="2">
        <v>27915</v>
      </c>
      <c r="B27920" s="11" t="str">
        <f>"01062497"</f>
        <v>01062497</v>
      </c>
    </row>
    <row r="27921" spans="1:2" x14ac:dyDescent="0.25">
      <c r="A27921" s="2">
        <v>27916</v>
      </c>
      <c r="B27921" s="11" t="str">
        <f>"01062499"</f>
        <v>01062499</v>
      </c>
    </row>
    <row r="27922" spans="1:2" x14ac:dyDescent="0.25">
      <c r="A27922" s="2">
        <v>27917</v>
      </c>
      <c r="B27922" s="11" t="str">
        <f>"01062502"</f>
        <v>01062502</v>
      </c>
    </row>
    <row r="27923" spans="1:2" x14ac:dyDescent="0.25">
      <c r="A27923" s="2">
        <v>27918</v>
      </c>
      <c r="B27923" s="11" t="str">
        <f>"01062521"</f>
        <v>01062521</v>
      </c>
    </row>
    <row r="27924" spans="1:2" x14ac:dyDescent="0.25">
      <c r="A27924" s="2">
        <v>27919</v>
      </c>
      <c r="B27924" s="11" t="str">
        <f>"01062532"</f>
        <v>01062532</v>
      </c>
    </row>
    <row r="27925" spans="1:2" x14ac:dyDescent="0.25">
      <c r="A27925" s="2">
        <v>27920</v>
      </c>
      <c r="B27925" s="11" t="str">
        <f>"01062536"</f>
        <v>01062536</v>
      </c>
    </row>
    <row r="27926" spans="1:2" x14ac:dyDescent="0.25">
      <c r="A27926" s="2">
        <v>27921</v>
      </c>
      <c r="B27926" s="11" t="str">
        <f>"01062537"</f>
        <v>01062537</v>
      </c>
    </row>
    <row r="27927" spans="1:2" x14ac:dyDescent="0.25">
      <c r="A27927" s="2">
        <v>27922</v>
      </c>
      <c r="B27927" s="11" t="str">
        <f>"01062542"</f>
        <v>01062542</v>
      </c>
    </row>
    <row r="27928" spans="1:2" x14ac:dyDescent="0.25">
      <c r="A27928" s="2">
        <v>27923</v>
      </c>
      <c r="B27928" s="11" t="str">
        <f>"01062552"</f>
        <v>01062552</v>
      </c>
    </row>
    <row r="27929" spans="1:2" x14ac:dyDescent="0.25">
      <c r="A27929" s="2">
        <v>27924</v>
      </c>
      <c r="B27929" s="11" t="str">
        <f>"01062561"</f>
        <v>01062561</v>
      </c>
    </row>
    <row r="27930" spans="1:2" x14ac:dyDescent="0.25">
      <c r="A27930" s="2">
        <v>27925</v>
      </c>
      <c r="B27930" s="11" t="str">
        <f>"01062565"</f>
        <v>01062565</v>
      </c>
    </row>
    <row r="27931" spans="1:2" x14ac:dyDescent="0.25">
      <c r="A27931" s="2">
        <v>27926</v>
      </c>
      <c r="B27931" s="11" t="str">
        <f>"01062566"</f>
        <v>01062566</v>
      </c>
    </row>
    <row r="27932" spans="1:2" x14ac:dyDescent="0.25">
      <c r="A27932" s="2">
        <v>27927</v>
      </c>
      <c r="B27932" s="11" t="str">
        <f>"01062569"</f>
        <v>01062569</v>
      </c>
    </row>
    <row r="27933" spans="1:2" x14ac:dyDescent="0.25">
      <c r="A27933" s="2">
        <v>27928</v>
      </c>
      <c r="B27933" s="11" t="str">
        <f>"01062585"</f>
        <v>01062585</v>
      </c>
    </row>
    <row r="27934" spans="1:2" x14ac:dyDescent="0.25">
      <c r="A27934" s="2">
        <v>27929</v>
      </c>
      <c r="B27934" s="11" t="str">
        <f>"01062586"</f>
        <v>01062586</v>
      </c>
    </row>
    <row r="27935" spans="1:2" x14ac:dyDescent="0.25">
      <c r="A27935" s="2">
        <v>27930</v>
      </c>
      <c r="B27935" s="11" t="str">
        <f>"01062588"</f>
        <v>01062588</v>
      </c>
    </row>
    <row r="27936" spans="1:2" x14ac:dyDescent="0.25">
      <c r="A27936" s="2">
        <v>27931</v>
      </c>
      <c r="B27936" s="11" t="str">
        <f>"01062591"</f>
        <v>01062591</v>
      </c>
    </row>
    <row r="27937" spans="1:2" x14ac:dyDescent="0.25">
      <c r="A27937" s="2">
        <v>27932</v>
      </c>
      <c r="B27937" s="11" t="str">
        <f>"01062595"</f>
        <v>01062595</v>
      </c>
    </row>
    <row r="27938" spans="1:2" x14ac:dyDescent="0.25">
      <c r="A27938" s="2">
        <v>27933</v>
      </c>
      <c r="B27938" s="11" t="str">
        <f>"01062596"</f>
        <v>01062596</v>
      </c>
    </row>
    <row r="27939" spans="1:2" x14ac:dyDescent="0.25">
      <c r="A27939" s="2">
        <v>27934</v>
      </c>
      <c r="B27939" s="11" t="str">
        <f>"01062598"</f>
        <v>01062598</v>
      </c>
    </row>
    <row r="27940" spans="1:2" x14ac:dyDescent="0.25">
      <c r="A27940" s="2">
        <v>27935</v>
      </c>
      <c r="B27940" s="11" t="str">
        <f>"01062599"</f>
        <v>01062599</v>
      </c>
    </row>
    <row r="27941" spans="1:2" x14ac:dyDescent="0.25">
      <c r="A27941" s="2">
        <v>27936</v>
      </c>
      <c r="B27941" s="11" t="str">
        <f>"01062607"</f>
        <v>01062607</v>
      </c>
    </row>
    <row r="27942" spans="1:2" x14ac:dyDescent="0.25">
      <c r="A27942" s="2">
        <v>27937</v>
      </c>
      <c r="B27942" s="11" t="str">
        <f>"01062610"</f>
        <v>01062610</v>
      </c>
    </row>
    <row r="27943" spans="1:2" x14ac:dyDescent="0.25">
      <c r="A27943" s="2">
        <v>27938</v>
      </c>
      <c r="B27943" s="11" t="str">
        <f>"01062614"</f>
        <v>01062614</v>
      </c>
    </row>
    <row r="27944" spans="1:2" x14ac:dyDescent="0.25">
      <c r="A27944" s="2">
        <v>27939</v>
      </c>
      <c r="B27944" s="11" t="str">
        <f>"01062618"</f>
        <v>01062618</v>
      </c>
    </row>
    <row r="27945" spans="1:2" x14ac:dyDescent="0.25">
      <c r="A27945" s="2">
        <v>27940</v>
      </c>
      <c r="B27945" s="11" t="str">
        <f>"01062620"</f>
        <v>01062620</v>
      </c>
    </row>
    <row r="27946" spans="1:2" x14ac:dyDescent="0.25">
      <c r="A27946" s="2">
        <v>27941</v>
      </c>
      <c r="B27946" s="11" t="str">
        <f>"01062622"</f>
        <v>01062622</v>
      </c>
    </row>
    <row r="27947" spans="1:2" x14ac:dyDescent="0.25">
      <c r="A27947" s="2">
        <v>27942</v>
      </c>
      <c r="B27947" s="11" t="str">
        <f>"01062623"</f>
        <v>01062623</v>
      </c>
    </row>
    <row r="27948" spans="1:2" x14ac:dyDescent="0.25">
      <c r="A27948" s="2">
        <v>27943</v>
      </c>
      <c r="B27948" s="11" t="str">
        <f>"01062626"</f>
        <v>01062626</v>
      </c>
    </row>
    <row r="27949" spans="1:2" x14ac:dyDescent="0.25">
      <c r="A27949" s="2">
        <v>27944</v>
      </c>
      <c r="B27949" s="11" t="str">
        <f>"01062630"</f>
        <v>01062630</v>
      </c>
    </row>
    <row r="27950" spans="1:2" x14ac:dyDescent="0.25">
      <c r="A27950" s="2">
        <v>27945</v>
      </c>
      <c r="B27950" s="11" t="str">
        <f>"01062634"</f>
        <v>01062634</v>
      </c>
    </row>
    <row r="27951" spans="1:2" x14ac:dyDescent="0.25">
      <c r="A27951" s="2">
        <v>27946</v>
      </c>
      <c r="B27951" s="11" t="str">
        <f>"01062640"</f>
        <v>01062640</v>
      </c>
    </row>
    <row r="27952" spans="1:2" x14ac:dyDescent="0.25">
      <c r="A27952" s="2">
        <v>27947</v>
      </c>
      <c r="B27952" s="11" t="str">
        <f>"01062642"</f>
        <v>01062642</v>
      </c>
    </row>
    <row r="27953" spans="1:2" x14ac:dyDescent="0.25">
      <c r="A27953" s="2">
        <v>27948</v>
      </c>
      <c r="B27953" s="11" t="str">
        <f>"01062647"</f>
        <v>01062647</v>
      </c>
    </row>
    <row r="27954" spans="1:2" x14ac:dyDescent="0.25">
      <c r="A27954" s="2">
        <v>27949</v>
      </c>
      <c r="B27954" s="11" t="str">
        <f>"01062661"</f>
        <v>01062661</v>
      </c>
    </row>
    <row r="27955" spans="1:2" x14ac:dyDescent="0.25">
      <c r="A27955" s="2">
        <v>27950</v>
      </c>
      <c r="B27955" s="11" t="str">
        <f>"01062678"</f>
        <v>01062678</v>
      </c>
    </row>
    <row r="27956" spans="1:2" x14ac:dyDescent="0.25">
      <c r="A27956" s="2">
        <v>27951</v>
      </c>
      <c r="B27956" s="11" t="str">
        <f>"01062687"</f>
        <v>01062687</v>
      </c>
    </row>
    <row r="27957" spans="1:2" x14ac:dyDescent="0.25">
      <c r="A27957" s="2">
        <v>27952</v>
      </c>
      <c r="B27957" s="11" t="str">
        <f>"01062698"</f>
        <v>01062698</v>
      </c>
    </row>
    <row r="27958" spans="1:2" x14ac:dyDescent="0.25">
      <c r="A27958" s="2">
        <v>27953</v>
      </c>
      <c r="B27958" s="11" t="str">
        <f>"01062712"</f>
        <v>01062712</v>
      </c>
    </row>
    <row r="27959" spans="1:2" x14ac:dyDescent="0.25">
      <c r="A27959" s="2">
        <v>27954</v>
      </c>
      <c r="B27959" s="11" t="str">
        <f>"01062719"</f>
        <v>01062719</v>
      </c>
    </row>
    <row r="27960" spans="1:2" x14ac:dyDescent="0.25">
      <c r="A27960" s="2">
        <v>27955</v>
      </c>
      <c r="B27960" s="11" t="str">
        <f>"01062728"</f>
        <v>01062728</v>
      </c>
    </row>
    <row r="27961" spans="1:2" x14ac:dyDescent="0.25">
      <c r="A27961" s="2">
        <v>27956</v>
      </c>
      <c r="B27961" s="11" t="str">
        <f>"01062733"</f>
        <v>01062733</v>
      </c>
    </row>
    <row r="27962" spans="1:2" x14ac:dyDescent="0.25">
      <c r="A27962" s="2">
        <v>27957</v>
      </c>
      <c r="B27962" s="11" t="str">
        <f>"01062737"</f>
        <v>01062737</v>
      </c>
    </row>
    <row r="27963" spans="1:2" x14ac:dyDescent="0.25">
      <c r="A27963" s="2">
        <v>27958</v>
      </c>
      <c r="B27963" s="11" t="str">
        <f>"01062739"</f>
        <v>01062739</v>
      </c>
    </row>
    <row r="27964" spans="1:2" x14ac:dyDescent="0.25">
      <c r="A27964" s="2">
        <v>27959</v>
      </c>
      <c r="B27964" s="11" t="str">
        <f>"01062744"</f>
        <v>01062744</v>
      </c>
    </row>
    <row r="27965" spans="1:2" x14ac:dyDescent="0.25">
      <c r="A27965" s="2">
        <v>27960</v>
      </c>
      <c r="B27965" s="11" t="str">
        <f>"01062746"</f>
        <v>01062746</v>
      </c>
    </row>
    <row r="27966" spans="1:2" x14ac:dyDescent="0.25">
      <c r="A27966" s="2">
        <v>27961</v>
      </c>
      <c r="B27966" s="11" t="str">
        <f>"01062748"</f>
        <v>01062748</v>
      </c>
    </row>
    <row r="27967" spans="1:2" x14ac:dyDescent="0.25">
      <c r="A27967" s="2">
        <v>27962</v>
      </c>
      <c r="B27967" s="11" t="str">
        <f>"01062749"</f>
        <v>01062749</v>
      </c>
    </row>
    <row r="27968" spans="1:2" x14ac:dyDescent="0.25">
      <c r="A27968" s="2">
        <v>27963</v>
      </c>
      <c r="B27968" s="11" t="str">
        <f>"01062754"</f>
        <v>01062754</v>
      </c>
    </row>
    <row r="27969" spans="1:2" x14ac:dyDescent="0.25">
      <c r="A27969" s="2">
        <v>27964</v>
      </c>
      <c r="B27969" s="11" t="str">
        <f>"01062762"</f>
        <v>01062762</v>
      </c>
    </row>
    <row r="27970" spans="1:2" x14ac:dyDescent="0.25">
      <c r="A27970" s="2">
        <v>27965</v>
      </c>
      <c r="B27970" s="11" t="str">
        <f>"01062763"</f>
        <v>01062763</v>
      </c>
    </row>
    <row r="27971" spans="1:2" x14ac:dyDescent="0.25">
      <c r="A27971" s="2">
        <v>27966</v>
      </c>
      <c r="B27971" s="11" t="str">
        <f>"01062765"</f>
        <v>01062765</v>
      </c>
    </row>
    <row r="27972" spans="1:2" x14ac:dyDescent="0.25">
      <c r="A27972" s="2">
        <v>27967</v>
      </c>
      <c r="B27972" s="11" t="str">
        <f>"01062781"</f>
        <v>01062781</v>
      </c>
    </row>
    <row r="27973" spans="1:2" x14ac:dyDescent="0.25">
      <c r="A27973" s="2">
        <v>27968</v>
      </c>
      <c r="B27973" s="11" t="str">
        <f>"01062791"</f>
        <v>01062791</v>
      </c>
    </row>
    <row r="27974" spans="1:2" x14ac:dyDescent="0.25">
      <c r="A27974" s="2">
        <v>27969</v>
      </c>
      <c r="B27974" s="11" t="str">
        <f>"01062802"</f>
        <v>01062802</v>
      </c>
    </row>
    <row r="27975" spans="1:2" x14ac:dyDescent="0.25">
      <c r="A27975" s="2">
        <v>27970</v>
      </c>
      <c r="B27975" s="11" t="str">
        <f>"01062815"</f>
        <v>01062815</v>
      </c>
    </row>
    <row r="27976" spans="1:2" x14ac:dyDescent="0.25">
      <c r="A27976" s="2">
        <v>27971</v>
      </c>
      <c r="B27976" s="11" t="str">
        <f>"01062823"</f>
        <v>01062823</v>
      </c>
    </row>
    <row r="27977" spans="1:2" x14ac:dyDescent="0.25">
      <c r="A27977" s="2">
        <v>27972</v>
      </c>
      <c r="B27977" s="11" t="str">
        <f>"01062837"</f>
        <v>01062837</v>
      </c>
    </row>
    <row r="27978" spans="1:2" x14ac:dyDescent="0.25">
      <c r="A27978" s="2">
        <v>27973</v>
      </c>
      <c r="B27978" s="11" t="str">
        <f>"01062838"</f>
        <v>01062838</v>
      </c>
    </row>
    <row r="27979" spans="1:2" x14ac:dyDescent="0.25">
      <c r="A27979" s="2">
        <v>27974</v>
      </c>
      <c r="B27979" s="11" t="str">
        <f>"01062844"</f>
        <v>01062844</v>
      </c>
    </row>
    <row r="27980" spans="1:2" x14ac:dyDescent="0.25">
      <c r="A27980" s="2">
        <v>27975</v>
      </c>
      <c r="B27980" s="11" t="str">
        <f>"01062857"</f>
        <v>01062857</v>
      </c>
    </row>
    <row r="27981" spans="1:2" x14ac:dyDescent="0.25">
      <c r="A27981" s="2">
        <v>27976</v>
      </c>
      <c r="B27981" s="11" t="str">
        <f>"01062858"</f>
        <v>01062858</v>
      </c>
    </row>
    <row r="27982" spans="1:2" x14ac:dyDescent="0.25">
      <c r="A27982" s="2">
        <v>27977</v>
      </c>
      <c r="B27982" s="11" t="str">
        <f>"01062860"</f>
        <v>01062860</v>
      </c>
    </row>
    <row r="27983" spans="1:2" x14ac:dyDescent="0.25">
      <c r="A27983" s="2">
        <v>27978</v>
      </c>
      <c r="B27983" s="11" t="str">
        <f>"01062863"</f>
        <v>01062863</v>
      </c>
    </row>
    <row r="27984" spans="1:2" x14ac:dyDescent="0.25">
      <c r="A27984" s="2">
        <v>27979</v>
      </c>
      <c r="B27984" s="11" t="str">
        <f>"01062870"</f>
        <v>01062870</v>
      </c>
    </row>
    <row r="27985" spans="1:2" x14ac:dyDescent="0.25">
      <c r="A27985" s="2">
        <v>27980</v>
      </c>
      <c r="B27985" s="11" t="str">
        <f>"01062873"</f>
        <v>01062873</v>
      </c>
    </row>
    <row r="27986" spans="1:2" x14ac:dyDescent="0.25">
      <c r="A27986" s="2">
        <v>27981</v>
      </c>
      <c r="B27986" s="11" t="str">
        <f>"01062875"</f>
        <v>01062875</v>
      </c>
    </row>
    <row r="27987" spans="1:2" x14ac:dyDescent="0.25">
      <c r="A27987" s="2">
        <v>27982</v>
      </c>
      <c r="B27987" s="11" t="str">
        <f>"01062880"</f>
        <v>01062880</v>
      </c>
    </row>
    <row r="27988" spans="1:2" x14ac:dyDescent="0.25">
      <c r="A27988" s="2">
        <v>27983</v>
      </c>
      <c r="B27988" s="11" t="str">
        <f>"01062881"</f>
        <v>01062881</v>
      </c>
    </row>
    <row r="27989" spans="1:2" x14ac:dyDescent="0.25">
      <c r="A27989" s="2">
        <v>27984</v>
      </c>
      <c r="B27989" s="11" t="str">
        <f>"01062882"</f>
        <v>01062882</v>
      </c>
    </row>
    <row r="27990" spans="1:2" x14ac:dyDescent="0.25">
      <c r="A27990" s="2">
        <v>27985</v>
      </c>
      <c r="B27990" s="11" t="str">
        <f>"01062884"</f>
        <v>01062884</v>
      </c>
    </row>
    <row r="27991" spans="1:2" x14ac:dyDescent="0.25">
      <c r="A27991" s="2">
        <v>27986</v>
      </c>
      <c r="B27991" s="11" t="str">
        <f>"01062885"</f>
        <v>01062885</v>
      </c>
    </row>
    <row r="27992" spans="1:2" x14ac:dyDescent="0.25">
      <c r="A27992" s="2">
        <v>27987</v>
      </c>
      <c r="B27992" s="11" t="str">
        <f>"01062891"</f>
        <v>01062891</v>
      </c>
    </row>
    <row r="27993" spans="1:2" x14ac:dyDescent="0.25">
      <c r="A27993" s="2">
        <v>27988</v>
      </c>
      <c r="B27993" s="11" t="str">
        <f>"01062901"</f>
        <v>01062901</v>
      </c>
    </row>
    <row r="27994" spans="1:2" x14ac:dyDescent="0.25">
      <c r="A27994" s="2">
        <v>27989</v>
      </c>
      <c r="B27994" s="11" t="str">
        <f>"01062902"</f>
        <v>01062902</v>
      </c>
    </row>
    <row r="27995" spans="1:2" x14ac:dyDescent="0.25">
      <c r="A27995" s="2">
        <v>27990</v>
      </c>
      <c r="B27995" s="11" t="str">
        <f>"01062904"</f>
        <v>01062904</v>
      </c>
    </row>
    <row r="27996" spans="1:2" x14ac:dyDescent="0.25">
      <c r="A27996" s="2">
        <v>27991</v>
      </c>
      <c r="B27996" s="11" t="str">
        <f>"01062907"</f>
        <v>01062907</v>
      </c>
    </row>
    <row r="27997" spans="1:2" x14ac:dyDescent="0.25">
      <c r="A27997" s="2">
        <v>27992</v>
      </c>
      <c r="B27997" s="11" t="str">
        <f>"01062910"</f>
        <v>01062910</v>
      </c>
    </row>
    <row r="27998" spans="1:2" x14ac:dyDescent="0.25">
      <c r="A27998" s="2">
        <v>27993</v>
      </c>
      <c r="B27998" s="11" t="str">
        <f>"01062915"</f>
        <v>01062915</v>
      </c>
    </row>
    <row r="27999" spans="1:2" x14ac:dyDescent="0.25">
      <c r="A27999" s="2">
        <v>27994</v>
      </c>
      <c r="B27999" s="11" t="str">
        <f>"01062922"</f>
        <v>01062922</v>
      </c>
    </row>
    <row r="28000" spans="1:2" x14ac:dyDescent="0.25">
      <c r="A28000" s="2">
        <v>27995</v>
      </c>
      <c r="B28000" s="11" t="str">
        <f>"01062926"</f>
        <v>01062926</v>
      </c>
    </row>
    <row r="28001" spans="1:2" x14ac:dyDescent="0.25">
      <c r="A28001" s="2">
        <v>27996</v>
      </c>
      <c r="B28001" s="11" t="str">
        <f>"01062928"</f>
        <v>01062928</v>
      </c>
    </row>
    <row r="28002" spans="1:2" x14ac:dyDescent="0.25">
      <c r="A28002" s="2">
        <v>27997</v>
      </c>
      <c r="B28002" s="11" t="str">
        <f>"01062937"</f>
        <v>01062937</v>
      </c>
    </row>
    <row r="28003" spans="1:2" x14ac:dyDescent="0.25">
      <c r="A28003" s="2">
        <v>27998</v>
      </c>
      <c r="B28003" s="11" t="str">
        <f>"01062941"</f>
        <v>01062941</v>
      </c>
    </row>
    <row r="28004" spans="1:2" x14ac:dyDescent="0.25">
      <c r="A28004" s="2">
        <v>27999</v>
      </c>
      <c r="B28004" s="11" t="str">
        <f>"01062943"</f>
        <v>01062943</v>
      </c>
    </row>
    <row r="28005" spans="1:2" x14ac:dyDescent="0.25">
      <c r="A28005" s="2">
        <v>28000</v>
      </c>
      <c r="B28005" s="11" t="str">
        <f>"01062945"</f>
        <v>01062945</v>
      </c>
    </row>
    <row r="28006" spans="1:2" x14ac:dyDescent="0.25">
      <c r="A28006" s="2">
        <v>28001</v>
      </c>
      <c r="B28006" s="11" t="str">
        <f>"01062947"</f>
        <v>01062947</v>
      </c>
    </row>
    <row r="28007" spans="1:2" x14ac:dyDescent="0.25">
      <c r="A28007" s="2">
        <v>28002</v>
      </c>
      <c r="B28007" s="11" t="str">
        <f>"01062958"</f>
        <v>01062958</v>
      </c>
    </row>
    <row r="28008" spans="1:2" x14ac:dyDescent="0.25">
      <c r="A28008" s="2">
        <v>28003</v>
      </c>
      <c r="B28008" s="11" t="str">
        <f>"01062959"</f>
        <v>01062959</v>
      </c>
    </row>
    <row r="28009" spans="1:2" x14ac:dyDescent="0.25">
      <c r="A28009" s="2">
        <v>28004</v>
      </c>
      <c r="B28009" s="11" t="str">
        <f>"01062966"</f>
        <v>01062966</v>
      </c>
    </row>
    <row r="28010" spans="1:2" x14ac:dyDescent="0.25">
      <c r="A28010" s="2">
        <v>28005</v>
      </c>
      <c r="B28010" s="11" t="str">
        <f>"01062967"</f>
        <v>01062967</v>
      </c>
    </row>
    <row r="28011" spans="1:2" x14ac:dyDescent="0.25">
      <c r="A28011" s="2">
        <v>28006</v>
      </c>
      <c r="B28011" s="11" t="str">
        <f>"01062969"</f>
        <v>01062969</v>
      </c>
    </row>
    <row r="28012" spans="1:2" x14ac:dyDescent="0.25">
      <c r="A28012" s="2">
        <v>28007</v>
      </c>
      <c r="B28012" s="11" t="str">
        <f>"01062970"</f>
        <v>01062970</v>
      </c>
    </row>
    <row r="28013" spans="1:2" x14ac:dyDescent="0.25">
      <c r="A28013" s="2">
        <v>28008</v>
      </c>
      <c r="B28013" s="11" t="str">
        <f>"01062971"</f>
        <v>01062971</v>
      </c>
    </row>
    <row r="28014" spans="1:2" x14ac:dyDescent="0.25">
      <c r="A28014" s="2">
        <v>28009</v>
      </c>
      <c r="B28014" s="11" t="str">
        <f>"01062972"</f>
        <v>01062972</v>
      </c>
    </row>
    <row r="28015" spans="1:2" x14ac:dyDescent="0.25">
      <c r="A28015" s="2">
        <v>28010</v>
      </c>
      <c r="B28015" s="11" t="str">
        <f>"01062978"</f>
        <v>01062978</v>
      </c>
    </row>
    <row r="28016" spans="1:2" x14ac:dyDescent="0.25">
      <c r="A28016" s="2">
        <v>28011</v>
      </c>
      <c r="B28016" s="11" t="str">
        <f>"01062982"</f>
        <v>01062982</v>
      </c>
    </row>
    <row r="28017" spans="1:2" x14ac:dyDescent="0.25">
      <c r="A28017" s="2">
        <v>28012</v>
      </c>
      <c r="B28017" s="11" t="str">
        <f>"01062989"</f>
        <v>01062989</v>
      </c>
    </row>
    <row r="28018" spans="1:2" x14ac:dyDescent="0.25">
      <c r="A28018" s="2">
        <v>28013</v>
      </c>
      <c r="B28018" s="11" t="str">
        <f>"01062992"</f>
        <v>01062992</v>
      </c>
    </row>
    <row r="28019" spans="1:2" x14ac:dyDescent="0.25">
      <c r="A28019" s="2">
        <v>28014</v>
      </c>
      <c r="B28019" s="11" t="str">
        <f>"01062993"</f>
        <v>01062993</v>
      </c>
    </row>
    <row r="28020" spans="1:2" x14ac:dyDescent="0.25">
      <c r="A28020" s="2">
        <v>28015</v>
      </c>
      <c r="B28020" s="11" t="str">
        <f>"01062997"</f>
        <v>01062997</v>
      </c>
    </row>
    <row r="28021" spans="1:2" x14ac:dyDescent="0.25">
      <c r="A28021" s="2">
        <v>28016</v>
      </c>
      <c r="B28021" s="11" t="str">
        <f>"01063009"</f>
        <v>01063009</v>
      </c>
    </row>
    <row r="28022" spans="1:2" x14ac:dyDescent="0.25">
      <c r="A28022" s="2">
        <v>28017</v>
      </c>
      <c r="B28022" s="11" t="str">
        <f>"01063011"</f>
        <v>01063011</v>
      </c>
    </row>
    <row r="28023" spans="1:2" x14ac:dyDescent="0.25">
      <c r="A28023" s="2">
        <v>28018</v>
      </c>
      <c r="B28023" s="11" t="str">
        <f>"01063012"</f>
        <v>01063012</v>
      </c>
    </row>
    <row r="28024" spans="1:2" x14ac:dyDescent="0.25">
      <c r="A28024" s="2">
        <v>28019</v>
      </c>
      <c r="B28024" s="11" t="str">
        <f>"01063016"</f>
        <v>01063016</v>
      </c>
    </row>
    <row r="28025" spans="1:2" x14ac:dyDescent="0.25">
      <c r="A28025" s="2">
        <v>28020</v>
      </c>
      <c r="B28025" s="11" t="str">
        <f>"01063018"</f>
        <v>01063018</v>
      </c>
    </row>
    <row r="28026" spans="1:2" x14ac:dyDescent="0.25">
      <c r="A28026" s="2">
        <v>28021</v>
      </c>
      <c r="B28026" s="11" t="str">
        <f>"01063019"</f>
        <v>01063019</v>
      </c>
    </row>
    <row r="28027" spans="1:2" x14ac:dyDescent="0.25">
      <c r="A28027" s="2">
        <v>28022</v>
      </c>
      <c r="B28027" s="11" t="str">
        <f>"01063022"</f>
        <v>01063022</v>
      </c>
    </row>
    <row r="28028" spans="1:2" x14ac:dyDescent="0.25">
      <c r="A28028" s="2">
        <v>28023</v>
      </c>
      <c r="B28028" s="11" t="str">
        <f>"01063023"</f>
        <v>01063023</v>
      </c>
    </row>
    <row r="28029" spans="1:2" x14ac:dyDescent="0.25">
      <c r="A28029" s="2">
        <v>28024</v>
      </c>
      <c r="B28029" s="11" t="str">
        <f>"01063029"</f>
        <v>01063029</v>
      </c>
    </row>
    <row r="28030" spans="1:2" x14ac:dyDescent="0.25">
      <c r="A28030" s="2">
        <v>28025</v>
      </c>
      <c r="B28030" s="11" t="str">
        <f>"01063045"</f>
        <v>01063045</v>
      </c>
    </row>
    <row r="28031" spans="1:2" x14ac:dyDescent="0.25">
      <c r="A28031" s="2">
        <v>28026</v>
      </c>
      <c r="B28031" s="11" t="str">
        <f>"01063056"</f>
        <v>01063056</v>
      </c>
    </row>
    <row r="28032" spans="1:2" x14ac:dyDescent="0.25">
      <c r="A28032" s="2">
        <v>28027</v>
      </c>
      <c r="B28032" s="11" t="str">
        <f>"01063057"</f>
        <v>01063057</v>
      </c>
    </row>
    <row r="28033" spans="1:2" x14ac:dyDescent="0.25">
      <c r="A28033" s="2">
        <v>28028</v>
      </c>
      <c r="B28033" s="11" t="str">
        <f>"01063061"</f>
        <v>01063061</v>
      </c>
    </row>
    <row r="28034" spans="1:2" x14ac:dyDescent="0.25">
      <c r="A28034" s="2">
        <v>28029</v>
      </c>
      <c r="B28034" s="11" t="str">
        <f>"01063067"</f>
        <v>01063067</v>
      </c>
    </row>
    <row r="28035" spans="1:2" x14ac:dyDescent="0.25">
      <c r="A28035" s="2">
        <v>28030</v>
      </c>
      <c r="B28035" s="11" t="str">
        <f>"01063069"</f>
        <v>01063069</v>
      </c>
    </row>
    <row r="28036" spans="1:2" x14ac:dyDescent="0.25">
      <c r="A28036" s="2">
        <v>28031</v>
      </c>
      <c r="B28036" s="11" t="str">
        <f>"01063070"</f>
        <v>01063070</v>
      </c>
    </row>
    <row r="28037" spans="1:2" x14ac:dyDescent="0.25">
      <c r="A28037" s="2">
        <v>28032</v>
      </c>
      <c r="B28037" s="11" t="str">
        <f>"01063078"</f>
        <v>01063078</v>
      </c>
    </row>
    <row r="28038" spans="1:2" x14ac:dyDescent="0.25">
      <c r="A28038" s="2">
        <v>28033</v>
      </c>
      <c r="B28038" s="11" t="str">
        <f>"01063082"</f>
        <v>01063082</v>
      </c>
    </row>
    <row r="28039" spans="1:2" x14ac:dyDescent="0.25">
      <c r="A28039" s="2">
        <v>28034</v>
      </c>
      <c r="B28039" s="11" t="str">
        <f>"01063090"</f>
        <v>01063090</v>
      </c>
    </row>
    <row r="28040" spans="1:2" x14ac:dyDescent="0.25">
      <c r="A28040" s="2">
        <v>28035</v>
      </c>
      <c r="B28040" s="11" t="str">
        <f>"01063098"</f>
        <v>01063098</v>
      </c>
    </row>
    <row r="28041" spans="1:2" x14ac:dyDescent="0.25">
      <c r="A28041" s="2">
        <v>28036</v>
      </c>
      <c r="B28041" s="11" t="str">
        <f>"01063100"</f>
        <v>01063100</v>
      </c>
    </row>
    <row r="28042" spans="1:2" x14ac:dyDescent="0.25">
      <c r="A28042" s="2">
        <v>28037</v>
      </c>
      <c r="B28042" s="11" t="str">
        <f>"01063115"</f>
        <v>01063115</v>
      </c>
    </row>
    <row r="28043" spans="1:2" x14ac:dyDescent="0.25">
      <c r="A28043" s="2">
        <v>28038</v>
      </c>
      <c r="B28043" s="11" t="str">
        <f>"01063116"</f>
        <v>01063116</v>
      </c>
    </row>
    <row r="28044" spans="1:2" x14ac:dyDescent="0.25">
      <c r="A28044" s="2">
        <v>28039</v>
      </c>
      <c r="B28044" s="11" t="str">
        <f>"01063121"</f>
        <v>01063121</v>
      </c>
    </row>
    <row r="28045" spans="1:2" x14ac:dyDescent="0.25">
      <c r="A28045" s="2">
        <v>28040</v>
      </c>
      <c r="B28045" s="11" t="str">
        <f>"01063122"</f>
        <v>01063122</v>
      </c>
    </row>
    <row r="28046" spans="1:2" x14ac:dyDescent="0.25">
      <c r="A28046" s="2">
        <v>28041</v>
      </c>
      <c r="B28046" s="11" t="str">
        <f>"01063123"</f>
        <v>01063123</v>
      </c>
    </row>
    <row r="28047" spans="1:2" x14ac:dyDescent="0.25">
      <c r="A28047" s="2">
        <v>28042</v>
      </c>
      <c r="B28047" s="11" t="str">
        <f>"01063129"</f>
        <v>01063129</v>
      </c>
    </row>
    <row r="28048" spans="1:2" x14ac:dyDescent="0.25">
      <c r="A28048" s="2">
        <v>28043</v>
      </c>
      <c r="B28048" s="11" t="str">
        <f>"01063137"</f>
        <v>01063137</v>
      </c>
    </row>
    <row r="28049" spans="1:2" x14ac:dyDescent="0.25">
      <c r="A28049" s="2">
        <v>28044</v>
      </c>
      <c r="B28049" s="11" t="str">
        <f>"01063139"</f>
        <v>01063139</v>
      </c>
    </row>
    <row r="28050" spans="1:2" x14ac:dyDescent="0.25">
      <c r="A28050" s="2">
        <v>28045</v>
      </c>
      <c r="B28050" s="11" t="str">
        <f>"01063140"</f>
        <v>01063140</v>
      </c>
    </row>
    <row r="28051" spans="1:2" x14ac:dyDescent="0.25">
      <c r="A28051" s="2">
        <v>28046</v>
      </c>
      <c r="B28051" s="11" t="str">
        <f>"01063155"</f>
        <v>01063155</v>
      </c>
    </row>
    <row r="28052" spans="1:2" x14ac:dyDescent="0.25">
      <c r="A28052" s="2">
        <v>28047</v>
      </c>
      <c r="B28052" s="11" t="str">
        <f>"01063161"</f>
        <v>01063161</v>
      </c>
    </row>
    <row r="28053" spans="1:2" x14ac:dyDescent="0.25">
      <c r="A28053" s="2">
        <v>28048</v>
      </c>
      <c r="B28053" s="11" t="str">
        <f>"01063171"</f>
        <v>01063171</v>
      </c>
    </row>
    <row r="28054" spans="1:2" x14ac:dyDescent="0.25">
      <c r="A28054" s="2">
        <v>28049</v>
      </c>
      <c r="B28054" s="11" t="str">
        <f>"01063180"</f>
        <v>01063180</v>
      </c>
    </row>
    <row r="28055" spans="1:2" x14ac:dyDescent="0.25">
      <c r="A28055" s="2">
        <v>28050</v>
      </c>
      <c r="B28055" s="11" t="str">
        <f>"01063181"</f>
        <v>01063181</v>
      </c>
    </row>
    <row r="28056" spans="1:2" x14ac:dyDescent="0.25">
      <c r="A28056" s="2">
        <v>28051</v>
      </c>
      <c r="B28056" s="11" t="str">
        <f>"01063194"</f>
        <v>01063194</v>
      </c>
    </row>
    <row r="28057" spans="1:2" x14ac:dyDescent="0.25">
      <c r="A28057" s="2">
        <v>28052</v>
      </c>
      <c r="B28057" s="11" t="str">
        <f>"01063199"</f>
        <v>01063199</v>
      </c>
    </row>
    <row r="28058" spans="1:2" x14ac:dyDescent="0.25">
      <c r="A28058" s="2">
        <v>28053</v>
      </c>
      <c r="B28058" s="11" t="str">
        <f>"01063200"</f>
        <v>01063200</v>
      </c>
    </row>
    <row r="28059" spans="1:2" x14ac:dyDescent="0.25">
      <c r="A28059" s="2">
        <v>28054</v>
      </c>
      <c r="B28059" s="11" t="str">
        <f>"01063211"</f>
        <v>01063211</v>
      </c>
    </row>
    <row r="28060" spans="1:2" x14ac:dyDescent="0.25">
      <c r="A28060" s="2">
        <v>28055</v>
      </c>
      <c r="B28060" s="11" t="str">
        <f>"01063212"</f>
        <v>01063212</v>
      </c>
    </row>
    <row r="28061" spans="1:2" x14ac:dyDescent="0.25">
      <c r="A28061" s="2">
        <v>28056</v>
      </c>
      <c r="B28061" s="11" t="str">
        <f>"01063222"</f>
        <v>01063222</v>
      </c>
    </row>
    <row r="28062" spans="1:2" x14ac:dyDescent="0.25">
      <c r="A28062" s="2">
        <v>28057</v>
      </c>
      <c r="B28062" s="11" t="str">
        <f>"01063223"</f>
        <v>01063223</v>
      </c>
    </row>
    <row r="28063" spans="1:2" x14ac:dyDescent="0.25">
      <c r="A28063" s="2">
        <v>28058</v>
      </c>
      <c r="B28063" s="11" t="str">
        <f>"01063227"</f>
        <v>01063227</v>
      </c>
    </row>
    <row r="28064" spans="1:2" x14ac:dyDescent="0.25">
      <c r="A28064" s="2">
        <v>28059</v>
      </c>
      <c r="B28064" s="11" t="str">
        <f>"01063233"</f>
        <v>01063233</v>
      </c>
    </row>
    <row r="28065" spans="1:2" x14ac:dyDescent="0.25">
      <c r="A28065" s="2">
        <v>28060</v>
      </c>
      <c r="B28065" s="11" t="str">
        <f>"01063235"</f>
        <v>01063235</v>
      </c>
    </row>
    <row r="28066" spans="1:2" x14ac:dyDescent="0.25">
      <c r="A28066" s="2">
        <v>28061</v>
      </c>
      <c r="B28066" s="11" t="str">
        <f>"01063241"</f>
        <v>01063241</v>
      </c>
    </row>
    <row r="28067" spans="1:2" x14ac:dyDescent="0.25">
      <c r="A28067" s="2">
        <v>28062</v>
      </c>
      <c r="B28067" s="11" t="str">
        <f>"01063244"</f>
        <v>01063244</v>
      </c>
    </row>
    <row r="28068" spans="1:2" x14ac:dyDescent="0.25">
      <c r="A28068" s="2">
        <v>28063</v>
      </c>
      <c r="B28068" s="11" t="str">
        <f>"01063249"</f>
        <v>01063249</v>
      </c>
    </row>
    <row r="28069" spans="1:2" x14ac:dyDescent="0.25">
      <c r="A28069" s="2">
        <v>28064</v>
      </c>
      <c r="B28069" s="11" t="str">
        <f>"01063251"</f>
        <v>01063251</v>
      </c>
    </row>
    <row r="28070" spans="1:2" x14ac:dyDescent="0.25">
      <c r="A28070" s="2">
        <v>28065</v>
      </c>
      <c r="B28070" s="11" t="str">
        <f>"01063256"</f>
        <v>01063256</v>
      </c>
    </row>
    <row r="28071" spans="1:2" x14ac:dyDescent="0.25">
      <c r="A28071" s="2">
        <v>28066</v>
      </c>
      <c r="B28071" s="11" t="str">
        <f>"01063260"</f>
        <v>01063260</v>
      </c>
    </row>
    <row r="28072" spans="1:2" x14ac:dyDescent="0.25">
      <c r="A28072" s="2">
        <v>28067</v>
      </c>
      <c r="B28072" s="11" t="str">
        <f>"01063263"</f>
        <v>01063263</v>
      </c>
    </row>
    <row r="28073" spans="1:2" x14ac:dyDescent="0.25">
      <c r="A28073" s="2">
        <v>28068</v>
      </c>
      <c r="B28073" s="11" t="str">
        <f>"01063264"</f>
        <v>01063264</v>
      </c>
    </row>
    <row r="28074" spans="1:2" x14ac:dyDescent="0.25">
      <c r="A28074" s="2">
        <v>28069</v>
      </c>
      <c r="B28074" s="11" t="str">
        <f>"01063271"</f>
        <v>01063271</v>
      </c>
    </row>
    <row r="28075" spans="1:2" x14ac:dyDescent="0.25">
      <c r="A28075" s="2">
        <v>28070</v>
      </c>
      <c r="B28075" s="11" t="str">
        <f>"01063273"</f>
        <v>01063273</v>
      </c>
    </row>
    <row r="28076" spans="1:2" x14ac:dyDescent="0.25">
      <c r="A28076" s="2">
        <v>28071</v>
      </c>
      <c r="B28076" s="11" t="str">
        <f>"01063280"</f>
        <v>01063280</v>
      </c>
    </row>
    <row r="28077" spans="1:2" x14ac:dyDescent="0.25">
      <c r="A28077" s="2">
        <v>28072</v>
      </c>
      <c r="B28077" s="11" t="str">
        <f>"01063282"</f>
        <v>01063282</v>
      </c>
    </row>
    <row r="28078" spans="1:2" x14ac:dyDescent="0.25">
      <c r="A28078" s="2">
        <v>28073</v>
      </c>
      <c r="B28078" s="11" t="str">
        <f>"01063288"</f>
        <v>01063288</v>
      </c>
    </row>
    <row r="28079" spans="1:2" x14ac:dyDescent="0.25">
      <c r="A28079" s="2">
        <v>28074</v>
      </c>
      <c r="B28079" s="11" t="str">
        <f>"01063296"</f>
        <v>01063296</v>
      </c>
    </row>
    <row r="28080" spans="1:2" x14ac:dyDescent="0.25">
      <c r="A28080" s="2">
        <v>28075</v>
      </c>
      <c r="B28080" s="11" t="str">
        <f>"01063298"</f>
        <v>01063298</v>
      </c>
    </row>
    <row r="28081" spans="1:2" x14ac:dyDescent="0.25">
      <c r="A28081" s="2">
        <v>28076</v>
      </c>
      <c r="B28081" s="11" t="str">
        <f>"01063304"</f>
        <v>01063304</v>
      </c>
    </row>
    <row r="28082" spans="1:2" x14ac:dyDescent="0.25">
      <c r="A28082" s="2">
        <v>28077</v>
      </c>
      <c r="B28082" s="11" t="str">
        <f>"01063309"</f>
        <v>01063309</v>
      </c>
    </row>
    <row r="28083" spans="1:2" x14ac:dyDescent="0.25">
      <c r="A28083" s="2">
        <v>28078</v>
      </c>
      <c r="B28083" s="11" t="str">
        <f>"01063317"</f>
        <v>01063317</v>
      </c>
    </row>
    <row r="28084" spans="1:2" x14ac:dyDescent="0.25">
      <c r="A28084" s="2">
        <v>28079</v>
      </c>
      <c r="B28084" s="11" t="str">
        <f>"01063326"</f>
        <v>01063326</v>
      </c>
    </row>
    <row r="28085" spans="1:2" x14ac:dyDescent="0.25">
      <c r="A28085" s="2">
        <v>28080</v>
      </c>
      <c r="B28085" s="11" t="str">
        <f>"01063335"</f>
        <v>01063335</v>
      </c>
    </row>
    <row r="28086" spans="1:2" x14ac:dyDescent="0.25">
      <c r="A28086" s="2">
        <v>28081</v>
      </c>
      <c r="B28086" s="11" t="str">
        <f>"01063339"</f>
        <v>01063339</v>
      </c>
    </row>
    <row r="28087" spans="1:2" x14ac:dyDescent="0.25">
      <c r="A28087" s="2">
        <v>28082</v>
      </c>
      <c r="B28087" s="11" t="str">
        <f>"01063342"</f>
        <v>01063342</v>
      </c>
    </row>
    <row r="28088" spans="1:2" x14ac:dyDescent="0.25">
      <c r="A28088" s="2">
        <v>28083</v>
      </c>
      <c r="B28088" s="11" t="str">
        <f>"01063349"</f>
        <v>01063349</v>
      </c>
    </row>
    <row r="28089" spans="1:2" x14ac:dyDescent="0.25">
      <c r="A28089" s="2">
        <v>28084</v>
      </c>
      <c r="B28089" s="11" t="str">
        <f>"01063351"</f>
        <v>01063351</v>
      </c>
    </row>
    <row r="28090" spans="1:2" x14ac:dyDescent="0.25">
      <c r="A28090" s="2">
        <v>28085</v>
      </c>
      <c r="B28090" s="11" t="str">
        <f>"01063355"</f>
        <v>01063355</v>
      </c>
    </row>
    <row r="28091" spans="1:2" x14ac:dyDescent="0.25">
      <c r="A28091" s="2">
        <v>28086</v>
      </c>
      <c r="B28091" s="11" t="str">
        <f>"01063359"</f>
        <v>01063359</v>
      </c>
    </row>
    <row r="28092" spans="1:2" x14ac:dyDescent="0.25">
      <c r="A28092" s="2">
        <v>28087</v>
      </c>
      <c r="B28092" s="11" t="str">
        <f>"01063381"</f>
        <v>01063381</v>
      </c>
    </row>
    <row r="28093" spans="1:2" x14ac:dyDescent="0.25">
      <c r="A28093" s="2">
        <v>28088</v>
      </c>
      <c r="B28093" s="11" t="str">
        <f>"01063388"</f>
        <v>01063388</v>
      </c>
    </row>
    <row r="28094" spans="1:2" x14ac:dyDescent="0.25">
      <c r="A28094" s="2">
        <v>28089</v>
      </c>
      <c r="B28094" s="11" t="str">
        <f>"01063391"</f>
        <v>01063391</v>
      </c>
    </row>
    <row r="28095" spans="1:2" x14ac:dyDescent="0.25">
      <c r="A28095" s="2">
        <v>28090</v>
      </c>
      <c r="B28095" s="11" t="str">
        <f>"01063402"</f>
        <v>01063402</v>
      </c>
    </row>
    <row r="28096" spans="1:2" x14ac:dyDescent="0.25">
      <c r="A28096" s="2">
        <v>28091</v>
      </c>
      <c r="B28096" s="11" t="str">
        <f>"01063418"</f>
        <v>01063418</v>
      </c>
    </row>
    <row r="28097" spans="1:2" x14ac:dyDescent="0.25">
      <c r="A28097" s="2">
        <v>28092</v>
      </c>
      <c r="B28097" s="11" t="str">
        <f>"01063427"</f>
        <v>01063427</v>
      </c>
    </row>
    <row r="28098" spans="1:2" x14ac:dyDescent="0.25">
      <c r="A28098" s="2">
        <v>28093</v>
      </c>
      <c r="B28098" s="11" t="str">
        <f>"01063437"</f>
        <v>01063437</v>
      </c>
    </row>
    <row r="28099" spans="1:2" x14ac:dyDescent="0.25">
      <c r="A28099" s="2">
        <v>28094</v>
      </c>
      <c r="B28099" s="11" t="str">
        <f>"01063438"</f>
        <v>01063438</v>
      </c>
    </row>
    <row r="28100" spans="1:2" x14ac:dyDescent="0.25">
      <c r="A28100" s="2">
        <v>28095</v>
      </c>
      <c r="B28100" s="11" t="str">
        <f>"01063441"</f>
        <v>01063441</v>
      </c>
    </row>
    <row r="28101" spans="1:2" x14ac:dyDescent="0.25">
      <c r="A28101" s="2">
        <v>28096</v>
      </c>
      <c r="B28101" s="11" t="str">
        <f>"01063449"</f>
        <v>01063449</v>
      </c>
    </row>
    <row r="28102" spans="1:2" x14ac:dyDescent="0.25">
      <c r="A28102" s="2">
        <v>28097</v>
      </c>
      <c r="B28102" s="11" t="str">
        <f>"01063457"</f>
        <v>01063457</v>
      </c>
    </row>
    <row r="28103" spans="1:2" x14ac:dyDescent="0.25">
      <c r="A28103" s="2">
        <v>28098</v>
      </c>
      <c r="B28103" s="11" t="str">
        <f>"01063460"</f>
        <v>01063460</v>
      </c>
    </row>
    <row r="28104" spans="1:2" x14ac:dyDescent="0.25">
      <c r="A28104" s="2">
        <v>28099</v>
      </c>
      <c r="B28104" s="11" t="str">
        <f>"01063473"</f>
        <v>01063473</v>
      </c>
    </row>
    <row r="28105" spans="1:2" x14ac:dyDescent="0.25">
      <c r="A28105" s="2">
        <v>28100</v>
      </c>
      <c r="B28105" s="11" t="str">
        <f>"01063475"</f>
        <v>01063475</v>
      </c>
    </row>
    <row r="28106" spans="1:2" x14ac:dyDescent="0.25">
      <c r="A28106" s="2">
        <v>28101</v>
      </c>
      <c r="B28106" s="11" t="str">
        <f>"01063478"</f>
        <v>01063478</v>
      </c>
    </row>
    <row r="28107" spans="1:2" x14ac:dyDescent="0.25">
      <c r="A28107" s="2">
        <v>28102</v>
      </c>
      <c r="B28107" s="11" t="str">
        <f>"01063479"</f>
        <v>01063479</v>
      </c>
    </row>
    <row r="28108" spans="1:2" x14ac:dyDescent="0.25">
      <c r="A28108" s="2">
        <v>28103</v>
      </c>
      <c r="B28108" s="11" t="str">
        <f>"01063483"</f>
        <v>01063483</v>
      </c>
    </row>
    <row r="28109" spans="1:2" x14ac:dyDescent="0.25">
      <c r="A28109" s="2">
        <v>28104</v>
      </c>
      <c r="B28109" s="11" t="str">
        <f>"01063487"</f>
        <v>01063487</v>
      </c>
    </row>
    <row r="28110" spans="1:2" x14ac:dyDescent="0.25">
      <c r="A28110" s="2">
        <v>28105</v>
      </c>
      <c r="B28110" s="11" t="str">
        <f>"01063489"</f>
        <v>01063489</v>
      </c>
    </row>
    <row r="28111" spans="1:2" x14ac:dyDescent="0.25">
      <c r="A28111" s="2">
        <v>28106</v>
      </c>
      <c r="B28111" s="11" t="str">
        <f>"01063490"</f>
        <v>01063490</v>
      </c>
    </row>
    <row r="28112" spans="1:2" x14ac:dyDescent="0.25">
      <c r="A28112" s="2">
        <v>28107</v>
      </c>
      <c r="B28112" s="11" t="str">
        <f>"01063505"</f>
        <v>01063505</v>
      </c>
    </row>
    <row r="28113" spans="1:2" x14ac:dyDescent="0.25">
      <c r="A28113" s="2">
        <v>28108</v>
      </c>
      <c r="B28113" s="11" t="str">
        <f>"01063508"</f>
        <v>01063508</v>
      </c>
    </row>
    <row r="28114" spans="1:2" x14ac:dyDescent="0.25">
      <c r="A28114" s="2">
        <v>28109</v>
      </c>
      <c r="B28114" s="11" t="str">
        <f>"01063511"</f>
        <v>01063511</v>
      </c>
    </row>
    <row r="28115" spans="1:2" x14ac:dyDescent="0.25">
      <c r="A28115" s="2">
        <v>28110</v>
      </c>
      <c r="B28115" s="11" t="str">
        <f>"01063520"</f>
        <v>01063520</v>
      </c>
    </row>
    <row r="28116" spans="1:2" x14ac:dyDescent="0.25">
      <c r="A28116" s="2">
        <v>28111</v>
      </c>
      <c r="B28116" s="11" t="str">
        <f>"01063521"</f>
        <v>01063521</v>
      </c>
    </row>
    <row r="28117" spans="1:2" x14ac:dyDescent="0.25">
      <c r="A28117" s="2">
        <v>28112</v>
      </c>
      <c r="B28117" s="11" t="str">
        <f>"01063523"</f>
        <v>01063523</v>
      </c>
    </row>
    <row r="28118" spans="1:2" x14ac:dyDescent="0.25">
      <c r="A28118" s="2">
        <v>28113</v>
      </c>
      <c r="B28118" s="11" t="str">
        <f>"01063527"</f>
        <v>01063527</v>
      </c>
    </row>
    <row r="28119" spans="1:2" x14ac:dyDescent="0.25">
      <c r="A28119" s="2">
        <v>28114</v>
      </c>
      <c r="B28119" s="11" t="str">
        <f>"01063531"</f>
        <v>01063531</v>
      </c>
    </row>
    <row r="28120" spans="1:2" x14ac:dyDescent="0.25">
      <c r="A28120" s="2">
        <v>28115</v>
      </c>
      <c r="B28120" s="11" t="str">
        <f>"01063532"</f>
        <v>01063532</v>
      </c>
    </row>
    <row r="28121" spans="1:2" x14ac:dyDescent="0.25">
      <c r="A28121" s="2">
        <v>28116</v>
      </c>
      <c r="B28121" s="11" t="str">
        <f>"01063537"</f>
        <v>01063537</v>
      </c>
    </row>
    <row r="28122" spans="1:2" x14ac:dyDescent="0.25">
      <c r="A28122" s="2">
        <v>28117</v>
      </c>
      <c r="B28122" s="11" t="str">
        <f>"01063538"</f>
        <v>01063538</v>
      </c>
    </row>
    <row r="28123" spans="1:2" x14ac:dyDescent="0.25">
      <c r="A28123" s="2">
        <v>28118</v>
      </c>
      <c r="B28123" s="11" t="str">
        <f>"01063542"</f>
        <v>01063542</v>
      </c>
    </row>
    <row r="28124" spans="1:2" x14ac:dyDescent="0.25">
      <c r="A28124" s="2">
        <v>28119</v>
      </c>
      <c r="B28124" s="11" t="str">
        <f>"01063543"</f>
        <v>01063543</v>
      </c>
    </row>
    <row r="28125" spans="1:2" x14ac:dyDescent="0.25">
      <c r="A28125" s="2">
        <v>28120</v>
      </c>
      <c r="B28125" s="11" t="str">
        <f>"01063544"</f>
        <v>01063544</v>
      </c>
    </row>
    <row r="28126" spans="1:2" x14ac:dyDescent="0.25">
      <c r="A28126" s="2">
        <v>28121</v>
      </c>
      <c r="B28126" s="11" t="str">
        <f>"01063547"</f>
        <v>01063547</v>
      </c>
    </row>
    <row r="28127" spans="1:2" x14ac:dyDescent="0.25">
      <c r="A28127" s="2">
        <v>28122</v>
      </c>
      <c r="B28127" s="11" t="str">
        <f>"01063549"</f>
        <v>01063549</v>
      </c>
    </row>
    <row r="28128" spans="1:2" x14ac:dyDescent="0.25">
      <c r="A28128" s="2">
        <v>28123</v>
      </c>
      <c r="B28128" s="11" t="str">
        <f>"01063550"</f>
        <v>01063550</v>
      </c>
    </row>
    <row r="28129" spans="1:2" x14ac:dyDescent="0.25">
      <c r="A28129" s="2">
        <v>28124</v>
      </c>
      <c r="B28129" s="11" t="str">
        <f>"01063552"</f>
        <v>01063552</v>
      </c>
    </row>
    <row r="28130" spans="1:2" x14ac:dyDescent="0.25">
      <c r="A28130" s="2">
        <v>28125</v>
      </c>
      <c r="B28130" s="11" t="str">
        <f>"01063555"</f>
        <v>01063555</v>
      </c>
    </row>
    <row r="28131" spans="1:2" x14ac:dyDescent="0.25">
      <c r="A28131" s="2">
        <v>28126</v>
      </c>
      <c r="B28131" s="11" t="str">
        <f>"01063557"</f>
        <v>01063557</v>
      </c>
    </row>
    <row r="28132" spans="1:2" x14ac:dyDescent="0.25">
      <c r="A28132" s="2">
        <v>28127</v>
      </c>
      <c r="B28132" s="11" t="str">
        <f>"01063564"</f>
        <v>01063564</v>
      </c>
    </row>
    <row r="28133" spans="1:2" x14ac:dyDescent="0.25">
      <c r="A28133" s="2">
        <v>28128</v>
      </c>
      <c r="B28133" s="11" t="str">
        <f>"01063572"</f>
        <v>01063572</v>
      </c>
    </row>
    <row r="28134" spans="1:2" x14ac:dyDescent="0.25">
      <c r="A28134" s="2">
        <v>28129</v>
      </c>
      <c r="B28134" s="11" t="str">
        <f>"01063576"</f>
        <v>01063576</v>
      </c>
    </row>
    <row r="28135" spans="1:2" x14ac:dyDescent="0.25">
      <c r="A28135" s="2">
        <v>28130</v>
      </c>
      <c r="B28135" s="11" t="str">
        <f>"01063580"</f>
        <v>01063580</v>
      </c>
    </row>
    <row r="28136" spans="1:2" x14ac:dyDescent="0.25">
      <c r="A28136" s="2">
        <v>28131</v>
      </c>
      <c r="B28136" s="11" t="str">
        <f>"01063581"</f>
        <v>01063581</v>
      </c>
    </row>
    <row r="28137" spans="1:2" x14ac:dyDescent="0.25">
      <c r="A28137" s="2">
        <v>28132</v>
      </c>
      <c r="B28137" s="11" t="str">
        <f>"01063599"</f>
        <v>01063599</v>
      </c>
    </row>
    <row r="28138" spans="1:2" x14ac:dyDescent="0.25">
      <c r="A28138" s="2">
        <v>28133</v>
      </c>
      <c r="B28138" s="11" t="str">
        <f>"01063601"</f>
        <v>01063601</v>
      </c>
    </row>
    <row r="28139" spans="1:2" x14ac:dyDescent="0.25">
      <c r="A28139" s="2">
        <v>28134</v>
      </c>
      <c r="B28139" s="11" t="str">
        <f>"01063610"</f>
        <v>01063610</v>
      </c>
    </row>
    <row r="28140" spans="1:2" x14ac:dyDescent="0.25">
      <c r="A28140" s="2">
        <v>28135</v>
      </c>
      <c r="B28140" s="11" t="str">
        <f>"01063613"</f>
        <v>01063613</v>
      </c>
    </row>
    <row r="28141" spans="1:2" x14ac:dyDescent="0.25">
      <c r="A28141" s="2">
        <v>28136</v>
      </c>
      <c r="B28141" s="11" t="str">
        <f>"01063614"</f>
        <v>01063614</v>
      </c>
    </row>
    <row r="28142" spans="1:2" x14ac:dyDescent="0.25">
      <c r="A28142" s="2">
        <v>28137</v>
      </c>
      <c r="B28142" s="11" t="str">
        <f>"01063616"</f>
        <v>01063616</v>
      </c>
    </row>
    <row r="28143" spans="1:2" x14ac:dyDescent="0.25">
      <c r="A28143" s="2">
        <v>28138</v>
      </c>
      <c r="B28143" s="11" t="str">
        <f>"01063618"</f>
        <v>01063618</v>
      </c>
    </row>
    <row r="28144" spans="1:2" x14ac:dyDescent="0.25">
      <c r="A28144" s="2">
        <v>28139</v>
      </c>
      <c r="B28144" s="11" t="str">
        <f>"01063624"</f>
        <v>01063624</v>
      </c>
    </row>
    <row r="28145" spans="1:2" x14ac:dyDescent="0.25">
      <c r="A28145" s="2">
        <v>28140</v>
      </c>
      <c r="B28145" s="11" t="str">
        <f>"01063632"</f>
        <v>01063632</v>
      </c>
    </row>
    <row r="28146" spans="1:2" x14ac:dyDescent="0.25">
      <c r="A28146" s="2">
        <v>28141</v>
      </c>
      <c r="B28146" s="11" t="str">
        <f>"01063633"</f>
        <v>01063633</v>
      </c>
    </row>
    <row r="28147" spans="1:2" x14ac:dyDescent="0.25">
      <c r="A28147" s="2">
        <v>28142</v>
      </c>
      <c r="B28147" s="11" t="str">
        <f>"01063636"</f>
        <v>01063636</v>
      </c>
    </row>
    <row r="28148" spans="1:2" x14ac:dyDescent="0.25">
      <c r="A28148" s="2">
        <v>28143</v>
      </c>
      <c r="B28148" s="11" t="str">
        <f>"01063641"</f>
        <v>01063641</v>
      </c>
    </row>
    <row r="28149" spans="1:2" x14ac:dyDescent="0.25">
      <c r="A28149" s="2">
        <v>28144</v>
      </c>
      <c r="B28149" s="11" t="str">
        <f>"01063644"</f>
        <v>01063644</v>
      </c>
    </row>
    <row r="28150" spans="1:2" x14ac:dyDescent="0.25">
      <c r="A28150" s="2">
        <v>28145</v>
      </c>
      <c r="B28150" s="11" t="str">
        <f>"01063645"</f>
        <v>01063645</v>
      </c>
    </row>
    <row r="28151" spans="1:2" x14ac:dyDescent="0.25">
      <c r="A28151" s="2">
        <v>28146</v>
      </c>
      <c r="B28151" s="11" t="str">
        <f>"01063646"</f>
        <v>01063646</v>
      </c>
    </row>
    <row r="28152" spans="1:2" x14ac:dyDescent="0.25">
      <c r="A28152" s="2">
        <v>28147</v>
      </c>
      <c r="B28152" s="11" t="str">
        <f>"01063651"</f>
        <v>01063651</v>
      </c>
    </row>
    <row r="28153" spans="1:2" x14ac:dyDescent="0.25">
      <c r="A28153" s="2">
        <v>28148</v>
      </c>
      <c r="B28153" s="11" t="str">
        <f>"01063658"</f>
        <v>01063658</v>
      </c>
    </row>
    <row r="28154" spans="1:2" x14ac:dyDescent="0.25">
      <c r="A28154" s="2">
        <v>28149</v>
      </c>
      <c r="B28154" s="11" t="str">
        <f>"01063668"</f>
        <v>01063668</v>
      </c>
    </row>
    <row r="28155" spans="1:2" x14ac:dyDescent="0.25">
      <c r="A28155" s="2">
        <v>28150</v>
      </c>
      <c r="B28155" s="11" t="str">
        <f>"01063671"</f>
        <v>01063671</v>
      </c>
    </row>
    <row r="28156" spans="1:2" x14ac:dyDescent="0.25">
      <c r="A28156" s="2">
        <v>28151</v>
      </c>
      <c r="B28156" s="11" t="str">
        <f>"01063689"</f>
        <v>01063689</v>
      </c>
    </row>
    <row r="28157" spans="1:2" x14ac:dyDescent="0.25">
      <c r="A28157" s="2">
        <v>28152</v>
      </c>
      <c r="B28157" s="11" t="str">
        <f>"01063695"</f>
        <v>01063695</v>
      </c>
    </row>
    <row r="28158" spans="1:2" x14ac:dyDescent="0.25">
      <c r="A28158" s="2">
        <v>28153</v>
      </c>
      <c r="B28158" s="11" t="str">
        <f>"01063702"</f>
        <v>01063702</v>
      </c>
    </row>
    <row r="28159" spans="1:2" x14ac:dyDescent="0.25">
      <c r="A28159" s="2">
        <v>28154</v>
      </c>
      <c r="B28159" s="11" t="str">
        <f>"01063703"</f>
        <v>01063703</v>
      </c>
    </row>
    <row r="28160" spans="1:2" x14ac:dyDescent="0.25">
      <c r="A28160" s="2">
        <v>28155</v>
      </c>
      <c r="B28160" s="11" t="str">
        <f>"01063705"</f>
        <v>01063705</v>
      </c>
    </row>
    <row r="28161" spans="1:2" x14ac:dyDescent="0.25">
      <c r="A28161" s="2">
        <v>28156</v>
      </c>
      <c r="B28161" s="11" t="str">
        <f>"01063706"</f>
        <v>01063706</v>
      </c>
    </row>
    <row r="28162" spans="1:2" x14ac:dyDescent="0.25">
      <c r="A28162" s="2">
        <v>28157</v>
      </c>
      <c r="B28162" s="11" t="str">
        <f>"01063712"</f>
        <v>01063712</v>
      </c>
    </row>
    <row r="28163" spans="1:2" x14ac:dyDescent="0.25">
      <c r="A28163" s="2">
        <v>28158</v>
      </c>
      <c r="B28163" s="11" t="str">
        <f>"01063714"</f>
        <v>01063714</v>
      </c>
    </row>
    <row r="28164" spans="1:2" x14ac:dyDescent="0.25">
      <c r="A28164" s="2">
        <v>28159</v>
      </c>
      <c r="B28164" s="11" t="str">
        <f>"01063716"</f>
        <v>01063716</v>
      </c>
    </row>
    <row r="28165" spans="1:2" x14ac:dyDescent="0.25">
      <c r="A28165" s="2">
        <v>28160</v>
      </c>
      <c r="B28165" s="11" t="str">
        <f>"01063717"</f>
        <v>01063717</v>
      </c>
    </row>
    <row r="28166" spans="1:2" x14ac:dyDescent="0.25">
      <c r="A28166" s="2">
        <v>28161</v>
      </c>
      <c r="B28166" s="11" t="str">
        <f>"01063722"</f>
        <v>01063722</v>
      </c>
    </row>
    <row r="28167" spans="1:2" x14ac:dyDescent="0.25">
      <c r="A28167" s="2">
        <v>28162</v>
      </c>
      <c r="B28167" s="11" t="str">
        <f>"01063736"</f>
        <v>01063736</v>
      </c>
    </row>
    <row r="28168" spans="1:2" x14ac:dyDescent="0.25">
      <c r="A28168" s="2">
        <v>28163</v>
      </c>
      <c r="B28168" s="11" t="str">
        <f>"01063744"</f>
        <v>01063744</v>
      </c>
    </row>
    <row r="28169" spans="1:2" x14ac:dyDescent="0.25">
      <c r="A28169" s="2">
        <v>28164</v>
      </c>
      <c r="B28169" s="11" t="str">
        <f>"01063746"</f>
        <v>01063746</v>
      </c>
    </row>
    <row r="28170" spans="1:2" x14ac:dyDescent="0.25">
      <c r="A28170" s="2">
        <v>28165</v>
      </c>
      <c r="B28170" s="11" t="str">
        <f>"01063750"</f>
        <v>01063750</v>
      </c>
    </row>
    <row r="28171" spans="1:2" x14ac:dyDescent="0.25">
      <c r="A28171" s="2">
        <v>28166</v>
      </c>
      <c r="B28171" s="11" t="str">
        <f>"01063754"</f>
        <v>01063754</v>
      </c>
    </row>
    <row r="28172" spans="1:2" x14ac:dyDescent="0.25">
      <c r="A28172" s="2">
        <v>28167</v>
      </c>
      <c r="B28172" s="11" t="str">
        <f>"01063756"</f>
        <v>01063756</v>
      </c>
    </row>
    <row r="28173" spans="1:2" x14ac:dyDescent="0.25">
      <c r="A28173" s="2">
        <v>28168</v>
      </c>
      <c r="B28173" s="11" t="str">
        <f>"01063757"</f>
        <v>01063757</v>
      </c>
    </row>
    <row r="28174" spans="1:2" x14ac:dyDescent="0.25">
      <c r="A28174" s="2">
        <v>28169</v>
      </c>
      <c r="B28174" s="11" t="str">
        <f>"01063782"</f>
        <v>01063782</v>
      </c>
    </row>
    <row r="28175" spans="1:2" x14ac:dyDescent="0.25">
      <c r="A28175" s="2">
        <v>28170</v>
      </c>
      <c r="B28175" s="11" t="str">
        <f>"01063786"</f>
        <v>01063786</v>
      </c>
    </row>
    <row r="28176" spans="1:2" x14ac:dyDescent="0.25">
      <c r="A28176" s="2">
        <v>28171</v>
      </c>
      <c r="B28176" s="11" t="str">
        <f>"01063787"</f>
        <v>01063787</v>
      </c>
    </row>
    <row r="28177" spans="1:2" x14ac:dyDescent="0.25">
      <c r="A28177" s="2">
        <v>28172</v>
      </c>
      <c r="B28177" s="11" t="str">
        <f>"01063793"</f>
        <v>01063793</v>
      </c>
    </row>
    <row r="28178" spans="1:2" x14ac:dyDescent="0.25">
      <c r="A28178" s="2">
        <v>28173</v>
      </c>
      <c r="B28178" s="11" t="str">
        <f>"01063804"</f>
        <v>01063804</v>
      </c>
    </row>
    <row r="28179" spans="1:2" x14ac:dyDescent="0.25">
      <c r="A28179" s="2">
        <v>28174</v>
      </c>
      <c r="B28179" s="11" t="str">
        <f>"01063805"</f>
        <v>01063805</v>
      </c>
    </row>
    <row r="28180" spans="1:2" x14ac:dyDescent="0.25">
      <c r="A28180" s="2">
        <v>28175</v>
      </c>
      <c r="B28180" s="11" t="str">
        <f>"01063810"</f>
        <v>01063810</v>
      </c>
    </row>
    <row r="28181" spans="1:2" x14ac:dyDescent="0.25">
      <c r="A28181" s="2">
        <v>28176</v>
      </c>
      <c r="B28181" s="11" t="str">
        <f>"01063814"</f>
        <v>01063814</v>
      </c>
    </row>
    <row r="28182" spans="1:2" x14ac:dyDescent="0.25">
      <c r="A28182" s="2">
        <v>28177</v>
      </c>
      <c r="B28182" s="11" t="str">
        <f>"01063817"</f>
        <v>01063817</v>
      </c>
    </row>
    <row r="28183" spans="1:2" x14ac:dyDescent="0.25">
      <c r="A28183" s="2">
        <v>28178</v>
      </c>
      <c r="B28183" s="11" t="str">
        <f>"01063819"</f>
        <v>01063819</v>
      </c>
    </row>
    <row r="28184" spans="1:2" x14ac:dyDescent="0.25">
      <c r="A28184" s="2">
        <v>28179</v>
      </c>
      <c r="B28184" s="11" t="str">
        <f>"01063831"</f>
        <v>01063831</v>
      </c>
    </row>
    <row r="28185" spans="1:2" x14ac:dyDescent="0.25">
      <c r="A28185" s="2">
        <v>28180</v>
      </c>
      <c r="B28185" s="11" t="str">
        <f>"01063834"</f>
        <v>01063834</v>
      </c>
    </row>
    <row r="28186" spans="1:2" x14ac:dyDescent="0.25">
      <c r="A28186" s="2">
        <v>28181</v>
      </c>
      <c r="B28186" s="11" t="str">
        <f>"01063837"</f>
        <v>01063837</v>
      </c>
    </row>
    <row r="28187" spans="1:2" x14ac:dyDescent="0.25">
      <c r="A28187" s="2">
        <v>28182</v>
      </c>
      <c r="B28187" s="11" t="str">
        <f>"01063840"</f>
        <v>01063840</v>
      </c>
    </row>
    <row r="28188" spans="1:2" x14ac:dyDescent="0.25">
      <c r="A28188" s="2">
        <v>28183</v>
      </c>
      <c r="B28188" s="11" t="str">
        <f>"01063850"</f>
        <v>01063850</v>
      </c>
    </row>
    <row r="28189" spans="1:2" x14ac:dyDescent="0.25">
      <c r="A28189" s="2">
        <v>28184</v>
      </c>
      <c r="B28189" s="11" t="str">
        <f>"01063853"</f>
        <v>01063853</v>
      </c>
    </row>
    <row r="28190" spans="1:2" x14ac:dyDescent="0.25">
      <c r="A28190" s="2">
        <v>28185</v>
      </c>
      <c r="B28190" s="11" t="str">
        <f>"01063855"</f>
        <v>01063855</v>
      </c>
    </row>
    <row r="28191" spans="1:2" x14ac:dyDescent="0.25">
      <c r="A28191" s="2">
        <v>28186</v>
      </c>
      <c r="B28191" s="11" t="str">
        <f>"01063856"</f>
        <v>01063856</v>
      </c>
    </row>
    <row r="28192" spans="1:2" x14ac:dyDescent="0.25">
      <c r="A28192" s="2">
        <v>28187</v>
      </c>
      <c r="B28192" s="11" t="str">
        <f>"01063861"</f>
        <v>01063861</v>
      </c>
    </row>
    <row r="28193" spans="1:2" x14ac:dyDescent="0.25">
      <c r="A28193" s="2">
        <v>28188</v>
      </c>
      <c r="B28193" s="11" t="str">
        <f>"01063862"</f>
        <v>01063862</v>
      </c>
    </row>
    <row r="28194" spans="1:2" x14ac:dyDescent="0.25">
      <c r="A28194" s="2">
        <v>28189</v>
      </c>
      <c r="B28194" s="11" t="str">
        <f>"01063873"</f>
        <v>01063873</v>
      </c>
    </row>
    <row r="28195" spans="1:2" x14ac:dyDescent="0.25">
      <c r="A28195" s="2">
        <v>28190</v>
      </c>
      <c r="B28195" s="11" t="str">
        <f>"01063875"</f>
        <v>01063875</v>
      </c>
    </row>
    <row r="28196" spans="1:2" x14ac:dyDescent="0.25">
      <c r="A28196" s="2">
        <v>28191</v>
      </c>
      <c r="B28196" s="11" t="str">
        <f>"01063878"</f>
        <v>01063878</v>
      </c>
    </row>
    <row r="28197" spans="1:2" x14ac:dyDescent="0.25">
      <c r="A28197" s="2">
        <v>28192</v>
      </c>
      <c r="B28197" s="11" t="str">
        <f>"01063880"</f>
        <v>01063880</v>
      </c>
    </row>
    <row r="28198" spans="1:2" x14ac:dyDescent="0.25">
      <c r="A28198" s="2">
        <v>28193</v>
      </c>
      <c r="B28198" s="11" t="str">
        <f>"01063883"</f>
        <v>01063883</v>
      </c>
    </row>
    <row r="28199" spans="1:2" x14ac:dyDescent="0.25">
      <c r="A28199" s="2">
        <v>28194</v>
      </c>
      <c r="B28199" s="11" t="str">
        <f>"01063884"</f>
        <v>01063884</v>
      </c>
    </row>
    <row r="28200" spans="1:2" x14ac:dyDescent="0.25">
      <c r="A28200" s="2">
        <v>28195</v>
      </c>
      <c r="B28200" s="11" t="str">
        <f>"01063893"</f>
        <v>01063893</v>
      </c>
    </row>
    <row r="28201" spans="1:2" x14ac:dyDescent="0.25">
      <c r="A28201" s="2">
        <v>28196</v>
      </c>
      <c r="B28201" s="11" t="str">
        <f>"01063896"</f>
        <v>01063896</v>
      </c>
    </row>
    <row r="28202" spans="1:2" x14ac:dyDescent="0.25">
      <c r="A28202" s="2">
        <v>28197</v>
      </c>
      <c r="B28202" s="11" t="str">
        <f>"01063897"</f>
        <v>01063897</v>
      </c>
    </row>
    <row r="28203" spans="1:2" x14ac:dyDescent="0.25">
      <c r="A28203" s="2">
        <v>28198</v>
      </c>
      <c r="B28203" s="11" t="str">
        <f>"01063907"</f>
        <v>01063907</v>
      </c>
    </row>
    <row r="28204" spans="1:2" x14ac:dyDescent="0.25">
      <c r="A28204" s="2">
        <v>28199</v>
      </c>
      <c r="B28204" s="11" t="str">
        <f>"01063912"</f>
        <v>01063912</v>
      </c>
    </row>
    <row r="28205" spans="1:2" x14ac:dyDescent="0.25">
      <c r="A28205" s="2">
        <v>28200</v>
      </c>
      <c r="B28205" s="11" t="str">
        <f>"01063919"</f>
        <v>01063919</v>
      </c>
    </row>
    <row r="28206" spans="1:2" x14ac:dyDescent="0.25">
      <c r="A28206" s="2">
        <v>28201</v>
      </c>
      <c r="B28206" s="11" t="str">
        <f>"01063927"</f>
        <v>01063927</v>
      </c>
    </row>
    <row r="28207" spans="1:2" x14ac:dyDescent="0.25">
      <c r="A28207" s="2">
        <v>28202</v>
      </c>
      <c r="B28207" s="11" t="str">
        <f>"01063931"</f>
        <v>01063931</v>
      </c>
    </row>
    <row r="28208" spans="1:2" x14ac:dyDescent="0.25">
      <c r="A28208" s="2">
        <v>28203</v>
      </c>
      <c r="B28208" s="11" t="str">
        <f>"01063932"</f>
        <v>01063932</v>
      </c>
    </row>
    <row r="28209" spans="1:2" x14ac:dyDescent="0.25">
      <c r="A28209" s="2">
        <v>28204</v>
      </c>
      <c r="B28209" s="11" t="str">
        <f>"01063933"</f>
        <v>01063933</v>
      </c>
    </row>
    <row r="28210" spans="1:2" x14ac:dyDescent="0.25">
      <c r="A28210" s="2">
        <v>28205</v>
      </c>
      <c r="B28210" s="11" t="str">
        <f>"01063938"</f>
        <v>01063938</v>
      </c>
    </row>
    <row r="28211" spans="1:2" x14ac:dyDescent="0.25">
      <c r="A28211" s="2">
        <v>28206</v>
      </c>
      <c r="B28211" s="11" t="str">
        <f>"01063942"</f>
        <v>01063942</v>
      </c>
    </row>
    <row r="28212" spans="1:2" x14ac:dyDescent="0.25">
      <c r="A28212" s="2">
        <v>28207</v>
      </c>
      <c r="B28212" s="11" t="str">
        <f>"01063943"</f>
        <v>01063943</v>
      </c>
    </row>
    <row r="28213" spans="1:2" x14ac:dyDescent="0.25">
      <c r="A28213" s="2">
        <v>28208</v>
      </c>
      <c r="B28213" s="11" t="str">
        <f>"01063944"</f>
        <v>01063944</v>
      </c>
    </row>
    <row r="28214" spans="1:2" x14ac:dyDescent="0.25">
      <c r="A28214" s="2">
        <v>28209</v>
      </c>
      <c r="B28214" s="11" t="str">
        <f>"01063966"</f>
        <v>01063966</v>
      </c>
    </row>
    <row r="28215" spans="1:2" x14ac:dyDescent="0.25">
      <c r="A28215" s="2">
        <v>28210</v>
      </c>
      <c r="B28215" s="11" t="str">
        <f>"01063970"</f>
        <v>01063970</v>
      </c>
    </row>
    <row r="28216" spans="1:2" x14ac:dyDescent="0.25">
      <c r="A28216" s="2">
        <v>28211</v>
      </c>
      <c r="B28216" s="11" t="str">
        <f>"01063972"</f>
        <v>01063972</v>
      </c>
    </row>
    <row r="28217" spans="1:2" x14ac:dyDescent="0.25">
      <c r="A28217" s="2">
        <v>28212</v>
      </c>
      <c r="B28217" s="11" t="str">
        <f>"01063982"</f>
        <v>01063982</v>
      </c>
    </row>
    <row r="28218" spans="1:2" x14ac:dyDescent="0.25">
      <c r="A28218" s="2">
        <v>28213</v>
      </c>
      <c r="B28218" s="11" t="str">
        <f>"01063984"</f>
        <v>01063984</v>
      </c>
    </row>
    <row r="28219" spans="1:2" x14ac:dyDescent="0.25">
      <c r="A28219" s="2">
        <v>28214</v>
      </c>
      <c r="B28219" s="11" t="str">
        <f>"01063988"</f>
        <v>01063988</v>
      </c>
    </row>
    <row r="28220" spans="1:2" x14ac:dyDescent="0.25">
      <c r="A28220" s="2">
        <v>28215</v>
      </c>
      <c r="B28220" s="11" t="str">
        <f>"01063997"</f>
        <v>01063997</v>
      </c>
    </row>
    <row r="28221" spans="1:2" x14ac:dyDescent="0.25">
      <c r="A28221" s="2">
        <v>28216</v>
      </c>
      <c r="B28221" s="11" t="str">
        <f>"01064005"</f>
        <v>01064005</v>
      </c>
    </row>
    <row r="28222" spans="1:2" x14ac:dyDescent="0.25">
      <c r="A28222" s="2">
        <v>28217</v>
      </c>
      <c r="B28222" s="11" t="str">
        <f>"01064006"</f>
        <v>01064006</v>
      </c>
    </row>
    <row r="28223" spans="1:2" x14ac:dyDescent="0.25">
      <c r="A28223" s="2">
        <v>28218</v>
      </c>
      <c r="B28223" s="11" t="str">
        <f>"01064011"</f>
        <v>01064011</v>
      </c>
    </row>
    <row r="28224" spans="1:2" x14ac:dyDescent="0.25">
      <c r="A28224" s="2">
        <v>28219</v>
      </c>
      <c r="B28224" s="11" t="str">
        <f>"01064014"</f>
        <v>01064014</v>
      </c>
    </row>
    <row r="28225" spans="1:2" x14ac:dyDescent="0.25">
      <c r="A28225" s="2">
        <v>28220</v>
      </c>
      <c r="B28225" s="11" t="str">
        <f>"01064023"</f>
        <v>01064023</v>
      </c>
    </row>
    <row r="28226" spans="1:2" x14ac:dyDescent="0.25">
      <c r="A28226" s="2">
        <v>28221</v>
      </c>
      <c r="B28226" s="11" t="str">
        <f>"01064032"</f>
        <v>01064032</v>
      </c>
    </row>
    <row r="28227" spans="1:2" x14ac:dyDescent="0.25">
      <c r="A28227" s="2">
        <v>28222</v>
      </c>
      <c r="B28227" s="11" t="str">
        <f>"01064033"</f>
        <v>01064033</v>
      </c>
    </row>
    <row r="28228" spans="1:2" x14ac:dyDescent="0.25">
      <c r="A28228" s="2">
        <v>28223</v>
      </c>
      <c r="B28228" s="11" t="str">
        <f>"01064040"</f>
        <v>01064040</v>
      </c>
    </row>
    <row r="28229" spans="1:2" x14ac:dyDescent="0.25">
      <c r="A28229" s="2">
        <v>28224</v>
      </c>
      <c r="B28229" s="11" t="str">
        <f>"01064044"</f>
        <v>01064044</v>
      </c>
    </row>
    <row r="28230" spans="1:2" x14ac:dyDescent="0.25">
      <c r="A28230" s="2">
        <v>28225</v>
      </c>
      <c r="B28230" s="11" t="str">
        <f>"01064047"</f>
        <v>01064047</v>
      </c>
    </row>
    <row r="28231" spans="1:2" x14ac:dyDescent="0.25">
      <c r="A28231" s="2">
        <v>28226</v>
      </c>
      <c r="B28231" s="11" t="str">
        <f>"01064048"</f>
        <v>01064048</v>
      </c>
    </row>
    <row r="28232" spans="1:2" x14ac:dyDescent="0.25">
      <c r="A28232" s="2">
        <v>28227</v>
      </c>
      <c r="B28232" s="11" t="str">
        <f>"01064049"</f>
        <v>01064049</v>
      </c>
    </row>
    <row r="28233" spans="1:2" x14ac:dyDescent="0.25">
      <c r="A28233" s="2">
        <v>28228</v>
      </c>
      <c r="B28233" s="11" t="str">
        <f>"01064052"</f>
        <v>01064052</v>
      </c>
    </row>
    <row r="28234" spans="1:2" x14ac:dyDescent="0.25">
      <c r="A28234" s="2">
        <v>28229</v>
      </c>
      <c r="B28234" s="11" t="str">
        <f>"01064067"</f>
        <v>01064067</v>
      </c>
    </row>
    <row r="28235" spans="1:2" x14ac:dyDescent="0.25">
      <c r="A28235" s="2">
        <v>28230</v>
      </c>
      <c r="B28235" s="11" t="str">
        <f>"01064078"</f>
        <v>01064078</v>
      </c>
    </row>
    <row r="28236" spans="1:2" x14ac:dyDescent="0.25">
      <c r="A28236" s="2">
        <v>28231</v>
      </c>
      <c r="B28236" s="11" t="str">
        <f>"01064080"</f>
        <v>01064080</v>
      </c>
    </row>
    <row r="28237" spans="1:2" x14ac:dyDescent="0.25">
      <c r="A28237" s="2">
        <v>28232</v>
      </c>
      <c r="B28237" s="11" t="str">
        <f>"01064085"</f>
        <v>01064085</v>
      </c>
    </row>
    <row r="28238" spans="1:2" x14ac:dyDescent="0.25">
      <c r="A28238" s="2">
        <v>28233</v>
      </c>
      <c r="B28238" s="11" t="str">
        <f>"01064087"</f>
        <v>01064087</v>
      </c>
    </row>
    <row r="28239" spans="1:2" x14ac:dyDescent="0.25">
      <c r="A28239" s="2">
        <v>28234</v>
      </c>
      <c r="B28239" s="11" t="str">
        <f>"01064088"</f>
        <v>01064088</v>
      </c>
    </row>
    <row r="28240" spans="1:2" x14ac:dyDescent="0.25">
      <c r="A28240" s="2">
        <v>28235</v>
      </c>
      <c r="B28240" s="11" t="str">
        <f>"01064089"</f>
        <v>01064089</v>
      </c>
    </row>
    <row r="28241" spans="1:2" x14ac:dyDescent="0.25">
      <c r="A28241" s="2">
        <v>28236</v>
      </c>
      <c r="B28241" s="11" t="str">
        <f>"01064092"</f>
        <v>01064092</v>
      </c>
    </row>
    <row r="28242" spans="1:2" x14ac:dyDescent="0.25">
      <c r="A28242" s="2">
        <v>28237</v>
      </c>
      <c r="B28242" s="11" t="str">
        <f>"01064100"</f>
        <v>01064100</v>
      </c>
    </row>
    <row r="28243" spans="1:2" x14ac:dyDescent="0.25">
      <c r="A28243" s="2">
        <v>28238</v>
      </c>
      <c r="B28243" s="11" t="str">
        <f>"01064114"</f>
        <v>01064114</v>
      </c>
    </row>
    <row r="28244" spans="1:2" x14ac:dyDescent="0.25">
      <c r="A28244" s="2">
        <v>28239</v>
      </c>
      <c r="B28244" s="11" t="str">
        <f>"01064123"</f>
        <v>01064123</v>
      </c>
    </row>
    <row r="28245" spans="1:2" x14ac:dyDescent="0.25">
      <c r="A28245" s="2">
        <v>28240</v>
      </c>
      <c r="B28245" s="11" t="str">
        <f>"01064140"</f>
        <v>01064140</v>
      </c>
    </row>
    <row r="28246" spans="1:2" x14ac:dyDescent="0.25">
      <c r="A28246" s="2">
        <v>28241</v>
      </c>
      <c r="B28246" s="11" t="str">
        <f>"01064142"</f>
        <v>01064142</v>
      </c>
    </row>
    <row r="28247" spans="1:2" x14ac:dyDescent="0.25">
      <c r="A28247" s="2">
        <v>28242</v>
      </c>
      <c r="B28247" s="11" t="str">
        <f>"01064147"</f>
        <v>01064147</v>
      </c>
    </row>
    <row r="28248" spans="1:2" x14ac:dyDescent="0.25">
      <c r="A28248" s="2">
        <v>28243</v>
      </c>
      <c r="B28248" s="11" t="str">
        <f>"01064149"</f>
        <v>01064149</v>
      </c>
    </row>
    <row r="28249" spans="1:2" x14ac:dyDescent="0.25">
      <c r="A28249" s="2">
        <v>28244</v>
      </c>
      <c r="B28249" s="11" t="str">
        <f>"01064152"</f>
        <v>01064152</v>
      </c>
    </row>
    <row r="28250" spans="1:2" x14ac:dyDescent="0.25">
      <c r="A28250" s="2">
        <v>28245</v>
      </c>
      <c r="B28250" s="11" t="str">
        <f>"01064156"</f>
        <v>01064156</v>
      </c>
    </row>
    <row r="28251" spans="1:2" x14ac:dyDescent="0.25">
      <c r="A28251" s="2">
        <v>28246</v>
      </c>
      <c r="B28251" s="11" t="str">
        <f>"01064158"</f>
        <v>01064158</v>
      </c>
    </row>
    <row r="28252" spans="1:2" x14ac:dyDescent="0.25">
      <c r="A28252" s="2">
        <v>28247</v>
      </c>
      <c r="B28252" s="11" t="str">
        <f>"01064166"</f>
        <v>01064166</v>
      </c>
    </row>
    <row r="28253" spans="1:2" x14ac:dyDescent="0.25">
      <c r="A28253" s="2">
        <v>28248</v>
      </c>
      <c r="B28253" s="11" t="str">
        <f>"01064168"</f>
        <v>01064168</v>
      </c>
    </row>
    <row r="28254" spans="1:2" x14ac:dyDescent="0.25">
      <c r="A28254" s="2">
        <v>28249</v>
      </c>
      <c r="B28254" s="11" t="str">
        <f>"01064177"</f>
        <v>01064177</v>
      </c>
    </row>
    <row r="28255" spans="1:2" x14ac:dyDescent="0.25">
      <c r="A28255" s="2">
        <v>28250</v>
      </c>
      <c r="B28255" s="11" t="str">
        <f>"01064178"</f>
        <v>01064178</v>
      </c>
    </row>
    <row r="28256" spans="1:2" x14ac:dyDescent="0.25">
      <c r="A28256" s="2">
        <v>28251</v>
      </c>
      <c r="B28256" s="11" t="str">
        <f>"01064197"</f>
        <v>01064197</v>
      </c>
    </row>
    <row r="28257" spans="1:2" x14ac:dyDescent="0.25">
      <c r="A28257" s="2">
        <v>28252</v>
      </c>
      <c r="B28257" s="11" t="str">
        <f>"01064211"</f>
        <v>01064211</v>
      </c>
    </row>
    <row r="28258" spans="1:2" x14ac:dyDescent="0.25">
      <c r="A28258" s="2">
        <v>28253</v>
      </c>
      <c r="B28258" s="11" t="str">
        <f>"01064224"</f>
        <v>01064224</v>
      </c>
    </row>
    <row r="28259" spans="1:2" x14ac:dyDescent="0.25">
      <c r="A28259" s="2">
        <v>28254</v>
      </c>
      <c r="B28259" s="11" t="str">
        <f>"01064225"</f>
        <v>01064225</v>
      </c>
    </row>
    <row r="28260" spans="1:2" x14ac:dyDescent="0.25">
      <c r="A28260" s="2">
        <v>28255</v>
      </c>
      <c r="B28260" s="11" t="str">
        <f>"01064231"</f>
        <v>01064231</v>
      </c>
    </row>
    <row r="28261" spans="1:2" x14ac:dyDescent="0.25">
      <c r="A28261" s="2">
        <v>28256</v>
      </c>
      <c r="B28261" s="11" t="str">
        <f>"01064236"</f>
        <v>01064236</v>
      </c>
    </row>
    <row r="28262" spans="1:2" x14ac:dyDescent="0.25">
      <c r="A28262" s="2">
        <v>28257</v>
      </c>
      <c r="B28262" s="11" t="str">
        <f>"01064248"</f>
        <v>01064248</v>
      </c>
    </row>
    <row r="28263" spans="1:2" x14ac:dyDescent="0.25">
      <c r="A28263" s="2">
        <v>28258</v>
      </c>
      <c r="B28263" s="11" t="str">
        <f>"01064250"</f>
        <v>01064250</v>
      </c>
    </row>
    <row r="28264" spans="1:2" x14ac:dyDescent="0.25">
      <c r="A28264" s="2">
        <v>28259</v>
      </c>
      <c r="B28264" s="11" t="str">
        <f>"01064260"</f>
        <v>01064260</v>
      </c>
    </row>
    <row r="28265" spans="1:2" x14ac:dyDescent="0.25">
      <c r="A28265" s="2">
        <v>28260</v>
      </c>
      <c r="B28265" s="11" t="str">
        <f>"01064262"</f>
        <v>01064262</v>
      </c>
    </row>
    <row r="28266" spans="1:2" x14ac:dyDescent="0.25">
      <c r="A28266" s="2">
        <v>28261</v>
      </c>
      <c r="B28266" s="11" t="str">
        <f>"01064269"</f>
        <v>01064269</v>
      </c>
    </row>
    <row r="28267" spans="1:2" x14ac:dyDescent="0.25">
      <c r="A28267" s="2">
        <v>28262</v>
      </c>
      <c r="B28267" s="11" t="str">
        <f>"01064270"</f>
        <v>01064270</v>
      </c>
    </row>
    <row r="28268" spans="1:2" x14ac:dyDescent="0.25">
      <c r="A28268" s="2">
        <v>28263</v>
      </c>
      <c r="B28268" s="11" t="str">
        <f>"01064271"</f>
        <v>01064271</v>
      </c>
    </row>
    <row r="28269" spans="1:2" x14ac:dyDescent="0.25">
      <c r="A28269" s="2">
        <v>28264</v>
      </c>
      <c r="B28269" s="11" t="str">
        <f>"01064272"</f>
        <v>01064272</v>
      </c>
    </row>
    <row r="28270" spans="1:2" x14ac:dyDescent="0.25">
      <c r="A28270" s="2">
        <v>28265</v>
      </c>
      <c r="B28270" s="11" t="str">
        <f>"01064277"</f>
        <v>01064277</v>
      </c>
    </row>
    <row r="28271" spans="1:2" x14ac:dyDescent="0.25">
      <c r="A28271" s="2">
        <v>28266</v>
      </c>
      <c r="B28271" s="11" t="str">
        <f>"01064286"</f>
        <v>01064286</v>
      </c>
    </row>
    <row r="28272" spans="1:2" x14ac:dyDescent="0.25">
      <c r="A28272" s="2">
        <v>28267</v>
      </c>
      <c r="B28272" s="11" t="str">
        <f>"01064288"</f>
        <v>01064288</v>
      </c>
    </row>
    <row r="28273" spans="1:2" x14ac:dyDescent="0.25">
      <c r="A28273" s="2">
        <v>28268</v>
      </c>
      <c r="B28273" s="11" t="str">
        <f>"01064289"</f>
        <v>01064289</v>
      </c>
    </row>
    <row r="28274" spans="1:2" x14ac:dyDescent="0.25">
      <c r="A28274" s="2">
        <v>28269</v>
      </c>
      <c r="B28274" s="11" t="str">
        <f>"01064313"</f>
        <v>01064313</v>
      </c>
    </row>
    <row r="28275" spans="1:2" x14ac:dyDescent="0.25">
      <c r="A28275" s="2">
        <v>28270</v>
      </c>
      <c r="B28275" s="11" t="str">
        <f>"01064318"</f>
        <v>01064318</v>
      </c>
    </row>
    <row r="28276" spans="1:2" x14ac:dyDescent="0.25">
      <c r="A28276" s="2">
        <v>28271</v>
      </c>
      <c r="B28276" s="11" t="str">
        <f>"01064319"</f>
        <v>01064319</v>
      </c>
    </row>
    <row r="28277" spans="1:2" x14ac:dyDescent="0.25">
      <c r="A28277" s="2">
        <v>28272</v>
      </c>
      <c r="B28277" s="11" t="str">
        <f>"01064328"</f>
        <v>01064328</v>
      </c>
    </row>
    <row r="28278" spans="1:2" x14ac:dyDescent="0.25">
      <c r="A28278" s="2">
        <v>28273</v>
      </c>
      <c r="B28278" s="11" t="str">
        <f>"01064330"</f>
        <v>01064330</v>
      </c>
    </row>
    <row r="28279" spans="1:2" x14ac:dyDescent="0.25">
      <c r="A28279" s="2">
        <v>28274</v>
      </c>
      <c r="B28279" s="11" t="str">
        <f>"01064336"</f>
        <v>01064336</v>
      </c>
    </row>
    <row r="28280" spans="1:2" x14ac:dyDescent="0.25">
      <c r="A28280" s="2">
        <v>28275</v>
      </c>
      <c r="B28280" s="11" t="str">
        <f>"01064338"</f>
        <v>01064338</v>
      </c>
    </row>
    <row r="28281" spans="1:2" x14ac:dyDescent="0.25">
      <c r="A28281" s="2">
        <v>28276</v>
      </c>
      <c r="B28281" s="11" t="str">
        <f>"01064340"</f>
        <v>01064340</v>
      </c>
    </row>
    <row r="28282" spans="1:2" x14ac:dyDescent="0.25">
      <c r="A28282" s="2">
        <v>28277</v>
      </c>
      <c r="B28282" s="11" t="str">
        <f>"01064346"</f>
        <v>01064346</v>
      </c>
    </row>
    <row r="28283" spans="1:2" x14ac:dyDescent="0.25">
      <c r="A28283" s="2">
        <v>28278</v>
      </c>
      <c r="B28283" s="11" t="str">
        <f>"01064347"</f>
        <v>01064347</v>
      </c>
    </row>
    <row r="28284" spans="1:2" x14ac:dyDescent="0.25">
      <c r="A28284" s="2">
        <v>28279</v>
      </c>
      <c r="B28284" s="11" t="str">
        <f>"01064348"</f>
        <v>01064348</v>
      </c>
    </row>
    <row r="28285" spans="1:2" x14ac:dyDescent="0.25">
      <c r="A28285" s="2">
        <v>28280</v>
      </c>
      <c r="B28285" s="11" t="str">
        <f>"01064362"</f>
        <v>01064362</v>
      </c>
    </row>
    <row r="28286" spans="1:2" x14ac:dyDescent="0.25">
      <c r="A28286" s="2">
        <v>28281</v>
      </c>
      <c r="B28286" s="11" t="str">
        <f>"01064363"</f>
        <v>01064363</v>
      </c>
    </row>
    <row r="28287" spans="1:2" x14ac:dyDescent="0.25">
      <c r="A28287" s="2">
        <v>28282</v>
      </c>
      <c r="B28287" s="11" t="str">
        <f>"01064367"</f>
        <v>01064367</v>
      </c>
    </row>
    <row r="28288" spans="1:2" x14ac:dyDescent="0.25">
      <c r="A28288" s="2">
        <v>28283</v>
      </c>
      <c r="B28288" s="11" t="str">
        <f>"01064370"</f>
        <v>01064370</v>
      </c>
    </row>
    <row r="28289" spans="1:2" x14ac:dyDescent="0.25">
      <c r="A28289" s="2">
        <v>28284</v>
      </c>
      <c r="B28289" s="11" t="str">
        <f>"01064372"</f>
        <v>01064372</v>
      </c>
    </row>
    <row r="28290" spans="1:2" x14ac:dyDescent="0.25">
      <c r="A28290" s="2">
        <v>28285</v>
      </c>
      <c r="B28290" s="11" t="str">
        <f>"01064376"</f>
        <v>01064376</v>
      </c>
    </row>
    <row r="28291" spans="1:2" x14ac:dyDescent="0.25">
      <c r="A28291" s="2">
        <v>28286</v>
      </c>
      <c r="B28291" s="11" t="str">
        <f>"01064387"</f>
        <v>01064387</v>
      </c>
    </row>
    <row r="28292" spans="1:2" x14ac:dyDescent="0.25">
      <c r="A28292" s="2">
        <v>28287</v>
      </c>
      <c r="B28292" s="11" t="str">
        <f>"01064406"</f>
        <v>01064406</v>
      </c>
    </row>
    <row r="28293" spans="1:2" x14ac:dyDescent="0.25">
      <c r="A28293" s="2">
        <v>28288</v>
      </c>
      <c r="B28293" s="11" t="str">
        <f>"01064420"</f>
        <v>01064420</v>
      </c>
    </row>
    <row r="28294" spans="1:2" x14ac:dyDescent="0.25">
      <c r="A28294" s="2">
        <v>28289</v>
      </c>
      <c r="B28294" s="11" t="str">
        <f>"01064422"</f>
        <v>01064422</v>
      </c>
    </row>
    <row r="28295" spans="1:2" x14ac:dyDescent="0.25">
      <c r="A28295" s="2">
        <v>28290</v>
      </c>
      <c r="B28295" s="11" t="str">
        <f>"01064423"</f>
        <v>01064423</v>
      </c>
    </row>
    <row r="28296" spans="1:2" x14ac:dyDescent="0.25">
      <c r="A28296" s="2">
        <v>28291</v>
      </c>
      <c r="B28296" s="11" t="str">
        <f>"01064428"</f>
        <v>01064428</v>
      </c>
    </row>
    <row r="28297" spans="1:2" x14ac:dyDescent="0.25">
      <c r="A28297" s="2">
        <v>28292</v>
      </c>
      <c r="B28297" s="11" t="str">
        <f>"01064429"</f>
        <v>01064429</v>
      </c>
    </row>
    <row r="28298" spans="1:2" x14ac:dyDescent="0.25">
      <c r="A28298" s="2">
        <v>28293</v>
      </c>
      <c r="B28298" s="11" t="str">
        <f>"01064434"</f>
        <v>01064434</v>
      </c>
    </row>
    <row r="28299" spans="1:2" x14ac:dyDescent="0.25">
      <c r="A28299" s="2">
        <v>28294</v>
      </c>
      <c r="B28299" s="11" t="str">
        <f>"01064441"</f>
        <v>01064441</v>
      </c>
    </row>
    <row r="28300" spans="1:2" x14ac:dyDescent="0.25">
      <c r="A28300" s="2">
        <v>28295</v>
      </c>
      <c r="B28300" s="11" t="str">
        <f>"01064442"</f>
        <v>01064442</v>
      </c>
    </row>
    <row r="28301" spans="1:2" x14ac:dyDescent="0.25">
      <c r="A28301" s="2">
        <v>28296</v>
      </c>
      <c r="B28301" s="11" t="str">
        <f>"01064443"</f>
        <v>01064443</v>
      </c>
    </row>
    <row r="28302" spans="1:2" x14ac:dyDescent="0.25">
      <c r="A28302" s="2">
        <v>28297</v>
      </c>
      <c r="B28302" s="11" t="str">
        <f>"01064448"</f>
        <v>01064448</v>
      </c>
    </row>
    <row r="28303" spans="1:2" x14ac:dyDescent="0.25">
      <c r="A28303" s="2">
        <v>28298</v>
      </c>
      <c r="B28303" s="11" t="str">
        <f>"01064449"</f>
        <v>01064449</v>
      </c>
    </row>
    <row r="28304" spans="1:2" x14ac:dyDescent="0.25">
      <c r="A28304" s="2">
        <v>28299</v>
      </c>
      <c r="B28304" s="11" t="str">
        <f>"01064458"</f>
        <v>01064458</v>
      </c>
    </row>
    <row r="28305" spans="1:2" x14ac:dyDescent="0.25">
      <c r="A28305" s="2">
        <v>28300</v>
      </c>
      <c r="B28305" s="11" t="str">
        <f>"01064464"</f>
        <v>01064464</v>
      </c>
    </row>
    <row r="28306" spans="1:2" x14ac:dyDescent="0.25">
      <c r="A28306" s="2">
        <v>28301</v>
      </c>
      <c r="B28306" s="11" t="str">
        <f>"01064466"</f>
        <v>01064466</v>
      </c>
    </row>
    <row r="28307" spans="1:2" x14ac:dyDescent="0.25">
      <c r="A28307" s="2">
        <v>28302</v>
      </c>
      <c r="B28307" s="11" t="str">
        <f>"01064470"</f>
        <v>01064470</v>
      </c>
    </row>
    <row r="28308" spans="1:2" x14ac:dyDescent="0.25">
      <c r="A28308" s="2">
        <v>28303</v>
      </c>
      <c r="B28308" s="11" t="str">
        <f>"01064486"</f>
        <v>01064486</v>
      </c>
    </row>
    <row r="28309" spans="1:2" x14ac:dyDescent="0.25">
      <c r="A28309" s="2">
        <v>28304</v>
      </c>
      <c r="B28309" s="11" t="str">
        <f>"01064488"</f>
        <v>01064488</v>
      </c>
    </row>
    <row r="28310" spans="1:2" x14ac:dyDescent="0.25">
      <c r="A28310" s="2">
        <v>28305</v>
      </c>
      <c r="B28310" s="11" t="str">
        <f>"01064489"</f>
        <v>01064489</v>
      </c>
    </row>
    <row r="28311" spans="1:2" x14ac:dyDescent="0.25">
      <c r="A28311" s="2">
        <v>28306</v>
      </c>
      <c r="B28311" s="11" t="str">
        <f>"01064491"</f>
        <v>01064491</v>
      </c>
    </row>
    <row r="28312" spans="1:2" x14ac:dyDescent="0.25">
      <c r="A28312" s="2">
        <v>28307</v>
      </c>
      <c r="B28312" s="11" t="str">
        <f>"01064493"</f>
        <v>01064493</v>
      </c>
    </row>
    <row r="28313" spans="1:2" x14ac:dyDescent="0.25">
      <c r="A28313" s="2">
        <v>28308</v>
      </c>
      <c r="B28313" s="11" t="str">
        <f>"01064495"</f>
        <v>01064495</v>
      </c>
    </row>
    <row r="28314" spans="1:2" x14ac:dyDescent="0.25">
      <c r="A28314" s="2">
        <v>28309</v>
      </c>
      <c r="B28314" s="11" t="str">
        <f>"01064502"</f>
        <v>01064502</v>
      </c>
    </row>
    <row r="28315" spans="1:2" x14ac:dyDescent="0.25">
      <c r="A28315" s="2">
        <v>28310</v>
      </c>
      <c r="B28315" s="11" t="str">
        <f>"01064531"</f>
        <v>01064531</v>
      </c>
    </row>
    <row r="28316" spans="1:2" x14ac:dyDescent="0.25">
      <c r="A28316" s="2">
        <v>28311</v>
      </c>
      <c r="B28316" s="11" t="str">
        <f>"01064532"</f>
        <v>01064532</v>
      </c>
    </row>
    <row r="28317" spans="1:2" x14ac:dyDescent="0.25">
      <c r="A28317" s="2">
        <v>28312</v>
      </c>
      <c r="B28317" s="11" t="str">
        <f>"01064537"</f>
        <v>01064537</v>
      </c>
    </row>
    <row r="28318" spans="1:2" x14ac:dyDescent="0.25">
      <c r="A28318" s="2">
        <v>28313</v>
      </c>
      <c r="B28318" s="11" t="str">
        <f>"01064541"</f>
        <v>01064541</v>
      </c>
    </row>
    <row r="28319" spans="1:2" x14ac:dyDescent="0.25">
      <c r="A28319" s="2">
        <v>28314</v>
      </c>
      <c r="B28319" s="11" t="str">
        <f>"01064550"</f>
        <v>01064550</v>
      </c>
    </row>
    <row r="28320" spans="1:2" x14ac:dyDescent="0.25">
      <c r="A28320" s="2">
        <v>28315</v>
      </c>
      <c r="B28320" s="11" t="str">
        <f>"01064555"</f>
        <v>01064555</v>
      </c>
    </row>
    <row r="28321" spans="1:2" x14ac:dyDescent="0.25">
      <c r="A28321" s="2">
        <v>28316</v>
      </c>
      <c r="B28321" s="11" t="str">
        <f>"01064562"</f>
        <v>01064562</v>
      </c>
    </row>
    <row r="28322" spans="1:2" x14ac:dyDescent="0.25">
      <c r="A28322" s="2">
        <v>28317</v>
      </c>
      <c r="B28322" s="11" t="str">
        <f>"01064566"</f>
        <v>01064566</v>
      </c>
    </row>
    <row r="28323" spans="1:2" x14ac:dyDescent="0.25">
      <c r="A28323" s="2">
        <v>28318</v>
      </c>
      <c r="B28323" s="11" t="str">
        <f>"01064568"</f>
        <v>01064568</v>
      </c>
    </row>
    <row r="28324" spans="1:2" x14ac:dyDescent="0.25">
      <c r="A28324" s="2">
        <v>28319</v>
      </c>
      <c r="B28324" s="11" t="str">
        <f>"01064571"</f>
        <v>01064571</v>
      </c>
    </row>
    <row r="28325" spans="1:2" x14ac:dyDescent="0.25">
      <c r="A28325" s="2">
        <v>28320</v>
      </c>
      <c r="B28325" s="11" t="str">
        <f>"01064574"</f>
        <v>01064574</v>
      </c>
    </row>
    <row r="28326" spans="1:2" x14ac:dyDescent="0.25">
      <c r="A28326" s="2">
        <v>28321</v>
      </c>
      <c r="B28326" s="11" t="str">
        <f>"01064583"</f>
        <v>01064583</v>
      </c>
    </row>
    <row r="28327" spans="1:2" x14ac:dyDescent="0.25">
      <c r="A28327" s="2">
        <v>28322</v>
      </c>
      <c r="B28327" s="11" t="str">
        <f>"01064589"</f>
        <v>01064589</v>
      </c>
    </row>
    <row r="28328" spans="1:2" x14ac:dyDescent="0.25">
      <c r="A28328" s="2">
        <v>28323</v>
      </c>
      <c r="B28328" s="11" t="str">
        <f>"01064591"</f>
        <v>01064591</v>
      </c>
    </row>
    <row r="28329" spans="1:2" x14ac:dyDescent="0.25">
      <c r="A28329" s="2">
        <v>28324</v>
      </c>
      <c r="B28329" s="11" t="str">
        <f>"01064594"</f>
        <v>01064594</v>
      </c>
    </row>
    <row r="28330" spans="1:2" x14ac:dyDescent="0.25">
      <c r="A28330" s="2">
        <v>28325</v>
      </c>
      <c r="B28330" s="11" t="str">
        <f>"01064596"</f>
        <v>01064596</v>
      </c>
    </row>
    <row r="28331" spans="1:2" x14ac:dyDescent="0.25">
      <c r="A28331" s="2">
        <v>28326</v>
      </c>
      <c r="B28331" s="11" t="str">
        <f>"01064599"</f>
        <v>01064599</v>
      </c>
    </row>
    <row r="28332" spans="1:2" x14ac:dyDescent="0.25">
      <c r="A28332" s="2">
        <v>28327</v>
      </c>
      <c r="B28332" s="11" t="str">
        <f>"01064605"</f>
        <v>01064605</v>
      </c>
    </row>
    <row r="28333" spans="1:2" x14ac:dyDescent="0.25">
      <c r="A28333" s="2">
        <v>28328</v>
      </c>
      <c r="B28333" s="11" t="str">
        <f>"01064606"</f>
        <v>01064606</v>
      </c>
    </row>
    <row r="28334" spans="1:2" x14ac:dyDescent="0.25">
      <c r="A28334" s="2">
        <v>28329</v>
      </c>
      <c r="B28334" s="11" t="str">
        <f>"01064609"</f>
        <v>01064609</v>
      </c>
    </row>
    <row r="28335" spans="1:2" x14ac:dyDescent="0.25">
      <c r="A28335" s="2">
        <v>28330</v>
      </c>
      <c r="B28335" s="11" t="str">
        <f>"01064610"</f>
        <v>01064610</v>
      </c>
    </row>
    <row r="28336" spans="1:2" x14ac:dyDescent="0.25">
      <c r="A28336" s="2">
        <v>28331</v>
      </c>
      <c r="B28336" s="11" t="str">
        <f>"01064617"</f>
        <v>01064617</v>
      </c>
    </row>
    <row r="28337" spans="1:2" x14ac:dyDescent="0.25">
      <c r="A28337" s="2">
        <v>28332</v>
      </c>
      <c r="B28337" s="11" t="str">
        <f>"01064626"</f>
        <v>01064626</v>
      </c>
    </row>
    <row r="28338" spans="1:2" x14ac:dyDescent="0.25">
      <c r="A28338" s="2">
        <v>28333</v>
      </c>
      <c r="B28338" s="11" t="str">
        <f>"01064635"</f>
        <v>01064635</v>
      </c>
    </row>
    <row r="28339" spans="1:2" x14ac:dyDescent="0.25">
      <c r="A28339" s="2">
        <v>28334</v>
      </c>
      <c r="B28339" s="11" t="str">
        <f>"01064640"</f>
        <v>01064640</v>
      </c>
    </row>
    <row r="28340" spans="1:2" x14ac:dyDescent="0.25">
      <c r="A28340" s="2">
        <v>28335</v>
      </c>
      <c r="B28340" s="11" t="str">
        <f>"01064643"</f>
        <v>01064643</v>
      </c>
    </row>
    <row r="28341" spans="1:2" x14ac:dyDescent="0.25">
      <c r="A28341" s="2">
        <v>28336</v>
      </c>
      <c r="B28341" s="11" t="str">
        <f>"01064647"</f>
        <v>01064647</v>
      </c>
    </row>
    <row r="28342" spans="1:2" x14ac:dyDescent="0.25">
      <c r="A28342" s="2">
        <v>28337</v>
      </c>
      <c r="B28342" s="11" t="str">
        <f>"01064649"</f>
        <v>01064649</v>
      </c>
    </row>
    <row r="28343" spans="1:2" x14ac:dyDescent="0.25">
      <c r="A28343" s="2">
        <v>28338</v>
      </c>
      <c r="B28343" s="11" t="str">
        <f>"01064650"</f>
        <v>01064650</v>
      </c>
    </row>
    <row r="28344" spans="1:2" x14ac:dyDescent="0.25">
      <c r="A28344" s="2">
        <v>28339</v>
      </c>
      <c r="B28344" s="11" t="str">
        <f>"01064652"</f>
        <v>01064652</v>
      </c>
    </row>
    <row r="28345" spans="1:2" x14ac:dyDescent="0.25">
      <c r="A28345" s="2">
        <v>28340</v>
      </c>
      <c r="B28345" s="11" t="str">
        <f>"01064665"</f>
        <v>01064665</v>
      </c>
    </row>
    <row r="28346" spans="1:2" x14ac:dyDescent="0.25">
      <c r="A28346" s="2">
        <v>28341</v>
      </c>
      <c r="B28346" s="11" t="str">
        <f>"01064667"</f>
        <v>01064667</v>
      </c>
    </row>
    <row r="28347" spans="1:2" x14ac:dyDescent="0.25">
      <c r="A28347" s="2">
        <v>28342</v>
      </c>
      <c r="B28347" s="11" t="str">
        <f>"01064668"</f>
        <v>01064668</v>
      </c>
    </row>
    <row r="28348" spans="1:2" x14ac:dyDescent="0.25">
      <c r="A28348" s="2">
        <v>28343</v>
      </c>
      <c r="B28348" s="11" t="str">
        <f>"01064669"</f>
        <v>01064669</v>
      </c>
    </row>
    <row r="28349" spans="1:2" x14ac:dyDescent="0.25">
      <c r="A28349" s="2">
        <v>28344</v>
      </c>
      <c r="B28349" s="11" t="str">
        <f>"01064671"</f>
        <v>01064671</v>
      </c>
    </row>
    <row r="28350" spans="1:2" x14ac:dyDescent="0.25">
      <c r="A28350" s="2">
        <v>28345</v>
      </c>
      <c r="B28350" s="11" t="str">
        <f>"01064676"</f>
        <v>01064676</v>
      </c>
    </row>
    <row r="28351" spans="1:2" x14ac:dyDescent="0.25">
      <c r="A28351" s="2">
        <v>28346</v>
      </c>
      <c r="B28351" s="11" t="str">
        <f>"01064679"</f>
        <v>01064679</v>
      </c>
    </row>
    <row r="28352" spans="1:2" x14ac:dyDescent="0.25">
      <c r="A28352" s="2">
        <v>28347</v>
      </c>
      <c r="B28352" s="11" t="str">
        <f>"01064692"</f>
        <v>01064692</v>
      </c>
    </row>
    <row r="28353" spans="1:2" x14ac:dyDescent="0.25">
      <c r="A28353" s="2">
        <v>28348</v>
      </c>
      <c r="B28353" s="11" t="str">
        <f>"01064693"</f>
        <v>01064693</v>
      </c>
    </row>
    <row r="28354" spans="1:2" x14ac:dyDescent="0.25">
      <c r="A28354" s="2">
        <v>28349</v>
      </c>
      <c r="B28354" s="11" t="str">
        <f>"01064704"</f>
        <v>01064704</v>
      </c>
    </row>
    <row r="28355" spans="1:2" x14ac:dyDescent="0.25">
      <c r="A28355" s="2">
        <v>28350</v>
      </c>
      <c r="B28355" s="11" t="str">
        <f>"01064711"</f>
        <v>01064711</v>
      </c>
    </row>
    <row r="28356" spans="1:2" x14ac:dyDescent="0.25">
      <c r="A28356" s="2">
        <v>28351</v>
      </c>
      <c r="B28356" s="11" t="str">
        <f>"01064714"</f>
        <v>01064714</v>
      </c>
    </row>
    <row r="28357" spans="1:2" x14ac:dyDescent="0.25">
      <c r="A28357" s="2">
        <v>28352</v>
      </c>
      <c r="B28357" s="11" t="str">
        <f>"01064716"</f>
        <v>01064716</v>
      </c>
    </row>
    <row r="28358" spans="1:2" x14ac:dyDescent="0.25">
      <c r="A28358" s="2">
        <v>28353</v>
      </c>
      <c r="B28358" s="11" t="str">
        <f>"01064728"</f>
        <v>01064728</v>
      </c>
    </row>
    <row r="28359" spans="1:2" x14ac:dyDescent="0.25">
      <c r="A28359" s="2">
        <v>28354</v>
      </c>
      <c r="B28359" s="11" t="str">
        <f>"01064729"</f>
        <v>01064729</v>
      </c>
    </row>
    <row r="28360" spans="1:2" x14ac:dyDescent="0.25">
      <c r="A28360" s="2">
        <v>28355</v>
      </c>
      <c r="B28360" s="11" t="str">
        <f>"01064731"</f>
        <v>01064731</v>
      </c>
    </row>
    <row r="28361" spans="1:2" x14ac:dyDescent="0.25">
      <c r="A28361" s="2">
        <v>28356</v>
      </c>
      <c r="B28361" s="11" t="str">
        <f>"01064732"</f>
        <v>01064732</v>
      </c>
    </row>
    <row r="28362" spans="1:2" x14ac:dyDescent="0.25">
      <c r="A28362" s="2">
        <v>28357</v>
      </c>
      <c r="B28362" s="11" t="str">
        <f>"01064734"</f>
        <v>01064734</v>
      </c>
    </row>
    <row r="28363" spans="1:2" x14ac:dyDescent="0.25">
      <c r="A28363" s="2">
        <v>28358</v>
      </c>
      <c r="B28363" s="11" t="str">
        <f>"01064735"</f>
        <v>01064735</v>
      </c>
    </row>
    <row r="28364" spans="1:2" x14ac:dyDescent="0.25">
      <c r="A28364" s="2">
        <v>28359</v>
      </c>
      <c r="B28364" s="11" t="str">
        <f>"01064739"</f>
        <v>01064739</v>
      </c>
    </row>
    <row r="28365" spans="1:2" x14ac:dyDescent="0.25">
      <c r="A28365" s="2">
        <v>28360</v>
      </c>
      <c r="B28365" s="11" t="str">
        <f>"01064740"</f>
        <v>01064740</v>
      </c>
    </row>
    <row r="28366" spans="1:2" x14ac:dyDescent="0.25">
      <c r="A28366" s="2">
        <v>28361</v>
      </c>
      <c r="B28366" s="11" t="str">
        <f>"01064742"</f>
        <v>01064742</v>
      </c>
    </row>
    <row r="28367" spans="1:2" x14ac:dyDescent="0.25">
      <c r="A28367" s="2">
        <v>28362</v>
      </c>
      <c r="B28367" s="11" t="str">
        <f>"01064745"</f>
        <v>01064745</v>
      </c>
    </row>
    <row r="28368" spans="1:2" x14ac:dyDescent="0.25">
      <c r="A28368" s="2">
        <v>28363</v>
      </c>
      <c r="B28368" s="11" t="str">
        <f>"01064747"</f>
        <v>01064747</v>
      </c>
    </row>
    <row r="28369" spans="1:2" x14ac:dyDescent="0.25">
      <c r="A28369" s="2">
        <v>28364</v>
      </c>
      <c r="B28369" s="11" t="str">
        <f>"01064758"</f>
        <v>01064758</v>
      </c>
    </row>
    <row r="28370" spans="1:2" x14ac:dyDescent="0.25">
      <c r="A28370" s="2">
        <v>28365</v>
      </c>
      <c r="B28370" s="11" t="str">
        <f>"01064771"</f>
        <v>01064771</v>
      </c>
    </row>
    <row r="28371" spans="1:2" x14ac:dyDescent="0.25">
      <c r="A28371" s="2">
        <v>28366</v>
      </c>
      <c r="B28371" s="11" t="str">
        <f>"01064776"</f>
        <v>01064776</v>
      </c>
    </row>
    <row r="28372" spans="1:2" x14ac:dyDescent="0.25">
      <c r="A28372" s="2">
        <v>28367</v>
      </c>
      <c r="B28372" s="11" t="str">
        <f>"01064783"</f>
        <v>01064783</v>
      </c>
    </row>
    <row r="28373" spans="1:2" x14ac:dyDescent="0.25">
      <c r="A28373" s="2">
        <v>28368</v>
      </c>
      <c r="B28373" s="11" t="str">
        <f>"01064784"</f>
        <v>01064784</v>
      </c>
    </row>
    <row r="28374" spans="1:2" x14ac:dyDescent="0.25">
      <c r="A28374" s="2">
        <v>28369</v>
      </c>
      <c r="B28374" s="11" t="str">
        <f>"01064794"</f>
        <v>01064794</v>
      </c>
    </row>
    <row r="28375" spans="1:2" x14ac:dyDescent="0.25">
      <c r="A28375" s="2">
        <v>28370</v>
      </c>
      <c r="B28375" s="11" t="str">
        <f>"01064797"</f>
        <v>01064797</v>
      </c>
    </row>
    <row r="28376" spans="1:2" x14ac:dyDescent="0.25">
      <c r="A28376" s="2">
        <v>28371</v>
      </c>
      <c r="B28376" s="11" t="str">
        <f>"01064803"</f>
        <v>01064803</v>
      </c>
    </row>
    <row r="28377" spans="1:2" x14ac:dyDescent="0.25">
      <c r="A28377" s="2">
        <v>28372</v>
      </c>
      <c r="B28377" s="11" t="str">
        <f>"01064810"</f>
        <v>01064810</v>
      </c>
    </row>
    <row r="28378" spans="1:2" x14ac:dyDescent="0.25">
      <c r="A28378" s="2">
        <v>28373</v>
      </c>
      <c r="B28378" s="11" t="str">
        <f>"01064815"</f>
        <v>01064815</v>
      </c>
    </row>
    <row r="28379" spans="1:2" x14ac:dyDescent="0.25">
      <c r="A28379" s="2">
        <v>28374</v>
      </c>
      <c r="B28379" s="11" t="str">
        <f>"01064816"</f>
        <v>01064816</v>
      </c>
    </row>
    <row r="28380" spans="1:2" x14ac:dyDescent="0.25">
      <c r="A28380" s="2">
        <v>28375</v>
      </c>
      <c r="B28380" s="11" t="str">
        <f>"01064819"</f>
        <v>01064819</v>
      </c>
    </row>
    <row r="28381" spans="1:2" x14ac:dyDescent="0.25">
      <c r="A28381" s="2">
        <v>28376</v>
      </c>
      <c r="B28381" s="11" t="str">
        <f>"01064826"</f>
        <v>01064826</v>
      </c>
    </row>
    <row r="28382" spans="1:2" x14ac:dyDescent="0.25">
      <c r="A28382" s="2">
        <v>28377</v>
      </c>
      <c r="B28382" s="11" t="str">
        <f>"01064838"</f>
        <v>01064838</v>
      </c>
    </row>
    <row r="28383" spans="1:2" x14ac:dyDescent="0.25">
      <c r="A28383" s="2">
        <v>28378</v>
      </c>
      <c r="B28383" s="11" t="str">
        <f>"01064842"</f>
        <v>01064842</v>
      </c>
    </row>
    <row r="28384" spans="1:2" x14ac:dyDescent="0.25">
      <c r="A28384" s="2">
        <v>28379</v>
      </c>
      <c r="B28384" s="11" t="str">
        <f>"01064845"</f>
        <v>01064845</v>
      </c>
    </row>
    <row r="28385" spans="1:2" x14ac:dyDescent="0.25">
      <c r="A28385" s="2">
        <v>28380</v>
      </c>
      <c r="B28385" s="11" t="str">
        <f>"01064850"</f>
        <v>01064850</v>
      </c>
    </row>
    <row r="28386" spans="1:2" x14ac:dyDescent="0.25">
      <c r="A28386" s="2">
        <v>28381</v>
      </c>
      <c r="B28386" s="11" t="str">
        <f>"01064863"</f>
        <v>01064863</v>
      </c>
    </row>
    <row r="28387" spans="1:2" x14ac:dyDescent="0.25">
      <c r="A28387" s="2">
        <v>28382</v>
      </c>
      <c r="B28387" s="11" t="str">
        <f>"01064870"</f>
        <v>01064870</v>
      </c>
    </row>
    <row r="28388" spans="1:2" x14ac:dyDescent="0.25">
      <c r="A28388" s="2">
        <v>28383</v>
      </c>
      <c r="B28388" s="11" t="str">
        <f>"01064872"</f>
        <v>01064872</v>
      </c>
    </row>
    <row r="28389" spans="1:2" x14ac:dyDescent="0.25">
      <c r="A28389" s="2">
        <v>28384</v>
      </c>
      <c r="B28389" s="11" t="str">
        <f>"01064881"</f>
        <v>01064881</v>
      </c>
    </row>
    <row r="28390" spans="1:2" x14ac:dyDescent="0.25">
      <c r="A28390" s="2">
        <v>28385</v>
      </c>
      <c r="B28390" s="11" t="str">
        <f>"01064892"</f>
        <v>01064892</v>
      </c>
    </row>
    <row r="28391" spans="1:2" x14ac:dyDescent="0.25">
      <c r="A28391" s="2">
        <v>28386</v>
      </c>
      <c r="B28391" s="11" t="str">
        <f>"01064894"</f>
        <v>01064894</v>
      </c>
    </row>
    <row r="28392" spans="1:2" x14ac:dyDescent="0.25">
      <c r="A28392" s="2">
        <v>28387</v>
      </c>
      <c r="B28392" s="11" t="str">
        <f>"01064895"</f>
        <v>01064895</v>
      </c>
    </row>
    <row r="28393" spans="1:2" x14ac:dyDescent="0.25">
      <c r="A28393" s="2">
        <v>28388</v>
      </c>
      <c r="B28393" s="11" t="str">
        <f>"01064896"</f>
        <v>01064896</v>
      </c>
    </row>
    <row r="28394" spans="1:2" x14ac:dyDescent="0.25">
      <c r="A28394" s="2">
        <v>28389</v>
      </c>
      <c r="B28394" s="11" t="str">
        <f>"01064901"</f>
        <v>01064901</v>
      </c>
    </row>
    <row r="28395" spans="1:2" x14ac:dyDescent="0.25">
      <c r="A28395" s="2">
        <v>28390</v>
      </c>
      <c r="B28395" s="11" t="str">
        <f>"01064902"</f>
        <v>01064902</v>
      </c>
    </row>
    <row r="28396" spans="1:2" x14ac:dyDescent="0.25">
      <c r="A28396" s="2">
        <v>28391</v>
      </c>
      <c r="B28396" s="11" t="str">
        <f>"01064906"</f>
        <v>01064906</v>
      </c>
    </row>
    <row r="28397" spans="1:2" x14ac:dyDescent="0.25">
      <c r="A28397" s="2">
        <v>28392</v>
      </c>
      <c r="B28397" s="11" t="str">
        <f>"01064912"</f>
        <v>01064912</v>
      </c>
    </row>
    <row r="28398" spans="1:2" x14ac:dyDescent="0.25">
      <c r="A28398" s="2">
        <v>28393</v>
      </c>
      <c r="B28398" s="11" t="str">
        <f>"01064916"</f>
        <v>01064916</v>
      </c>
    </row>
    <row r="28399" spans="1:2" x14ac:dyDescent="0.25">
      <c r="A28399" s="2">
        <v>28394</v>
      </c>
      <c r="B28399" s="11" t="str">
        <f>"01064921"</f>
        <v>01064921</v>
      </c>
    </row>
    <row r="28400" spans="1:2" x14ac:dyDescent="0.25">
      <c r="A28400" s="2">
        <v>28395</v>
      </c>
      <c r="B28400" s="11" t="str">
        <f>"01064923"</f>
        <v>01064923</v>
      </c>
    </row>
    <row r="28401" spans="1:2" x14ac:dyDescent="0.25">
      <c r="A28401" s="2">
        <v>28396</v>
      </c>
      <c r="B28401" s="11" t="str">
        <f>"01064927"</f>
        <v>01064927</v>
      </c>
    </row>
    <row r="28402" spans="1:2" x14ac:dyDescent="0.25">
      <c r="A28402" s="2">
        <v>28397</v>
      </c>
      <c r="B28402" s="11" t="str">
        <f>"01064933"</f>
        <v>01064933</v>
      </c>
    </row>
    <row r="28403" spans="1:2" x14ac:dyDescent="0.25">
      <c r="A28403" s="2">
        <v>28398</v>
      </c>
      <c r="B28403" s="11" t="str">
        <f>"01064951"</f>
        <v>01064951</v>
      </c>
    </row>
    <row r="28404" spans="1:2" x14ac:dyDescent="0.25">
      <c r="A28404" s="2">
        <v>28399</v>
      </c>
      <c r="B28404" s="11" t="str">
        <f>"01064956"</f>
        <v>01064956</v>
      </c>
    </row>
    <row r="28405" spans="1:2" x14ac:dyDescent="0.25">
      <c r="A28405" s="2">
        <v>28400</v>
      </c>
      <c r="B28405" s="11" t="str">
        <f>"01064965"</f>
        <v>01064965</v>
      </c>
    </row>
    <row r="28406" spans="1:2" x14ac:dyDescent="0.25">
      <c r="A28406" s="2">
        <v>28401</v>
      </c>
      <c r="B28406" s="11" t="str">
        <f>"01064972"</f>
        <v>01064972</v>
      </c>
    </row>
    <row r="28407" spans="1:2" x14ac:dyDescent="0.25">
      <c r="A28407" s="2">
        <v>28402</v>
      </c>
      <c r="B28407" s="11" t="str">
        <f>"01064974"</f>
        <v>01064974</v>
      </c>
    </row>
    <row r="28408" spans="1:2" x14ac:dyDescent="0.25">
      <c r="A28408" s="2">
        <v>28403</v>
      </c>
      <c r="B28408" s="11" t="str">
        <f>"01064979"</f>
        <v>01064979</v>
      </c>
    </row>
    <row r="28409" spans="1:2" x14ac:dyDescent="0.25">
      <c r="A28409" s="2">
        <v>28404</v>
      </c>
      <c r="B28409" s="11" t="str">
        <f>"01064983"</f>
        <v>01064983</v>
      </c>
    </row>
    <row r="28410" spans="1:2" x14ac:dyDescent="0.25">
      <c r="A28410" s="2">
        <v>28405</v>
      </c>
      <c r="B28410" s="11" t="str">
        <f>"01064985"</f>
        <v>01064985</v>
      </c>
    </row>
    <row r="28411" spans="1:2" x14ac:dyDescent="0.25">
      <c r="A28411" s="2">
        <v>28406</v>
      </c>
      <c r="B28411" s="11" t="str">
        <f>"01064991"</f>
        <v>01064991</v>
      </c>
    </row>
    <row r="28412" spans="1:2" x14ac:dyDescent="0.25">
      <c r="A28412" s="2">
        <v>28407</v>
      </c>
      <c r="B28412" s="11" t="str">
        <f>"01064998"</f>
        <v>01064998</v>
      </c>
    </row>
    <row r="28413" spans="1:2" x14ac:dyDescent="0.25">
      <c r="A28413" s="2">
        <v>28408</v>
      </c>
      <c r="B28413" s="11" t="str">
        <f>"01065005"</f>
        <v>01065005</v>
      </c>
    </row>
    <row r="28414" spans="1:2" x14ac:dyDescent="0.25">
      <c r="A28414" s="2">
        <v>28409</v>
      </c>
      <c r="B28414" s="11" t="str">
        <f>"01065007"</f>
        <v>01065007</v>
      </c>
    </row>
    <row r="28415" spans="1:2" x14ac:dyDescent="0.25">
      <c r="A28415" s="2">
        <v>28410</v>
      </c>
      <c r="B28415" s="11" t="str">
        <f>"01065010"</f>
        <v>01065010</v>
      </c>
    </row>
    <row r="28416" spans="1:2" x14ac:dyDescent="0.25">
      <c r="A28416" s="2">
        <v>28411</v>
      </c>
      <c r="B28416" s="11" t="str">
        <f>"01065011"</f>
        <v>01065011</v>
      </c>
    </row>
    <row r="28417" spans="1:2" x14ac:dyDescent="0.25">
      <c r="A28417" s="2">
        <v>28412</v>
      </c>
      <c r="B28417" s="11" t="str">
        <f>"01065012"</f>
        <v>01065012</v>
      </c>
    </row>
    <row r="28418" spans="1:2" x14ac:dyDescent="0.25">
      <c r="A28418" s="2">
        <v>28413</v>
      </c>
      <c r="B28418" s="11" t="str">
        <f>"01065016"</f>
        <v>01065016</v>
      </c>
    </row>
    <row r="28419" spans="1:2" x14ac:dyDescent="0.25">
      <c r="A28419" s="2">
        <v>28414</v>
      </c>
      <c r="B28419" s="11" t="str">
        <f>"01065017"</f>
        <v>01065017</v>
      </c>
    </row>
    <row r="28420" spans="1:2" x14ac:dyDescent="0.25">
      <c r="A28420" s="2">
        <v>28415</v>
      </c>
      <c r="B28420" s="11" t="str">
        <f>"01065022"</f>
        <v>01065022</v>
      </c>
    </row>
    <row r="28421" spans="1:2" x14ac:dyDescent="0.25">
      <c r="A28421" s="2">
        <v>28416</v>
      </c>
      <c r="B28421" s="11" t="str">
        <f>"01065030"</f>
        <v>01065030</v>
      </c>
    </row>
    <row r="28422" spans="1:2" x14ac:dyDescent="0.25">
      <c r="A28422" s="2">
        <v>28417</v>
      </c>
      <c r="B28422" s="11" t="str">
        <f>"01065031"</f>
        <v>01065031</v>
      </c>
    </row>
    <row r="28423" spans="1:2" x14ac:dyDescent="0.25">
      <c r="A28423" s="2">
        <v>28418</v>
      </c>
      <c r="B28423" s="11" t="str">
        <f>"01065044"</f>
        <v>01065044</v>
      </c>
    </row>
    <row r="28424" spans="1:2" x14ac:dyDescent="0.25">
      <c r="A28424" s="2">
        <v>28419</v>
      </c>
      <c r="B28424" s="11" t="str">
        <f>"01065046"</f>
        <v>01065046</v>
      </c>
    </row>
    <row r="28425" spans="1:2" x14ac:dyDescent="0.25">
      <c r="A28425" s="2">
        <v>28420</v>
      </c>
      <c r="B28425" s="11" t="str">
        <f>"01065059"</f>
        <v>01065059</v>
      </c>
    </row>
    <row r="28426" spans="1:2" x14ac:dyDescent="0.25">
      <c r="A28426" s="2">
        <v>28421</v>
      </c>
      <c r="B28426" s="11" t="str">
        <f>"01065063"</f>
        <v>01065063</v>
      </c>
    </row>
    <row r="28427" spans="1:2" x14ac:dyDescent="0.25">
      <c r="A28427" s="2">
        <v>28422</v>
      </c>
      <c r="B28427" s="11" t="str">
        <f>"01065064"</f>
        <v>01065064</v>
      </c>
    </row>
    <row r="28428" spans="1:2" x14ac:dyDescent="0.25">
      <c r="A28428" s="2">
        <v>28423</v>
      </c>
      <c r="B28428" s="11" t="str">
        <f>"01065065"</f>
        <v>01065065</v>
      </c>
    </row>
    <row r="28429" spans="1:2" x14ac:dyDescent="0.25">
      <c r="A28429" s="2">
        <v>28424</v>
      </c>
      <c r="B28429" s="11" t="str">
        <f>"01065068"</f>
        <v>01065068</v>
      </c>
    </row>
    <row r="28430" spans="1:2" x14ac:dyDescent="0.25">
      <c r="A28430" s="2">
        <v>28425</v>
      </c>
      <c r="B28430" s="11" t="str">
        <f>"01065073"</f>
        <v>01065073</v>
      </c>
    </row>
    <row r="28431" spans="1:2" x14ac:dyDescent="0.25">
      <c r="A28431" s="2">
        <v>28426</v>
      </c>
      <c r="B28431" s="11" t="str">
        <f>"01065075"</f>
        <v>01065075</v>
      </c>
    </row>
    <row r="28432" spans="1:2" x14ac:dyDescent="0.25">
      <c r="A28432" s="2">
        <v>28427</v>
      </c>
      <c r="B28432" s="11" t="str">
        <f>"01065081"</f>
        <v>01065081</v>
      </c>
    </row>
    <row r="28433" spans="1:2" x14ac:dyDescent="0.25">
      <c r="A28433" s="2">
        <v>28428</v>
      </c>
      <c r="B28433" s="11" t="str">
        <f>"01065082"</f>
        <v>01065082</v>
      </c>
    </row>
    <row r="28434" spans="1:2" x14ac:dyDescent="0.25">
      <c r="A28434" s="2">
        <v>28429</v>
      </c>
      <c r="B28434" s="11" t="str">
        <f>"01065084"</f>
        <v>01065084</v>
      </c>
    </row>
    <row r="28435" spans="1:2" x14ac:dyDescent="0.25">
      <c r="A28435" s="2">
        <v>28430</v>
      </c>
      <c r="B28435" s="11" t="str">
        <f>"01065089"</f>
        <v>01065089</v>
      </c>
    </row>
    <row r="28436" spans="1:2" x14ac:dyDescent="0.25">
      <c r="A28436" s="2">
        <v>28431</v>
      </c>
      <c r="B28436" s="11" t="str">
        <f>"01065097"</f>
        <v>01065097</v>
      </c>
    </row>
    <row r="28437" spans="1:2" x14ac:dyDescent="0.25">
      <c r="A28437" s="2">
        <v>28432</v>
      </c>
      <c r="B28437" s="11" t="str">
        <f>"01065099"</f>
        <v>01065099</v>
      </c>
    </row>
    <row r="28438" spans="1:2" x14ac:dyDescent="0.25">
      <c r="A28438" s="2">
        <v>28433</v>
      </c>
      <c r="B28438" s="11" t="str">
        <f>"01065103"</f>
        <v>01065103</v>
      </c>
    </row>
    <row r="28439" spans="1:2" x14ac:dyDescent="0.25">
      <c r="A28439" s="2">
        <v>28434</v>
      </c>
      <c r="B28439" s="11" t="str">
        <f>"01065106"</f>
        <v>01065106</v>
      </c>
    </row>
    <row r="28440" spans="1:2" x14ac:dyDescent="0.25">
      <c r="A28440" s="2">
        <v>28435</v>
      </c>
      <c r="B28440" s="11" t="str">
        <f>"01065109"</f>
        <v>01065109</v>
      </c>
    </row>
    <row r="28441" spans="1:2" x14ac:dyDescent="0.25">
      <c r="A28441" s="2">
        <v>28436</v>
      </c>
      <c r="B28441" s="11" t="str">
        <f>"01065115"</f>
        <v>01065115</v>
      </c>
    </row>
    <row r="28442" spans="1:2" x14ac:dyDescent="0.25">
      <c r="A28442" s="2">
        <v>28437</v>
      </c>
      <c r="B28442" s="11" t="str">
        <f>"01065116"</f>
        <v>01065116</v>
      </c>
    </row>
    <row r="28443" spans="1:2" x14ac:dyDescent="0.25">
      <c r="A28443" s="2">
        <v>28438</v>
      </c>
      <c r="B28443" s="11" t="str">
        <f>"01065118"</f>
        <v>01065118</v>
      </c>
    </row>
    <row r="28444" spans="1:2" x14ac:dyDescent="0.25">
      <c r="A28444" s="2">
        <v>28439</v>
      </c>
      <c r="B28444" s="11" t="str">
        <f>"01065128"</f>
        <v>01065128</v>
      </c>
    </row>
    <row r="28445" spans="1:2" x14ac:dyDescent="0.25">
      <c r="A28445" s="2">
        <v>28440</v>
      </c>
      <c r="B28445" s="11" t="str">
        <f>"01065135"</f>
        <v>01065135</v>
      </c>
    </row>
    <row r="28446" spans="1:2" x14ac:dyDescent="0.25">
      <c r="A28446" s="2">
        <v>28441</v>
      </c>
      <c r="B28446" s="11" t="str">
        <f>"01065136"</f>
        <v>01065136</v>
      </c>
    </row>
    <row r="28447" spans="1:2" x14ac:dyDescent="0.25">
      <c r="A28447" s="2">
        <v>28442</v>
      </c>
      <c r="B28447" s="11" t="str">
        <f>"01065150"</f>
        <v>01065150</v>
      </c>
    </row>
    <row r="28448" spans="1:2" x14ac:dyDescent="0.25">
      <c r="A28448" s="2">
        <v>28443</v>
      </c>
      <c r="B28448" s="11" t="str">
        <f>"01065151"</f>
        <v>01065151</v>
      </c>
    </row>
    <row r="28449" spans="1:2" x14ac:dyDescent="0.25">
      <c r="A28449" s="2">
        <v>28444</v>
      </c>
      <c r="B28449" s="11" t="str">
        <f>"01065152"</f>
        <v>01065152</v>
      </c>
    </row>
    <row r="28450" spans="1:2" x14ac:dyDescent="0.25">
      <c r="A28450" s="2">
        <v>28445</v>
      </c>
      <c r="B28450" s="11" t="str">
        <f>"01065154"</f>
        <v>01065154</v>
      </c>
    </row>
    <row r="28451" spans="1:2" x14ac:dyDescent="0.25">
      <c r="A28451" s="2">
        <v>28446</v>
      </c>
      <c r="B28451" s="11" t="str">
        <f>"01065164"</f>
        <v>01065164</v>
      </c>
    </row>
    <row r="28452" spans="1:2" x14ac:dyDescent="0.25">
      <c r="A28452" s="2">
        <v>28447</v>
      </c>
      <c r="B28452" s="11" t="str">
        <f>"01065168"</f>
        <v>01065168</v>
      </c>
    </row>
    <row r="28453" spans="1:2" x14ac:dyDescent="0.25">
      <c r="A28453" s="2">
        <v>28448</v>
      </c>
      <c r="B28453" s="11" t="str">
        <f>"01065169"</f>
        <v>01065169</v>
      </c>
    </row>
    <row r="28454" spans="1:2" x14ac:dyDescent="0.25">
      <c r="A28454" s="2">
        <v>28449</v>
      </c>
      <c r="B28454" s="11" t="str">
        <f>"01065181"</f>
        <v>01065181</v>
      </c>
    </row>
    <row r="28455" spans="1:2" x14ac:dyDescent="0.25">
      <c r="A28455" s="2">
        <v>28450</v>
      </c>
      <c r="B28455" s="11" t="str">
        <f>"01065182"</f>
        <v>01065182</v>
      </c>
    </row>
    <row r="28456" spans="1:2" x14ac:dyDescent="0.25">
      <c r="A28456" s="2">
        <v>28451</v>
      </c>
      <c r="B28456" s="11" t="str">
        <f>"01065183"</f>
        <v>01065183</v>
      </c>
    </row>
    <row r="28457" spans="1:2" x14ac:dyDescent="0.25">
      <c r="A28457" s="2">
        <v>28452</v>
      </c>
      <c r="B28457" s="11" t="str">
        <f>"01065184"</f>
        <v>01065184</v>
      </c>
    </row>
    <row r="28458" spans="1:2" x14ac:dyDescent="0.25">
      <c r="A28458" s="2">
        <v>28453</v>
      </c>
      <c r="B28458" s="11" t="str">
        <f>"01065191"</f>
        <v>01065191</v>
      </c>
    </row>
    <row r="28459" spans="1:2" x14ac:dyDescent="0.25">
      <c r="A28459" s="2">
        <v>28454</v>
      </c>
      <c r="B28459" s="11" t="str">
        <f>"01065192"</f>
        <v>01065192</v>
      </c>
    </row>
    <row r="28460" spans="1:2" x14ac:dyDescent="0.25">
      <c r="A28460" s="2">
        <v>28455</v>
      </c>
      <c r="B28460" s="11" t="str">
        <f>"01065203"</f>
        <v>01065203</v>
      </c>
    </row>
    <row r="28461" spans="1:2" x14ac:dyDescent="0.25">
      <c r="A28461" s="2">
        <v>28456</v>
      </c>
      <c r="B28461" s="11" t="str">
        <f>"01065205"</f>
        <v>01065205</v>
      </c>
    </row>
    <row r="28462" spans="1:2" x14ac:dyDescent="0.25">
      <c r="A28462" s="2">
        <v>28457</v>
      </c>
      <c r="B28462" s="11" t="str">
        <f>"01065209"</f>
        <v>01065209</v>
      </c>
    </row>
    <row r="28463" spans="1:2" x14ac:dyDescent="0.25">
      <c r="A28463" s="2">
        <v>28458</v>
      </c>
      <c r="B28463" s="11" t="str">
        <f>"01065215"</f>
        <v>01065215</v>
      </c>
    </row>
    <row r="28464" spans="1:2" x14ac:dyDescent="0.25">
      <c r="A28464" s="2">
        <v>28459</v>
      </c>
      <c r="B28464" s="11" t="str">
        <f>"01065219"</f>
        <v>01065219</v>
      </c>
    </row>
    <row r="28465" spans="1:2" x14ac:dyDescent="0.25">
      <c r="A28465" s="2">
        <v>28460</v>
      </c>
      <c r="B28465" s="11" t="str">
        <f>"01065220"</f>
        <v>01065220</v>
      </c>
    </row>
    <row r="28466" spans="1:2" x14ac:dyDescent="0.25">
      <c r="A28466" s="2">
        <v>28461</v>
      </c>
      <c r="B28466" s="11" t="str">
        <f>"01065226"</f>
        <v>01065226</v>
      </c>
    </row>
    <row r="28467" spans="1:2" x14ac:dyDescent="0.25">
      <c r="A28467" s="2">
        <v>28462</v>
      </c>
      <c r="B28467" s="11" t="str">
        <f>"01065234"</f>
        <v>01065234</v>
      </c>
    </row>
    <row r="28468" spans="1:2" x14ac:dyDescent="0.25">
      <c r="A28468" s="2">
        <v>28463</v>
      </c>
      <c r="B28468" s="11" t="str">
        <f>"01065236"</f>
        <v>01065236</v>
      </c>
    </row>
    <row r="28469" spans="1:2" x14ac:dyDescent="0.25">
      <c r="A28469" s="2">
        <v>28464</v>
      </c>
      <c r="B28469" s="11" t="str">
        <f>"01065237"</f>
        <v>01065237</v>
      </c>
    </row>
    <row r="28470" spans="1:2" x14ac:dyDescent="0.25">
      <c r="A28470" s="2">
        <v>28465</v>
      </c>
      <c r="B28470" s="11" t="str">
        <f>"01065240"</f>
        <v>01065240</v>
      </c>
    </row>
    <row r="28471" spans="1:2" x14ac:dyDescent="0.25">
      <c r="A28471" s="2">
        <v>28466</v>
      </c>
      <c r="B28471" s="11" t="str">
        <f>"01065260"</f>
        <v>01065260</v>
      </c>
    </row>
    <row r="28472" spans="1:2" x14ac:dyDescent="0.25">
      <c r="A28472" s="2">
        <v>28467</v>
      </c>
      <c r="B28472" s="11" t="str">
        <f>"01065262"</f>
        <v>01065262</v>
      </c>
    </row>
    <row r="28473" spans="1:2" x14ac:dyDescent="0.25">
      <c r="A28473" s="2">
        <v>28468</v>
      </c>
      <c r="B28473" s="11" t="str">
        <f>"01065273"</f>
        <v>01065273</v>
      </c>
    </row>
    <row r="28474" spans="1:2" x14ac:dyDescent="0.25">
      <c r="A28474" s="2">
        <v>28469</v>
      </c>
      <c r="B28474" s="11" t="str">
        <f>"01065276"</f>
        <v>01065276</v>
      </c>
    </row>
    <row r="28475" spans="1:2" x14ac:dyDescent="0.25">
      <c r="A28475" s="2">
        <v>28470</v>
      </c>
      <c r="B28475" s="11" t="str">
        <f>"01065281"</f>
        <v>01065281</v>
      </c>
    </row>
    <row r="28476" spans="1:2" x14ac:dyDescent="0.25">
      <c r="A28476" s="2">
        <v>28471</v>
      </c>
      <c r="B28476" s="11" t="str">
        <f>"01065304"</f>
        <v>01065304</v>
      </c>
    </row>
    <row r="28477" spans="1:2" x14ac:dyDescent="0.25">
      <c r="A28477" s="2">
        <v>28472</v>
      </c>
      <c r="B28477" s="11" t="str">
        <f>"01065308"</f>
        <v>01065308</v>
      </c>
    </row>
    <row r="28478" spans="1:2" x14ac:dyDescent="0.25">
      <c r="A28478" s="2">
        <v>28473</v>
      </c>
      <c r="B28478" s="11" t="str">
        <f>"01065318"</f>
        <v>01065318</v>
      </c>
    </row>
    <row r="28479" spans="1:2" x14ac:dyDescent="0.25">
      <c r="A28479" s="2">
        <v>28474</v>
      </c>
      <c r="B28479" s="11" t="str">
        <f>"01065324"</f>
        <v>01065324</v>
      </c>
    </row>
    <row r="28480" spans="1:2" x14ac:dyDescent="0.25">
      <c r="A28480" s="2">
        <v>28475</v>
      </c>
      <c r="B28480" s="11" t="str">
        <f>"01065326"</f>
        <v>01065326</v>
      </c>
    </row>
    <row r="28481" spans="1:2" x14ac:dyDescent="0.25">
      <c r="A28481" s="2">
        <v>28476</v>
      </c>
      <c r="B28481" s="11" t="str">
        <f>"01065327"</f>
        <v>01065327</v>
      </c>
    </row>
    <row r="28482" spans="1:2" x14ac:dyDescent="0.25">
      <c r="A28482" s="2">
        <v>28477</v>
      </c>
      <c r="B28482" s="11" t="str">
        <f>"01065339"</f>
        <v>01065339</v>
      </c>
    </row>
    <row r="28483" spans="1:2" x14ac:dyDescent="0.25">
      <c r="A28483" s="2">
        <v>28478</v>
      </c>
      <c r="B28483" s="11" t="str">
        <f>"01065341"</f>
        <v>01065341</v>
      </c>
    </row>
    <row r="28484" spans="1:2" x14ac:dyDescent="0.25">
      <c r="A28484" s="2">
        <v>28479</v>
      </c>
      <c r="B28484" s="11" t="str">
        <f>"01065349"</f>
        <v>01065349</v>
      </c>
    </row>
    <row r="28485" spans="1:2" x14ac:dyDescent="0.25">
      <c r="A28485" s="2">
        <v>28480</v>
      </c>
      <c r="B28485" s="11" t="str">
        <f>"01065354"</f>
        <v>01065354</v>
      </c>
    </row>
    <row r="28486" spans="1:2" x14ac:dyDescent="0.25">
      <c r="A28486" s="2">
        <v>28481</v>
      </c>
      <c r="B28486" s="11" t="str">
        <f>"01065356"</f>
        <v>01065356</v>
      </c>
    </row>
    <row r="28487" spans="1:2" x14ac:dyDescent="0.25">
      <c r="A28487" s="2">
        <v>28482</v>
      </c>
      <c r="B28487" s="11" t="str">
        <f>"01065361"</f>
        <v>01065361</v>
      </c>
    </row>
    <row r="28488" spans="1:2" x14ac:dyDescent="0.25">
      <c r="A28488" s="2">
        <v>28483</v>
      </c>
      <c r="B28488" s="11" t="str">
        <f>"01065372"</f>
        <v>01065372</v>
      </c>
    </row>
    <row r="28489" spans="1:2" x14ac:dyDescent="0.25">
      <c r="A28489" s="2">
        <v>28484</v>
      </c>
      <c r="B28489" s="11" t="str">
        <f>"01065379"</f>
        <v>01065379</v>
      </c>
    </row>
    <row r="28490" spans="1:2" x14ac:dyDescent="0.25">
      <c r="A28490" s="2">
        <v>28485</v>
      </c>
      <c r="B28490" s="11" t="str">
        <f>"01065382"</f>
        <v>01065382</v>
      </c>
    </row>
    <row r="28491" spans="1:2" x14ac:dyDescent="0.25">
      <c r="A28491" s="2">
        <v>28486</v>
      </c>
      <c r="B28491" s="11" t="str">
        <f>"01065386"</f>
        <v>01065386</v>
      </c>
    </row>
    <row r="28492" spans="1:2" x14ac:dyDescent="0.25">
      <c r="A28492" s="2">
        <v>28487</v>
      </c>
      <c r="B28492" s="11" t="str">
        <f>"01065387"</f>
        <v>01065387</v>
      </c>
    </row>
    <row r="28493" spans="1:2" x14ac:dyDescent="0.25">
      <c r="A28493" s="2">
        <v>28488</v>
      </c>
      <c r="B28493" s="11" t="str">
        <f>"01065388"</f>
        <v>01065388</v>
      </c>
    </row>
    <row r="28494" spans="1:2" x14ac:dyDescent="0.25">
      <c r="A28494" s="2">
        <v>28489</v>
      </c>
      <c r="B28494" s="11" t="str">
        <f>"01065389"</f>
        <v>01065389</v>
      </c>
    </row>
    <row r="28495" spans="1:2" x14ac:dyDescent="0.25">
      <c r="A28495" s="2">
        <v>28490</v>
      </c>
      <c r="B28495" s="11" t="str">
        <f>"01065394"</f>
        <v>01065394</v>
      </c>
    </row>
    <row r="28496" spans="1:2" x14ac:dyDescent="0.25">
      <c r="A28496" s="2">
        <v>28491</v>
      </c>
      <c r="B28496" s="11" t="str">
        <f>"01065402"</f>
        <v>01065402</v>
      </c>
    </row>
    <row r="28497" spans="1:2" x14ac:dyDescent="0.25">
      <c r="A28497" s="2">
        <v>28492</v>
      </c>
      <c r="B28497" s="11" t="str">
        <f>"01065403"</f>
        <v>01065403</v>
      </c>
    </row>
    <row r="28498" spans="1:2" x14ac:dyDescent="0.25">
      <c r="A28498" s="2">
        <v>28493</v>
      </c>
      <c r="B28498" s="11" t="str">
        <f>"01065405"</f>
        <v>01065405</v>
      </c>
    </row>
    <row r="28499" spans="1:2" x14ac:dyDescent="0.25">
      <c r="A28499" s="2">
        <v>28494</v>
      </c>
      <c r="B28499" s="11" t="str">
        <f>"01065407"</f>
        <v>01065407</v>
      </c>
    </row>
    <row r="28500" spans="1:2" x14ac:dyDescent="0.25">
      <c r="A28500" s="2">
        <v>28495</v>
      </c>
      <c r="B28500" s="11" t="str">
        <f>"01065408"</f>
        <v>01065408</v>
      </c>
    </row>
    <row r="28501" spans="1:2" x14ac:dyDescent="0.25">
      <c r="A28501" s="2">
        <v>28496</v>
      </c>
      <c r="B28501" s="11" t="str">
        <f>"01065410"</f>
        <v>01065410</v>
      </c>
    </row>
    <row r="28502" spans="1:2" x14ac:dyDescent="0.25">
      <c r="A28502" s="2">
        <v>28497</v>
      </c>
      <c r="B28502" s="11" t="str">
        <f>"01065412"</f>
        <v>01065412</v>
      </c>
    </row>
    <row r="28503" spans="1:2" x14ac:dyDescent="0.25">
      <c r="A28503" s="2">
        <v>28498</v>
      </c>
      <c r="B28503" s="11" t="str">
        <f>"01065417"</f>
        <v>01065417</v>
      </c>
    </row>
    <row r="28504" spans="1:2" x14ac:dyDescent="0.25">
      <c r="A28504" s="2">
        <v>28499</v>
      </c>
      <c r="B28504" s="11" t="str">
        <f>"01065422"</f>
        <v>01065422</v>
      </c>
    </row>
    <row r="28505" spans="1:2" x14ac:dyDescent="0.25">
      <c r="A28505" s="2">
        <v>28500</v>
      </c>
      <c r="B28505" s="11" t="str">
        <f>"01065423"</f>
        <v>01065423</v>
      </c>
    </row>
    <row r="28506" spans="1:2" x14ac:dyDescent="0.25">
      <c r="A28506" s="2">
        <v>28501</v>
      </c>
      <c r="B28506" s="11" t="str">
        <f>"01065428"</f>
        <v>01065428</v>
      </c>
    </row>
    <row r="28507" spans="1:2" x14ac:dyDescent="0.25">
      <c r="A28507" s="2">
        <v>28502</v>
      </c>
      <c r="B28507" s="11" t="str">
        <f>"01065437"</f>
        <v>01065437</v>
      </c>
    </row>
    <row r="28508" spans="1:2" x14ac:dyDescent="0.25">
      <c r="A28508" s="2">
        <v>28503</v>
      </c>
      <c r="B28508" s="11" t="str">
        <f>"01065440"</f>
        <v>01065440</v>
      </c>
    </row>
    <row r="28509" spans="1:2" x14ac:dyDescent="0.25">
      <c r="A28509" s="2">
        <v>28504</v>
      </c>
      <c r="B28509" s="11" t="str">
        <f>"01065447"</f>
        <v>01065447</v>
      </c>
    </row>
    <row r="28510" spans="1:2" x14ac:dyDescent="0.25">
      <c r="A28510" s="2">
        <v>28505</v>
      </c>
      <c r="B28510" s="11" t="str">
        <f>"01065454"</f>
        <v>01065454</v>
      </c>
    </row>
    <row r="28511" spans="1:2" x14ac:dyDescent="0.25">
      <c r="A28511" s="2">
        <v>28506</v>
      </c>
      <c r="B28511" s="11" t="str">
        <f>"01065464"</f>
        <v>01065464</v>
      </c>
    </row>
    <row r="28512" spans="1:2" x14ac:dyDescent="0.25">
      <c r="A28512" s="2">
        <v>28507</v>
      </c>
      <c r="B28512" s="11" t="str">
        <f>"01065466"</f>
        <v>01065466</v>
      </c>
    </row>
    <row r="28513" spans="1:2" x14ac:dyDescent="0.25">
      <c r="A28513" s="2">
        <v>28508</v>
      </c>
      <c r="B28513" s="11" t="str">
        <f>"01065468"</f>
        <v>01065468</v>
      </c>
    </row>
    <row r="28514" spans="1:2" x14ac:dyDescent="0.25">
      <c r="A28514" s="2">
        <v>28509</v>
      </c>
      <c r="B28514" s="11" t="str">
        <f>"01065472"</f>
        <v>01065472</v>
      </c>
    </row>
    <row r="28515" spans="1:2" x14ac:dyDescent="0.25">
      <c r="A28515" s="2">
        <v>28510</v>
      </c>
      <c r="B28515" s="11" t="str">
        <f>"01065483"</f>
        <v>01065483</v>
      </c>
    </row>
    <row r="28516" spans="1:2" x14ac:dyDescent="0.25">
      <c r="A28516" s="2">
        <v>28511</v>
      </c>
      <c r="B28516" s="11" t="str">
        <f>"01065484"</f>
        <v>01065484</v>
      </c>
    </row>
    <row r="28517" spans="1:2" x14ac:dyDescent="0.25">
      <c r="A28517" s="2">
        <v>28512</v>
      </c>
      <c r="B28517" s="11" t="str">
        <f>"01065489"</f>
        <v>01065489</v>
      </c>
    </row>
    <row r="28518" spans="1:2" x14ac:dyDescent="0.25">
      <c r="A28518" s="2">
        <v>28513</v>
      </c>
      <c r="B28518" s="11" t="str">
        <f>"01065491"</f>
        <v>01065491</v>
      </c>
    </row>
    <row r="28519" spans="1:2" x14ac:dyDescent="0.25">
      <c r="A28519" s="2">
        <v>28514</v>
      </c>
      <c r="B28519" s="11" t="str">
        <f>"01065492"</f>
        <v>01065492</v>
      </c>
    </row>
    <row r="28520" spans="1:2" x14ac:dyDescent="0.25">
      <c r="A28520" s="2">
        <v>28515</v>
      </c>
      <c r="B28520" s="11" t="str">
        <f>"01065494"</f>
        <v>01065494</v>
      </c>
    </row>
    <row r="28521" spans="1:2" x14ac:dyDescent="0.25">
      <c r="A28521" s="2">
        <v>28516</v>
      </c>
      <c r="B28521" s="11" t="str">
        <f>"01065498"</f>
        <v>01065498</v>
      </c>
    </row>
    <row r="28522" spans="1:2" x14ac:dyDescent="0.25">
      <c r="A28522" s="2">
        <v>28517</v>
      </c>
      <c r="B28522" s="11" t="str">
        <f>"01065502"</f>
        <v>01065502</v>
      </c>
    </row>
    <row r="28523" spans="1:2" x14ac:dyDescent="0.25">
      <c r="A28523" s="2">
        <v>28518</v>
      </c>
      <c r="B28523" s="11" t="str">
        <f>"01065508"</f>
        <v>01065508</v>
      </c>
    </row>
    <row r="28524" spans="1:2" x14ac:dyDescent="0.25">
      <c r="A28524" s="2">
        <v>28519</v>
      </c>
      <c r="B28524" s="11" t="str">
        <f>"01065509"</f>
        <v>01065509</v>
      </c>
    </row>
    <row r="28525" spans="1:2" x14ac:dyDescent="0.25">
      <c r="A28525" s="2">
        <v>28520</v>
      </c>
      <c r="B28525" s="11" t="str">
        <f>"01065513"</f>
        <v>01065513</v>
      </c>
    </row>
    <row r="28526" spans="1:2" x14ac:dyDescent="0.25">
      <c r="A28526" s="2">
        <v>28521</v>
      </c>
      <c r="B28526" s="11" t="str">
        <f>"01065514"</f>
        <v>01065514</v>
      </c>
    </row>
    <row r="28527" spans="1:2" x14ac:dyDescent="0.25">
      <c r="A28527" s="2">
        <v>28522</v>
      </c>
      <c r="B28527" s="11" t="str">
        <f>"01065518"</f>
        <v>01065518</v>
      </c>
    </row>
    <row r="28528" spans="1:2" x14ac:dyDescent="0.25">
      <c r="A28528" s="2">
        <v>28523</v>
      </c>
      <c r="B28528" s="11" t="str">
        <f>"01065522"</f>
        <v>01065522</v>
      </c>
    </row>
    <row r="28529" spans="1:2" x14ac:dyDescent="0.25">
      <c r="A28529" s="2">
        <v>28524</v>
      </c>
      <c r="B28529" s="11" t="str">
        <f>"01065525"</f>
        <v>01065525</v>
      </c>
    </row>
    <row r="28530" spans="1:2" x14ac:dyDescent="0.25">
      <c r="A28530" s="2">
        <v>28525</v>
      </c>
      <c r="B28530" s="11" t="str">
        <f>"01065533"</f>
        <v>01065533</v>
      </c>
    </row>
    <row r="28531" spans="1:2" x14ac:dyDescent="0.25">
      <c r="A28531" s="2">
        <v>28526</v>
      </c>
      <c r="B28531" s="11" t="str">
        <f>"01065535"</f>
        <v>01065535</v>
      </c>
    </row>
    <row r="28532" spans="1:2" x14ac:dyDescent="0.25">
      <c r="A28532" s="2">
        <v>28527</v>
      </c>
      <c r="B28532" s="11" t="str">
        <f>"01065536"</f>
        <v>01065536</v>
      </c>
    </row>
    <row r="28533" spans="1:2" x14ac:dyDescent="0.25">
      <c r="A28533" s="2">
        <v>28528</v>
      </c>
      <c r="B28533" s="11" t="str">
        <f>"01065538"</f>
        <v>01065538</v>
      </c>
    </row>
    <row r="28534" spans="1:2" x14ac:dyDescent="0.25">
      <c r="A28534" s="2">
        <v>28529</v>
      </c>
      <c r="B28534" s="11" t="str">
        <f>"01065542"</f>
        <v>01065542</v>
      </c>
    </row>
    <row r="28535" spans="1:2" x14ac:dyDescent="0.25">
      <c r="A28535" s="2">
        <v>28530</v>
      </c>
      <c r="B28535" s="11" t="str">
        <f>"01065548"</f>
        <v>01065548</v>
      </c>
    </row>
    <row r="28536" spans="1:2" x14ac:dyDescent="0.25">
      <c r="A28536" s="2">
        <v>28531</v>
      </c>
      <c r="B28536" s="11" t="str">
        <f>"01065554"</f>
        <v>01065554</v>
      </c>
    </row>
    <row r="28537" spans="1:2" x14ac:dyDescent="0.25">
      <c r="A28537" s="2">
        <v>28532</v>
      </c>
      <c r="B28537" s="11" t="str">
        <f>"01065556"</f>
        <v>01065556</v>
      </c>
    </row>
    <row r="28538" spans="1:2" x14ac:dyDescent="0.25">
      <c r="A28538" s="2">
        <v>28533</v>
      </c>
      <c r="B28538" s="11" t="str">
        <f>"01065558"</f>
        <v>01065558</v>
      </c>
    </row>
    <row r="28539" spans="1:2" x14ac:dyDescent="0.25">
      <c r="A28539" s="2">
        <v>28534</v>
      </c>
      <c r="B28539" s="11" t="str">
        <f>"01065560"</f>
        <v>01065560</v>
      </c>
    </row>
    <row r="28540" spans="1:2" x14ac:dyDescent="0.25">
      <c r="A28540" s="2">
        <v>28535</v>
      </c>
      <c r="B28540" s="11" t="str">
        <f>"01065562"</f>
        <v>01065562</v>
      </c>
    </row>
    <row r="28541" spans="1:2" x14ac:dyDescent="0.25">
      <c r="A28541" s="2">
        <v>28536</v>
      </c>
      <c r="B28541" s="11" t="str">
        <f>"01065564"</f>
        <v>01065564</v>
      </c>
    </row>
    <row r="28542" spans="1:2" x14ac:dyDescent="0.25">
      <c r="A28542" s="2">
        <v>28537</v>
      </c>
      <c r="B28542" s="11" t="str">
        <f>"01065573"</f>
        <v>01065573</v>
      </c>
    </row>
    <row r="28543" spans="1:2" x14ac:dyDescent="0.25">
      <c r="A28543" s="2">
        <v>28538</v>
      </c>
      <c r="B28543" s="11" t="str">
        <f>"01065575"</f>
        <v>01065575</v>
      </c>
    </row>
    <row r="28544" spans="1:2" x14ac:dyDescent="0.25">
      <c r="A28544" s="2">
        <v>28539</v>
      </c>
      <c r="B28544" s="11" t="str">
        <f>"01065581"</f>
        <v>01065581</v>
      </c>
    </row>
    <row r="28545" spans="1:2" x14ac:dyDescent="0.25">
      <c r="A28545" s="2">
        <v>28540</v>
      </c>
      <c r="B28545" s="11" t="str">
        <f>"01065582"</f>
        <v>01065582</v>
      </c>
    </row>
    <row r="28546" spans="1:2" x14ac:dyDescent="0.25">
      <c r="A28546" s="2">
        <v>28541</v>
      </c>
      <c r="B28546" s="11" t="str">
        <f>"01065587"</f>
        <v>01065587</v>
      </c>
    </row>
    <row r="28547" spans="1:2" x14ac:dyDescent="0.25">
      <c r="A28547" s="2">
        <v>28542</v>
      </c>
      <c r="B28547" s="11" t="str">
        <f>"01065591"</f>
        <v>01065591</v>
      </c>
    </row>
    <row r="28548" spans="1:2" x14ac:dyDescent="0.25">
      <c r="A28548" s="2">
        <v>28543</v>
      </c>
      <c r="B28548" s="11" t="str">
        <f>"01065593"</f>
        <v>01065593</v>
      </c>
    </row>
    <row r="28549" spans="1:2" x14ac:dyDescent="0.25">
      <c r="A28549" s="2">
        <v>28544</v>
      </c>
      <c r="B28549" s="11" t="str">
        <f>"01065594"</f>
        <v>01065594</v>
      </c>
    </row>
    <row r="28550" spans="1:2" x14ac:dyDescent="0.25">
      <c r="A28550" s="2">
        <v>28545</v>
      </c>
      <c r="B28550" s="11" t="str">
        <f>"01065596"</f>
        <v>01065596</v>
      </c>
    </row>
    <row r="28551" spans="1:2" x14ac:dyDescent="0.25">
      <c r="A28551" s="2">
        <v>28546</v>
      </c>
      <c r="B28551" s="11" t="str">
        <f>"01065599"</f>
        <v>01065599</v>
      </c>
    </row>
    <row r="28552" spans="1:2" x14ac:dyDescent="0.25">
      <c r="A28552" s="2">
        <v>28547</v>
      </c>
      <c r="B28552" s="11" t="str">
        <f>"01065604"</f>
        <v>01065604</v>
      </c>
    </row>
    <row r="28553" spans="1:2" x14ac:dyDescent="0.25">
      <c r="A28553" s="2">
        <v>28548</v>
      </c>
      <c r="B28553" s="11" t="str">
        <f>"01065610"</f>
        <v>01065610</v>
      </c>
    </row>
    <row r="28554" spans="1:2" x14ac:dyDescent="0.25">
      <c r="A28554" s="2">
        <v>28549</v>
      </c>
      <c r="B28554" s="11" t="str">
        <f>"01065611"</f>
        <v>01065611</v>
      </c>
    </row>
    <row r="28555" spans="1:2" x14ac:dyDescent="0.25">
      <c r="A28555" s="2">
        <v>28550</v>
      </c>
      <c r="B28555" s="11" t="str">
        <f>"01065612"</f>
        <v>01065612</v>
      </c>
    </row>
    <row r="28556" spans="1:2" x14ac:dyDescent="0.25">
      <c r="A28556" s="2">
        <v>28551</v>
      </c>
      <c r="B28556" s="11" t="str">
        <f>"01065615"</f>
        <v>01065615</v>
      </c>
    </row>
    <row r="28557" spans="1:2" x14ac:dyDescent="0.25">
      <c r="A28557" s="2">
        <v>28552</v>
      </c>
      <c r="B28557" s="11" t="str">
        <f>"01065622"</f>
        <v>01065622</v>
      </c>
    </row>
    <row r="28558" spans="1:2" x14ac:dyDescent="0.25">
      <c r="A28558" s="2">
        <v>28553</v>
      </c>
      <c r="B28558" s="11" t="str">
        <f>"01065624"</f>
        <v>01065624</v>
      </c>
    </row>
    <row r="28559" spans="1:2" x14ac:dyDescent="0.25">
      <c r="A28559" s="2">
        <v>28554</v>
      </c>
      <c r="B28559" s="11" t="str">
        <f>"01065626"</f>
        <v>01065626</v>
      </c>
    </row>
    <row r="28560" spans="1:2" x14ac:dyDescent="0.25">
      <c r="A28560" s="2">
        <v>28555</v>
      </c>
      <c r="B28560" s="11" t="str">
        <f>"01065630"</f>
        <v>01065630</v>
      </c>
    </row>
    <row r="28561" spans="1:2" x14ac:dyDescent="0.25">
      <c r="A28561" s="2">
        <v>28556</v>
      </c>
      <c r="B28561" s="11" t="str">
        <f>"01065633"</f>
        <v>01065633</v>
      </c>
    </row>
    <row r="28562" spans="1:2" x14ac:dyDescent="0.25">
      <c r="A28562" s="2">
        <v>28557</v>
      </c>
      <c r="B28562" s="11" t="str">
        <f>"01065634"</f>
        <v>01065634</v>
      </c>
    </row>
    <row r="28563" spans="1:2" x14ac:dyDescent="0.25">
      <c r="A28563" s="2">
        <v>28558</v>
      </c>
      <c r="B28563" s="11" t="str">
        <f>"01065636"</f>
        <v>01065636</v>
      </c>
    </row>
    <row r="28564" spans="1:2" x14ac:dyDescent="0.25">
      <c r="A28564" s="2">
        <v>28559</v>
      </c>
      <c r="B28564" s="11" t="str">
        <f>"01065645"</f>
        <v>01065645</v>
      </c>
    </row>
    <row r="28565" spans="1:2" x14ac:dyDescent="0.25">
      <c r="A28565" s="2">
        <v>28560</v>
      </c>
      <c r="B28565" s="11" t="str">
        <f>"01065646"</f>
        <v>01065646</v>
      </c>
    </row>
    <row r="28566" spans="1:2" x14ac:dyDescent="0.25">
      <c r="A28566" s="2">
        <v>28561</v>
      </c>
      <c r="B28566" s="11" t="str">
        <f>"01065649"</f>
        <v>01065649</v>
      </c>
    </row>
    <row r="28567" spans="1:2" x14ac:dyDescent="0.25">
      <c r="A28567" s="2">
        <v>28562</v>
      </c>
      <c r="B28567" s="11" t="str">
        <f>"01065657"</f>
        <v>01065657</v>
      </c>
    </row>
    <row r="28568" spans="1:2" x14ac:dyDescent="0.25">
      <c r="A28568" s="2">
        <v>28563</v>
      </c>
      <c r="B28568" s="11" t="str">
        <f>"01065658"</f>
        <v>01065658</v>
      </c>
    </row>
    <row r="28569" spans="1:2" x14ac:dyDescent="0.25">
      <c r="A28569" s="2">
        <v>28564</v>
      </c>
      <c r="B28569" s="11" t="str">
        <f>"01065660"</f>
        <v>01065660</v>
      </c>
    </row>
    <row r="28570" spans="1:2" x14ac:dyDescent="0.25">
      <c r="A28570" s="2">
        <v>28565</v>
      </c>
      <c r="B28570" s="11" t="str">
        <f>"01065671"</f>
        <v>01065671</v>
      </c>
    </row>
    <row r="28571" spans="1:2" x14ac:dyDescent="0.25">
      <c r="A28571" s="2">
        <v>28566</v>
      </c>
      <c r="B28571" s="11" t="str">
        <f>"01065681"</f>
        <v>01065681</v>
      </c>
    </row>
    <row r="28572" spans="1:2" x14ac:dyDescent="0.25">
      <c r="A28572" s="2">
        <v>28567</v>
      </c>
      <c r="B28572" s="11" t="str">
        <f>"01065684"</f>
        <v>01065684</v>
      </c>
    </row>
    <row r="28573" spans="1:2" x14ac:dyDescent="0.25">
      <c r="A28573" s="2">
        <v>28568</v>
      </c>
      <c r="B28573" s="11" t="str">
        <f>"01065689"</f>
        <v>01065689</v>
      </c>
    </row>
    <row r="28574" spans="1:2" x14ac:dyDescent="0.25">
      <c r="A28574" s="2">
        <v>28569</v>
      </c>
      <c r="B28574" s="11" t="str">
        <f>"01065694"</f>
        <v>01065694</v>
      </c>
    </row>
    <row r="28575" spans="1:2" x14ac:dyDescent="0.25">
      <c r="A28575" s="2">
        <v>28570</v>
      </c>
      <c r="B28575" s="11" t="str">
        <f>"01065700"</f>
        <v>01065700</v>
      </c>
    </row>
    <row r="28576" spans="1:2" x14ac:dyDescent="0.25">
      <c r="A28576" s="2">
        <v>28571</v>
      </c>
      <c r="B28576" s="11" t="str">
        <f>"01065701"</f>
        <v>01065701</v>
      </c>
    </row>
    <row r="28577" spans="1:2" x14ac:dyDescent="0.25">
      <c r="A28577" s="2">
        <v>28572</v>
      </c>
      <c r="B28577" s="11" t="str">
        <f>"01065702"</f>
        <v>01065702</v>
      </c>
    </row>
    <row r="28578" spans="1:2" x14ac:dyDescent="0.25">
      <c r="A28578" s="2">
        <v>28573</v>
      </c>
      <c r="B28578" s="11" t="str">
        <f>"01065710"</f>
        <v>01065710</v>
      </c>
    </row>
    <row r="28579" spans="1:2" x14ac:dyDescent="0.25">
      <c r="A28579" s="2">
        <v>28574</v>
      </c>
      <c r="B28579" s="11" t="str">
        <f>"01065712"</f>
        <v>01065712</v>
      </c>
    </row>
    <row r="28580" spans="1:2" x14ac:dyDescent="0.25">
      <c r="A28580" s="2">
        <v>28575</v>
      </c>
      <c r="B28580" s="11" t="str">
        <f>"01065719"</f>
        <v>01065719</v>
      </c>
    </row>
    <row r="28581" spans="1:2" x14ac:dyDescent="0.25">
      <c r="A28581" s="2">
        <v>28576</v>
      </c>
      <c r="B28581" s="11" t="str">
        <f>"01065723"</f>
        <v>01065723</v>
      </c>
    </row>
    <row r="28582" spans="1:2" x14ac:dyDescent="0.25">
      <c r="A28582" s="2">
        <v>28577</v>
      </c>
      <c r="B28582" s="11" t="str">
        <f>"01065725"</f>
        <v>01065725</v>
      </c>
    </row>
    <row r="28583" spans="1:2" x14ac:dyDescent="0.25">
      <c r="A28583" s="2">
        <v>28578</v>
      </c>
      <c r="B28583" s="11" t="str">
        <f>"01065736"</f>
        <v>01065736</v>
      </c>
    </row>
    <row r="28584" spans="1:2" x14ac:dyDescent="0.25">
      <c r="A28584" s="2">
        <v>28579</v>
      </c>
      <c r="B28584" s="11" t="str">
        <f>"01065741"</f>
        <v>01065741</v>
      </c>
    </row>
    <row r="28585" spans="1:2" x14ac:dyDescent="0.25">
      <c r="A28585" s="2">
        <v>28580</v>
      </c>
      <c r="B28585" s="11" t="str">
        <f>"01065743"</f>
        <v>01065743</v>
      </c>
    </row>
    <row r="28586" spans="1:2" x14ac:dyDescent="0.25">
      <c r="A28586" s="2">
        <v>28581</v>
      </c>
      <c r="B28586" s="11" t="str">
        <f>"01065745"</f>
        <v>01065745</v>
      </c>
    </row>
    <row r="28587" spans="1:2" x14ac:dyDescent="0.25">
      <c r="A28587" s="2">
        <v>28582</v>
      </c>
      <c r="B28587" s="11" t="str">
        <f>"01065746"</f>
        <v>01065746</v>
      </c>
    </row>
    <row r="28588" spans="1:2" x14ac:dyDescent="0.25">
      <c r="A28588" s="2">
        <v>28583</v>
      </c>
      <c r="B28588" s="11" t="str">
        <f>"01065749"</f>
        <v>01065749</v>
      </c>
    </row>
    <row r="28589" spans="1:2" x14ac:dyDescent="0.25">
      <c r="A28589" s="2">
        <v>28584</v>
      </c>
      <c r="B28589" s="11" t="str">
        <f>"01065757"</f>
        <v>01065757</v>
      </c>
    </row>
    <row r="28590" spans="1:2" x14ac:dyDescent="0.25">
      <c r="A28590" s="2">
        <v>28585</v>
      </c>
      <c r="B28590" s="11" t="str">
        <f>"01065760"</f>
        <v>01065760</v>
      </c>
    </row>
    <row r="28591" spans="1:2" x14ac:dyDescent="0.25">
      <c r="A28591" s="2">
        <v>28586</v>
      </c>
      <c r="B28591" s="11" t="str">
        <f>"01065761"</f>
        <v>01065761</v>
      </c>
    </row>
    <row r="28592" spans="1:2" x14ac:dyDescent="0.25">
      <c r="A28592" s="2">
        <v>28587</v>
      </c>
      <c r="B28592" s="11" t="str">
        <f>"01065763"</f>
        <v>01065763</v>
      </c>
    </row>
    <row r="28593" spans="1:2" x14ac:dyDescent="0.25">
      <c r="A28593" s="2">
        <v>28588</v>
      </c>
      <c r="B28593" s="11" t="str">
        <f>"01065771"</f>
        <v>01065771</v>
      </c>
    </row>
    <row r="28594" spans="1:2" x14ac:dyDescent="0.25">
      <c r="A28594" s="2">
        <v>28589</v>
      </c>
      <c r="B28594" s="11" t="str">
        <f>"01065779"</f>
        <v>01065779</v>
      </c>
    </row>
    <row r="28595" spans="1:2" x14ac:dyDescent="0.25">
      <c r="A28595" s="2">
        <v>28590</v>
      </c>
      <c r="B28595" s="11" t="str">
        <f>"01065784"</f>
        <v>01065784</v>
      </c>
    </row>
    <row r="28596" spans="1:2" x14ac:dyDescent="0.25">
      <c r="A28596" s="2">
        <v>28591</v>
      </c>
      <c r="B28596" s="11" t="str">
        <f>"01065797"</f>
        <v>01065797</v>
      </c>
    </row>
    <row r="28597" spans="1:2" x14ac:dyDescent="0.25">
      <c r="A28597" s="2">
        <v>28592</v>
      </c>
      <c r="B28597" s="11" t="str">
        <f>"01065799"</f>
        <v>01065799</v>
      </c>
    </row>
    <row r="28598" spans="1:2" x14ac:dyDescent="0.25">
      <c r="A28598" s="2">
        <v>28593</v>
      </c>
      <c r="B28598" s="11" t="str">
        <f>"01065808"</f>
        <v>01065808</v>
      </c>
    </row>
    <row r="28599" spans="1:2" x14ac:dyDescent="0.25">
      <c r="A28599" s="2">
        <v>28594</v>
      </c>
      <c r="B28599" s="11" t="str">
        <f>"01065809"</f>
        <v>01065809</v>
      </c>
    </row>
    <row r="28600" spans="1:2" x14ac:dyDescent="0.25">
      <c r="A28600" s="2">
        <v>28595</v>
      </c>
      <c r="B28600" s="11" t="str">
        <f>"01065818"</f>
        <v>01065818</v>
      </c>
    </row>
    <row r="28601" spans="1:2" x14ac:dyDescent="0.25">
      <c r="A28601" s="2">
        <v>28596</v>
      </c>
      <c r="B28601" s="11" t="str">
        <f>"01065819"</f>
        <v>01065819</v>
      </c>
    </row>
    <row r="28602" spans="1:2" x14ac:dyDescent="0.25">
      <c r="A28602" s="2">
        <v>28597</v>
      </c>
      <c r="B28602" s="11" t="str">
        <f>"01065820"</f>
        <v>01065820</v>
      </c>
    </row>
    <row r="28603" spans="1:2" x14ac:dyDescent="0.25">
      <c r="A28603" s="2">
        <v>28598</v>
      </c>
      <c r="B28603" s="11" t="str">
        <f>"01065824"</f>
        <v>01065824</v>
      </c>
    </row>
    <row r="28604" spans="1:2" x14ac:dyDescent="0.25">
      <c r="A28604" s="2">
        <v>28599</v>
      </c>
      <c r="B28604" s="11" t="str">
        <f>"01065836"</f>
        <v>01065836</v>
      </c>
    </row>
    <row r="28605" spans="1:2" x14ac:dyDescent="0.25">
      <c r="A28605" s="2">
        <v>28600</v>
      </c>
      <c r="B28605" s="11" t="str">
        <f>"01065842"</f>
        <v>01065842</v>
      </c>
    </row>
    <row r="28606" spans="1:2" x14ac:dyDescent="0.25">
      <c r="A28606" s="2">
        <v>28601</v>
      </c>
      <c r="B28606" s="11" t="str">
        <f>"01065845"</f>
        <v>01065845</v>
      </c>
    </row>
    <row r="28607" spans="1:2" x14ac:dyDescent="0.25">
      <c r="A28607" s="2">
        <v>28602</v>
      </c>
      <c r="B28607" s="11" t="str">
        <f>"01065853"</f>
        <v>01065853</v>
      </c>
    </row>
    <row r="28608" spans="1:2" x14ac:dyDescent="0.25">
      <c r="A28608" s="2">
        <v>28603</v>
      </c>
      <c r="B28608" s="11" t="str">
        <f>"01065860"</f>
        <v>01065860</v>
      </c>
    </row>
    <row r="28609" spans="1:2" x14ac:dyDescent="0.25">
      <c r="A28609" s="2">
        <v>28604</v>
      </c>
      <c r="B28609" s="11" t="str">
        <f>"01065866"</f>
        <v>01065866</v>
      </c>
    </row>
    <row r="28610" spans="1:2" x14ac:dyDescent="0.25">
      <c r="A28610" s="2">
        <v>28605</v>
      </c>
      <c r="B28610" s="11" t="str">
        <f>"01065875"</f>
        <v>01065875</v>
      </c>
    </row>
    <row r="28611" spans="1:2" x14ac:dyDescent="0.25">
      <c r="A28611" s="2">
        <v>28606</v>
      </c>
      <c r="B28611" s="11" t="str">
        <f>"01065876"</f>
        <v>01065876</v>
      </c>
    </row>
    <row r="28612" spans="1:2" x14ac:dyDescent="0.25">
      <c r="A28612" s="2">
        <v>28607</v>
      </c>
      <c r="B28612" s="11" t="str">
        <f>"01065877"</f>
        <v>01065877</v>
      </c>
    </row>
    <row r="28613" spans="1:2" x14ac:dyDescent="0.25">
      <c r="A28613" s="2">
        <v>28608</v>
      </c>
      <c r="B28613" s="11" t="str">
        <f>"01065883"</f>
        <v>01065883</v>
      </c>
    </row>
    <row r="28614" spans="1:2" x14ac:dyDescent="0.25">
      <c r="A28614" s="2">
        <v>28609</v>
      </c>
      <c r="B28614" s="11" t="str">
        <f>"01065885"</f>
        <v>01065885</v>
      </c>
    </row>
    <row r="28615" spans="1:2" x14ac:dyDescent="0.25">
      <c r="A28615" s="2">
        <v>28610</v>
      </c>
      <c r="B28615" s="11" t="str">
        <f>"01065887"</f>
        <v>01065887</v>
      </c>
    </row>
    <row r="28616" spans="1:2" x14ac:dyDescent="0.25">
      <c r="A28616" s="2">
        <v>28611</v>
      </c>
      <c r="B28616" s="11" t="str">
        <f>"01065890"</f>
        <v>01065890</v>
      </c>
    </row>
    <row r="28617" spans="1:2" x14ac:dyDescent="0.25">
      <c r="A28617" s="2">
        <v>28612</v>
      </c>
      <c r="B28617" s="11" t="str">
        <f>"01065892"</f>
        <v>01065892</v>
      </c>
    </row>
    <row r="28618" spans="1:2" x14ac:dyDescent="0.25">
      <c r="A28618" s="2">
        <v>28613</v>
      </c>
      <c r="B28618" s="11" t="str">
        <f>"01065896"</f>
        <v>01065896</v>
      </c>
    </row>
    <row r="28619" spans="1:2" x14ac:dyDescent="0.25">
      <c r="A28619" s="2">
        <v>28614</v>
      </c>
      <c r="B28619" s="11" t="str">
        <f>"01065899"</f>
        <v>01065899</v>
      </c>
    </row>
    <row r="28620" spans="1:2" x14ac:dyDescent="0.25">
      <c r="A28620" s="2">
        <v>28615</v>
      </c>
      <c r="B28620" s="11" t="str">
        <f>"01065900"</f>
        <v>01065900</v>
      </c>
    </row>
    <row r="28621" spans="1:2" x14ac:dyDescent="0.25">
      <c r="A28621" s="2">
        <v>28616</v>
      </c>
      <c r="B28621" s="11" t="str">
        <f>"01065901"</f>
        <v>01065901</v>
      </c>
    </row>
    <row r="28622" spans="1:2" x14ac:dyDescent="0.25">
      <c r="A28622" s="2">
        <v>28617</v>
      </c>
      <c r="B28622" s="11" t="str">
        <f>"01065903"</f>
        <v>01065903</v>
      </c>
    </row>
    <row r="28623" spans="1:2" x14ac:dyDescent="0.25">
      <c r="A28623" s="2">
        <v>28618</v>
      </c>
      <c r="B28623" s="11" t="str">
        <f>"01065905"</f>
        <v>01065905</v>
      </c>
    </row>
    <row r="28624" spans="1:2" x14ac:dyDescent="0.25">
      <c r="A28624" s="2">
        <v>28619</v>
      </c>
      <c r="B28624" s="11" t="str">
        <f>"01065907"</f>
        <v>01065907</v>
      </c>
    </row>
    <row r="28625" spans="1:2" x14ac:dyDescent="0.25">
      <c r="A28625" s="2">
        <v>28620</v>
      </c>
      <c r="B28625" s="11" t="str">
        <f>"01065915"</f>
        <v>01065915</v>
      </c>
    </row>
    <row r="28626" spans="1:2" x14ac:dyDescent="0.25">
      <c r="A28626" s="2">
        <v>28621</v>
      </c>
      <c r="B28626" s="11" t="str">
        <f>"01065935"</f>
        <v>01065935</v>
      </c>
    </row>
    <row r="28627" spans="1:2" x14ac:dyDescent="0.25">
      <c r="A28627" s="2">
        <v>28622</v>
      </c>
      <c r="B28627" s="11" t="str">
        <f>"01065937"</f>
        <v>01065937</v>
      </c>
    </row>
    <row r="28628" spans="1:2" x14ac:dyDescent="0.25">
      <c r="A28628" s="2">
        <v>28623</v>
      </c>
      <c r="B28628" s="11" t="str">
        <f>"01065938"</f>
        <v>01065938</v>
      </c>
    </row>
    <row r="28629" spans="1:2" x14ac:dyDescent="0.25">
      <c r="A28629" s="2">
        <v>28624</v>
      </c>
      <c r="B28629" s="11" t="str">
        <f>"01065962"</f>
        <v>01065962</v>
      </c>
    </row>
    <row r="28630" spans="1:2" x14ac:dyDescent="0.25">
      <c r="A28630" s="2">
        <v>28625</v>
      </c>
      <c r="B28630" s="11" t="str">
        <f>"01065967"</f>
        <v>01065967</v>
      </c>
    </row>
    <row r="28631" spans="1:2" x14ac:dyDescent="0.25">
      <c r="A28631" s="2">
        <v>28626</v>
      </c>
      <c r="B28631" s="11" t="str">
        <f>"01065973"</f>
        <v>01065973</v>
      </c>
    </row>
    <row r="28632" spans="1:2" x14ac:dyDescent="0.25">
      <c r="A28632" s="2">
        <v>28627</v>
      </c>
      <c r="B28632" s="11" t="str">
        <f>"01065974"</f>
        <v>01065974</v>
      </c>
    </row>
    <row r="28633" spans="1:2" x14ac:dyDescent="0.25">
      <c r="A28633" s="2">
        <v>28628</v>
      </c>
      <c r="B28633" s="11" t="str">
        <f>"01065978"</f>
        <v>01065978</v>
      </c>
    </row>
    <row r="28634" spans="1:2" x14ac:dyDescent="0.25">
      <c r="A28634" s="2">
        <v>28629</v>
      </c>
      <c r="B28634" s="11" t="str">
        <f>"01065995"</f>
        <v>01065995</v>
      </c>
    </row>
    <row r="28635" spans="1:2" x14ac:dyDescent="0.25">
      <c r="A28635" s="2">
        <v>28630</v>
      </c>
      <c r="B28635" s="11" t="str">
        <f>"01065996"</f>
        <v>01065996</v>
      </c>
    </row>
    <row r="28636" spans="1:2" x14ac:dyDescent="0.25">
      <c r="A28636" s="2">
        <v>28631</v>
      </c>
      <c r="B28636" s="11" t="str">
        <f>"01066002"</f>
        <v>01066002</v>
      </c>
    </row>
    <row r="28637" spans="1:2" x14ac:dyDescent="0.25">
      <c r="A28637" s="2">
        <v>28632</v>
      </c>
      <c r="B28637" s="11" t="str">
        <f>"01066003"</f>
        <v>01066003</v>
      </c>
    </row>
    <row r="28638" spans="1:2" x14ac:dyDescent="0.25">
      <c r="A28638" s="2">
        <v>28633</v>
      </c>
      <c r="B28638" s="11" t="str">
        <f>"01066011"</f>
        <v>01066011</v>
      </c>
    </row>
    <row r="28639" spans="1:2" x14ac:dyDescent="0.25">
      <c r="A28639" s="2">
        <v>28634</v>
      </c>
      <c r="B28639" s="11" t="str">
        <f>"01066012"</f>
        <v>01066012</v>
      </c>
    </row>
    <row r="28640" spans="1:2" x14ac:dyDescent="0.25">
      <c r="A28640" s="2">
        <v>28635</v>
      </c>
      <c r="B28640" s="11" t="str">
        <f>"01066013"</f>
        <v>01066013</v>
      </c>
    </row>
    <row r="28641" spans="1:2" x14ac:dyDescent="0.25">
      <c r="A28641" s="2">
        <v>28636</v>
      </c>
      <c r="B28641" s="11" t="str">
        <f>"01066014"</f>
        <v>01066014</v>
      </c>
    </row>
    <row r="28642" spans="1:2" x14ac:dyDescent="0.25">
      <c r="A28642" s="2">
        <v>28637</v>
      </c>
      <c r="B28642" s="11" t="str">
        <f>"01066016"</f>
        <v>01066016</v>
      </c>
    </row>
    <row r="28643" spans="1:2" x14ac:dyDescent="0.25">
      <c r="A28643" s="2">
        <v>28638</v>
      </c>
      <c r="B28643" s="11" t="str">
        <f>"01066018"</f>
        <v>01066018</v>
      </c>
    </row>
    <row r="28644" spans="1:2" x14ac:dyDescent="0.25">
      <c r="A28644" s="2">
        <v>28639</v>
      </c>
      <c r="B28644" s="11" t="str">
        <f>"01066021"</f>
        <v>01066021</v>
      </c>
    </row>
    <row r="28645" spans="1:2" x14ac:dyDescent="0.25">
      <c r="A28645" s="2">
        <v>28640</v>
      </c>
      <c r="B28645" s="11" t="str">
        <f>"01066027"</f>
        <v>01066027</v>
      </c>
    </row>
    <row r="28646" spans="1:2" x14ac:dyDescent="0.25">
      <c r="A28646" s="2">
        <v>28641</v>
      </c>
      <c r="B28646" s="11" t="str">
        <f>"01066030"</f>
        <v>01066030</v>
      </c>
    </row>
    <row r="28647" spans="1:2" x14ac:dyDescent="0.25">
      <c r="A28647" s="2">
        <v>28642</v>
      </c>
      <c r="B28647" s="11" t="str">
        <f>"01066037"</f>
        <v>01066037</v>
      </c>
    </row>
    <row r="28648" spans="1:2" x14ac:dyDescent="0.25">
      <c r="A28648" s="2">
        <v>28643</v>
      </c>
      <c r="B28648" s="11" t="str">
        <f>"01066038"</f>
        <v>01066038</v>
      </c>
    </row>
    <row r="28649" spans="1:2" x14ac:dyDescent="0.25">
      <c r="A28649" s="2">
        <v>28644</v>
      </c>
      <c r="B28649" s="11" t="str">
        <f>"01066044"</f>
        <v>01066044</v>
      </c>
    </row>
    <row r="28650" spans="1:2" x14ac:dyDescent="0.25">
      <c r="A28650" s="2">
        <v>28645</v>
      </c>
      <c r="B28650" s="11" t="str">
        <f>"01066049"</f>
        <v>01066049</v>
      </c>
    </row>
    <row r="28651" spans="1:2" x14ac:dyDescent="0.25">
      <c r="A28651" s="2">
        <v>28646</v>
      </c>
      <c r="B28651" s="11" t="str">
        <f>"01066055"</f>
        <v>01066055</v>
      </c>
    </row>
    <row r="28652" spans="1:2" x14ac:dyDescent="0.25">
      <c r="A28652" s="2">
        <v>28647</v>
      </c>
      <c r="B28652" s="11" t="str">
        <f>"01066060"</f>
        <v>01066060</v>
      </c>
    </row>
    <row r="28653" spans="1:2" x14ac:dyDescent="0.25">
      <c r="A28653" s="2">
        <v>28648</v>
      </c>
      <c r="B28653" s="11" t="str">
        <f>"01066062"</f>
        <v>01066062</v>
      </c>
    </row>
    <row r="28654" spans="1:2" x14ac:dyDescent="0.25">
      <c r="A28654" s="2">
        <v>28649</v>
      </c>
      <c r="B28654" s="11" t="str">
        <f>"01066067"</f>
        <v>01066067</v>
      </c>
    </row>
    <row r="28655" spans="1:2" x14ac:dyDescent="0.25">
      <c r="A28655" s="2">
        <v>28650</v>
      </c>
      <c r="B28655" s="11" t="str">
        <f>"01066084"</f>
        <v>01066084</v>
      </c>
    </row>
    <row r="28656" spans="1:2" x14ac:dyDescent="0.25">
      <c r="A28656" s="2">
        <v>28651</v>
      </c>
      <c r="B28656" s="11" t="str">
        <f>"01066086"</f>
        <v>01066086</v>
      </c>
    </row>
    <row r="28657" spans="1:2" x14ac:dyDescent="0.25">
      <c r="A28657" s="2">
        <v>28652</v>
      </c>
      <c r="B28657" s="11" t="str">
        <f>"01066087"</f>
        <v>01066087</v>
      </c>
    </row>
    <row r="28658" spans="1:2" x14ac:dyDescent="0.25">
      <c r="A28658" s="2">
        <v>28653</v>
      </c>
      <c r="B28658" s="11" t="str">
        <f>"01066093"</f>
        <v>01066093</v>
      </c>
    </row>
    <row r="28659" spans="1:2" x14ac:dyDescent="0.25">
      <c r="A28659" s="2">
        <v>28654</v>
      </c>
      <c r="B28659" s="11" t="str">
        <f>"01066096"</f>
        <v>01066096</v>
      </c>
    </row>
    <row r="28660" spans="1:2" x14ac:dyDescent="0.25">
      <c r="A28660" s="2">
        <v>28655</v>
      </c>
      <c r="B28660" s="11" t="str">
        <f>"01066102"</f>
        <v>01066102</v>
      </c>
    </row>
    <row r="28661" spans="1:2" x14ac:dyDescent="0.25">
      <c r="A28661" s="2">
        <v>28656</v>
      </c>
      <c r="B28661" s="11" t="str">
        <f>"01066114"</f>
        <v>01066114</v>
      </c>
    </row>
    <row r="28662" spans="1:2" x14ac:dyDescent="0.25">
      <c r="A28662" s="2">
        <v>28657</v>
      </c>
      <c r="B28662" s="11" t="str">
        <f>"01066118"</f>
        <v>01066118</v>
      </c>
    </row>
    <row r="28663" spans="1:2" x14ac:dyDescent="0.25">
      <c r="A28663" s="2">
        <v>28658</v>
      </c>
      <c r="B28663" s="11" t="str">
        <f>"01066127"</f>
        <v>01066127</v>
      </c>
    </row>
    <row r="28664" spans="1:2" x14ac:dyDescent="0.25">
      <c r="A28664" s="2">
        <v>28659</v>
      </c>
      <c r="B28664" s="11" t="str">
        <f>"01066129"</f>
        <v>01066129</v>
      </c>
    </row>
    <row r="28665" spans="1:2" x14ac:dyDescent="0.25">
      <c r="A28665" s="2">
        <v>28660</v>
      </c>
      <c r="B28665" s="11" t="str">
        <f>"01066132"</f>
        <v>01066132</v>
      </c>
    </row>
    <row r="28666" spans="1:2" x14ac:dyDescent="0.25">
      <c r="A28666" s="2">
        <v>28661</v>
      </c>
      <c r="B28666" s="11" t="str">
        <f>"01066146"</f>
        <v>01066146</v>
      </c>
    </row>
    <row r="28667" spans="1:2" x14ac:dyDescent="0.25">
      <c r="A28667" s="2">
        <v>28662</v>
      </c>
      <c r="B28667" s="11" t="str">
        <f>"01066148"</f>
        <v>01066148</v>
      </c>
    </row>
    <row r="28668" spans="1:2" x14ac:dyDescent="0.25">
      <c r="A28668" s="2">
        <v>28663</v>
      </c>
      <c r="B28668" s="11" t="str">
        <f>"01066159"</f>
        <v>01066159</v>
      </c>
    </row>
    <row r="28669" spans="1:2" x14ac:dyDescent="0.25">
      <c r="A28669" s="2">
        <v>28664</v>
      </c>
      <c r="B28669" s="11" t="str">
        <f>"01066161"</f>
        <v>01066161</v>
      </c>
    </row>
    <row r="28670" spans="1:2" x14ac:dyDescent="0.25">
      <c r="A28670" s="2">
        <v>28665</v>
      </c>
      <c r="B28670" s="11" t="str">
        <f>"01066162"</f>
        <v>01066162</v>
      </c>
    </row>
    <row r="28671" spans="1:2" x14ac:dyDescent="0.25">
      <c r="A28671" s="2">
        <v>28666</v>
      </c>
      <c r="B28671" s="11" t="str">
        <f>"01066163"</f>
        <v>01066163</v>
      </c>
    </row>
    <row r="28672" spans="1:2" x14ac:dyDescent="0.25">
      <c r="A28672" s="2">
        <v>28667</v>
      </c>
      <c r="B28672" s="11" t="str">
        <f>"01066167"</f>
        <v>01066167</v>
      </c>
    </row>
    <row r="28673" spans="1:2" x14ac:dyDescent="0.25">
      <c r="A28673" s="2">
        <v>28668</v>
      </c>
      <c r="B28673" s="11" t="str">
        <f>"01066175"</f>
        <v>01066175</v>
      </c>
    </row>
    <row r="28674" spans="1:2" x14ac:dyDescent="0.25">
      <c r="A28674" s="2">
        <v>28669</v>
      </c>
      <c r="B28674" s="11" t="str">
        <f>"01066182"</f>
        <v>01066182</v>
      </c>
    </row>
    <row r="28675" spans="1:2" x14ac:dyDescent="0.25">
      <c r="A28675" s="2">
        <v>28670</v>
      </c>
      <c r="B28675" s="11" t="str">
        <f>"01066185"</f>
        <v>01066185</v>
      </c>
    </row>
    <row r="28676" spans="1:2" x14ac:dyDescent="0.25">
      <c r="A28676" s="2">
        <v>28671</v>
      </c>
      <c r="B28676" s="11" t="str">
        <f>"01066197"</f>
        <v>01066197</v>
      </c>
    </row>
    <row r="28677" spans="1:2" x14ac:dyDescent="0.25">
      <c r="A28677" s="2">
        <v>28672</v>
      </c>
      <c r="B28677" s="11" t="str">
        <f>"01066204"</f>
        <v>01066204</v>
      </c>
    </row>
    <row r="28678" spans="1:2" x14ac:dyDescent="0.25">
      <c r="A28678" s="2">
        <v>28673</v>
      </c>
      <c r="B28678" s="11" t="str">
        <f>"01066215"</f>
        <v>01066215</v>
      </c>
    </row>
    <row r="28679" spans="1:2" x14ac:dyDescent="0.25">
      <c r="A28679" s="2">
        <v>28674</v>
      </c>
      <c r="B28679" s="11" t="str">
        <f>"01066218"</f>
        <v>01066218</v>
      </c>
    </row>
    <row r="28680" spans="1:2" x14ac:dyDescent="0.25">
      <c r="A28680" s="2">
        <v>28675</v>
      </c>
      <c r="B28680" s="11" t="str">
        <f>"01066220"</f>
        <v>01066220</v>
      </c>
    </row>
    <row r="28681" spans="1:2" x14ac:dyDescent="0.25">
      <c r="A28681" s="2">
        <v>28676</v>
      </c>
      <c r="B28681" s="11" t="str">
        <f>"01066221"</f>
        <v>01066221</v>
      </c>
    </row>
    <row r="28682" spans="1:2" x14ac:dyDescent="0.25">
      <c r="A28682" s="2">
        <v>28677</v>
      </c>
      <c r="B28682" s="11" t="str">
        <f>"01066222"</f>
        <v>01066222</v>
      </c>
    </row>
    <row r="28683" spans="1:2" x14ac:dyDescent="0.25">
      <c r="A28683" s="2">
        <v>28678</v>
      </c>
      <c r="B28683" s="11" t="str">
        <f>"01066236"</f>
        <v>01066236</v>
      </c>
    </row>
    <row r="28684" spans="1:2" x14ac:dyDescent="0.25">
      <c r="A28684" s="2">
        <v>28679</v>
      </c>
      <c r="B28684" s="11" t="str">
        <f>"01066260"</f>
        <v>01066260</v>
      </c>
    </row>
    <row r="28685" spans="1:2" x14ac:dyDescent="0.25">
      <c r="A28685" s="2">
        <v>28680</v>
      </c>
      <c r="B28685" s="11" t="str">
        <f>"01066268"</f>
        <v>01066268</v>
      </c>
    </row>
    <row r="28686" spans="1:2" x14ac:dyDescent="0.25">
      <c r="A28686" s="2">
        <v>28681</v>
      </c>
      <c r="B28686" s="11" t="str">
        <f>"01066273"</f>
        <v>01066273</v>
      </c>
    </row>
    <row r="28687" spans="1:2" x14ac:dyDescent="0.25">
      <c r="A28687" s="2">
        <v>28682</v>
      </c>
      <c r="B28687" s="11" t="str">
        <f>"01066283"</f>
        <v>01066283</v>
      </c>
    </row>
    <row r="28688" spans="1:2" x14ac:dyDescent="0.25">
      <c r="A28688" s="2">
        <v>28683</v>
      </c>
      <c r="B28688" s="11" t="str">
        <f>"01066284"</f>
        <v>01066284</v>
      </c>
    </row>
    <row r="28689" spans="1:2" x14ac:dyDescent="0.25">
      <c r="A28689" s="2">
        <v>28684</v>
      </c>
      <c r="B28689" s="11" t="str">
        <f>"01066285"</f>
        <v>01066285</v>
      </c>
    </row>
    <row r="28690" spans="1:2" x14ac:dyDescent="0.25">
      <c r="A28690" s="2">
        <v>28685</v>
      </c>
      <c r="B28690" s="11" t="str">
        <f>"01066286"</f>
        <v>01066286</v>
      </c>
    </row>
    <row r="28691" spans="1:2" x14ac:dyDescent="0.25">
      <c r="A28691" s="2">
        <v>28686</v>
      </c>
      <c r="B28691" s="11" t="str">
        <f>"01066292"</f>
        <v>01066292</v>
      </c>
    </row>
    <row r="28692" spans="1:2" x14ac:dyDescent="0.25">
      <c r="A28692" s="2">
        <v>28687</v>
      </c>
      <c r="B28692" s="11" t="str">
        <f>"01066299"</f>
        <v>01066299</v>
      </c>
    </row>
    <row r="28693" spans="1:2" x14ac:dyDescent="0.25">
      <c r="A28693" s="2">
        <v>28688</v>
      </c>
      <c r="B28693" s="11" t="str">
        <f>"01066306"</f>
        <v>01066306</v>
      </c>
    </row>
    <row r="28694" spans="1:2" x14ac:dyDescent="0.25">
      <c r="A28694" s="2">
        <v>28689</v>
      </c>
      <c r="B28694" s="11" t="str">
        <f>"01066307"</f>
        <v>01066307</v>
      </c>
    </row>
    <row r="28695" spans="1:2" x14ac:dyDescent="0.25">
      <c r="A28695" s="2">
        <v>28690</v>
      </c>
      <c r="B28695" s="11" t="str">
        <f>"01066312"</f>
        <v>01066312</v>
      </c>
    </row>
    <row r="28696" spans="1:2" x14ac:dyDescent="0.25">
      <c r="A28696" s="2">
        <v>28691</v>
      </c>
      <c r="B28696" s="11" t="str">
        <f>"01066314"</f>
        <v>01066314</v>
      </c>
    </row>
    <row r="28697" spans="1:2" x14ac:dyDescent="0.25">
      <c r="A28697" s="2">
        <v>28692</v>
      </c>
      <c r="B28697" s="11" t="str">
        <f>"01066318"</f>
        <v>01066318</v>
      </c>
    </row>
    <row r="28698" spans="1:2" x14ac:dyDescent="0.25">
      <c r="A28698" s="2">
        <v>28693</v>
      </c>
      <c r="B28698" s="11" t="str">
        <f>"01066324"</f>
        <v>01066324</v>
      </c>
    </row>
    <row r="28699" spans="1:2" x14ac:dyDescent="0.25">
      <c r="A28699" s="2">
        <v>28694</v>
      </c>
      <c r="B28699" s="11" t="str">
        <f>"01066327"</f>
        <v>01066327</v>
      </c>
    </row>
    <row r="28700" spans="1:2" x14ac:dyDescent="0.25">
      <c r="A28700" s="2">
        <v>28695</v>
      </c>
      <c r="B28700" s="11" t="str">
        <f>"01066332"</f>
        <v>01066332</v>
      </c>
    </row>
    <row r="28701" spans="1:2" x14ac:dyDescent="0.25">
      <c r="A28701" s="2">
        <v>28696</v>
      </c>
      <c r="B28701" s="11" t="str">
        <f>"01066333"</f>
        <v>01066333</v>
      </c>
    </row>
    <row r="28702" spans="1:2" x14ac:dyDescent="0.25">
      <c r="A28702" s="2">
        <v>28697</v>
      </c>
      <c r="B28702" s="11" t="str">
        <f>"01066335"</f>
        <v>01066335</v>
      </c>
    </row>
    <row r="28703" spans="1:2" x14ac:dyDescent="0.25">
      <c r="A28703" s="2">
        <v>28698</v>
      </c>
      <c r="B28703" s="11" t="str">
        <f>"01066352"</f>
        <v>01066352</v>
      </c>
    </row>
    <row r="28704" spans="1:2" x14ac:dyDescent="0.25">
      <c r="A28704" s="2">
        <v>28699</v>
      </c>
      <c r="B28704" s="11" t="str">
        <f>"01066362"</f>
        <v>01066362</v>
      </c>
    </row>
    <row r="28705" spans="1:2" x14ac:dyDescent="0.25">
      <c r="A28705" s="2">
        <v>28700</v>
      </c>
      <c r="B28705" s="11" t="str">
        <f>"01066364"</f>
        <v>01066364</v>
      </c>
    </row>
    <row r="28706" spans="1:2" x14ac:dyDescent="0.25">
      <c r="A28706" s="2">
        <v>28701</v>
      </c>
      <c r="B28706" s="11" t="str">
        <f>"01066370"</f>
        <v>01066370</v>
      </c>
    </row>
    <row r="28707" spans="1:2" x14ac:dyDescent="0.25">
      <c r="A28707" s="2">
        <v>28702</v>
      </c>
      <c r="B28707" s="11" t="str">
        <f>"01066371"</f>
        <v>01066371</v>
      </c>
    </row>
    <row r="28708" spans="1:2" x14ac:dyDescent="0.25">
      <c r="A28708" s="2">
        <v>28703</v>
      </c>
      <c r="B28708" s="11" t="str">
        <f>"01066378"</f>
        <v>01066378</v>
      </c>
    </row>
    <row r="28709" spans="1:2" x14ac:dyDescent="0.25">
      <c r="A28709" s="2">
        <v>28704</v>
      </c>
      <c r="B28709" s="11" t="str">
        <f>"01066380"</f>
        <v>01066380</v>
      </c>
    </row>
    <row r="28710" spans="1:2" x14ac:dyDescent="0.25">
      <c r="A28710" s="2">
        <v>28705</v>
      </c>
      <c r="B28710" s="11" t="str">
        <f>"01066384"</f>
        <v>01066384</v>
      </c>
    </row>
    <row r="28711" spans="1:2" x14ac:dyDescent="0.25">
      <c r="A28711" s="2">
        <v>28706</v>
      </c>
      <c r="B28711" s="11" t="str">
        <f>"01066403"</f>
        <v>01066403</v>
      </c>
    </row>
    <row r="28712" spans="1:2" x14ac:dyDescent="0.25">
      <c r="A28712" s="2">
        <v>28707</v>
      </c>
      <c r="B28712" s="11" t="str">
        <f>"01066412"</f>
        <v>01066412</v>
      </c>
    </row>
    <row r="28713" spans="1:2" x14ac:dyDescent="0.25">
      <c r="A28713" s="2">
        <v>28708</v>
      </c>
      <c r="B28713" s="11" t="str">
        <f>"01066418"</f>
        <v>01066418</v>
      </c>
    </row>
    <row r="28714" spans="1:2" x14ac:dyDescent="0.25">
      <c r="A28714" s="2">
        <v>28709</v>
      </c>
      <c r="B28714" s="11" t="str">
        <f>"01066425"</f>
        <v>01066425</v>
      </c>
    </row>
    <row r="28715" spans="1:2" x14ac:dyDescent="0.25">
      <c r="A28715" s="2">
        <v>28710</v>
      </c>
      <c r="B28715" s="11" t="str">
        <f>"01066426"</f>
        <v>01066426</v>
      </c>
    </row>
    <row r="28716" spans="1:2" x14ac:dyDescent="0.25">
      <c r="A28716" s="2">
        <v>28711</v>
      </c>
      <c r="B28716" s="11" t="str">
        <f>"01066430"</f>
        <v>01066430</v>
      </c>
    </row>
    <row r="28717" spans="1:2" x14ac:dyDescent="0.25">
      <c r="A28717" s="2">
        <v>28712</v>
      </c>
      <c r="B28717" s="11" t="str">
        <f>"01066443"</f>
        <v>01066443</v>
      </c>
    </row>
    <row r="28718" spans="1:2" x14ac:dyDescent="0.25">
      <c r="A28718" s="2">
        <v>28713</v>
      </c>
      <c r="B28718" s="11" t="str">
        <f>"01066460"</f>
        <v>01066460</v>
      </c>
    </row>
    <row r="28719" spans="1:2" x14ac:dyDescent="0.25">
      <c r="A28719" s="2">
        <v>28714</v>
      </c>
      <c r="B28719" s="11" t="str">
        <f>"01066468"</f>
        <v>01066468</v>
      </c>
    </row>
    <row r="28720" spans="1:2" x14ac:dyDescent="0.25">
      <c r="A28720" s="2">
        <v>28715</v>
      </c>
      <c r="B28720" s="11" t="str">
        <f>"01066469"</f>
        <v>01066469</v>
      </c>
    </row>
    <row r="28721" spans="1:2" x14ac:dyDescent="0.25">
      <c r="A28721" s="2">
        <v>28716</v>
      </c>
      <c r="B28721" s="11" t="str">
        <f>"01066472"</f>
        <v>01066472</v>
      </c>
    </row>
    <row r="28722" spans="1:2" x14ac:dyDescent="0.25">
      <c r="A28722" s="2">
        <v>28717</v>
      </c>
      <c r="B28722" s="11" t="str">
        <f>"01066480"</f>
        <v>01066480</v>
      </c>
    </row>
    <row r="28723" spans="1:2" x14ac:dyDescent="0.25">
      <c r="A28723" s="2">
        <v>28718</v>
      </c>
      <c r="B28723" s="11" t="str">
        <f>"01066485"</f>
        <v>01066485</v>
      </c>
    </row>
    <row r="28724" spans="1:2" x14ac:dyDescent="0.25">
      <c r="A28724" s="2">
        <v>28719</v>
      </c>
      <c r="B28724" s="11" t="str">
        <f>"01066486"</f>
        <v>01066486</v>
      </c>
    </row>
    <row r="28725" spans="1:2" x14ac:dyDescent="0.25">
      <c r="A28725" s="2">
        <v>28720</v>
      </c>
      <c r="B28725" s="11" t="str">
        <f>"01066494"</f>
        <v>01066494</v>
      </c>
    </row>
    <row r="28726" spans="1:2" x14ac:dyDescent="0.25">
      <c r="A28726" s="2">
        <v>28721</v>
      </c>
      <c r="B28726" s="11" t="str">
        <f>"01066496"</f>
        <v>01066496</v>
      </c>
    </row>
    <row r="28727" spans="1:2" x14ac:dyDescent="0.25">
      <c r="A28727" s="2">
        <v>28722</v>
      </c>
      <c r="B28727" s="11" t="str">
        <f>"01066498"</f>
        <v>01066498</v>
      </c>
    </row>
    <row r="28728" spans="1:2" x14ac:dyDescent="0.25">
      <c r="A28728" s="2">
        <v>28723</v>
      </c>
      <c r="B28728" s="11" t="str">
        <f>"01066499"</f>
        <v>01066499</v>
      </c>
    </row>
    <row r="28729" spans="1:2" x14ac:dyDescent="0.25">
      <c r="A28729" s="2">
        <v>28724</v>
      </c>
      <c r="B28729" s="11" t="str">
        <f>"01066500"</f>
        <v>01066500</v>
      </c>
    </row>
    <row r="28730" spans="1:2" x14ac:dyDescent="0.25">
      <c r="A28730" s="2">
        <v>28725</v>
      </c>
      <c r="B28730" s="11" t="str">
        <f>"01066504"</f>
        <v>01066504</v>
      </c>
    </row>
    <row r="28731" spans="1:2" x14ac:dyDescent="0.25">
      <c r="A28731" s="2">
        <v>28726</v>
      </c>
      <c r="B28731" s="11" t="str">
        <f>"01066508"</f>
        <v>01066508</v>
      </c>
    </row>
    <row r="28732" spans="1:2" x14ac:dyDescent="0.25">
      <c r="A28732" s="2">
        <v>28727</v>
      </c>
      <c r="B28732" s="11" t="str">
        <f>"01066511"</f>
        <v>01066511</v>
      </c>
    </row>
    <row r="28733" spans="1:2" x14ac:dyDescent="0.25">
      <c r="A28733" s="2">
        <v>28728</v>
      </c>
      <c r="B28733" s="11" t="str">
        <f>"01066515"</f>
        <v>01066515</v>
      </c>
    </row>
    <row r="28734" spans="1:2" x14ac:dyDescent="0.25">
      <c r="A28734" s="2">
        <v>28729</v>
      </c>
      <c r="B28734" s="11" t="str">
        <f>"01066522"</f>
        <v>01066522</v>
      </c>
    </row>
    <row r="28735" spans="1:2" x14ac:dyDescent="0.25">
      <c r="A28735" s="2">
        <v>28730</v>
      </c>
      <c r="B28735" s="11" t="str">
        <f>"01066524"</f>
        <v>01066524</v>
      </c>
    </row>
    <row r="28736" spans="1:2" x14ac:dyDescent="0.25">
      <c r="A28736" s="2">
        <v>28731</v>
      </c>
      <c r="B28736" s="11" t="str">
        <f>"01066525"</f>
        <v>01066525</v>
      </c>
    </row>
    <row r="28737" spans="1:2" x14ac:dyDescent="0.25">
      <c r="A28737" s="2">
        <v>28732</v>
      </c>
      <c r="B28737" s="11" t="str">
        <f>"01066548"</f>
        <v>01066548</v>
      </c>
    </row>
    <row r="28738" spans="1:2" x14ac:dyDescent="0.25">
      <c r="A28738" s="2">
        <v>28733</v>
      </c>
      <c r="B28738" s="11" t="str">
        <f>"01066554"</f>
        <v>01066554</v>
      </c>
    </row>
    <row r="28739" spans="1:2" x14ac:dyDescent="0.25">
      <c r="A28739" s="2">
        <v>28734</v>
      </c>
      <c r="B28739" s="11" t="str">
        <f>"01066556"</f>
        <v>01066556</v>
      </c>
    </row>
    <row r="28740" spans="1:2" x14ac:dyDescent="0.25">
      <c r="A28740" s="2">
        <v>28735</v>
      </c>
      <c r="B28740" s="11" t="str">
        <f>"01066557"</f>
        <v>01066557</v>
      </c>
    </row>
    <row r="28741" spans="1:2" x14ac:dyDescent="0.25">
      <c r="A28741" s="2">
        <v>28736</v>
      </c>
      <c r="B28741" s="11" t="str">
        <f>"01066558"</f>
        <v>01066558</v>
      </c>
    </row>
    <row r="28742" spans="1:2" x14ac:dyDescent="0.25">
      <c r="A28742" s="2">
        <v>28737</v>
      </c>
      <c r="B28742" s="11" t="str">
        <f>"01066563"</f>
        <v>01066563</v>
      </c>
    </row>
    <row r="28743" spans="1:2" x14ac:dyDescent="0.25">
      <c r="A28743" s="2">
        <v>28738</v>
      </c>
      <c r="B28743" s="11" t="str">
        <f>"01066569"</f>
        <v>01066569</v>
      </c>
    </row>
    <row r="28744" spans="1:2" x14ac:dyDescent="0.25">
      <c r="A28744" s="2">
        <v>28739</v>
      </c>
      <c r="B28744" s="11" t="str">
        <f>"01066571"</f>
        <v>01066571</v>
      </c>
    </row>
    <row r="28745" spans="1:2" x14ac:dyDescent="0.25">
      <c r="A28745" s="2">
        <v>28740</v>
      </c>
      <c r="B28745" s="11" t="str">
        <f>"01066573"</f>
        <v>01066573</v>
      </c>
    </row>
    <row r="28746" spans="1:2" x14ac:dyDescent="0.25">
      <c r="A28746" s="2">
        <v>28741</v>
      </c>
      <c r="B28746" s="11" t="str">
        <f>"01066582"</f>
        <v>01066582</v>
      </c>
    </row>
    <row r="28747" spans="1:2" x14ac:dyDescent="0.25">
      <c r="A28747" s="2">
        <v>28742</v>
      </c>
      <c r="B28747" s="11" t="str">
        <f>"01066585"</f>
        <v>01066585</v>
      </c>
    </row>
    <row r="28748" spans="1:2" x14ac:dyDescent="0.25">
      <c r="A28748" s="2">
        <v>28743</v>
      </c>
      <c r="B28748" s="11" t="str">
        <f>"01066587"</f>
        <v>01066587</v>
      </c>
    </row>
    <row r="28749" spans="1:2" x14ac:dyDescent="0.25">
      <c r="A28749" s="2">
        <v>28744</v>
      </c>
      <c r="B28749" s="11" t="str">
        <f>"01066598"</f>
        <v>01066598</v>
      </c>
    </row>
    <row r="28750" spans="1:2" x14ac:dyDescent="0.25">
      <c r="A28750" s="2">
        <v>28745</v>
      </c>
      <c r="B28750" s="11" t="str">
        <f>"01066599"</f>
        <v>01066599</v>
      </c>
    </row>
    <row r="28751" spans="1:2" x14ac:dyDescent="0.25">
      <c r="A28751" s="2">
        <v>28746</v>
      </c>
      <c r="B28751" s="11" t="str">
        <f>"01066604"</f>
        <v>01066604</v>
      </c>
    </row>
    <row r="28752" spans="1:2" x14ac:dyDescent="0.25">
      <c r="A28752" s="2">
        <v>28747</v>
      </c>
      <c r="B28752" s="11" t="str">
        <f>"01066615"</f>
        <v>01066615</v>
      </c>
    </row>
    <row r="28753" spans="1:2" x14ac:dyDescent="0.25">
      <c r="A28753" s="2">
        <v>28748</v>
      </c>
      <c r="B28753" s="11" t="str">
        <f>"01066617"</f>
        <v>01066617</v>
      </c>
    </row>
    <row r="28754" spans="1:2" x14ac:dyDescent="0.25">
      <c r="A28754" s="2">
        <v>28749</v>
      </c>
      <c r="B28754" s="11" t="str">
        <f>"01066624"</f>
        <v>01066624</v>
      </c>
    </row>
    <row r="28755" spans="1:2" x14ac:dyDescent="0.25">
      <c r="A28755" s="2">
        <v>28750</v>
      </c>
      <c r="B28755" s="11" t="str">
        <f>"01066627"</f>
        <v>01066627</v>
      </c>
    </row>
    <row r="28756" spans="1:2" x14ac:dyDescent="0.25">
      <c r="A28756" s="2">
        <v>28751</v>
      </c>
      <c r="B28756" s="11" t="str">
        <f>"01066629"</f>
        <v>01066629</v>
      </c>
    </row>
    <row r="28757" spans="1:2" x14ac:dyDescent="0.25">
      <c r="A28757" s="2">
        <v>28752</v>
      </c>
      <c r="B28757" s="11" t="str">
        <f>"01066633"</f>
        <v>01066633</v>
      </c>
    </row>
    <row r="28758" spans="1:2" x14ac:dyDescent="0.25">
      <c r="A28758" s="2">
        <v>28753</v>
      </c>
      <c r="B28758" s="11" t="str">
        <f>"01066651"</f>
        <v>01066651</v>
      </c>
    </row>
    <row r="28759" spans="1:2" x14ac:dyDescent="0.25">
      <c r="A28759" s="2">
        <v>28754</v>
      </c>
      <c r="B28759" s="11" t="str">
        <f>"01066657"</f>
        <v>01066657</v>
      </c>
    </row>
    <row r="28760" spans="1:2" x14ac:dyDescent="0.25">
      <c r="A28760" s="2">
        <v>28755</v>
      </c>
      <c r="B28760" s="11" t="str">
        <f>"01066660"</f>
        <v>01066660</v>
      </c>
    </row>
    <row r="28761" spans="1:2" x14ac:dyDescent="0.25">
      <c r="A28761" s="2">
        <v>28756</v>
      </c>
      <c r="B28761" s="11" t="str">
        <f>"01066662"</f>
        <v>01066662</v>
      </c>
    </row>
    <row r="28762" spans="1:2" x14ac:dyDescent="0.25">
      <c r="A28762" s="2">
        <v>28757</v>
      </c>
      <c r="B28762" s="11" t="str">
        <f>"01066665"</f>
        <v>01066665</v>
      </c>
    </row>
    <row r="28763" spans="1:2" x14ac:dyDescent="0.25">
      <c r="A28763" s="2">
        <v>28758</v>
      </c>
      <c r="B28763" s="11" t="str">
        <f>"01066674"</f>
        <v>01066674</v>
      </c>
    </row>
    <row r="28764" spans="1:2" x14ac:dyDescent="0.25">
      <c r="A28764" s="2">
        <v>28759</v>
      </c>
      <c r="B28764" s="11" t="str">
        <f>"01066676"</f>
        <v>01066676</v>
      </c>
    </row>
    <row r="28765" spans="1:2" x14ac:dyDescent="0.25">
      <c r="A28765" s="2">
        <v>28760</v>
      </c>
      <c r="B28765" s="11" t="str">
        <f>"01066679"</f>
        <v>01066679</v>
      </c>
    </row>
    <row r="28766" spans="1:2" x14ac:dyDescent="0.25">
      <c r="A28766" s="2">
        <v>28761</v>
      </c>
      <c r="B28766" s="11" t="str">
        <f>"01066680"</f>
        <v>01066680</v>
      </c>
    </row>
    <row r="28767" spans="1:2" x14ac:dyDescent="0.25">
      <c r="A28767" s="2">
        <v>28762</v>
      </c>
      <c r="B28767" s="11" t="str">
        <f>"01066682"</f>
        <v>01066682</v>
      </c>
    </row>
    <row r="28768" spans="1:2" x14ac:dyDescent="0.25">
      <c r="A28768" s="2">
        <v>28763</v>
      </c>
      <c r="B28768" s="11" t="str">
        <f>"01066683"</f>
        <v>01066683</v>
      </c>
    </row>
    <row r="28769" spans="1:2" x14ac:dyDescent="0.25">
      <c r="A28769" s="2">
        <v>28764</v>
      </c>
      <c r="B28769" s="11" t="str">
        <f>"01066686"</f>
        <v>01066686</v>
      </c>
    </row>
    <row r="28770" spans="1:2" x14ac:dyDescent="0.25">
      <c r="A28770" s="2">
        <v>28765</v>
      </c>
      <c r="B28770" s="11" t="str">
        <f>"01066688"</f>
        <v>01066688</v>
      </c>
    </row>
    <row r="28771" spans="1:2" x14ac:dyDescent="0.25">
      <c r="A28771" s="2">
        <v>28766</v>
      </c>
      <c r="B28771" s="11" t="str">
        <f>"01066690"</f>
        <v>01066690</v>
      </c>
    </row>
    <row r="28772" spans="1:2" x14ac:dyDescent="0.25">
      <c r="A28772" s="2">
        <v>28767</v>
      </c>
      <c r="B28772" s="11" t="str">
        <f>"01066691"</f>
        <v>01066691</v>
      </c>
    </row>
    <row r="28773" spans="1:2" x14ac:dyDescent="0.25">
      <c r="A28773" s="2">
        <v>28768</v>
      </c>
      <c r="B28773" s="11" t="str">
        <f>"01066692"</f>
        <v>01066692</v>
      </c>
    </row>
    <row r="28774" spans="1:2" x14ac:dyDescent="0.25">
      <c r="A28774" s="2">
        <v>28769</v>
      </c>
      <c r="B28774" s="11" t="str">
        <f>"01066703"</f>
        <v>01066703</v>
      </c>
    </row>
    <row r="28775" spans="1:2" x14ac:dyDescent="0.25">
      <c r="A28775" s="2">
        <v>28770</v>
      </c>
      <c r="B28775" s="11" t="str">
        <f>"01066705"</f>
        <v>01066705</v>
      </c>
    </row>
    <row r="28776" spans="1:2" x14ac:dyDescent="0.25">
      <c r="A28776" s="2">
        <v>28771</v>
      </c>
      <c r="B28776" s="11" t="str">
        <f>"01066706"</f>
        <v>01066706</v>
      </c>
    </row>
    <row r="28777" spans="1:2" x14ac:dyDescent="0.25">
      <c r="A28777" s="2">
        <v>28772</v>
      </c>
      <c r="B28777" s="11" t="str">
        <f>"01066709"</f>
        <v>01066709</v>
      </c>
    </row>
    <row r="28778" spans="1:2" x14ac:dyDescent="0.25">
      <c r="A28778" s="2">
        <v>28773</v>
      </c>
      <c r="B28778" s="11" t="str">
        <f>"01066715"</f>
        <v>01066715</v>
      </c>
    </row>
    <row r="28779" spans="1:2" x14ac:dyDescent="0.25">
      <c r="A28779" s="2">
        <v>28774</v>
      </c>
      <c r="B28779" s="11" t="str">
        <f>"01066718"</f>
        <v>01066718</v>
      </c>
    </row>
    <row r="28780" spans="1:2" x14ac:dyDescent="0.25">
      <c r="A28780" s="2">
        <v>28775</v>
      </c>
      <c r="B28780" s="11" t="str">
        <f>"01066720"</f>
        <v>01066720</v>
      </c>
    </row>
    <row r="28781" spans="1:2" x14ac:dyDescent="0.25">
      <c r="A28781" s="2">
        <v>28776</v>
      </c>
      <c r="B28781" s="11" t="str">
        <f>"01066722"</f>
        <v>01066722</v>
      </c>
    </row>
    <row r="28782" spans="1:2" x14ac:dyDescent="0.25">
      <c r="A28782" s="2">
        <v>28777</v>
      </c>
      <c r="B28782" s="11" t="str">
        <f>"01066730"</f>
        <v>01066730</v>
      </c>
    </row>
    <row r="28783" spans="1:2" x14ac:dyDescent="0.25">
      <c r="A28783" s="2">
        <v>28778</v>
      </c>
      <c r="B28783" s="11" t="str">
        <f>"01066732"</f>
        <v>01066732</v>
      </c>
    </row>
    <row r="28784" spans="1:2" x14ac:dyDescent="0.25">
      <c r="A28784" s="2">
        <v>28779</v>
      </c>
      <c r="B28784" s="11" t="str">
        <f>"01066737"</f>
        <v>01066737</v>
      </c>
    </row>
    <row r="28785" spans="1:2" x14ac:dyDescent="0.25">
      <c r="A28785" s="2">
        <v>28780</v>
      </c>
      <c r="B28785" s="11" t="str">
        <f>"01066740"</f>
        <v>01066740</v>
      </c>
    </row>
    <row r="28786" spans="1:2" x14ac:dyDescent="0.25">
      <c r="A28786" s="2">
        <v>28781</v>
      </c>
      <c r="B28786" s="11" t="str">
        <f>"01066741"</f>
        <v>01066741</v>
      </c>
    </row>
    <row r="28787" spans="1:2" x14ac:dyDescent="0.25">
      <c r="A28787" s="2">
        <v>28782</v>
      </c>
      <c r="B28787" s="11" t="str">
        <f>"01066742"</f>
        <v>01066742</v>
      </c>
    </row>
    <row r="28788" spans="1:2" x14ac:dyDescent="0.25">
      <c r="A28788" s="2">
        <v>28783</v>
      </c>
      <c r="B28788" s="11" t="str">
        <f>"01066744"</f>
        <v>01066744</v>
      </c>
    </row>
    <row r="28789" spans="1:2" x14ac:dyDescent="0.25">
      <c r="A28789" s="2">
        <v>28784</v>
      </c>
      <c r="B28789" s="11" t="str">
        <f>"01066752"</f>
        <v>01066752</v>
      </c>
    </row>
    <row r="28790" spans="1:2" x14ac:dyDescent="0.25">
      <c r="A28790" s="2">
        <v>28785</v>
      </c>
      <c r="B28790" s="11" t="str">
        <f>"01066755"</f>
        <v>01066755</v>
      </c>
    </row>
    <row r="28791" spans="1:2" x14ac:dyDescent="0.25">
      <c r="A28791" s="2">
        <v>28786</v>
      </c>
      <c r="B28791" s="11" t="str">
        <f>"01066762"</f>
        <v>01066762</v>
      </c>
    </row>
    <row r="28792" spans="1:2" x14ac:dyDescent="0.25">
      <c r="A28792" s="2">
        <v>28787</v>
      </c>
      <c r="B28792" s="11" t="str">
        <f>"01066764"</f>
        <v>01066764</v>
      </c>
    </row>
    <row r="28793" spans="1:2" x14ac:dyDescent="0.25">
      <c r="A28793" s="2">
        <v>28788</v>
      </c>
      <c r="B28793" s="11" t="str">
        <f>"01066767"</f>
        <v>01066767</v>
      </c>
    </row>
    <row r="28794" spans="1:2" x14ac:dyDescent="0.25">
      <c r="A28794" s="2">
        <v>28789</v>
      </c>
      <c r="B28794" s="11" t="str">
        <f>"01066777"</f>
        <v>01066777</v>
      </c>
    </row>
    <row r="28795" spans="1:2" x14ac:dyDescent="0.25">
      <c r="A28795" s="2">
        <v>28790</v>
      </c>
      <c r="B28795" s="11" t="str">
        <f>"01066779"</f>
        <v>01066779</v>
      </c>
    </row>
    <row r="28796" spans="1:2" x14ac:dyDescent="0.25">
      <c r="A28796" s="2">
        <v>28791</v>
      </c>
      <c r="B28796" s="11" t="str">
        <f>"01066780"</f>
        <v>01066780</v>
      </c>
    </row>
    <row r="28797" spans="1:2" x14ac:dyDescent="0.25">
      <c r="A28797" s="2">
        <v>28792</v>
      </c>
      <c r="B28797" s="11" t="str">
        <f>"01066782"</f>
        <v>01066782</v>
      </c>
    </row>
    <row r="28798" spans="1:2" x14ac:dyDescent="0.25">
      <c r="A28798" s="2">
        <v>28793</v>
      </c>
      <c r="B28798" s="11" t="str">
        <f>"01066785"</f>
        <v>01066785</v>
      </c>
    </row>
    <row r="28799" spans="1:2" x14ac:dyDescent="0.25">
      <c r="A28799" s="2">
        <v>28794</v>
      </c>
      <c r="B28799" s="11" t="str">
        <f>"01066789"</f>
        <v>01066789</v>
      </c>
    </row>
    <row r="28800" spans="1:2" x14ac:dyDescent="0.25">
      <c r="A28800" s="2">
        <v>28795</v>
      </c>
      <c r="B28800" s="11" t="str">
        <f>"01066795"</f>
        <v>01066795</v>
      </c>
    </row>
    <row r="28801" spans="1:2" x14ac:dyDescent="0.25">
      <c r="A28801" s="2">
        <v>28796</v>
      </c>
      <c r="B28801" s="11" t="str">
        <f>"01066797"</f>
        <v>01066797</v>
      </c>
    </row>
    <row r="28802" spans="1:2" x14ac:dyDescent="0.25">
      <c r="A28802" s="2">
        <v>28797</v>
      </c>
      <c r="B28802" s="11" t="str">
        <f>"01066801"</f>
        <v>01066801</v>
      </c>
    </row>
    <row r="28803" spans="1:2" x14ac:dyDescent="0.25">
      <c r="A28803" s="2">
        <v>28798</v>
      </c>
      <c r="B28803" s="11" t="str">
        <f>"01066810"</f>
        <v>01066810</v>
      </c>
    </row>
    <row r="28804" spans="1:2" x14ac:dyDescent="0.25">
      <c r="A28804" s="2">
        <v>28799</v>
      </c>
      <c r="B28804" s="11" t="str">
        <f>"01066812"</f>
        <v>01066812</v>
      </c>
    </row>
    <row r="28805" spans="1:2" x14ac:dyDescent="0.25">
      <c r="A28805" s="2">
        <v>28800</v>
      </c>
      <c r="B28805" s="11" t="str">
        <f>"01066820"</f>
        <v>01066820</v>
      </c>
    </row>
    <row r="28806" spans="1:2" x14ac:dyDescent="0.25">
      <c r="A28806" s="2">
        <v>28801</v>
      </c>
      <c r="B28806" s="11" t="str">
        <f>"01066822"</f>
        <v>01066822</v>
      </c>
    </row>
    <row r="28807" spans="1:2" x14ac:dyDescent="0.25">
      <c r="A28807" s="2">
        <v>28802</v>
      </c>
      <c r="B28807" s="11" t="str">
        <f>"01066827"</f>
        <v>01066827</v>
      </c>
    </row>
    <row r="28808" spans="1:2" x14ac:dyDescent="0.25">
      <c r="A28808" s="2">
        <v>28803</v>
      </c>
      <c r="B28808" s="11" t="str">
        <f>"01066832"</f>
        <v>01066832</v>
      </c>
    </row>
    <row r="28809" spans="1:2" x14ac:dyDescent="0.25">
      <c r="A28809" s="2">
        <v>28804</v>
      </c>
      <c r="B28809" s="11" t="str">
        <f>"01066833"</f>
        <v>01066833</v>
      </c>
    </row>
    <row r="28810" spans="1:2" x14ac:dyDescent="0.25">
      <c r="A28810" s="2">
        <v>28805</v>
      </c>
      <c r="B28810" s="11" t="str">
        <f>"01066835"</f>
        <v>01066835</v>
      </c>
    </row>
    <row r="28811" spans="1:2" x14ac:dyDescent="0.25">
      <c r="A28811" s="2">
        <v>28806</v>
      </c>
      <c r="B28811" s="11" t="str">
        <f>"01066839"</f>
        <v>01066839</v>
      </c>
    </row>
    <row r="28812" spans="1:2" x14ac:dyDescent="0.25">
      <c r="A28812" s="2">
        <v>28807</v>
      </c>
      <c r="B28812" s="11" t="str">
        <f>"01066845"</f>
        <v>01066845</v>
      </c>
    </row>
    <row r="28813" spans="1:2" x14ac:dyDescent="0.25">
      <c r="A28813" s="2">
        <v>28808</v>
      </c>
      <c r="B28813" s="11" t="str">
        <f>"01066847"</f>
        <v>01066847</v>
      </c>
    </row>
    <row r="28814" spans="1:2" x14ac:dyDescent="0.25">
      <c r="A28814" s="2">
        <v>28809</v>
      </c>
      <c r="B28814" s="11" t="str">
        <f>"01066862"</f>
        <v>01066862</v>
      </c>
    </row>
    <row r="28815" spans="1:2" x14ac:dyDescent="0.25">
      <c r="A28815" s="2">
        <v>28810</v>
      </c>
      <c r="B28815" s="11" t="str">
        <f>"01066863"</f>
        <v>01066863</v>
      </c>
    </row>
    <row r="28816" spans="1:2" x14ac:dyDescent="0.25">
      <c r="A28816" s="2">
        <v>28811</v>
      </c>
      <c r="B28816" s="11" t="str">
        <f>"01066872"</f>
        <v>01066872</v>
      </c>
    </row>
    <row r="28817" spans="1:2" x14ac:dyDescent="0.25">
      <c r="A28817" s="2">
        <v>28812</v>
      </c>
      <c r="B28817" s="11" t="str">
        <f>"01066876"</f>
        <v>01066876</v>
      </c>
    </row>
    <row r="28818" spans="1:2" x14ac:dyDescent="0.25">
      <c r="A28818" s="2">
        <v>28813</v>
      </c>
      <c r="B28818" s="11" t="str">
        <f>"01066878"</f>
        <v>01066878</v>
      </c>
    </row>
    <row r="28819" spans="1:2" x14ac:dyDescent="0.25">
      <c r="A28819" s="2">
        <v>28814</v>
      </c>
      <c r="B28819" s="11" t="str">
        <f>"01066880"</f>
        <v>01066880</v>
      </c>
    </row>
    <row r="28820" spans="1:2" x14ac:dyDescent="0.25">
      <c r="A28820" s="2">
        <v>28815</v>
      </c>
      <c r="B28820" s="11" t="str">
        <f>"01066881"</f>
        <v>01066881</v>
      </c>
    </row>
    <row r="28821" spans="1:2" x14ac:dyDescent="0.25">
      <c r="A28821" s="2">
        <v>28816</v>
      </c>
      <c r="B28821" s="11" t="str">
        <f>"01066882"</f>
        <v>01066882</v>
      </c>
    </row>
    <row r="28822" spans="1:2" x14ac:dyDescent="0.25">
      <c r="A28822" s="2">
        <v>28817</v>
      </c>
      <c r="B28822" s="11" t="str">
        <f>"01066883"</f>
        <v>01066883</v>
      </c>
    </row>
    <row r="28823" spans="1:2" x14ac:dyDescent="0.25">
      <c r="A28823" s="2">
        <v>28818</v>
      </c>
      <c r="B28823" s="11" t="str">
        <f>"01066886"</f>
        <v>01066886</v>
      </c>
    </row>
    <row r="28824" spans="1:2" x14ac:dyDescent="0.25">
      <c r="A28824" s="2">
        <v>28819</v>
      </c>
      <c r="B28824" s="11" t="str">
        <f>"01066904"</f>
        <v>01066904</v>
      </c>
    </row>
    <row r="28825" spans="1:2" x14ac:dyDescent="0.25">
      <c r="A28825" s="2">
        <v>28820</v>
      </c>
      <c r="B28825" s="11" t="str">
        <f>"01066912"</f>
        <v>01066912</v>
      </c>
    </row>
    <row r="28826" spans="1:2" x14ac:dyDescent="0.25">
      <c r="A28826" s="2">
        <v>28821</v>
      </c>
      <c r="B28826" s="11" t="str">
        <f>"01066914"</f>
        <v>01066914</v>
      </c>
    </row>
    <row r="28827" spans="1:2" x14ac:dyDescent="0.25">
      <c r="A28827" s="2">
        <v>28822</v>
      </c>
      <c r="B28827" s="11" t="str">
        <f>"01066918"</f>
        <v>01066918</v>
      </c>
    </row>
    <row r="28828" spans="1:2" x14ac:dyDescent="0.25">
      <c r="A28828" s="2">
        <v>28823</v>
      </c>
      <c r="B28828" s="11" t="str">
        <f>"01066932"</f>
        <v>01066932</v>
      </c>
    </row>
    <row r="28829" spans="1:2" x14ac:dyDescent="0.25">
      <c r="A28829" s="2">
        <v>28824</v>
      </c>
      <c r="B28829" s="11" t="str">
        <f>"01066933"</f>
        <v>01066933</v>
      </c>
    </row>
    <row r="28830" spans="1:2" x14ac:dyDescent="0.25">
      <c r="A28830" s="2">
        <v>28825</v>
      </c>
      <c r="B28830" s="11" t="str">
        <f>"01066938"</f>
        <v>01066938</v>
      </c>
    </row>
    <row r="28831" spans="1:2" x14ac:dyDescent="0.25">
      <c r="A28831" s="2">
        <v>28826</v>
      </c>
      <c r="B28831" s="11" t="str">
        <f>"01066948"</f>
        <v>01066948</v>
      </c>
    </row>
    <row r="28832" spans="1:2" x14ac:dyDescent="0.25">
      <c r="A28832" s="2">
        <v>28827</v>
      </c>
      <c r="B28832" s="11" t="str">
        <f>"01066950"</f>
        <v>01066950</v>
      </c>
    </row>
    <row r="28833" spans="1:2" x14ac:dyDescent="0.25">
      <c r="A28833" s="2">
        <v>28828</v>
      </c>
      <c r="B28833" s="11" t="str">
        <f>"01066953"</f>
        <v>01066953</v>
      </c>
    </row>
    <row r="28834" spans="1:2" x14ac:dyDescent="0.25">
      <c r="A28834" s="2">
        <v>28829</v>
      </c>
      <c r="B28834" s="11" t="str">
        <f>"01066956"</f>
        <v>01066956</v>
      </c>
    </row>
    <row r="28835" spans="1:2" x14ac:dyDescent="0.25">
      <c r="A28835" s="2">
        <v>28830</v>
      </c>
      <c r="B28835" s="11" t="str">
        <f>"01066957"</f>
        <v>01066957</v>
      </c>
    </row>
    <row r="28836" spans="1:2" x14ac:dyDescent="0.25">
      <c r="A28836" s="2">
        <v>28831</v>
      </c>
      <c r="B28836" s="11" t="str">
        <f>"01066962"</f>
        <v>01066962</v>
      </c>
    </row>
    <row r="28837" spans="1:2" x14ac:dyDescent="0.25">
      <c r="A28837" s="2">
        <v>28832</v>
      </c>
      <c r="B28837" s="11" t="str">
        <f>"01066964"</f>
        <v>01066964</v>
      </c>
    </row>
    <row r="28838" spans="1:2" x14ac:dyDescent="0.25">
      <c r="A28838" s="2">
        <v>28833</v>
      </c>
      <c r="B28838" s="11" t="str">
        <f>"01066969"</f>
        <v>01066969</v>
      </c>
    </row>
    <row r="28839" spans="1:2" x14ac:dyDescent="0.25">
      <c r="A28839" s="2">
        <v>28834</v>
      </c>
      <c r="B28839" s="11" t="str">
        <f>"01066975"</f>
        <v>01066975</v>
      </c>
    </row>
    <row r="28840" spans="1:2" x14ac:dyDescent="0.25">
      <c r="A28840" s="2">
        <v>28835</v>
      </c>
      <c r="B28840" s="11" t="str">
        <f>"01066981"</f>
        <v>01066981</v>
      </c>
    </row>
    <row r="28841" spans="1:2" x14ac:dyDescent="0.25">
      <c r="A28841" s="2">
        <v>28836</v>
      </c>
      <c r="B28841" s="11" t="str">
        <f>"01066986"</f>
        <v>01066986</v>
      </c>
    </row>
    <row r="28842" spans="1:2" x14ac:dyDescent="0.25">
      <c r="A28842" s="2">
        <v>28837</v>
      </c>
      <c r="B28842" s="11" t="str">
        <f>"01066995"</f>
        <v>01066995</v>
      </c>
    </row>
    <row r="28843" spans="1:2" x14ac:dyDescent="0.25">
      <c r="A28843" s="2">
        <v>28838</v>
      </c>
      <c r="B28843" s="11" t="str">
        <f>"01066997"</f>
        <v>01066997</v>
      </c>
    </row>
    <row r="28844" spans="1:2" x14ac:dyDescent="0.25">
      <c r="A28844" s="2">
        <v>28839</v>
      </c>
      <c r="B28844" s="11" t="str">
        <f>"01066999"</f>
        <v>01066999</v>
      </c>
    </row>
    <row r="28845" spans="1:2" x14ac:dyDescent="0.25">
      <c r="A28845" s="2">
        <v>28840</v>
      </c>
      <c r="B28845" s="11" t="str">
        <f>"01067000"</f>
        <v>01067000</v>
      </c>
    </row>
    <row r="28846" spans="1:2" x14ac:dyDescent="0.25">
      <c r="A28846" s="2">
        <v>28841</v>
      </c>
      <c r="B28846" s="11" t="str">
        <f>"01067008"</f>
        <v>01067008</v>
      </c>
    </row>
    <row r="28847" spans="1:2" x14ac:dyDescent="0.25">
      <c r="A28847" s="2">
        <v>28842</v>
      </c>
      <c r="B28847" s="11" t="str">
        <f>"01067010"</f>
        <v>01067010</v>
      </c>
    </row>
    <row r="28848" spans="1:2" x14ac:dyDescent="0.25">
      <c r="A28848" s="2">
        <v>28843</v>
      </c>
      <c r="B28848" s="11" t="str">
        <f>"01067011"</f>
        <v>01067011</v>
      </c>
    </row>
    <row r="28849" spans="1:2" x14ac:dyDescent="0.25">
      <c r="A28849" s="2">
        <v>28844</v>
      </c>
      <c r="B28849" s="11" t="str">
        <f>"01067012"</f>
        <v>01067012</v>
      </c>
    </row>
    <row r="28850" spans="1:2" x14ac:dyDescent="0.25">
      <c r="A28850" s="2">
        <v>28845</v>
      </c>
      <c r="B28850" s="11" t="str">
        <f>"01067016"</f>
        <v>01067016</v>
      </c>
    </row>
    <row r="28851" spans="1:2" x14ac:dyDescent="0.25">
      <c r="A28851" s="2">
        <v>28846</v>
      </c>
      <c r="B28851" s="11" t="str">
        <f>"01067028"</f>
        <v>01067028</v>
      </c>
    </row>
    <row r="28852" spans="1:2" x14ac:dyDescent="0.25">
      <c r="A28852" s="2">
        <v>28847</v>
      </c>
      <c r="B28852" s="11" t="str">
        <f>"01067029"</f>
        <v>01067029</v>
      </c>
    </row>
    <row r="28853" spans="1:2" x14ac:dyDescent="0.25">
      <c r="A28853" s="2">
        <v>28848</v>
      </c>
      <c r="B28853" s="11" t="str">
        <f>"01067032"</f>
        <v>01067032</v>
      </c>
    </row>
    <row r="28854" spans="1:2" x14ac:dyDescent="0.25">
      <c r="A28854" s="2">
        <v>28849</v>
      </c>
      <c r="B28854" s="11" t="str">
        <f>"01067034"</f>
        <v>01067034</v>
      </c>
    </row>
    <row r="28855" spans="1:2" x14ac:dyDescent="0.25">
      <c r="A28855" s="2">
        <v>28850</v>
      </c>
      <c r="B28855" s="11" t="str">
        <f>"01067039"</f>
        <v>01067039</v>
      </c>
    </row>
    <row r="28856" spans="1:2" x14ac:dyDescent="0.25">
      <c r="A28856" s="2">
        <v>28851</v>
      </c>
      <c r="B28856" s="11" t="str">
        <f>"01067041"</f>
        <v>01067041</v>
      </c>
    </row>
    <row r="28857" spans="1:2" x14ac:dyDescent="0.25">
      <c r="A28857" s="2">
        <v>28852</v>
      </c>
      <c r="B28857" s="11" t="str">
        <f>"01067044"</f>
        <v>01067044</v>
      </c>
    </row>
    <row r="28858" spans="1:2" x14ac:dyDescent="0.25">
      <c r="A28858" s="2">
        <v>28853</v>
      </c>
      <c r="B28858" s="11" t="str">
        <f>"01067045"</f>
        <v>01067045</v>
      </c>
    </row>
    <row r="28859" spans="1:2" x14ac:dyDescent="0.25">
      <c r="A28859" s="2">
        <v>28854</v>
      </c>
      <c r="B28859" s="11" t="str">
        <f>"01067049"</f>
        <v>01067049</v>
      </c>
    </row>
    <row r="28860" spans="1:2" x14ac:dyDescent="0.25">
      <c r="A28860" s="2">
        <v>28855</v>
      </c>
      <c r="B28860" s="11" t="str">
        <f>"01067050"</f>
        <v>01067050</v>
      </c>
    </row>
    <row r="28861" spans="1:2" x14ac:dyDescent="0.25">
      <c r="A28861" s="2">
        <v>28856</v>
      </c>
      <c r="B28861" s="11" t="str">
        <f>"01067054"</f>
        <v>01067054</v>
      </c>
    </row>
    <row r="28862" spans="1:2" x14ac:dyDescent="0.25">
      <c r="A28862" s="2">
        <v>28857</v>
      </c>
      <c r="B28862" s="11" t="str">
        <f>"01067057"</f>
        <v>01067057</v>
      </c>
    </row>
    <row r="28863" spans="1:2" x14ac:dyDescent="0.25">
      <c r="A28863" s="2">
        <v>28858</v>
      </c>
      <c r="B28863" s="11" t="str">
        <f>"01067064"</f>
        <v>01067064</v>
      </c>
    </row>
    <row r="28864" spans="1:2" x14ac:dyDescent="0.25">
      <c r="A28864" s="2">
        <v>28859</v>
      </c>
      <c r="B28864" s="11" t="str">
        <f>"01067068"</f>
        <v>01067068</v>
      </c>
    </row>
    <row r="28865" spans="1:2" x14ac:dyDescent="0.25">
      <c r="A28865" s="2">
        <v>28860</v>
      </c>
      <c r="B28865" s="11" t="str">
        <f>"01067069"</f>
        <v>01067069</v>
      </c>
    </row>
    <row r="28866" spans="1:2" x14ac:dyDescent="0.25">
      <c r="A28866" s="2">
        <v>28861</v>
      </c>
      <c r="B28866" s="11" t="str">
        <f>"01067072"</f>
        <v>01067072</v>
      </c>
    </row>
    <row r="28867" spans="1:2" x14ac:dyDescent="0.25">
      <c r="A28867" s="2">
        <v>28862</v>
      </c>
      <c r="B28867" s="11" t="str">
        <f>"01067087"</f>
        <v>01067087</v>
      </c>
    </row>
    <row r="28868" spans="1:2" x14ac:dyDescent="0.25">
      <c r="A28868" s="2">
        <v>28863</v>
      </c>
      <c r="B28868" s="11" t="str">
        <f>"01067100"</f>
        <v>01067100</v>
      </c>
    </row>
    <row r="28869" spans="1:2" x14ac:dyDescent="0.25">
      <c r="A28869" s="2">
        <v>28864</v>
      </c>
      <c r="B28869" s="11" t="str">
        <f>"01067108"</f>
        <v>01067108</v>
      </c>
    </row>
    <row r="28870" spans="1:2" x14ac:dyDescent="0.25">
      <c r="A28870" s="2">
        <v>28865</v>
      </c>
      <c r="B28870" s="11" t="str">
        <f>"01067120"</f>
        <v>01067120</v>
      </c>
    </row>
    <row r="28871" spans="1:2" x14ac:dyDescent="0.25">
      <c r="A28871" s="2">
        <v>28866</v>
      </c>
      <c r="B28871" s="11" t="str">
        <f>"01067130"</f>
        <v>01067130</v>
      </c>
    </row>
    <row r="28872" spans="1:2" x14ac:dyDescent="0.25">
      <c r="A28872" s="2">
        <v>28867</v>
      </c>
      <c r="B28872" s="11" t="str">
        <f>"01067140"</f>
        <v>01067140</v>
      </c>
    </row>
    <row r="28873" spans="1:2" x14ac:dyDescent="0.25">
      <c r="A28873" s="2">
        <v>28868</v>
      </c>
      <c r="B28873" s="11" t="str">
        <f>"01067142"</f>
        <v>01067142</v>
      </c>
    </row>
    <row r="28874" spans="1:2" x14ac:dyDescent="0.25">
      <c r="A28874" s="2">
        <v>28869</v>
      </c>
      <c r="B28874" s="11" t="str">
        <f>"01067154"</f>
        <v>01067154</v>
      </c>
    </row>
    <row r="28875" spans="1:2" x14ac:dyDescent="0.25">
      <c r="A28875" s="2">
        <v>28870</v>
      </c>
      <c r="B28875" s="11" t="str">
        <f>"01067158"</f>
        <v>01067158</v>
      </c>
    </row>
    <row r="28876" spans="1:2" x14ac:dyDescent="0.25">
      <c r="A28876" s="2">
        <v>28871</v>
      </c>
      <c r="B28876" s="11" t="str">
        <f>"01067163"</f>
        <v>01067163</v>
      </c>
    </row>
    <row r="28877" spans="1:2" x14ac:dyDescent="0.25">
      <c r="A28877" s="2">
        <v>28872</v>
      </c>
      <c r="B28877" s="11" t="str">
        <f>"01067196"</f>
        <v>01067196</v>
      </c>
    </row>
    <row r="28878" spans="1:2" x14ac:dyDescent="0.25">
      <c r="A28878" s="2">
        <v>28873</v>
      </c>
      <c r="B28878" s="11" t="str">
        <f>"01067199"</f>
        <v>01067199</v>
      </c>
    </row>
    <row r="28879" spans="1:2" x14ac:dyDescent="0.25">
      <c r="A28879" s="2">
        <v>28874</v>
      </c>
      <c r="B28879" s="11" t="str">
        <f>"01067200"</f>
        <v>01067200</v>
      </c>
    </row>
    <row r="28880" spans="1:2" x14ac:dyDescent="0.25">
      <c r="A28880" s="2">
        <v>28875</v>
      </c>
      <c r="B28880" s="11" t="str">
        <f>"01067201"</f>
        <v>01067201</v>
      </c>
    </row>
    <row r="28881" spans="1:2" x14ac:dyDescent="0.25">
      <c r="A28881" s="2">
        <v>28876</v>
      </c>
      <c r="B28881" s="11" t="str">
        <f>"01067203"</f>
        <v>01067203</v>
      </c>
    </row>
    <row r="28882" spans="1:2" x14ac:dyDescent="0.25">
      <c r="A28882" s="2">
        <v>28877</v>
      </c>
      <c r="B28882" s="11" t="str">
        <f>"01067205"</f>
        <v>01067205</v>
      </c>
    </row>
    <row r="28883" spans="1:2" x14ac:dyDescent="0.25">
      <c r="A28883" s="2">
        <v>28878</v>
      </c>
      <c r="B28883" s="11" t="str">
        <f>"01067208"</f>
        <v>01067208</v>
      </c>
    </row>
    <row r="28884" spans="1:2" x14ac:dyDescent="0.25">
      <c r="A28884" s="2">
        <v>28879</v>
      </c>
      <c r="B28884" s="11" t="str">
        <f>"01067211"</f>
        <v>01067211</v>
      </c>
    </row>
    <row r="28885" spans="1:2" x14ac:dyDescent="0.25">
      <c r="A28885" s="2">
        <v>28880</v>
      </c>
      <c r="B28885" s="11" t="str">
        <f>"01067224"</f>
        <v>01067224</v>
      </c>
    </row>
    <row r="28886" spans="1:2" x14ac:dyDescent="0.25">
      <c r="A28886" s="2">
        <v>28881</v>
      </c>
      <c r="B28886" s="11" t="str">
        <f>"01067227"</f>
        <v>01067227</v>
      </c>
    </row>
    <row r="28887" spans="1:2" x14ac:dyDescent="0.25">
      <c r="A28887" s="2">
        <v>28882</v>
      </c>
      <c r="B28887" s="11" t="str">
        <f>"01067228"</f>
        <v>01067228</v>
      </c>
    </row>
    <row r="28888" spans="1:2" x14ac:dyDescent="0.25">
      <c r="A28888" s="2">
        <v>28883</v>
      </c>
      <c r="B28888" s="11" t="str">
        <f>"01067230"</f>
        <v>01067230</v>
      </c>
    </row>
    <row r="28889" spans="1:2" x14ac:dyDescent="0.25">
      <c r="A28889" s="2">
        <v>28884</v>
      </c>
      <c r="B28889" s="11" t="str">
        <f>"01067232"</f>
        <v>01067232</v>
      </c>
    </row>
    <row r="28890" spans="1:2" x14ac:dyDescent="0.25">
      <c r="A28890" s="2">
        <v>28885</v>
      </c>
      <c r="B28890" s="11" t="str">
        <f>"01067234"</f>
        <v>01067234</v>
      </c>
    </row>
    <row r="28891" spans="1:2" x14ac:dyDescent="0.25">
      <c r="A28891" s="2">
        <v>28886</v>
      </c>
      <c r="B28891" s="11" t="str">
        <f>"01067238"</f>
        <v>01067238</v>
      </c>
    </row>
    <row r="28892" spans="1:2" x14ac:dyDescent="0.25">
      <c r="A28892" s="2">
        <v>28887</v>
      </c>
      <c r="B28892" s="11" t="str">
        <f>"01067240"</f>
        <v>01067240</v>
      </c>
    </row>
    <row r="28893" spans="1:2" x14ac:dyDescent="0.25">
      <c r="A28893" s="2">
        <v>28888</v>
      </c>
      <c r="B28893" s="11" t="str">
        <f>"01067246"</f>
        <v>01067246</v>
      </c>
    </row>
    <row r="28894" spans="1:2" x14ac:dyDescent="0.25">
      <c r="A28894" s="2">
        <v>28889</v>
      </c>
      <c r="B28894" s="11" t="str">
        <f>"01067251"</f>
        <v>01067251</v>
      </c>
    </row>
    <row r="28895" spans="1:2" x14ac:dyDescent="0.25">
      <c r="A28895" s="2">
        <v>28890</v>
      </c>
      <c r="B28895" s="11" t="str">
        <f>"01067253"</f>
        <v>01067253</v>
      </c>
    </row>
    <row r="28896" spans="1:2" x14ac:dyDescent="0.25">
      <c r="A28896" s="2">
        <v>28891</v>
      </c>
      <c r="B28896" s="11" t="str">
        <f>"01067260"</f>
        <v>01067260</v>
      </c>
    </row>
    <row r="28897" spans="1:2" x14ac:dyDescent="0.25">
      <c r="A28897" s="2">
        <v>28892</v>
      </c>
      <c r="B28897" s="11" t="str">
        <f>"01067261"</f>
        <v>01067261</v>
      </c>
    </row>
    <row r="28898" spans="1:2" x14ac:dyDescent="0.25">
      <c r="A28898" s="2">
        <v>28893</v>
      </c>
      <c r="B28898" s="11" t="str">
        <f>"01067263"</f>
        <v>01067263</v>
      </c>
    </row>
    <row r="28899" spans="1:2" x14ac:dyDescent="0.25">
      <c r="A28899" s="2">
        <v>28894</v>
      </c>
      <c r="B28899" s="11" t="str">
        <f>"01067267"</f>
        <v>01067267</v>
      </c>
    </row>
    <row r="28900" spans="1:2" x14ac:dyDescent="0.25">
      <c r="A28900" s="2">
        <v>28895</v>
      </c>
      <c r="B28900" s="11" t="str">
        <f>"01067268"</f>
        <v>01067268</v>
      </c>
    </row>
    <row r="28901" spans="1:2" x14ac:dyDescent="0.25">
      <c r="A28901" s="2">
        <v>28896</v>
      </c>
      <c r="B28901" s="11" t="str">
        <f>"01067269"</f>
        <v>01067269</v>
      </c>
    </row>
    <row r="28902" spans="1:2" x14ac:dyDescent="0.25">
      <c r="A28902" s="2">
        <v>28897</v>
      </c>
      <c r="B28902" s="11" t="str">
        <f>"01067270"</f>
        <v>01067270</v>
      </c>
    </row>
    <row r="28903" spans="1:2" x14ac:dyDescent="0.25">
      <c r="A28903" s="2">
        <v>28898</v>
      </c>
      <c r="B28903" s="11" t="str">
        <f>"01067273"</f>
        <v>01067273</v>
      </c>
    </row>
    <row r="28904" spans="1:2" x14ac:dyDescent="0.25">
      <c r="A28904" s="2">
        <v>28899</v>
      </c>
      <c r="B28904" s="11" t="str">
        <f>"01067275"</f>
        <v>01067275</v>
      </c>
    </row>
    <row r="28905" spans="1:2" x14ac:dyDescent="0.25">
      <c r="A28905" s="2">
        <v>28900</v>
      </c>
      <c r="B28905" s="11" t="str">
        <f>"01067281"</f>
        <v>01067281</v>
      </c>
    </row>
    <row r="28906" spans="1:2" x14ac:dyDescent="0.25">
      <c r="A28906" s="2">
        <v>28901</v>
      </c>
      <c r="B28906" s="11" t="str">
        <f>"01067293"</f>
        <v>01067293</v>
      </c>
    </row>
    <row r="28907" spans="1:2" x14ac:dyDescent="0.25">
      <c r="A28907" s="2">
        <v>28902</v>
      </c>
      <c r="B28907" s="11" t="str">
        <f>"01067294"</f>
        <v>01067294</v>
      </c>
    </row>
    <row r="28908" spans="1:2" x14ac:dyDescent="0.25">
      <c r="A28908" s="2">
        <v>28903</v>
      </c>
      <c r="B28908" s="11" t="str">
        <f>"01067299"</f>
        <v>01067299</v>
      </c>
    </row>
    <row r="28909" spans="1:2" x14ac:dyDescent="0.25">
      <c r="A28909" s="2">
        <v>28904</v>
      </c>
      <c r="B28909" s="11" t="str">
        <f>"01067321"</f>
        <v>01067321</v>
      </c>
    </row>
    <row r="28910" spans="1:2" x14ac:dyDescent="0.25">
      <c r="A28910" s="2">
        <v>28905</v>
      </c>
      <c r="B28910" s="11" t="str">
        <f>"01067329"</f>
        <v>01067329</v>
      </c>
    </row>
    <row r="28911" spans="1:2" x14ac:dyDescent="0.25">
      <c r="A28911" s="2">
        <v>28906</v>
      </c>
      <c r="B28911" s="11" t="str">
        <f>"01067330"</f>
        <v>01067330</v>
      </c>
    </row>
    <row r="28912" spans="1:2" x14ac:dyDescent="0.25">
      <c r="A28912" s="2">
        <v>28907</v>
      </c>
      <c r="B28912" s="11" t="str">
        <f>"01067351"</f>
        <v>01067351</v>
      </c>
    </row>
    <row r="28913" spans="1:2" x14ac:dyDescent="0.25">
      <c r="A28913" s="2">
        <v>28908</v>
      </c>
      <c r="B28913" s="11" t="str">
        <f>"01067358"</f>
        <v>01067358</v>
      </c>
    </row>
    <row r="28914" spans="1:2" x14ac:dyDescent="0.25">
      <c r="A28914" s="2">
        <v>28909</v>
      </c>
      <c r="B28914" s="11" t="str">
        <f>"01067367"</f>
        <v>01067367</v>
      </c>
    </row>
    <row r="28915" spans="1:2" x14ac:dyDescent="0.25">
      <c r="A28915" s="2">
        <v>28910</v>
      </c>
      <c r="B28915" s="11" t="str">
        <f>"01067373"</f>
        <v>01067373</v>
      </c>
    </row>
    <row r="28916" spans="1:2" x14ac:dyDescent="0.25">
      <c r="A28916" s="2">
        <v>28911</v>
      </c>
      <c r="B28916" s="11" t="str">
        <f>"01067374"</f>
        <v>01067374</v>
      </c>
    </row>
    <row r="28917" spans="1:2" x14ac:dyDescent="0.25">
      <c r="A28917" s="2">
        <v>28912</v>
      </c>
      <c r="B28917" s="11" t="str">
        <f>"01067377"</f>
        <v>01067377</v>
      </c>
    </row>
    <row r="28918" spans="1:2" x14ac:dyDescent="0.25">
      <c r="A28918" s="2">
        <v>28913</v>
      </c>
      <c r="B28918" s="11" t="str">
        <f>"01067379"</f>
        <v>01067379</v>
      </c>
    </row>
    <row r="28919" spans="1:2" x14ac:dyDescent="0.25">
      <c r="A28919" s="2">
        <v>28914</v>
      </c>
      <c r="B28919" s="11" t="str">
        <f>"01067382"</f>
        <v>01067382</v>
      </c>
    </row>
    <row r="28920" spans="1:2" x14ac:dyDescent="0.25">
      <c r="A28920" s="2">
        <v>28915</v>
      </c>
      <c r="B28920" s="11" t="str">
        <f>"01067390"</f>
        <v>01067390</v>
      </c>
    </row>
    <row r="28921" spans="1:2" x14ac:dyDescent="0.25">
      <c r="A28921" s="2">
        <v>28916</v>
      </c>
      <c r="B28921" s="11" t="str">
        <f>"01067393"</f>
        <v>01067393</v>
      </c>
    </row>
    <row r="28922" spans="1:2" x14ac:dyDescent="0.25">
      <c r="A28922" s="2">
        <v>28917</v>
      </c>
      <c r="B28922" s="11" t="str">
        <f>"01067404"</f>
        <v>01067404</v>
      </c>
    </row>
    <row r="28923" spans="1:2" x14ac:dyDescent="0.25">
      <c r="A28923" s="2">
        <v>28918</v>
      </c>
      <c r="B28923" s="11" t="str">
        <f>"01067409"</f>
        <v>01067409</v>
      </c>
    </row>
    <row r="28924" spans="1:2" x14ac:dyDescent="0.25">
      <c r="A28924" s="2">
        <v>28919</v>
      </c>
      <c r="B28924" s="11" t="str">
        <f>"01067410"</f>
        <v>01067410</v>
      </c>
    </row>
    <row r="28925" spans="1:2" x14ac:dyDescent="0.25">
      <c r="A28925" s="2">
        <v>28920</v>
      </c>
      <c r="B28925" s="11" t="str">
        <f>"01067416"</f>
        <v>01067416</v>
      </c>
    </row>
    <row r="28926" spans="1:2" x14ac:dyDescent="0.25">
      <c r="A28926" s="2">
        <v>28921</v>
      </c>
      <c r="B28926" s="11" t="str">
        <f>"01067421"</f>
        <v>01067421</v>
      </c>
    </row>
    <row r="28927" spans="1:2" x14ac:dyDescent="0.25">
      <c r="A28927" s="2">
        <v>28922</v>
      </c>
      <c r="B28927" s="11" t="str">
        <f>"01067427"</f>
        <v>01067427</v>
      </c>
    </row>
    <row r="28928" spans="1:2" x14ac:dyDescent="0.25">
      <c r="A28928" s="2">
        <v>28923</v>
      </c>
      <c r="B28928" s="11" t="str">
        <f>"01067436"</f>
        <v>01067436</v>
      </c>
    </row>
    <row r="28929" spans="1:2" x14ac:dyDescent="0.25">
      <c r="A28929" s="2">
        <v>28924</v>
      </c>
      <c r="B28929" s="11" t="str">
        <f>"01067443"</f>
        <v>01067443</v>
      </c>
    </row>
    <row r="28930" spans="1:2" x14ac:dyDescent="0.25">
      <c r="A28930" s="2">
        <v>28925</v>
      </c>
      <c r="B28930" s="11" t="str">
        <f>"01067449"</f>
        <v>01067449</v>
      </c>
    </row>
    <row r="28931" spans="1:2" x14ac:dyDescent="0.25">
      <c r="A28931" s="2">
        <v>28926</v>
      </c>
      <c r="B28931" s="11" t="str">
        <f>"01067454"</f>
        <v>01067454</v>
      </c>
    </row>
    <row r="28932" spans="1:2" x14ac:dyDescent="0.25">
      <c r="A28932" s="2">
        <v>28927</v>
      </c>
      <c r="B28932" s="11" t="str">
        <f>"01067457"</f>
        <v>01067457</v>
      </c>
    </row>
    <row r="28933" spans="1:2" x14ac:dyDescent="0.25">
      <c r="A28933" s="2">
        <v>28928</v>
      </c>
      <c r="B28933" s="11" t="str">
        <f>"01067458"</f>
        <v>01067458</v>
      </c>
    </row>
    <row r="28934" spans="1:2" x14ac:dyDescent="0.25">
      <c r="A28934" s="2">
        <v>28929</v>
      </c>
      <c r="B28934" s="11" t="str">
        <f>"01067460"</f>
        <v>01067460</v>
      </c>
    </row>
    <row r="28935" spans="1:2" x14ac:dyDescent="0.25">
      <c r="A28935" s="2">
        <v>28930</v>
      </c>
      <c r="B28935" s="11" t="str">
        <f>"01067472"</f>
        <v>01067472</v>
      </c>
    </row>
    <row r="28936" spans="1:2" x14ac:dyDescent="0.25">
      <c r="A28936" s="2">
        <v>28931</v>
      </c>
      <c r="B28936" s="11" t="str">
        <f>"01067491"</f>
        <v>01067491</v>
      </c>
    </row>
    <row r="28937" spans="1:2" x14ac:dyDescent="0.25">
      <c r="A28937" s="2">
        <v>28932</v>
      </c>
      <c r="B28937" s="11" t="str">
        <f>"01067503"</f>
        <v>01067503</v>
      </c>
    </row>
    <row r="28938" spans="1:2" x14ac:dyDescent="0.25">
      <c r="A28938" s="2">
        <v>28933</v>
      </c>
      <c r="B28938" s="11" t="str">
        <f>"01067505"</f>
        <v>01067505</v>
      </c>
    </row>
    <row r="28939" spans="1:2" x14ac:dyDescent="0.25">
      <c r="A28939" s="2">
        <v>28934</v>
      </c>
      <c r="B28939" s="11" t="str">
        <f>"01067516"</f>
        <v>01067516</v>
      </c>
    </row>
    <row r="28940" spans="1:2" x14ac:dyDescent="0.25">
      <c r="A28940" s="2">
        <v>28935</v>
      </c>
      <c r="B28940" s="11" t="str">
        <f>"01067518"</f>
        <v>01067518</v>
      </c>
    </row>
    <row r="28941" spans="1:2" x14ac:dyDescent="0.25">
      <c r="A28941" s="2">
        <v>28936</v>
      </c>
      <c r="B28941" s="11" t="str">
        <f>"01067519"</f>
        <v>01067519</v>
      </c>
    </row>
    <row r="28942" spans="1:2" x14ac:dyDescent="0.25">
      <c r="A28942" s="2">
        <v>28937</v>
      </c>
      <c r="B28942" s="11" t="str">
        <f>"01067520"</f>
        <v>01067520</v>
      </c>
    </row>
    <row r="28943" spans="1:2" x14ac:dyDescent="0.25">
      <c r="A28943" s="2">
        <v>28938</v>
      </c>
      <c r="B28943" s="11" t="str">
        <f>"01067521"</f>
        <v>01067521</v>
      </c>
    </row>
    <row r="28944" spans="1:2" x14ac:dyDescent="0.25">
      <c r="A28944" s="2">
        <v>28939</v>
      </c>
      <c r="B28944" s="11" t="str">
        <f>"01067522"</f>
        <v>01067522</v>
      </c>
    </row>
    <row r="28945" spans="1:2" x14ac:dyDescent="0.25">
      <c r="A28945" s="2">
        <v>28940</v>
      </c>
      <c r="B28945" s="11" t="str">
        <f>"01067532"</f>
        <v>01067532</v>
      </c>
    </row>
    <row r="28946" spans="1:2" x14ac:dyDescent="0.25">
      <c r="A28946" s="2">
        <v>28941</v>
      </c>
      <c r="B28946" s="11" t="str">
        <f>"01067541"</f>
        <v>01067541</v>
      </c>
    </row>
    <row r="28947" spans="1:2" x14ac:dyDescent="0.25">
      <c r="A28947" s="2">
        <v>28942</v>
      </c>
      <c r="B28947" s="11" t="str">
        <f>"01067543"</f>
        <v>01067543</v>
      </c>
    </row>
    <row r="28948" spans="1:2" x14ac:dyDescent="0.25">
      <c r="A28948" s="2">
        <v>28943</v>
      </c>
      <c r="B28948" s="11" t="str">
        <f>"01067558"</f>
        <v>01067558</v>
      </c>
    </row>
    <row r="28949" spans="1:2" x14ac:dyDescent="0.25">
      <c r="A28949" s="2">
        <v>28944</v>
      </c>
      <c r="B28949" s="11" t="str">
        <f>"01067565"</f>
        <v>01067565</v>
      </c>
    </row>
    <row r="28950" spans="1:2" x14ac:dyDescent="0.25">
      <c r="A28950" s="2">
        <v>28945</v>
      </c>
      <c r="B28950" s="11" t="str">
        <f>"01067575"</f>
        <v>01067575</v>
      </c>
    </row>
    <row r="28951" spans="1:2" x14ac:dyDescent="0.25">
      <c r="A28951" s="2">
        <v>28946</v>
      </c>
      <c r="B28951" s="11" t="str">
        <f>"01067576"</f>
        <v>01067576</v>
      </c>
    </row>
    <row r="28952" spans="1:2" x14ac:dyDescent="0.25">
      <c r="A28952" s="2">
        <v>28947</v>
      </c>
      <c r="B28952" s="11" t="str">
        <f>"01067579"</f>
        <v>01067579</v>
      </c>
    </row>
    <row r="28953" spans="1:2" x14ac:dyDescent="0.25">
      <c r="A28953" s="2">
        <v>28948</v>
      </c>
      <c r="B28953" s="11" t="str">
        <f>"01067582"</f>
        <v>01067582</v>
      </c>
    </row>
    <row r="28954" spans="1:2" x14ac:dyDescent="0.25">
      <c r="A28954" s="2">
        <v>28949</v>
      </c>
      <c r="B28954" s="11" t="str">
        <f>"01067584"</f>
        <v>01067584</v>
      </c>
    </row>
    <row r="28955" spans="1:2" x14ac:dyDescent="0.25">
      <c r="A28955" s="2">
        <v>28950</v>
      </c>
      <c r="B28955" s="11" t="str">
        <f>"01067585"</f>
        <v>01067585</v>
      </c>
    </row>
    <row r="28956" spans="1:2" x14ac:dyDescent="0.25">
      <c r="A28956" s="2">
        <v>28951</v>
      </c>
      <c r="B28956" s="11" t="str">
        <f>"01067586"</f>
        <v>01067586</v>
      </c>
    </row>
    <row r="28957" spans="1:2" x14ac:dyDescent="0.25">
      <c r="A28957" s="2">
        <v>28952</v>
      </c>
      <c r="B28957" s="11" t="str">
        <f>"01067596"</f>
        <v>01067596</v>
      </c>
    </row>
    <row r="28958" spans="1:2" x14ac:dyDescent="0.25">
      <c r="A28958" s="2">
        <v>28953</v>
      </c>
      <c r="B28958" s="11" t="str">
        <f>"01067598"</f>
        <v>01067598</v>
      </c>
    </row>
    <row r="28959" spans="1:2" x14ac:dyDescent="0.25">
      <c r="A28959" s="2">
        <v>28954</v>
      </c>
      <c r="B28959" s="11" t="str">
        <f>"01067602"</f>
        <v>01067602</v>
      </c>
    </row>
    <row r="28960" spans="1:2" x14ac:dyDescent="0.25">
      <c r="A28960" s="2">
        <v>28955</v>
      </c>
      <c r="B28960" s="11" t="str">
        <f>"01067610"</f>
        <v>01067610</v>
      </c>
    </row>
    <row r="28961" spans="1:2" x14ac:dyDescent="0.25">
      <c r="A28961" s="2">
        <v>28956</v>
      </c>
      <c r="B28961" s="11" t="str">
        <f>"01067611"</f>
        <v>01067611</v>
      </c>
    </row>
    <row r="28962" spans="1:2" x14ac:dyDescent="0.25">
      <c r="A28962" s="2">
        <v>28957</v>
      </c>
      <c r="B28962" s="11" t="str">
        <f>"01067624"</f>
        <v>01067624</v>
      </c>
    </row>
    <row r="28963" spans="1:2" x14ac:dyDescent="0.25">
      <c r="A28963" s="2">
        <v>28958</v>
      </c>
      <c r="B28963" s="11" t="str">
        <f>"01067626"</f>
        <v>01067626</v>
      </c>
    </row>
    <row r="28964" spans="1:2" x14ac:dyDescent="0.25">
      <c r="A28964" s="2">
        <v>28959</v>
      </c>
      <c r="B28964" s="11" t="str">
        <f>"01067627"</f>
        <v>01067627</v>
      </c>
    </row>
    <row r="28965" spans="1:2" x14ac:dyDescent="0.25">
      <c r="A28965" s="2">
        <v>28960</v>
      </c>
      <c r="B28965" s="11" t="str">
        <f>"01067632"</f>
        <v>01067632</v>
      </c>
    </row>
    <row r="28966" spans="1:2" x14ac:dyDescent="0.25">
      <c r="A28966" s="2">
        <v>28961</v>
      </c>
      <c r="B28966" s="11" t="str">
        <f>"01067637"</f>
        <v>01067637</v>
      </c>
    </row>
    <row r="28967" spans="1:2" x14ac:dyDescent="0.25">
      <c r="A28967" s="2">
        <v>28962</v>
      </c>
      <c r="B28967" s="11" t="str">
        <f>"01067638"</f>
        <v>01067638</v>
      </c>
    </row>
    <row r="28968" spans="1:2" x14ac:dyDescent="0.25">
      <c r="A28968" s="2">
        <v>28963</v>
      </c>
      <c r="B28968" s="11" t="str">
        <f>"01067641"</f>
        <v>01067641</v>
      </c>
    </row>
    <row r="28969" spans="1:2" x14ac:dyDescent="0.25">
      <c r="A28969" s="2">
        <v>28964</v>
      </c>
      <c r="B28969" s="11" t="str">
        <f>"01067643"</f>
        <v>01067643</v>
      </c>
    </row>
    <row r="28970" spans="1:2" x14ac:dyDescent="0.25">
      <c r="A28970" s="2">
        <v>28965</v>
      </c>
      <c r="B28970" s="11" t="str">
        <f>"01067651"</f>
        <v>01067651</v>
      </c>
    </row>
    <row r="28971" spans="1:2" x14ac:dyDescent="0.25">
      <c r="A28971" s="2">
        <v>28966</v>
      </c>
      <c r="B28971" s="11" t="str">
        <f>"01067654"</f>
        <v>01067654</v>
      </c>
    </row>
    <row r="28972" spans="1:2" x14ac:dyDescent="0.25">
      <c r="A28972" s="2">
        <v>28967</v>
      </c>
      <c r="B28972" s="11" t="str">
        <f>"01067659"</f>
        <v>01067659</v>
      </c>
    </row>
    <row r="28973" spans="1:2" x14ac:dyDescent="0.25">
      <c r="A28973" s="2">
        <v>28968</v>
      </c>
      <c r="B28973" s="11" t="str">
        <f>"01067662"</f>
        <v>01067662</v>
      </c>
    </row>
    <row r="28974" spans="1:2" x14ac:dyDescent="0.25">
      <c r="A28974" s="2">
        <v>28969</v>
      </c>
      <c r="B28974" s="11" t="str">
        <f>"01067664"</f>
        <v>01067664</v>
      </c>
    </row>
    <row r="28975" spans="1:2" x14ac:dyDescent="0.25">
      <c r="A28975" s="2">
        <v>28970</v>
      </c>
      <c r="B28975" s="11" t="str">
        <f>"01067667"</f>
        <v>01067667</v>
      </c>
    </row>
    <row r="28976" spans="1:2" x14ac:dyDescent="0.25">
      <c r="A28976" s="2">
        <v>28971</v>
      </c>
      <c r="B28976" s="11" t="str">
        <f>"01067679"</f>
        <v>01067679</v>
      </c>
    </row>
    <row r="28977" spans="1:2" x14ac:dyDescent="0.25">
      <c r="A28977" s="2">
        <v>28972</v>
      </c>
      <c r="B28977" s="11" t="str">
        <f>"01067684"</f>
        <v>01067684</v>
      </c>
    </row>
    <row r="28978" spans="1:2" x14ac:dyDescent="0.25">
      <c r="A28978" s="2">
        <v>28973</v>
      </c>
      <c r="B28978" s="11" t="str">
        <f>"01067693"</f>
        <v>01067693</v>
      </c>
    </row>
    <row r="28979" spans="1:2" x14ac:dyDescent="0.25">
      <c r="A28979" s="2">
        <v>28974</v>
      </c>
      <c r="B28979" s="11" t="str">
        <f>"01067696"</f>
        <v>01067696</v>
      </c>
    </row>
    <row r="28980" spans="1:2" x14ac:dyDescent="0.25">
      <c r="A28980" s="2">
        <v>28975</v>
      </c>
      <c r="B28980" s="11" t="str">
        <f>"01067701"</f>
        <v>01067701</v>
      </c>
    </row>
    <row r="28981" spans="1:2" x14ac:dyDescent="0.25">
      <c r="A28981" s="2">
        <v>28976</v>
      </c>
      <c r="B28981" s="11" t="str">
        <f>"01067704"</f>
        <v>01067704</v>
      </c>
    </row>
    <row r="28982" spans="1:2" x14ac:dyDescent="0.25">
      <c r="A28982" s="2">
        <v>28977</v>
      </c>
      <c r="B28982" s="11" t="str">
        <f>"01067706"</f>
        <v>01067706</v>
      </c>
    </row>
    <row r="28983" spans="1:2" x14ac:dyDescent="0.25">
      <c r="A28983" s="2">
        <v>28978</v>
      </c>
      <c r="B28983" s="11" t="str">
        <f>"01067707"</f>
        <v>01067707</v>
      </c>
    </row>
    <row r="28984" spans="1:2" x14ac:dyDescent="0.25">
      <c r="A28984" s="2">
        <v>28979</v>
      </c>
      <c r="B28984" s="11" t="str">
        <f>"01067708"</f>
        <v>01067708</v>
      </c>
    </row>
    <row r="28985" spans="1:2" x14ac:dyDescent="0.25">
      <c r="A28985" s="2">
        <v>28980</v>
      </c>
      <c r="B28985" s="11" t="str">
        <f>"01067711"</f>
        <v>01067711</v>
      </c>
    </row>
    <row r="28986" spans="1:2" x14ac:dyDescent="0.25">
      <c r="A28986" s="2">
        <v>28981</v>
      </c>
      <c r="B28986" s="11" t="str">
        <f>"01067719"</f>
        <v>01067719</v>
      </c>
    </row>
    <row r="28987" spans="1:2" x14ac:dyDescent="0.25">
      <c r="A28987" s="2">
        <v>28982</v>
      </c>
      <c r="B28987" s="11" t="str">
        <f>"01067721"</f>
        <v>01067721</v>
      </c>
    </row>
    <row r="28988" spans="1:2" x14ac:dyDescent="0.25">
      <c r="A28988" s="2">
        <v>28983</v>
      </c>
      <c r="B28988" s="11" t="str">
        <f>"01067734"</f>
        <v>01067734</v>
      </c>
    </row>
    <row r="28989" spans="1:2" x14ac:dyDescent="0.25">
      <c r="A28989" s="2">
        <v>28984</v>
      </c>
      <c r="B28989" s="11" t="str">
        <f>"01067735"</f>
        <v>01067735</v>
      </c>
    </row>
    <row r="28990" spans="1:2" x14ac:dyDescent="0.25">
      <c r="A28990" s="2">
        <v>28985</v>
      </c>
      <c r="B28990" s="11" t="str">
        <f>"01067737"</f>
        <v>01067737</v>
      </c>
    </row>
    <row r="28991" spans="1:2" x14ac:dyDescent="0.25">
      <c r="A28991" s="2">
        <v>28986</v>
      </c>
      <c r="B28991" s="11" t="str">
        <f>"01067739"</f>
        <v>01067739</v>
      </c>
    </row>
    <row r="28992" spans="1:2" x14ac:dyDescent="0.25">
      <c r="A28992" s="2">
        <v>28987</v>
      </c>
      <c r="B28992" s="11" t="str">
        <f>"01067742"</f>
        <v>01067742</v>
      </c>
    </row>
    <row r="28993" spans="1:2" x14ac:dyDescent="0.25">
      <c r="A28993" s="2">
        <v>28988</v>
      </c>
      <c r="B28993" s="11" t="str">
        <f>"01067753"</f>
        <v>01067753</v>
      </c>
    </row>
    <row r="28994" spans="1:2" x14ac:dyDescent="0.25">
      <c r="A28994" s="2">
        <v>28989</v>
      </c>
      <c r="B28994" s="11" t="str">
        <f>"01067754"</f>
        <v>01067754</v>
      </c>
    </row>
    <row r="28995" spans="1:2" x14ac:dyDescent="0.25">
      <c r="A28995" s="2">
        <v>28990</v>
      </c>
      <c r="B28995" s="11" t="str">
        <f>"01067756"</f>
        <v>01067756</v>
      </c>
    </row>
    <row r="28996" spans="1:2" x14ac:dyDescent="0.25">
      <c r="A28996" s="2">
        <v>28991</v>
      </c>
      <c r="B28996" s="11" t="str">
        <f>"01067765"</f>
        <v>01067765</v>
      </c>
    </row>
    <row r="28997" spans="1:2" x14ac:dyDescent="0.25">
      <c r="A28997" s="2">
        <v>28992</v>
      </c>
      <c r="B28997" s="11" t="str">
        <f>"01067769"</f>
        <v>01067769</v>
      </c>
    </row>
    <row r="28998" spans="1:2" x14ac:dyDescent="0.25">
      <c r="A28998" s="2">
        <v>28993</v>
      </c>
      <c r="B28998" s="11" t="str">
        <f>"01067770"</f>
        <v>01067770</v>
      </c>
    </row>
    <row r="28999" spans="1:2" x14ac:dyDescent="0.25">
      <c r="A28999" s="2">
        <v>28994</v>
      </c>
      <c r="B28999" s="11" t="str">
        <f>"01067777"</f>
        <v>01067777</v>
      </c>
    </row>
    <row r="29000" spans="1:2" x14ac:dyDescent="0.25">
      <c r="A29000" s="2">
        <v>28995</v>
      </c>
      <c r="B29000" s="11" t="str">
        <f>"01067778"</f>
        <v>01067778</v>
      </c>
    </row>
    <row r="29001" spans="1:2" x14ac:dyDescent="0.25">
      <c r="A29001" s="2">
        <v>28996</v>
      </c>
      <c r="B29001" s="11" t="str">
        <f>"01067781"</f>
        <v>01067781</v>
      </c>
    </row>
    <row r="29002" spans="1:2" x14ac:dyDescent="0.25">
      <c r="A29002" s="2">
        <v>28997</v>
      </c>
      <c r="B29002" s="11" t="str">
        <f>"01067782"</f>
        <v>01067782</v>
      </c>
    </row>
    <row r="29003" spans="1:2" x14ac:dyDescent="0.25">
      <c r="A29003" s="2">
        <v>28998</v>
      </c>
      <c r="B29003" s="11" t="str">
        <f>"01067789"</f>
        <v>01067789</v>
      </c>
    </row>
    <row r="29004" spans="1:2" x14ac:dyDescent="0.25">
      <c r="A29004" s="2">
        <v>28999</v>
      </c>
      <c r="B29004" s="11" t="str">
        <f>"01067799"</f>
        <v>01067799</v>
      </c>
    </row>
    <row r="29005" spans="1:2" x14ac:dyDescent="0.25">
      <c r="A29005" s="2">
        <v>29000</v>
      </c>
      <c r="B29005" s="11" t="str">
        <f>"01067816"</f>
        <v>01067816</v>
      </c>
    </row>
    <row r="29006" spans="1:2" x14ac:dyDescent="0.25">
      <c r="A29006" s="2">
        <v>29001</v>
      </c>
      <c r="B29006" s="11" t="str">
        <f>"01067819"</f>
        <v>01067819</v>
      </c>
    </row>
    <row r="29007" spans="1:2" x14ac:dyDescent="0.25">
      <c r="A29007" s="2">
        <v>29002</v>
      </c>
      <c r="B29007" s="11" t="str">
        <f>"01067825"</f>
        <v>01067825</v>
      </c>
    </row>
    <row r="29008" spans="1:2" x14ac:dyDescent="0.25">
      <c r="A29008" s="2">
        <v>29003</v>
      </c>
      <c r="B29008" s="11" t="str">
        <f>"01067830"</f>
        <v>01067830</v>
      </c>
    </row>
    <row r="29009" spans="1:2" x14ac:dyDescent="0.25">
      <c r="A29009" s="2">
        <v>29004</v>
      </c>
      <c r="B29009" s="11" t="str">
        <f>"01067833"</f>
        <v>01067833</v>
      </c>
    </row>
    <row r="29010" spans="1:2" x14ac:dyDescent="0.25">
      <c r="A29010" s="2">
        <v>29005</v>
      </c>
      <c r="B29010" s="11" t="str">
        <f>"01067837"</f>
        <v>01067837</v>
      </c>
    </row>
    <row r="29011" spans="1:2" x14ac:dyDescent="0.25">
      <c r="A29011" s="2">
        <v>29006</v>
      </c>
      <c r="B29011" s="11" t="str">
        <f>"01067842"</f>
        <v>01067842</v>
      </c>
    </row>
    <row r="29012" spans="1:2" x14ac:dyDescent="0.25">
      <c r="A29012" s="2">
        <v>29007</v>
      </c>
      <c r="B29012" s="11" t="str">
        <f>"01067860"</f>
        <v>01067860</v>
      </c>
    </row>
    <row r="29013" spans="1:2" x14ac:dyDescent="0.25">
      <c r="A29013" s="2">
        <v>29008</v>
      </c>
      <c r="B29013" s="11" t="str">
        <f>"01067861"</f>
        <v>01067861</v>
      </c>
    </row>
    <row r="29014" spans="1:2" x14ac:dyDescent="0.25">
      <c r="A29014" s="2">
        <v>29009</v>
      </c>
      <c r="B29014" s="11" t="str">
        <f>"01067869"</f>
        <v>01067869</v>
      </c>
    </row>
    <row r="29015" spans="1:2" x14ac:dyDescent="0.25">
      <c r="A29015" s="2">
        <v>29010</v>
      </c>
      <c r="B29015" s="11" t="str">
        <f>"01067870"</f>
        <v>01067870</v>
      </c>
    </row>
    <row r="29016" spans="1:2" x14ac:dyDescent="0.25">
      <c r="A29016" s="2">
        <v>29011</v>
      </c>
      <c r="B29016" s="11" t="str">
        <f>"01067871"</f>
        <v>01067871</v>
      </c>
    </row>
    <row r="29017" spans="1:2" x14ac:dyDescent="0.25">
      <c r="A29017" s="2">
        <v>29012</v>
      </c>
      <c r="B29017" s="11" t="str">
        <f>"01067873"</f>
        <v>01067873</v>
      </c>
    </row>
    <row r="29018" spans="1:2" x14ac:dyDescent="0.25">
      <c r="A29018" s="2">
        <v>29013</v>
      </c>
      <c r="B29018" s="11" t="str">
        <f>"01067875"</f>
        <v>01067875</v>
      </c>
    </row>
    <row r="29019" spans="1:2" x14ac:dyDescent="0.25">
      <c r="A29019" s="2">
        <v>29014</v>
      </c>
      <c r="B29019" s="11" t="str">
        <f>"01067880"</f>
        <v>01067880</v>
      </c>
    </row>
    <row r="29020" spans="1:2" x14ac:dyDescent="0.25">
      <c r="A29020" s="2">
        <v>29015</v>
      </c>
      <c r="B29020" s="11" t="str">
        <f>"01067883"</f>
        <v>01067883</v>
      </c>
    </row>
    <row r="29021" spans="1:2" x14ac:dyDescent="0.25">
      <c r="A29021" s="2">
        <v>29016</v>
      </c>
      <c r="B29021" s="11" t="str">
        <f>"01067889"</f>
        <v>01067889</v>
      </c>
    </row>
    <row r="29022" spans="1:2" x14ac:dyDescent="0.25">
      <c r="A29022" s="2">
        <v>29017</v>
      </c>
      <c r="B29022" s="11" t="str">
        <f>"01067897"</f>
        <v>01067897</v>
      </c>
    </row>
    <row r="29023" spans="1:2" x14ac:dyDescent="0.25">
      <c r="A29023" s="2">
        <v>29018</v>
      </c>
      <c r="B29023" s="11" t="str">
        <f>"01067901"</f>
        <v>01067901</v>
      </c>
    </row>
    <row r="29024" spans="1:2" x14ac:dyDescent="0.25">
      <c r="A29024" s="2">
        <v>29019</v>
      </c>
      <c r="B29024" s="11" t="str">
        <f>"01067911"</f>
        <v>01067911</v>
      </c>
    </row>
    <row r="29025" spans="1:2" x14ac:dyDescent="0.25">
      <c r="A29025" s="2">
        <v>29020</v>
      </c>
      <c r="B29025" s="11" t="str">
        <f>"01067912"</f>
        <v>01067912</v>
      </c>
    </row>
    <row r="29026" spans="1:2" x14ac:dyDescent="0.25">
      <c r="A29026" s="2">
        <v>29021</v>
      </c>
      <c r="B29026" s="11" t="str">
        <f>"01067922"</f>
        <v>01067922</v>
      </c>
    </row>
    <row r="29027" spans="1:2" x14ac:dyDescent="0.25">
      <c r="A29027" s="2">
        <v>29022</v>
      </c>
      <c r="B29027" s="11" t="str">
        <f>"01067924"</f>
        <v>01067924</v>
      </c>
    </row>
    <row r="29028" spans="1:2" x14ac:dyDescent="0.25">
      <c r="A29028" s="2">
        <v>29023</v>
      </c>
      <c r="B29028" s="11" t="str">
        <f>"01067925"</f>
        <v>01067925</v>
      </c>
    </row>
    <row r="29029" spans="1:2" x14ac:dyDescent="0.25">
      <c r="A29029" s="2">
        <v>29024</v>
      </c>
      <c r="B29029" s="11" t="str">
        <f>"01067933"</f>
        <v>01067933</v>
      </c>
    </row>
    <row r="29030" spans="1:2" x14ac:dyDescent="0.25">
      <c r="A29030" s="2">
        <v>29025</v>
      </c>
      <c r="B29030" s="11" t="str">
        <f>"01067943"</f>
        <v>01067943</v>
      </c>
    </row>
    <row r="29031" spans="1:2" x14ac:dyDescent="0.25">
      <c r="A29031" s="2">
        <v>29026</v>
      </c>
      <c r="B29031" s="11" t="str">
        <f>"01067949"</f>
        <v>01067949</v>
      </c>
    </row>
    <row r="29032" spans="1:2" x14ac:dyDescent="0.25">
      <c r="A29032" s="2">
        <v>29027</v>
      </c>
      <c r="B29032" s="11" t="str">
        <f>"01067952"</f>
        <v>01067952</v>
      </c>
    </row>
    <row r="29033" spans="1:2" x14ac:dyDescent="0.25">
      <c r="A29033" s="2">
        <v>29028</v>
      </c>
      <c r="B29033" s="11" t="str">
        <f>"01067958"</f>
        <v>01067958</v>
      </c>
    </row>
    <row r="29034" spans="1:2" x14ac:dyDescent="0.25">
      <c r="A29034" s="2">
        <v>29029</v>
      </c>
      <c r="B29034" s="11" t="str">
        <f>"01067959"</f>
        <v>01067959</v>
      </c>
    </row>
    <row r="29035" spans="1:2" x14ac:dyDescent="0.25">
      <c r="A29035" s="2">
        <v>29030</v>
      </c>
      <c r="B29035" s="11" t="str">
        <f>"01067963"</f>
        <v>01067963</v>
      </c>
    </row>
    <row r="29036" spans="1:2" x14ac:dyDescent="0.25">
      <c r="A29036" s="2">
        <v>29031</v>
      </c>
      <c r="B29036" s="11" t="str">
        <f>"01067965"</f>
        <v>01067965</v>
      </c>
    </row>
    <row r="29037" spans="1:2" x14ac:dyDescent="0.25">
      <c r="A29037" s="2">
        <v>29032</v>
      </c>
      <c r="B29037" s="11" t="str">
        <f>"01067967"</f>
        <v>01067967</v>
      </c>
    </row>
    <row r="29038" spans="1:2" x14ac:dyDescent="0.25">
      <c r="A29038" s="2">
        <v>29033</v>
      </c>
      <c r="B29038" s="11" t="str">
        <f>"01067970"</f>
        <v>01067970</v>
      </c>
    </row>
    <row r="29039" spans="1:2" x14ac:dyDescent="0.25">
      <c r="A29039" s="2">
        <v>29034</v>
      </c>
      <c r="B29039" s="11" t="str">
        <f>"01067973"</f>
        <v>01067973</v>
      </c>
    </row>
    <row r="29040" spans="1:2" x14ac:dyDescent="0.25">
      <c r="A29040" s="2">
        <v>29035</v>
      </c>
      <c r="B29040" s="11" t="str">
        <f>"01067974"</f>
        <v>01067974</v>
      </c>
    </row>
    <row r="29041" spans="1:2" x14ac:dyDescent="0.25">
      <c r="A29041" s="2">
        <v>29036</v>
      </c>
      <c r="B29041" s="11" t="str">
        <f>"01067984"</f>
        <v>01067984</v>
      </c>
    </row>
    <row r="29042" spans="1:2" x14ac:dyDescent="0.25">
      <c r="A29042" s="2">
        <v>29037</v>
      </c>
      <c r="B29042" s="11" t="str">
        <f>"01067991"</f>
        <v>01067991</v>
      </c>
    </row>
    <row r="29043" spans="1:2" x14ac:dyDescent="0.25">
      <c r="A29043" s="2">
        <v>29038</v>
      </c>
      <c r="B29043" s="11" t="str">
        <f>"01067992"</f>
        <v>01067992</v>
      </c>
    </row>
    <row r="29044" spans="1:2" x14ac:dyDescent="0.25">
      <c r="A29044" s="2">
        <v>29039</v>
      </c>
      <c r="B29044" s="11" t="str">
        <f>"01067996"</f>
        <v>01067996</v>
      </c>
    </row>
    <row r="29045" spans="1:2" x14ac:dyDescent="0.25">
      <c r="A29045" s="2">
        <v>29040</v>
      </c>
      <c r="B29045" s="11" t="str">
        <f>"01067998"</f>
        <v>01067998</v>
      </c>
    </row>
    <row r="29046" spans="1:2" x14ac:dyDescent="0.25">
      <c r="A29046" s="2">
        <v>29041</v>
      </c>
      <c r="B29046" s="11" t="str">
        <f>"01068000"</f>
        <v>01068000</v>
      </c>
    </row>
    <row r="29047" spans="1:2" x14ac:dyDescent="0.25">
      <c r="A29047" s="2">
        <v>29042</v>
      </c>
      <c r="B29047" s="11" t="str">
        <f>"01068010"</f>
        <v>01068010</v>
      </c>
    </row>
    <row r="29048" spans="1:2" x14ac:dyDescent="0.25">
      <c r="A29048" s="2">
        <v>29043</v>
      </c>
      <c r="B29048" s="11" t="str">
        <f>"01068012"</f>
        <v>01068012</v>
      </c>
    </row>
    <row r="29049" spans="1:2" x14ac:dyDescent="0.25">
      <c r="A29049" s="2">
        <v>29044</v>
      </c>
      <c r="B29049" s="11" t="str">
        <f>"01068013"</f>
        <v>01068013</v>
      </c>
    </row>
    <row r="29050" spans="1:2" x14ac:dyDescent="0.25">
      <c r="A29050" s="2">
        <v>29045</v>
      </c>
      <c r="B29050" s="11" t="str">
        <f>"01068017"</f>
        <v>01068017</v>
      </c>
    </row>
    <row r="29051" spans="1:2" x14ac:dyDescent="0.25">
      <c r="A29051" s="2">
        <v>29046</v>
      </c>
      <c r="B29051" s="11" t="str">
        <f>"01068021"</f>
        <v>01068021</v>
      </c>
    </row>
    <row r="29052" spans="1:2" x14ac:dyDescent="0.25">
      <c r="A29052" s="2">
        <v>29047</v>
      </c>
      <c r="B29052" s="11" t="str">
        <f>"01068025"</f>
        <v>01068025</v>
      </c>
    </row>
    <row r="29053" spans="1:2" x14ac:dyDescent="0.25">
      <c r="A29053" s="2">
        <v>29048</v>
      </c>
      <c r="B29053" s="11" t="str">
        <f>"01068030"</f>
        <v>01068030</v>
      </c>
    </row>
    <row r="29054" spans="1:2" x14ac:dyDescent="0.25">
      <c r="A29054" s="2">
        <v>29049</v>
      </c>
      <c r="B29054" s="11" t="str">
        <f>"01068031"</f>
        <v>01068031</v>
      </c>
    </row>
    <row r="29055" spans="1:2" x14ac:dyDescent="0.25">
      <c r="A29055" s="2">
        <v>29050</v>
      </c>
      <c r="B29055" s="11" t="str">
        <f>"01068033"</f>
        <v>01068033</v>
      </c>
    </row>
    <row r="29056" spans="1:2" x14ac:dyDescent="0.25">
      <c r="A29056" s="2">
        <v>29051</v>
      </c>
      <c r="B29056" s="11" t="str">
        <f>"01068039"</f>
        <v>01068039</v>
      </c>
    </row>
    <row r="29057" spans="1:2" x14ac:dyDescent="0.25">
      <c r="A29057" s="2">
        <v>29052</v>
      </c>
      <c r="B29057" s="11" t="str">
        <f>"01068040"</f>
        <v>01068040</v>
      </c>
    </row>
    <row r="29058" spans="1:2" x14ac:dyDescent="0.25">
      <c r="A29058" s="2">
        <v>29053</v>
      </c>
      <c r="B29058" s="11" t="str">
        <f>"01068045"</f>
        <v>01068045</v>
      </c>
    </row>
    <row r="29059" spans="1:2" x14ac:dyDescent="0.25">
      <c r="A29059" s="2">
        <v>29054</v>
      </c>
      <c r="B29059" s="11" t="str">
        <f>"01068047"</f>
        <v>01068047</v>
      </c>
    </row>
    <row r="29060" spans="1:2" x14ac:dyDescent="0.25">
      <c r="A29060" s="2">
        <v>29055</v>
      </c>
      <c r="B29060" s="11" t="str">
        <f>"01068049"</f>
        <v>01068049</v>
      </c>
    </row>
    <row r="29061" spans="1:2" x14ac:dyDescent="0.25">
      <c r="A29061" s="2">
        <v>29056</v>
      </c>
      <c r="B29061" s="11" t="str">
        <f>"01068051"</f>
        <v>01068051</v>
      </c>
    </row>
    <row r="29062" spans="1:2" x14ac:dyDescent="0.25">
      <c r="A29062" s="2">
        <v>29057</v>
      </c>
      <c r="B29062" s="11" t="str">
        <f>"01068054"</f>
        <v>01068054</v>
      </c>
    </row>
    <row r="29063" spans="1:2" x14ac:dyDescent="0.25">
      <c r="A29063" s="2">
        <v>29058</v>
      </c>
      <c r="B29063" s="11" t="str">
        <f>"01068064"</f>
        <v>01068064</v>
      </c>
    </row>
    <row r="29064" spans="1:2" x14ac:dyDescent="0.25">
      <c r="A29064" s="2">
        <v>29059</v>
      </c>
      <c r="B29064" s="11" t="str">
        <f>"01068070"</f>
        <v>01068070</v>
      </c>
    </row>
    <row r="29065" spans="1:2" x14ac:dyDescent="0.25">
      <c r="A29065" s="2">
        <v>29060</v>
      </c>
      <c r="B29065" s="11" t="str">
        <f>"01068088"</f>
        <v>01068088</v>
      </c>
    </row>
    <row r="29066" spans="1:2" x14ac:dyDescent="0.25">
      <c r="A29066" s="2">
        <v>29061</v>
      </c>
      <c r="B29066" s="11" t="str">
        <f>"01068091"</f>
        <v>01068091</v>
      </c>
    </row>
    <row r="29067" spans="1:2" x14ac:dyDescent="0.25">
      <c r="A29067" s="2">
        <v>29062</v>
      </c>
      <c r="B29067" s="11" t="str">
        <f>"01068099"</f>
        <v>01068099</v>
      </c>
    </row>
    <row r="29068" spans="1:2" x14ac:dyDescent="0.25">
      <c r="A29068" s="2">
        <v>29063</v>
      </c>
      <c r="B29068" s="11" t="str">
        <f>"01068110"</f>
        <v>01068110</v>
      </c>
    </row>
    <row r="29069" spans="1:2" x14ac:dyDescent="0.25">
      <c r="A29069" s="2">
        <v>29064</v>
      </c>
      <c r="B29069" s="11" t="str">
        <f>"01068114"</f>
        <v>01068114</v>
      </c>
    </row>
    <row r="29070" spans="1:2" x14ac:dyDescent="0.25">
      <c r="A29070" s="2">
        <v>29065</v>
      </c>
      <c r="B29070" s="11" t="str">
        <f>"01068115"</f>
        <v>01068115</v>
      </c>
    </row>
    <row r="29071" spans="1:2" x14ac:dyDescent="0.25">
      <c r="A29071" s="2">
        <v>29066</v>
      </c>
      <c r="B29071" s="11" t="str">
        <f>"01068121"</f>
        <v>01068121</v>
      </c>
    </row>
    <row r="29072" spans="1:2" x14ac:dyDescent="0.25">
      <c r="A29072" s="2">
        <v>29067</v>
      </c>
      <c r="B29072" s="11" t="str">
        <f>"01068122"</f>
        <v>01068122</v>
      </c>
    </row>
    <row r="29073" spans="1:2" x14ac:dyDescent="0.25">
      <c r="A29073" s="2">
        <v>29068</v>
      </c>
      <c r="B29073" s="11" t="str">
        <f>"01068125"</f>
        <v>01068125</v>
      </c>
    </row>
    <row r="29074" spans="1:2" x14ac:dyDescent="0.25">
      <c r="A29074" s="2">
        <v>29069</v>
      </c>
      <c r="B29074" s="11" t="str">
        <f>"01068127"</f>
        <v>01068127</v>
      </c>
    </row>
    <row r="29075" spans="1:2" x14ac:dyDescent="0.25">
      <c r="A29075" s="2">
        <v>29070</v>
      </c>
      <c r="B29075" s="11" t="str">
        <f>"01068129"</f>
        <v>01068129</v>
      </c>
    </row>
    <row r="29076" spans="1:2" x14ac:dyDescent="0.25">
      <c r="A29076" s="2">
        <v>29071</v>
      </c>
      <c r="B29076" s="11" t="str">
        <f>"01068134"</f>
        <v>01068134</v>
      </c>
    </row>
    <row r="29077" spans="1:2" x14ac:dyDescent="0.25">
      <c r="A29077" s="2">
        <v>29072</v>
      </c>
      <c r="B29077" s="11" t="str">
        <f>"01068171"</f>
        <v>01068171</v>
      </c>
    </row>
    <row r="29078" spans="1:2" x14ac:dyDescent="0.25">
      <c r="A29078" s="2">
        <v>29073</v>
      </c>
      <c r="B29078" s="11" t="str">
        <f>"01068178"</f>
        <v>01068178</v>
      </c>
    </row>
    <row r="29079" spans="1:2" x14ac:dyDescent="0.25">
      <c r="A29079" s="2">
        <v>29074</v>
      </c>
      <c r="B29079" s="11" t="str">
        <f>"01068180"</f>
        <v>01068180</v>
      </c>
    </row>
    <row r="29080" spans="1:2" x14ac:dyDescent="0.25">
      <c r="A29080" s="2">
        <v>29075</v>
      </c>
      <c r="B29080" s="11" t="str">
        <f>"01068184"</f>
        <v>01068184</v>
      </c>
    </row>
    <row r="29081" spans="1:2" x14ac:dyDescent="0.25">
      <c r="A29081" s="2">
        <v>29076</v>
      </c>
      <c r="B29081" s="11" t="str">
        <f>"01068194"</f>
        <v>01068194</v>
      </c>
    </row>
    <row r="29082" spans="1:2" x14ac:dyDescent="0.25">
      <c r="A29082" s="2">
        <v>29077</v>
      </c>
      <c r="B29082" s="11" t="str">
        <f>"01068195"</f>
        <v>01068195</v>
      </c>
    </row>
    <row r="29083" spans="1:2" x14ac:dyDescent="0.25">
      <c r="A29083" s="2">
        <v>29078</v>
      </c>
      <c r="B29083" s="11" t="str">
        <f>"01068198"</f>
        <v>01068198</v>
      </c>
    </row>
    <row r="29084" spans="1:2" x14ac:dyDescent="0.25">
      <c r="A29084" s="2">
        <v>29079</v>
      </c>
      <c r="B29084" s="11" t="str">
        <f>"01068201"</f>
        <v>01068201</v>
      </c>
    </row>
    <row r="29085" spans="1:2" x14ac:dyDescent="0.25">
      <c r="A29085" s="2">
        <v>29080</v>
      </c>
      <c r="B29085" s="11" t="str">
        <f>"01068206"</f>
        <v>01068206</v>
      </c>
    </row>
    <row r="29086" spans="1:2" x14ac:dyDescent="0.25">
      <c r="A29086" s="2">
        <v>29081</v>
      </c>
      <c r="B29086" s="11" t="str">
        <f>"01068208"</f>
        <v>01068208</v>
      </c>
    </row>
    <row r="29087" spans="1:2" x14ac:dyDescent="0.25">
      <c r="A29087" s="2">
        <v>29082</v>
      </c>
      <c r="B29087" s="11" t="str">
        <f>"01068209"</f>
        <v>01068209</v>
      </c>
    </row>
    <row r="29088" spans="1:2" x14ac:dyDescent="0.25">
      <c r="A29088" s="2">
        <v>29083</v>
      </c>
      <c r="B29088" s="11" t="str">
        <f>"01068215"</f>
        <v>01068215</v>
      </c>
    </row>
    <row r="29089" spans="1:2" x14ac:dyDescent="0.25">
      <c r="A29089" s="2">
        <v>29084</v>
      </c>
      <c r="B29089" s="11" t="str">
        <f>"01068216"</f>
        <v>01068216</v>
      </c>
    </row>
    <row r="29090" spans="1:2" x14ac:dyDescent="0.25">
      <c r="A29090" s="2">
        <v>29085</v>
      </c>
      <c r="B29090" s="11" t="str">
        <f>"01068222"</f>
        <v>01068222</v>
      </c>
    </row>
    <row r="29091" spans="1:2" x14ac:dyDescent="0.25">
      <c r="A29091" s="2">
        <v>29086</v>
      </c>
      <c r="B29091" s="11" t="str">
        <f>"01068232"</f>
        <v>01068232</v>
      </c>
    </row>
    <row r="29092" spans="1:2" x14ac:dyDescent="0.25">
      <c r="A29092" s="2">
        <v>29087</v>
      </c>
      <c r="B29092" s="11" t="str">
        <f>"01068234"</f>
        <v>01068234</v>
      </c>
    </row>
    <row r="29093" spans="1:2" x14ac:dyDescent="0.25">
      <c r="A29093" s="2">
        <v>29088</v>
      </c>
      <c r="B29093" s="11" t="str">
        <f>"01068258"</f>
        <v>01068258</v>
      </c>
    </row>
    <row r="29094" spans="1:2" x14ac:dyDescent="0.25">
      <c r="A29094" s="2">
        <v>29089</v>
      </c>
      <c r="B29094" s="11" t="str">
        <f>"01068265"</f>
        <v>01068265</v>
      </c>
    </row>
    <row r="29095" spans="1:2" x14ac:dyDescent="0.25">
      <c r="A29095" s="2">
        <v>29090</v>
      </c>
      <c r="B29095" s="11" t="str">
        <f>"01068274"</f>
        <v>01068274</v>
      </c>
    </row>
    <row r="29096" spans="1:2" x14ac:dyDescent="0.25">
      <c r="A29096" s="2">
        <v>29091</v>
      </c>
      <c r="B29096" s="11" t="str">
        <f>"01068281"</f>
        <v>01068281</v>
      </c>
    </row>
    <row r="29097" spans="1:2" x14ac:dyDescent="0.25">
      <c r="A29097" s="2">
        <v>29092</v>
      </c>
      <c r="B29097" s="11" t="str">
        <f>"01068284"</f>
        <v>01068284</v>
      </c>
    </row>
    <row r="29098" spans="1:2" x14ac:dyDescent="0.25">
      <c r="A29098" s="2">
        <v>29093</v>
      </c>
      <c r="B29098" s="11" t="str">
        <f>"01068301"</f>
        <v>01068301</v>
      </c>
    </row>
    <row r="29099" spans="1:2" x14ac:dyDescent="0.25">
      <c r="A29099" s="2">
        <v>29094</v>
      </c>
      <c r="B29099" s="11" t="str">
        <f>"01068302"</f>
        <v>01068302</v>
      </c>
    </row>
    <row r="29100" spans="1:2" x14ac:dyDescent="0.25">
      <c r="A29100" s="2">
        <v>29095</v>
      </c>
      <c r="B29100" s="11" t="str">
        <f>"01068303"</f>
        <v>01068303</v>
      </c>
    </row>
    <row r="29101" spans="1:2" x14ac:dyDescent="0.25">
      <c r="A29101" s="2">
        <v>29096</v>
      </c>
      <c r="B29101" s="11" t="str">
        <f>"01068309"</f>
        <v>01068309</v>
      </c>
    </row>
    <row r="29102" spans="1:2" x14ac:dyDescent="0.25">
      <c r="A29102" s="2">
        <v>29097</v>
      </c>
      <c r="B29102" s="11" t="str">
        <f>"01068314"</f>
        <v>01068314</v>
      </c>
    </row>
    <row r="29103" spans="1:2" x14ac:dyDescent="0.25">
      <c r="A29103" s="2">
        <v>29098</v>
      </c>
      <c r="B29103" s="11" t="str">
        <f>"01068315"</f>
        <v>01068315</v>
      </c>
    </row>
    <row r="29104" spans="1:2" x14ac:dyDescent="0.25">
      <c r="A29104" s="2">
        <v>29099</v>
      </c>
      <c r="B29104" s="11" t="str">
        <f>"01068318"</f>
        <v>01068318</v>
      </c>
    </row>
    <row r="29105" spans="1:2" x14ac:dyDescent="0.25">
      <c r="A29105" s="2">
        <v>29100</v>
      </c>
      <c r="B29105" s="11" t="str">
        <f>"01068327"</f>
        <v>01068327</v>
      </c>
    </row>
    <row r="29106" spans="1:2" x14ac:dyDescent="0.25">
      <c r="A29106" s="2">
        <v>29101</v>
      </c>
      <c r="B29106" s="11" t="str">
        <f>"01068360"</f>
        <v>01068360</v>
      </c>
    </row>
    <row r="29107" spans="1:2" x14ac:dyDescent="0.25">
      <c r="A29107" s="2">
        <v>29102</v>
      </c>
      <c r="B29107" s="11" t="str">
        <f>"01068370"</f>
        <v>01068370</v>
      </c>
    </row>
    <row r="29108" spans="1:2" x14ac:dyDescent="0.25">
      <c r="A29108" s="2">
        <v>29103</v>
      </c>
      <c r="B29108" s="11" t="str">
        <f>"01068372"</f>
        <v>01068372</v>
      </c>
    </row>
    <row r="29109" spans="1:2" x14ac:dyDescent="0.25">
      <c r="A29109" s="2">
        <v>29104</v>
      </c>
      <c r="B29109" s="11" t="str">
        <f>"01068390"</f>
        <v>01068390</v>
      </c>
    </row>
    <row r="29110" spans="1:2" x14ac:dyDescent="0.25">
      <c r="A29110" s="2">
        <v>29105</v>
      </c>
      <c r="B29110" s="11" t="str">
        <f>"01068393"</f>
        <v>01068393</v>
      </c>
    </row>
    <row r="29111" spans="1:2" x14ac:dyDescent="0.25">
      <c r="A29111" s="2">
        <v>29106</v>
      </c>
      <c r="B29111" s="11" t="str">
        <f>"01068394"</f>
        <v>01068394</v>
      </c>
    </row>
    <row r="29112" spans="1:2" x14ac:dyDescent="0.25">
      <c r="A29112" s="2">
        <v>29107</v>
      </c>
      <c r="B29112" s="11" t="str">
        <f>"01068395"</f>
        <v>01068395</v>
      </c>
    </row>
    <row r="29113" spans="1:2" x14ac:dyDescent="0.25">
      <c r="A29113" s="2">
        <v>29108</v>
      </c>
      <c r="B29113" s="11" t="str">
        <f>"01068399"</f>
        <v>01068399</v>
      </c>
    </row>
    <row r="29114" spans="1:2" x14ac:dyDescent="0.25">
      <c r="A29114" s="2">
        <v>29109</v>
      </c>
      <c r="B29114" s="11" t="str">
        <f>"01068403"</f>
        <v>01068403</v>
      </c>
    </row>
    <row r="29115" spans="1:2" x14ac:dyDescent="0.25">
      <c r="A29115" s="2">
        <v>29110</v>
      </c>
      <c r="B29115" s="11" t="str">
        <f>"01068404"</f>
        <v>01068404</v>
      </c>
    </row>
    <row r="29116" spans="1:2" x14ac:dyDescent="0.25">
      <c r="A29116" s="2">
        <v>29111</v>
      </c>
      <c r="B29116" s="11" t="str">
        <f>"01068405"</f>
        <v>01068405</v>
      </c>
    </row>
    <row r="29117" spans="1:2" x14ac:dyDescent="0.25">
      <c r="A29117" s="2">
        <v>29112</v>
      </c>
      <c r="B29117" s="11" t="str">
        <f>"01068408"</f>
        <v>01068408</v>
      </c>
    </row>
    <row r="29118" spans="1:2" x14ac:dyDescent="0.25">
      <c r="A29118" s="2">
        <v>29113</v>
      </c>
      <c r="B29118" s="11" t="str">
        <f>"01068412"</f>
        <v>01068412</v>
      </c>
    </row>
    <row r="29119" spans="1:2" x14ac:dyDescent="0.25">
      <c r="A29119" s="2">
        <v>29114</v>
      </c>
      <c r="B29119" s="11" t="str">
        <f>"01068417"</f>
        <v>01068417</v>
      </c>
    </row>
    <row r="29120" spans="1:2" x14ac:dyDescent="0.25">
      <c r="A29120" s="2">
        <v>29115</v>
      </c>
      <c r="B29120" s="11" t="str">
        <f>"01068423"</f>
        <v>01068423</v>
      </c>
    </row>
    <row r="29121" spans="1:2" x14ac:dyDescent="0.25">
      <c r="A29121" s="2">
        <v>29116</v>
      </c>
      <c r="B29121" s="11" t="str">
        <f>"01068434"</f>
        <v>01068434</v>
      </c>
    </row>
    <row r="29122" spans="1:2" x14ac:dyDescent="0.25">
      <c r="A29122" s="2">
        <v>29117</v>
      </c>
      <c r="B29122" s="11" t="str">
        <f>"01068439"</f>
        <v>01068439</v>
      </c>
    </row>
    <row r="29123" spans="1:2" x14ac:dyDescent="0.25">
      <c r="A29123" s="2">
        <v>29118</v>
      </c>
      <c r="B29123" s="11" t="str">
        <f>"01068445"</f>
        <v>01068445</v>
      </c>
    </row>
    <row r="29124" spans="1:2" x14ac:dyDescent="0.25">
      <c r="A29124" s="2">
        <v>29119</v>
      </c>
      <c r="B29124" s="11" t="str">
        <f>"01068461"</f>
        <v>01068461</v>
      </c>
    </row>
    <row r="29125" spans="1:2" x14ac:dyDescent="0.25">
      <c r="A29125" s="2">
        <v>29120</v>
      </c>
      <c r="B29125" s="11" t="str">
        <f>"01068462"</f>
        <v>01068462</v>
      </c>
    </row>
    <row r="29126" spans="1:2" x14ac:dyDescent="0.25">
      <c r="A29126" s="2">
        <v>29121</v>
      </c>
      <c r="B29126" s="11" t="str">
        <f>"01068463"</f>
        <v>01068463</v>
      </c>
    </row>
    <row r="29127" spans="1:2" x14ac:dyDescent="0.25">
      <c r="A29127" s="2">
        <v>29122</v>
      </c>
      <c r="B29127" s="11" t="str">
        <f>"01068466"</f>
        <v>01068466</v>
      </c>
    </row>
    <row r="29128" spans="1:2" x14ac:dyDescent="0.25">
      <c r="A29128" s="2">
        <v>29123</v>
      </c>
      <c r="B29128" s="11" t="str">
        <f>"01068468"</f>
        <v>01068468</v>
      </c>
    </row>
    <row r="29129" spans="1:2" x14ac:dyDescent="0.25">
      <c r="A29129" s="2">
        <v>29124</v>
      </c>
      <c r="B29129" s="11" t="str">
        <f>"01068469"</f>
        <v>01068469</v>
      </c>
    </row>
    <row r="29130" spans="1:2" x14ac:dyDescent="0.25">
      <c r="A29130" s="2">
        <v>29125</v>
      </c>
      <c r="B29130" s="11" t="str">
        <f>"01068471"</f>
        <v>01068471</v>
      </c>
    </row>
    <row r="29131" spans="1:2" x14ac:dyDescent="0.25">
      <c r="A29131" s="2">
        <v>29126</v>
      </c>
      <c r="B29131" s="11" t="str">
        <f>"01068473"</f>
        <v>01068473</v>
      </c>
    </row>
    <row r="29132" spans="1:2" x14ac:dyDescent="0.25">
      <c r="A29132" s="2">
        <v>29127</v>
      </c>
      <c r="B29132" s="11" t="str">
        <f>"01068479"</f>
        <v>01068479</v>
      </c>
    </row>
    <row r="29133" spans="1:2" x14ac:dyDescent="0.25">
      <c r="A29133" s="2">
        <v>29128</v>
      </c>
      <c r="B29133" s="11" t="str">
        <f>"01068488"</f>
        <v>01068488</v>
      </c>
    </row>
    <row r="29134" spans="1:2" x14ac:dyDescent="0.25">
      <c r="A29134" s="2">
        <v>29129</v>
      </c>
      <c r="B29134" s="11" t="str">
        <f>"01068490"</f>
        <v>01068490</v>
      </c>
    </row>
    <row r="29135" spans="1:2" x14ac:dyDescent="0.25">
      <c r="A29135" s="2">
        <v>29130</v>
      </c>
      <c r="B29135" s="11" t="str">
        <f>"01068492"</f>
        <v>01068492</v>
      </c>
    </row>
    <row r="29136" spans="1:2" x14ac:dyDescent="0.25">
      <c r="A29136" s="2">
        <v>29131</v>
      </c>
      <c r="B29136" s="11" t="str">
        <f>"01068493"</f>
        <v>01068493</v>
      </c>
    </row>
    <row r="29137" spans="1:2" x14ac:dyDescent="0.25">
      <c r="A29137" s="2">
        <v>29132</v>
      </c>
      <c r="B29137" s="11" t="str">
        <f>"01068494"</f>
        <v>01068494</v>
      </c>
    </row>
    <row r="29138" spans="1:2" x14ac:dyDescent="0.25">
      <c r="A29138" s="2">
        <v>29133</v>
      </c>
      <c r="B29138" s="11" t="str">
        <f>"01068496"</f>
        <v>01068496</v>
      </c>
    </row>
    <row r="29139" spans="1:2" x14ac:dyDescent="0.25">
      <c r="A29139" s="2">
        <v>29134</v>
      </c>
      <c r="B29139" s="11" t="str">
        <f>"01068499"</f>
        <v>01068499</v>
      </c>
    </row>
    <row r="29140" spans="1:2" x14ac:dyDescent="0.25">
      <c r="A29140" s="2">
        <v>29135</v>
      </c>
      <c r="B29140" s="11" t="str">
        <f>"01068500"</f>
        <v>01068500</v>
      </c>
    </row>
    <row r="29141" spans="1:2" x14ac:dyDescent="0.25">
      <c r="A29141" s="2">
        <v>29136</v>
      </c>
      <c r="B29141" s="11" t="str">
        <f>"01068502"</f>
        <v>01068502</v>
      </c>
    </row>
    <row r="29142" spans="1:2" x14ac:dyDescent="0.25">
      <c r="A29142" s="2">
        <v>29137</v>
      </c>
      <c r="B29142" s="11" t="str">
        <f>"01068507"</f>
        <v>01068507</v>
      </c>
    </row>
    <row r="29143" spans="1:2" x14ac:dyDescent="0.25">
      <c r="A29143" s="2">
        <v>29138</v>
      </c>
      <c r="B29143" s="11" t="str">
        <f>"01068509"</f>
        <v>01068509</v>
      </c>
    </row>
    <row r="29144" spans="1:2" x14ac:dyDescent="0.25">
      <c r="A29144" s="2">
        <v>29139</v>
      </c>
      <c r="B29144" s="11" t="str">
        <f>"01068517"</f>
        <v>01068517</v>
      </c>
    </row>
    <row r="29145" spans="1:2" x14ac:dyDescent="0.25">
      <c r="A29145" s="2">
        <v>29140</v>
      </c>
      <c r="B29145" s="11" t="str">
        <f>"01068518"</f>
        <v>01068518</v>
      </c>
    </row>
    <row r="29146" spans="1:2" x14ac:dyDescent="0.25">
      <c r="A29146" s="2">
        <v>29141</v>
      </c>
      <c r="B29146" s="11" t="str">
        <f>"01068526"</f>
        <v>01068526</v>
      </c>
    </row>
    <row r="29147" spans="1:2" x14ac:dyDescent="0.25">
      <c r="A29147" s="2">
        <v>29142</v>
      </c>
      <c r="B29147" s="11" t="str">
        <f>"01068527"</f>
        <v>01068527</v>
      </c>
    </row>
    <row r="29148" spans="1:2" x14ac:dyDescent="0.25">
      <c r="A29148" s="2">
        <v>29143</v>
      </c>
      <c r="B29148" s="11" t="str">
        <f>"01068541"</f>
        <v>01068541</v>
      </c>
    </row>
    <row r="29149" spans="1:2" x14ac:dyDescent="0.25">
      <c r="A29149" s="2">
        <v>29144</v>
      </c>
      <c r="B29149" s="11" t="str">
        <f>"01068542"</f>
        <v>01068542</v>
      </c>
    </row>
    <row r="29150" spans="1:2" x14ac:dyDescent="0.25">
      <c r="A29150" s="2">
        <v>29145</v>
      </c>
      <c r="B29150" s="11" t="str">
        <f>"01068544"</f>
        <v>01068544</v>
      </c>
    </row>
    <row r="29151" spans="1:2" x14ac:dyDescent="0.25">
      <c r="A29151" s="2">
        <v>29146</v>
      </c>
      <c r="B29151" s="11" t="str">
        <f>"01068545"</f>
        <v>01068545</v>
      </c>
    </row>
    <row r="29152" spans="1:2" x14ac:dyDescent="0.25">
      <c r="A29152" s="2">
        <v>29147</v>
      </c>
      <c r="B29152" s="11" t="str">
        <f>"01068546"</f>
        <v>01068546</v>
      </c>
    </row>
    <row r="29153" spans="1:2" x14ac:dyDescent="0.25">
      <c r="A29153" s="2">
        <v>29148</v>
      </c>
      <c r="B29153" s="11" t="str">
        <f>"01068547"</f>
        <v>01068547</v>
      </c>
    </row>
    <row r="29154" spans="1:2" x14ac:dyDescent="0.25">
      <c r="A29154" s="2">
        <v>29149</v>
      </c>
      <c r="B29154" s="11" t="str">
        <f>"01068548"</f>
        <v>01068548</v>
      </c>
    </row>
    <row r="29155" spans="1:2" x14ac:dyDescent="0.25">
      <c r="A29155" s="2">
        <v>29150</v>
      </c>
      <c r="B29155" s="11" t="str">
        <f>"01068549"</f>
        <v>01068549</v>
      </c>
    </row>
    <row r="29156" spans="1:2" x14ac:dyDescent="0.25">
      <c r="A29156" s="2">
        <v>29151</v>
      </c>
      <c r="B29156" s="11" t="str">
        <f>"01068550"</f>
        <v>01068550</v>
      </c>
    </row>
    <row r="29157" spans="1:2" x14ac:dyDescent="0.25">
      <c r="A29157" s="2">
        <v>29152</v>
      </c>
      <c r="B29157" s="11" t="str">
        <f>"01068553"</f>
        <v>01068553</v>
      </c>
    </row>
    <row r="29158" spans="1:2" x14ac:dyDescent="0.25">
      <c r="A29158" s="2">
        <v>29153</v>
      </c>
      <c r="B29158" s="11" t="str">
        <f>"01068557"</f>
        <v>01068557</v>
      </c>
    </row>
    <row r="29159" spans="1:2" x14ac:dyDescent="0.25">
      <c r="A29159" s="2">
        <v>29154</v>
      </c>
      <c r="B29159" s="11" t="str">
        <f>"01068558"</f>
        <v>01068558</v>
      </c>
    </row>
    <row r="29160" spans="1:2" x14ac:dyDescent="0.25">
      <c r="A29160" s="2">
        <v>29155</v>
      </c>
      <c r="B29160" s="11" t="str">
        <f>"01068568"</f>
        <v>01068568</v>
      </c>
    </row>
    <row r="29161" spans="1:2" x14ac:dyDescent="0.25">
      <c r="A29161" s="2">
        <v>29156</v>
      </c>
      <c r="B29161" s="11" t="str">
        <f>"01068576"</f>
        <v>01068576</v>
      </c>
    </row>
    <row r="29162" spans="1:2" x14ac:dyDescent="0.25">
      <c r="A29162" s="2">
        <v>29157</v>
      </c>
      <c r="B29162" s="11" t="str">
        <f>"01068579"</f>
        <v>01068579</v>
      </c>
    </row>
    <row r="29163" spans="1:2" x14ac:dyDescent="0.25">
      <c r="A29163" s="2">
        <v>29158</v>
      </c>
      <c r="B29163" s="11" t="str">
        <f>"01068580"</f>
        <v>01068580</v>
      </c>
    </row>
    <row r="29164" spans="1:2" x14ac:dyDescent="0.25">
      <c r="A29164" s="2">
        <v>29159</v>
      </c>
      <c r="B29164" s="11" t="str">
        <f>"01068590"</f>
        <v>01068590</v>
      </c>
    </row>
    <row r="29165" spans="1:2" x14ac:dyDescent="0.25">
      <c r="A29165" s="2">
        <v>29160</v>
      </c>
      <c r="B29165" s="11" t="str">
        <f>"01068591"</f>
        <v>01068591</v>
      </c>
    </row>
    <row r="29166" spans="1:2" x14ac:dyDescent="0.25">
      <c r="A29166" s="2">
        <v>29161</v>
      </c>
      <c r="B29166" s="11" t="str">
        <f>"01068593"</f>
        <v>01068593</v>
      </c>
    </row>
    <row r="29167" spans="1:2" x14ac:dyDescent="0.25">
      <c r="A29167" s="2">
        <v>29162</v>
      </c>
      <c r="B29167" s="11" t="str">
        <f>"01068595"</f>
        <v>01068595</v>
      </c>
    </row>
    <row r="29168" spans="1:2" x14ac:dyDescent="0.25">
      <c r="A29168" s="2">
        <v>29163</v>
      </c>
      <c r="B29168" s="11" t="str">
        <f>"01068603"</f>
        <v>01068603</v>
      </c>
    </row>
    <row r="29169" spans="1:2" x14ac:dyDescent="0.25">
      <c r="A29169" s="2">
        <v>29164</v>
      </c>
      <c r="B29169" s="11" t="str">
        <f>"01068607"</f>
        <v>01068607</v>
      </c>
    </row>
    <row r="29170" spans="1:2" x14ac:dyDescent="0.25">
      <c r="A29170" s="2">
        <v>29165</v>
      </c>
      <c r="B29170" s="11" t="str">
        <f>"01068619"</f>
        <v>01068619</v>
      </c>
    </row>
    <row r="29171" spans="1:2" x14ac:dyDescent="0.25">
      <c r="A29171" s="2">
        <v>29166</v>
      </c>
      <c r="B29171" s="11" t="str">
        <f>"01068625"</f>
        <v>01068625</v>
      </c>
    </row>
    <row r="29172" spans="1:2" x14ac:dyDescent="0.25">
      <c r="A29172" s="2">
        <v>29167</v>
      </c>
      <c r="B29172" s="11" t="str">
        <f>"01068628"</f>
        <v>01068628</v>
      </c>
    </row>
    <row r="29173" spans="1:2" x14ac:dyDescent="0.25">
      <c r="A29173" s="2">
        <v>29168</v>
      </c>
      <c r="B29173" s="11" t="str">
        <f>"01068632"</f>
        <v>01068632</v>
      </c>
    </row>
    <row r="29174" spans="1:2" x14ac:dyDescent="0.25">
      <c r="A29174" s="2">
        <v>29169</v>
      </c>
      <c r="B29174" s="11" t="str">
        <f>"01068649"</f>
        <v>01068649</v>
      </c>
    </row>
    <row r="29175" spans="1:2" x14ac:dyDescent="0.25">
      <c r="A29175" s="2">
        <v>29170</v>
      </c>
      <c r="B29175" s="11" t="str">
        <f>"01068655"</f>
        <v>01068655</v>
      </c>
    </row>
    <row r="29176" spans="1:2" x14ac:dyDescent="0.25">
      <c r="A29176" s="2">
        <v>29171</v>
      </c>
      <c r="B29176" s="11" t="str">
        <f>"01068657"</f>
        <v>01068657</v>
      </c>
    </row>
    <row r="29177" spans="1:2" x14ac:dyDescent="0.25">
      <c r="A29177" s="2">
        <v>29172</v>
      </c>
      <c r="B29177" s="11" t="str">
        <f>"01068663"</f>
        <v>01068663</v>
      </c>
    </row>
    <row r="29178" spans="1:2" x14ac:dyDescent="0.25">
      <c r="A29178" s="2">
        <v>29173</v>
      </c>
      <c r="B29178" s="11" t="str">
        <f>"01068666"</f>
        <v>01068666</v>
      </c>
    </row>
    <row r="29179" spans="1:2" x14ac:dyDescent="0.25">
      <c r="A29179" s="2">
        <v>29174</v>
      </c>
      <c r="B29179" s="11" t="str">
        <f>"01068669"</f>
        <v>01068669</v>
      </c>
    </row>
    <row r="29180" spans="1:2" x14ac:dyDescent="0.25">
      <c r="A29180" s="2">
        <v>29175</v>
      </c>
      <c r="B29180" s="11" t="str">
        <f>"01068672"</f>
        <v>01068672</v>
      </c>
    </row>
    <row r="29181" spans="1:2" x14ac:dyDescent="0.25">
      <c r="A29181" s="2">
        <v>29176</v>
      </c>
      <c r="B29181" s="11" t="str">
        <f>"01068676"</f>
        <v>01068676</v>
      </c>
    </row>
    <row r="29182" spans="1:2" x14ac:dyDescent="0.25">
      <c r="A29182" s="2">
        <v>29177</v>
      </c>
      <c r="B29182" s="11" t="str">
        <f>"01068680"</f>
        <v>01068680</v>
      </c>
    </row>
    <row r="29183" spans="1:2" x14ac:dyDescent="0.25">
      <c r="A29183" s="2">
        <v>29178</v>
      </c>
      <c r="B29183" s="11" t="str">
        <f>"01068681"</f>
        <v>01068681</v>
      </c>
    </row>
    <row r="29184" spans="1:2" x14ac:dyDescent="0.25">
      <c r="A29184" s="2">
        <v>29179</v>
      </c>
      <c r="B29184" s="11" t="str">
        <f>"01068690"</f>
        <v>01068690</v>
      </c>
    </row>
    <row r="29185" spans="1:2" x14ac:dyDescent="0.25">
      <c r="A29185" s="2">
        <v>29180</v>
      </c>
      <c r="B29185" s="11" t="str">
        <f>"01068692"</f>
        <v>01068692</v>
      </c>
    </row>
    <row r="29186" spans="1:2" x14ac:dyDescent="0.25">
      <c r="A29186" s="2">
        <v>29181</v>
      </c>
      <c r="B29186" s="11" t="str">
        <f>"01068693"</f>
        <v>01068693</v>
      </c>
    </row>
    <row r="29187" spans="1:2" x14ac:dyDescent="0.25">
      <c r="A29187" s="2">
        <v>29182</v>
      </c>
      <c r="B29187" s="11" t="str">
        <f>"01068695"</f>
        <v>01068695</v>
      </c>
    </row>
    <row r="29188" spans="1:2" x14ac:dyDescent="0.25">
      <c r="A29188" s="2">
        <v>29183</v>
      </c>
      <c r="B29188" s="11" t="str">
        <f>"01068700"</f>
        <v>01068700</v>
      </c>
    </row>
    <row r="29189" spans="1:2" x14ac:dyDescent="0.25">
      <c r="A29189" s="2">
        <v>29184</v>
      </c>
      <c r="B29189" s="11" t="str">
        <f>"01068701"</f>
        <v>01068701</v>
      </c>
    </row>
    <row r="29190" spans="1:2" x14ac:dyDescent="0.25">
      <c r="A29190" s="2">
        <v>29185</v>
      </c>
      <c r="B29190" s="11" t="str">
        <f>"01068702"</f>
        <v>01068702</v>
      </c>
    </row>
    <row r="29191" spans="1:2" x14ac:dyDescent="0.25">
      <c r="A29191" s="2">
        <v>29186</v>
      </c>
      <c r="B29191" s="11" t="str">
        <f>"01068710"</f>
        <v>01068710</v>
      </c>
    </row>
    <row r="29192" spans="1:2" x14ac:dyDescent="0.25">
      <c r="A29192" s="2">
        <v>29187</v>
      </c>
      <c r="B29192" s="11" t="str">
        <f>"01068713"</f>
        <v>01068713</v>
      </c>
    </row>
    <row r="29193" spans="1:2" x14ac:dyDescent="0.25">
      <c r="A29193" s="2">
        <v>29188</v>
      </c>
      <c r="B29193" s="11" t="str">
        <f>"01068726"</f>
        <v>01068726</v>
      </c>
    </row>
    <row r="29194" spans="1:2" x14ac:dyDescent="0.25">
      <c r="A29194" s="2">
        <v>29189</v>
      </c>
      <c r="B29194" s="11" t="str">
        <f>"01068727"</f>
        <v>01068727</v>
      </c>
    </row>
    <row r="29195" spans="1:2" x14ac:dyDescent="0.25">
      <c r="A29195" s="2">
        <v>29190</v>
      </c>
      <c r="B29195" s="11" t="str">
        <f>"01068729"</f>
        <v>01068729</v>
      </c>
    </row>
    <row r="29196" spans="1:2" x14ac:dyDescent="0.25">
      <c r="A29196" s="2">
        <v>29191</v>
      </c>
      <c r="B29196" s="11" t="str">
        <f>"01068733"</f>
        <v>01068733</v>
      </c>
    </row>
    <row r="29197" spans="1:2" x14ac:dyDescent="0.25">
      <c r="A29197" s="2">
        <v>29192</v>
      </c>
      <c r="B29197" s="11" t="str">
        <f>"01068738"</f>
        <v>01068738</v>
      </c>
    </row>
    <row r="29198" spans="1:2" x14ac:dyDescent="0.25">
      <c r="A29198" s="2">
        <v>29193</v>
      </c>
      <c r="B29198" s="11" t="str">
        <f>"01068747"</f>
        <v>01068747</v>
      </c>
    </row>
    <row r="29199" spans="1:2" x14ac:dyDescent="0.25">
      <c r="A29199" s="2">
        <v>29194</v>
      </c>
      <c r="B29199" s="11" t="str">
        <f>"01068752"</f>
        <v>01068752</v>
      </c>
    </row>
    <row r="29200" spans="1:2" x14ac:dyDescent="0.25">
      <c r="A29200" s="2">
        <v>29195</v>
      </c>
      <c r="B29200" s="11" t="str">
        <f>"01068755"</f>
        <v>01068755</v>
      </c>
    </row>
    <row r="29201" spans="1:2" x14ac:dyDescent="0.25">
      <c r="A29201" s="2">
        <v>29196</v>
      </c>
      <c r="B29201" s="11" t="str">
        <f>"01068765"</f>
        <v>01068765</v>
      </c>
    </row>
    <row r="29202" spans="1:2" x14ac:dyDescent="0.25">
      <c r="A29202" s="2">
        <v>29197</v>
      </c>
      <c r="B29202" s="11" t="str">
        <f>"01068768"</f>
        <v>01068768</v>
      </c>
    </row>
    <row r="29203" spans="1:2" x14ac:dyDescent="0.25">
      <c r="A29203" s="2">
        <v>29198</v>
      </c>
      <c r="B29203" s="11" t="str">
        <f>"01068773"</f>
        <v>01068773</v>
      </c>
    </row>
    <row r="29204" spans="1:2" x14ac:dyDescent="0.25">
      <c r="A29204" s="2">
        <v>29199</v>
      </c>
      <c r="B29204" s="11" t="str">
        <f>"01068774"</f>
        <v>01068774</v>
      </c>
    </row>
    <row r="29205" spans="1:2" x14ac:dyDescent="0.25">
      <c r="A29205" s="2">
        <v>29200</v>
      </c>
      <c r="B29205" s="11" t="str">
        <f>"01068775"</f>
        <v>01068775</v>
      </c>
    </row>
    <row r="29206" spans="1:2" x14ac:dyDescent="0.25">
      <c r="A29206" s="2">
        <v>29201</v>
      </c>
      <c r="B29206" s="11" t="str">
        <f>"01068776"</f>
        <v>01068776</v>
      </c>
    </row>
    <row r="29207" spans="1:2" x14ac:dyDescent="0.25">
      <c r="A29207" s="2">
        <v>29202</v>
      </c>
      <c r="B29207" s="11" t="str">
        <f>"01068777"</f>
        <v>01068777</v>
      </c>
    </row>
    <row r="29208" spans="1:2" x14ac:dyDescent="0.25">
      <c r="A29208" s="2">
        <v>29203</v>
      </c>
      <c r="B29208" s="11" t="str">
        <f>"01068779"</f>
        <v>01068779</v>
      </c>
    </row>
    <row r="29209" spans="1:2" x14ac:dyDescent="0.25">
      <c r="A29209" s="2">
        <v>29204</v>
      </c>
      <c r="B29209" s="11" t="str">
        <f>"01068788"</f>
        <v>01068788</v>
      </c>
    </row>
    <row r="29210" spans="1:2" x14ac:dyDescent="0.25">
      <c r="A29210" s="2">
        <v>29205</v>
      </c>
      <c r="B29210" s="11" t="str">
        <f>"01068790"</f>
        <v>01068790</v>
      </c>
    </row>
    <row r="29211" spans="1:2" x14ac:dyDescent="0.25">
      <c r="A29211" s="2">
        <v>29206</v>
      </c>
      <c r="B29211" s="11" t="str">
        <f>"01068791"</f>
        <v>01068791</v>
      </c>
    </row>
    <row r="29212" spans="1:2" x14ac:dyDescent="0.25">
      <c r="A29212" s="2">
        <v>29207</v>
      </c>
      <c r="B29212" s="11" t="str">
        <f>"01068796"</f>
        <v>01068796</v>
      </c>
    </row>
    <row r="29213" spans="1:2" x14ac:dyDescent="0.25">
      <c r="A29213" s="2">
        <v>29208</v>
      </c>
      <c r="B29213" s="11" t="str">
        <f>"01068799"</f>
        <v>01068799</v>
      </c>
    </row>
    <row r="29214" spans="1:2" x14ac:dyDescent="0.25">
      <c r="A29214" s="2">
        <v>29209</v>
      </c>
      <c r="B29214" s="11" t="str">
        <f>"01068810"</f>
        <v>01068810</v>
      </c>
    </row>
    <row r="29215" spans="1:2" x14ac:dyDescent="0.25">
      <c r="A29215" s="2">
        <v>29210</v>
      </c>
      <c r="B29215" s="11" t="str">
        <f>"01068811"</f>
        <v>01068811</v>
      </c>
    </row>
    <row r="29216" spans="1:2" x14ac:dyDescent="0.25">
      <c r="A29216" s="2">
        <v>29211</v>
      </c>
      <c r="B29216" s="11" t="str">
        <f>"01068812"</f>
        <v>01068812</v>
      </c>
    </row>
    <row r="29217" spans="1:2" x14ac:dyDescent="0.25">
      <c r="A29217" s="2">
        <v>29212</v>
      </c>
      <c r="B29217" s="11" t="str">
        <f>"01068815"</f>
        <v>01068815</v>
      </c>
    </row>
    <row r="29218" spans="1:2" x14ac:dyDescent="0.25">
      <c r="A29218" s="2">
        <v>29213</v>
      </c>
      <c r="B29218" s="11" t="str">
        <f>"01068816"</f>
        <v>01068816</v>
      </c>
    </row>
    <row r="29219" spans="1:2" x14ac:dyDescent="0.25">
      <c r="A29219" s="2">
        <v>29214</v>
      </c>
      <c r="B29219" s="11" t="str">
        <f>"01068830"</f>
        <v>01068830</v>
      </c>
    </row>
    <row r="29220" spans="1:2" x14ac:dyDescent="0.25">
      <c r="A29220" s="2">
        <v>29215</v>
      </c>
      <c r="B29220" s="11" t="str">
        <f>"01068831"</f>
        <v>01068831</v>
      </c>
    </row>
    <row r="29221" spans="1:2" x14ac:dyDescent="0.25">
      <c r="A29221" s="2">
        <v>29216</v>
      </c>
      <c r="B29221" s="11" t="str">
        <f>"01068834"</f>
        <v>01068834</v>
      </c>
    </row>
    <row r="29222" spans="1:2" x14ac:dyDescent="0.25">
      <c r="A29222" s="2">
        <v>29217</v>
      </c>
      <c r="B29222" s="11" t="str">
        <f>"01068839"</f>
        <v>01068839</v>
      </c>
    </row>
    <row r="29223" spans="1:2" x14ac:dyDescent="0.25">
      <c r="A29223" s="2">
        <v>29218</v>
      </c>
      <c r="B29223" s="11" t="str">
        <f>"01068844"</f>
        <v>01068844</v>
      </c>
    </row>
    <row r="29224" spans="1:2" x14ac:dyDescent="0.25">
      <c r="A29224" s="2">
        <v>29219</v>
      </c>
      <c r="B29224" s="11" t="str">
        <f>"01068853"</f>
        <v>01068853</v>
      </c>
    </row>
    <row r="29225" spans="1:2" x14ac:dyDescent="0.25">
      <c r="A29225" s="2">
        <v>29220</v>
      </c>
      <c r="B29225" s="11" t="str">
        <f>"01068854"</f>
        <v>01068854</v>
      </c>
    </row>
    <row r="29226" spans="1:2" x14ac:dyDescent="0.25">
      <c r="A29226" s="2">
        <v>29221</v>
      </c>
      <c r="B29226" s="11" t="str">
        <f>"01068855"</f>
        <v>01068855</v>
      </c>
    </row>
    <row r="29227" spans="1:2" x14ac:dyDescent="0.25">
      <c r="A29227" s="2">
        <v>29222</v>
      </c>
      <c r="B29227" s="11" t="str">
        <f>"01068856"</f>
        <v>01068856</v>
      </c>
    </row>
    <row r="29228" spans="1:2" x14ac:dyDescent="0.25">
      <c r="A29228" s="2">
        <v>29223</v>
      </c>
      <c r="B29228" s="11" t="str">
        <f>"01068869"</f>
        <v>01068869</v>
      </c>
    </row>
    <row r="29229" spans="1:2" x14ac:dyDescent="0.25">
      <c r="A29229" s="2">
        <v>29224</v>
      </c>
      <c r="B29229" s="11" t="str">
        <f>"01068872"</f>
        <v>01068872</v>
      </c>
    </row>
    <row r="29230" spans="1:2" x14ac:dyDescent="0.25">
      <c r="A29230" s="2">
        <v>29225</v>
      </c>
      <c r="B29230" s="11" t="str">
        <f>"01068876"</f>
        <v>01068876</v>
      </c>
    </row>
    <row r="29231" spans="1:2" x14ac:dyDescent="0.25">
      <c r="A29231" s="2">
        <v>29226</v>
      </c>
      <c r="B29231" s="11" t="str">
        <f>"01068880"</f>
        <v>01068880</v>
      </c>
    </row>
    <row r="29232" spans="1:2" x14ac:dyDescent="0.25">
      <c r="A29232" s="2">
        <v>29227</v>
      </c>
      <c r="B29232" s="11" t="str">
        <f>"01068882"</f>
        <v>01068882</v>
      </c>
    </row>
    <row r="29233" spans="1:2" x14ac:dyDescent="0.25">
      <c r="A29233" s="2">
        <v>29228</v>
      </c>
      <c r="B29233" s="11" t="str">
        <f>"01068883"</f>
        <v>01068883</v>
      </c>
    </row>
    <row r="29234" spans="1:2" x14ac:dyDescent="0.25">
      <c r="A29234" s="2">
        <v>29229</v>
      </c>
      <c r="B29234" s="11" t="str">
        <f>"01068884"</f>
        <v>01068884</v>
      </c>
    </row>
    <row r="29235" spans="1:2" x14ac:dyDescent="0.25">
      <c r="A29235" s="2">
        <v>29230</v>
      </c>
      <c r="B29235" s="11" t="str">
        <f>"01068888"</f>
        <v>01068888</v>
      </c>
    </row>
    <row r="29236" spans="1:2" x14ac:dyDescent="0.25">
      <c r="A29236" s="2">
        <v>29231</v>
      </c>
      <c r="B29236" s="11" t="str">
        <f>"01068892"</f>
        <v>01068892</v>
      </c>
    </row>
    <row r="29237" spans="1:2" x14ac:dyDescent="0.25">
      <c r="A29237" s="2">
        <v>29232</v>
      </c>
      <c r="B29237" s="11" t="str">
        <f>"01068894"</f>
        <v>01068894</v>
      </c>
    </row>
    <row r="29238" spans="1:2" x14ac:dyDescent="0.25">
      <c r="A29238" s="2">
        <v>29233</v>
      </c>
      <c r="B29238" s="11" t="str">
        <f>"01068897"</f>
        <v>01068897</v>
      </c>
    </row>
    <row r="29239" spans="1:2" x14ac:dyDescent="0.25">
      <c r="A29239" s="2">
        <v>29234</v>
      </c>
      <c r="B29239" s="11" t="str">
        <f>"01068901"</f>
        <v>01068901</v>
      </c>
    </row>
    <row r="29240" spans="1:2" x14ac:dyDescent="0.25">
      <c r="A29240" s="2">
        <v>29235</v>
      </c>
      <c r="B29240" s="11" t="str">
        <f>"01068903"</f>
        <v>01068903</v>
      </c>
    </row>
    <row r="29241" spans="1:2" x14ac:dyDescent="0.25">
      <c r="A29241" s="2">
        <v>29236</v>
      </c>
      <c r="B29241" s="11" t="str">
        <f>"01068909"</f>
        <v>01068909</v>
      </c>
    </row>
    <row r="29242" spans="1:2" x14ac:dyDescent="0.25">
      <c r="A29242" s="2">
        <v>29237</v>
      </c>
      <c r="B29242" s="11" t="str">
        <f>"01068910"</f>
        <v>01068910</v>
      </c>
    </row>
    <row r="29243" spans="1:2" x14ac:dyDescent="0.25">
      <c r="A29243" s="2">
        <v>29238</v>
      </c>
      <c r="B29243" s="11" t="str">
        <f>"01068912"</f>
        <v>01068912</v>
      </c>
    </row>
    <row r="29244" spans="1:2" x14ac:dyDescent="0.25">
      <c r="A29244" s="2">
        <v>29239</v>
      </c>
      <c r="B29244" s="11" t="str">
        <f>"01068913"</f>
        <v>01068913</v>
      </c>
    </row>
    <row r="29245" spans="1:2" x14ac:dyDescent="0.25">
      <c r="A29245" s="2">
        <v>29240</v>
      </c>
      <c r="B29245" s="11" t="str">
        <f>"01068922"</f>
        <v>01068922</v>
      </c>
    </row>
    <row r="29246" spans="1:2" x14ac:dyDescent="0.25">
      <c r="A29246" s="2">
        <v>29241</v>
      </c>
      <c r="B29246" s="11" t="str">
        <f>"01068933"</f>
        <v>01068933</v>
      </c>
    </row>
    <row r="29247" spans="1:2" x14ac:dyDescent="0.25">
      <c r="A29247" s="2">
        <v>29242</v>
      </c>
      <c r="B29247" s="11" t="str">
        <f>"01068942"</f>
        <v>01068942</v>
      </c>
    </row>
    <row r="29248" spans="1:2" x14ac:dyDescent="0.25">
      <c r="A29248" s="2">
        <v>29243</v>
      </c>
      <c r="B29248" s="11" t="str">
        <f>"01068945"</f>
        <v>01068945</v>
      </c>
    </row>
    <row r="29249" spans="1:2" x14ac:dyDescent="0.25">
      <c r="A29249" s="2">
        <v>29244</v>
      </c>
      <c r="B29249" s="11" t="str">
        <f>"01068947"</f>
        <v>01068947</v>
      </c>
    </row>
    <row r="29250" spans="1:2" x14ac:dyDescent="0.25">
      <c r="A29250" s="2">
        <v>29245</v>
      </c>
      <c r="B29250" s="11" t="str">
        <f>"01068950"</f>
        <v>01068950</v>
      </c>
    </row>
    <row r="29251" spans="1:2" x14ac:dyDescent="0.25">
      <c r="A29251" s="2">
        <v>29246</v>
      </c>
      <c r="B29251" s="11" t="str">
        <f>"01068954"</f>
        <v>01068954</v>
      </c>
    </row>
    <row r="29252" spans="1:2" x14ac:dyDescent="0.25">
      <c r="A29252" s="2">
        <v>29247</v>
      </c>
      <c r="B29252" s="11" t="str">
        <f>"01068957"</f>
        <v>01068957</v>
      </c>
    </row>
    <row r="29253" spans="1:2" x14ac:dyDescent="0.25">
      <c r="A29253" s="2">
        <v>29248</v>
      </c>
      <c r="B29253" s="11" t="str">
        <f>"01068963"</f>
        <v>01068963</v>
      </c>
    </row>
    <row r="29254" spans="1:2" x14ac:dyDescent="0.25">
      <c r="A29254" s="2">
        <v>29249</v>
      </c>
      <c r="B29254" s="11" t="str">
        <f>"01068964"</f>
        <v>01068964</v>
      </c>
    </row>
    <row r="29255" spans="1:2" x14ac:dyDescent="0.25">
      <c r="A29255" s="2">
        <v>29250</v>
      </c>
      <c r="B29255" s="11" t="str">
        <f>"01068967"</f>
        <v>01068967</v>
      </c>
    </row>
    <row r="29256" spans="1:2" x14ac:dyDescent="0.25">
      <c r="A29256" s="2">
        <v>29251</v>
      </c>
      <c r="B29256" s="11" t="str">
        <f>"01068972"</f>
        <v>01068972</v>
      </c>
    </row>
    <row r="29257" spans="1:2" x14ac:dyDescent="0.25">
      <c r="A29257" s="2">
        <v>29252</v>
      </c>
      <c r="B29257" s="11" t="str">
        <f>"01068976"</f>
        <v>01068976</v>
      </c>
    </row>
    <row r="29258" spans="1:2" x14ac:dyDescent="0.25">
      <c r="A29258" s="2">
        <v>29253</v>
      </c>
      <c r="B29258" s="11" t="str">
        <f>"01068983"</f>
        <v>01068983</v>
      </c>
    </row>
    <row r="29259" spans="1:2" x14ac:dyDescent="0.25">
      <c r="A29259" s="2">
        <v>29254</v>
      </c>
      <c r="B29259" s="11" t="str">
        <f>"01069003"</f>
        <v>01069003</v>
      </c>
    </row>
    <row r="29260" spans="1:2" x14ac:dyDescent="0.25">
      <c r="A29260" s="2">
        <v>29255</v>
      </c>
      <c r="B29260" s="11" t="str">
        <f>"01069005"</f>
        <v>01069005</v>
      </c>
    </row>
    <row r="29261" spans="1:2" x14ac:dyDescent="0.25">
      <c r="A29261" s="2">
        <v>29256</v>
      </c>
      <c r="B29261" s="11" t="str">
        <f>"01069007"</f>
        <v>01069007</v>
      </c>
    </row>
    <row r="29262" spans="1:2" x14ac:dyDescent="0.25">
      <c r="A29262" s="2">
        <v>29257</v>
      </c>
      <c r="B29262" s="11" t="str">
        <f>"01069011"</f>
        <v>01069011</v>
      </c>
    </row>
    <row r="29263" spans="1:2" x14ac:dyDescent="0.25">
      <c r="A29263" s="2">
        <v>29258</v>
      </c>
      <c r="B29263" s="11" t="str">
        <f>"01069014"</f>
        <v>01069014</v>
      </c>
    </row>
    <row r="29264" spans="1:2" x14ac:dyDescent="0.25">
      <c r="A29264" s="2">
        <v>29259</v>
      </c>
      <c r="B29264" s="11" t="str">
        <f>"01069016"</f>
        <v>01069016</v>
      </c>
    </row>
    <row r="29265" spans="1:2" x14ac:dyDescent="0.25">
      <c r="A29265" s="2">
        <v>29260</v>
      </c>
      <c r="B29265" s="11" t="str">
        <f>"01069030"</f>
        <v>01069030</v>
      </c>
    </row>
    <row r="29266" spans="1:2" x14ac:dyDescent="0.25">
      <c r="A29266" s="2">
        <v>29261</v>
      </c>
      <c r="B29266" s="11" t="str">
        <f>"01069031"</f>
        <v>01069031</v>
      </c>
    </row>
    <row r="29267" spans="1:2" x14ac:dyDescent="0.25">
      <c r="A29267" s="2">
        <v>29262</v>
      </c>
      <c r="B29267" s="11" t="str">
        <f>"01069036"</f>
        <v>01069036</v>
      </c>
    </row>
    <row r="29268" spans="1:2" x14ac:dyDescent="0.25">
      <c r="A29268" s="2">
        <v>29263</v>
      </c>
      <c r="B29268" s="11" t="str">
        <f>"01069040"</f>
        <v>01069040</v>
      </c>
    </row>
    <row r="29269" spans="1:2" x14ac:dyDescent="0.25">
      <c r="A29269" s="2">
        <v>29264</v>
      </c>
      <c r="B29269" s="11" t="str">
        <f>"01069044"</f>
        <v>01069044</v>
      </c>
    </row>
    <row r="29270" spans="1:2" x14ac:dyDescent="0.25">
      <c r="A29270" s="2">
        <v>29265</v>
      </c>
      <c r="B29270" s="11" t="str">
        <f>"01069052"</f>
        <v>01069052</v>
      </c>
    </row>
    <row r="29271" spans="1:2" x14ac:dyDescent="0.25">
      <c r="A29271" s="2">
        <v>29266</v>
      </c>
      <c r="B29271" s="11" t="str">
        <f>"01069055"</f>
        <v>01069055</v>
      </c>
    </row>
    <row r="29272" spans="1:2" x14ac:dyDescent="0.25">
      <c r="A29272" s="2">
        <v>29267</v>
      </c>
      <c r="B29272" s="11" t="str">
        <f>"01069068"</f>
        <v>01069068</v>
      </c>
    </row>
    <row r="29273" spans="1:2" x14ac:dyDescent="0.25">
      <c r="A29273" s="2">
        <v>29268</v>
      </c>
      <c r="B29273" s="11" t="str">
        <f>"01069084"</f>
        <v>01069084</v>
      </c>
    </row>
    <row r="29274" spans="1:2" x14ac:dyDescent="0.25">
      <c r="A29274" s="2">
        <v>29269</v>
      </c>
      <c r="B29274" s="11" t="str">
        <f>"01069086"</f>
        <v>01069086</v>
      </c>
    </row>
    <row r="29275" spans="1:2" x14ac:dyDescent="0.25">
      <c r="A29275" s="2">
        <v>29270</v>
      </c>
      <c r="B29275" s="11" t="str">
        <f>"01069089"</f>
        <v>01069089</v>
      </c>
    </row>
    <row r="29276" spans="1:2" x14ac:dyDescent="0.25">
      <c r="A29276" s="2">
        <v>29271</v>
      </c>
      <c r="B29276" s="11" t="str">
        <f>"01069091"</f>
        <v>01069091</v>
      </c>
    </row>
    <row r="29277" spans="1:2" x14ac:dyDescent="0.25">
      <c r="A29277" s="2">
        <v>29272</v>
      </c>
      <c r="B29277" s="11" t="str">
        <f>"01069097"</f>
        <v>01069097</v>
      </c>
    </row>
    <row r="29278" spans="1:2" x14ac:dyDescent="0.25">
      <c r="A29278" s="2">
        <v>29273</v>
      </c>
      <c r="B29278" s="11" t="str">
        <f>"01069099"</f>
        <v>01069099</v>
      </c>
    </row>
    <row r="29279" spans="1:2" x14ac:dyDescent="0.25">
      <c r="A29279" s="2">
        <v>29274</v>
      </c>
      <c r="B29279" s="11" t="str">
        <f>"01069100"</f>
        <v>01069100</v>
      </c>
    </row>
    <row r="29280" spans="1:2" x14ac:dyDescent="0.25">
      <c r="A29280" s="2">
        <v>29275</v>
      </c>
      <c r="B29280" s="11" t="str">
        <f>"01069102"</f>
        <v>01069102</v>
      </c>
    </row>
    <row r="29281" spans="1:2" x14ac:dyDescent="0.25">
      <c r="A29281" s="2">
        <v>29276</v>
      </c>
      <c r="B29281" s="11" t="str">
        <f>"01069107"</f>
        <v>01069107</v>
      </c>
    </row>
    <row r="29282" spans="1:2" x14ac:dyDescent="0.25">
      <c r="A29282" s="2">
        <v>29277</v>
      </c>
      <c r="B29282" s="11" t="str">
        <f>"01069111"</f>
        <v>01069111</v>
      </c>
    </row>
    <row r="29283" spans="1:2" x14ac:dyDescent="0.25">
      <c r="A29283" s="2">
        <v>29278</v>
      </c>
      <c r="B29283" s="11" t="str">
        <f>"01069118"</f>
        <v>01069118</v>
      </c>
    </row>
    <row r="29284" spans="1:2" x14ac:dyDescent="0.25">
      <c r="A29284" s="2">
        <v>29279</v>
      </c>
      <c r="B29284" s="11" t="str">
        <f>"01069125"</f>
        <v>01069125</v>
      </c>
    </row>
    <row r="29285" spans="1:2" x14ac:dyDescent="0.25">
      <c r="A29285" s="2">
        <v>29280</v>
      </c>
      <c r="B29285" s="11" t="str">
        <f>"01069127"</f>
        <v>01069127</v>
      </c>
    </row>
    <row r="29286" spans="1:2" x14ac:dyDescent="0.25">
      <c r="A29286" s="2">
        <v>29281</v>
      </c>
      <c r="B29286" s="11" t="str">
        <f>"01069132"</f>
        <v>01069132</v>
      </c>
    </row>
    <row r="29287" spans="1:2" x14ac:dyDescent="0.25">
      <c r="A29287" s="2">
        <v>29282</v>
      </c>
      <c r="B29287" s="11" t="str">
        <f>"01069139"</f>
        <v>01069139</v>
      </c>
    </row>
    <row r="29288" spans="1:2" x14ac:dyDescent="0.25">
      <c r="A29288" s="2">
        <v>29283</v>
      </c>
      <c r="B29288" s="11" t="str">
        <f>"01069140"</f>
        <v>01069140</v>
      </c>
    </row>
    <row r="29289" spans="1:2" x14ac:dyDescent="0.25">
      <c r="A29289" s="2">
        <v>29284</v>
      </c>
      <c r="B29289" s="11" t="str">
        <f>"01069154"</f>
        <v>01069154</v>
      </c>
    </row>
    <row r="29290" spans="1:2" x14ac:dyDescent="0.25">
      <c r="A29290" s="2">
        <v>29285</v>
      </c>
      <c r="B29290" s="11" t="str">
        <f>"01069156"</f>
        <v>01069156</v>
      </c>
    </row>
    <row r="29291" spans="1:2" x14ac:dyDescent="0.25">
      <c r="A29291" s="2">
        <v>29286</v>
      </c>
      <c r="B29291" s="11" t="str">
        <f>"01069157"</f>
        <v>01069157</v>
      </c>
    </row>
    <row r="29292" spans="1:2" x14ac:dyDescent="0.25">
      <c r="A29292" s="2">
        <v>29287</v>
      </c>
      <c r="B29292" s="11" t="str">
        <f>"01069166"</f>
        <v>01069166</v>
      </c>
    </row>
    <row r="29293" spans="1:2" x14ac:dyDescent="0.25">
      <c r="A29293" s="2">
        <v>29288</v>
      </c>
      <c r="B29293" s="11" t="str">
        <f>"01069167"</f>
        <v>01069167</v>
      </c>
    </row>
    <row r="29294" spans="1:2" x14ac:dyDescent="0.25">
      <c r="A29294" s="2">
        <v>29289</v>
      </c>
      <c r="B29294" s="11" t="str">
        <f>"01069171"</f>
        <v>01069171</v>
      </c>
    </row>
    <row r="29295" spans="1:2" x14ac:dyDescent="0.25">
      <c r="A29295" s="2">
        <v>29290</v>
      </c>
      <c r="B29295" s="11" t="str">
        <f>"01069178"</f>
        <v>01069178</v>
      </c>
    </row>
    <row r="29296" spans="1:2" x14ac:dyDescent="0.25">
      <c r="A29296" s="2">
        <v>29291</v>
      </c>
      <c r="B29296" s="11" t="str">
        <f>"01069180"</f>
        <v>01069180</v>
      </c>
    </row>
    <row r="29297" spans="1:2" x14ac:dyDescent="0.25">
      <c r="A29297" s="2">
        <v>29292</v>
      </c>
      <c r="B29297" s="11" t="str">
        <f>"01069183"</f>
        <v>01069183</v>
      </c>
    </row>
    <row r="29298" spans="1:2" x14ac:dyDescent="0.25">
      <c r="A29298" s="2">
        <v>29293</v>
      </c>
      <c r="B29298" s="11" t="str">
        <f>"01069185"</f>
        <v>01069185</v>
      </c>
    </row>
    <row r="29299" spans="1:2" x14ac:dyDescent="0.25">
      <c r="A29299" s="2">
        <v>29294</v>
      </c>
      <c r="B29299" s="11" t="str">
        <f>"01069187"</f>
        <v>01069187</v>
      </c>
    </row>
    <row r="29300" spans="1:2" x14ac:dyDescent="0.25">
      <c r="A29300" s="2">
        <v>29295</v>
      </c>
      <c r="B29300" s="11" t="str">
        <f>"01069190"</f>
        <v>01069190</v>
      </c>
    </row>
    <row r="29301" spans="1:2" x14ac:dyDescent="0.25">
      <c r="A29301" s="2">
        <v>29296</v>
      </c>
      <c r="B29301" s="11" t="str">
        <f>"01069191"</f>
        <v>01069191</v>
      </c>
    </row>
    <row r="29302" spans="1:2" x14ac:dyDescent="0.25">
      <c r="A29302" s="2">
        <v>29297</v>
      </c>
      <c r="B29302" s="11" t="str">
        <f>"01069198"</f>
        <v>01069198</v>
      </c>
    </row>
    <row r="29303" spans="1:2" x14ac:dyDescent="0.25">
      <c r="A29303" s="2">
        <v>29298</v>
      </c>
      <c r="B29303" s="11" t="str">
        <f>"01069201"</f>
        <v>01069201</v>
      </c>
    </row>
    <row r="29304" spans="1:2" x14ac:dyDescent="0.25">
      <c r="A29304" s="2">
        <v>29299</v>
      </c>
      <c r="B29304" s="11" t="str">
        <f>"01069205"</f>
        <v>01069205</v>
      </c>
    </row>
    <row r="29305" spans="1:2" x14ac:dyDescent="0.25">
      <c r="A29305" s="2">
        <v>29300</v>
      </c>
      <c r="B29305" s="11" t="str">
        <f>"01069211"</f>
        <v>01069211</v>
      </c>
    </row>
    <row r="29306" spans="1:2" x14ac:dyDescent="0.25">
      <c r="A29306" s="2">
        <v>29301</v>
      </c>
      <c r="B29306" s="11" t="str">
        <f>"01069212"</f>
        <v>01069212</v>
      </c>
    </row>
    <row r="29307" spans="1:2" x14ac:dyDescent="0.25">
      <c r="A29307" s="2">
        <v>29302</v>
      </c>
      <c r="B29307" s="11" t="str">
        <f>"01069217"</f>
        <v>01069217</v>
      </c>
    </row>
    <row r="29308" spans="1:2" x14ac:dyDescent="0.25">
      <c r="A29308" s="2">
        <v>29303</v>
      </c>
      <c r="B29308" s="11" t="str">
        <f>"01069221"</f>
        <v>01069221</v>
      </c>
    </row>
    <row r="29309" spans="1:2" x14ac:dyDescent="0.25">
      <c r="A29309" s="2">
        <v>29304</v>
      </c>
      <c r="B29309" s="11" t="str">
        <f>"01069232"</f>
        <v>01069232</v>
      </c>
    </row>
    <row r="29310" spans="1:2" x14ac:dyDescent="0.25">
      <c r="A29310" s="2">
        <v>29305</v>
      </c>
      <c r="B29310" s="11" t="str">
        <f>"01069247"</f>
        <v>01069247</v>
      </c>
    </row>
    <row r="29311" spans="1:2" x14ac:dyDescent="0.25">
      <c r="A29311" s="2">
        <v>29306</v>
      </c>
      <c r="B29311" s="11" t="str">
        <f>"01069260"</f>
        <v>01069260</v>
      </c>
    </row>
    <row r="29312" spans="1:2" x14ac:dyDescent="0.25">
      <c r="A29312" s="2">
        <v>29307</v>
      </c>
      <c r="B29312" s="11" t="str">
        <f>"01069262"</f>
        <v>01069262</v>
      </c>
    </row>
    <row r="29313" spans="1:2" x14ac:dyDescent="0.25">
      <c r="A29313" s="2">
        <v>29308</v>
      </c>
      <c r="B29313" s="11" t="str">
        <f>"01069269"</f>
        <v>01069269</v>
      </c>
    </row>
    <row r="29314" spans="1:2" x14ac:dyDescent="0.25">
      <c r="A29314" s="2">
        <v>29309</v>
      </c>
      <c r="B29314" s="11" t="str">
        <f>"01069276"</f>
        <v>01069276</v>
      </c>
    </row>
    <row r="29315" spans="1:2" x14ac:dyDescent="0.25">
      <c r="A29315" s="2">
        <v>29310</v>
      </c>
      <c r="B29315" s="11" t="str">
        <f>"01069277"</f>
        <v>01069277</v>
      </c>
    </row>
    <row r="29316" spans="1:2" x14ac:dyDescent="0.25">
      <c r="A29316" s="2">
        <v>29311</v>
      </c>
      <c r="B29316" s="11" t="str">
        <f>"01069281"</f>
        <v>01069281</v>
      </c>
    </row>
    <row r="29317" spans="1:2" x14ac:dyDescent="0.25">
      <c r="A29317" s="2">
        <v>29312</v>
      </c>
      <c r="B29317" s="11" t="str">
        <f>"01069288"</f>
        <v>01069288</v>
      </c>
    </row>
    <row r="29318" spans="1:2" x14ac:dyDescent="0.25">
      <c r="A29318" s="2">
        <v>29313</v>
      </c>
      <c r="B29318" s="11" t="str">
        <f>"01069290"</f>
        <v>01069290</v>
      </c>
    </row>
    <row r="29319" spans="1:2" x14ac:dyDescent="0.25">
      <c r="A29319" s="2">
        <v>29314</v>
      </c>
      <c r="B29319" s="11" t="str">
        <f>"01069297"</f>
        <v>01069297</v>
      </c>
    </row>
    <row r="29320" spans="1:2" x14ac:dyDescent="0.25">
      <c r="A29320" s="2">
        <v>29315</v>
      </c>
      <c r="B29320" s="11" t="str">
        <f>"01069302"</f>
        <v>01069302</v>
      </c>
    </row>
    <row r="29321" spans="1:2" x14ac:dyDescent="0.25">
      <c r="A29321" s="2">
        <v>29316</v>
      </c>
      <c r="B29321" s="11" t="str">
        <f>"01069316"</f>
        <v>01069316</v>
      </c>
    </row>
    <row r="29322" spans="1:2" x14ac:dyDescent="0.25">
      <c r="A29322" s="2">
        <v>29317</v>
      </c>
      <c r="B29322" s="11" t="str">
        <f>"01069317"</f>
        <v>01069317</v>
      </c>
    </row>
    <row r="29323" spans="1:2" x14ac:dyDescent="0.25">
      <c r="A29323" s="2">
        <v>29318</v>
      </c>
      <c r="B29323" s="11" t="str">
        <f>"01069326"</f>
        <v>01069326</v>
      </c>
    </row>
    <row r="29324" spans="1:2" x14ac:dyDescent="0.25">
      <c r="A29324" s="2">
        <v>29319</v>
      </c>
      <c r="B29324" s="11" t="str">
        <f>"01069327"</f>
        <v>01069327</v>
      </c>
    </row>
    <row r="29325" spans="1:2" x14ac:dyDescent="0.25">
      <c r="A29325" s="2">
        <v>29320</v>
      </c>
      <c r="B29325" s="11" t="str">
        <f>"01069339"</f>
        <v>01069339</v>
      </c>
    </row>
    <row r="29326" spans="1:2" x14ac:dyDescent="0.25">
      <c r="A29326" s="2">
        <v>29321</v>
      </c>
      <c r="B29326" s="11" t="str">
        <f>"01069361"</f>
        <v>01069361</v>
      </c>
    </row>
    <row r="29327" spans="1:2" x14ac:dyDescent="0.25">
      <c r="A29327" s="2">
        <v>29322</v>
      </c>
      <c r="B29327" s="11" t="str">
        <f>"01069371"</f>
        <v>01069371</v>
      </c>
    </row>
    <row r="29328" spans="1:2" x14ac:dyDescent="0.25">
      <c r="A29328" s="2">
        <v>29323</v>
      </c>
      <c r="B29328" s="11" t="str">
        <f>"01069376"</f>
        <v>01069376</v>
      </c>
    </row>
    <row r="29329" spans="1:2" x14ac:dyDescent="0.25">
      <c r="A29329" s="2">
        <v>29324</v>
      </c>
      <c r="B29329" s="11" t="str">
        <f>"01069377"</f>
        <v>01069377</v>
      </c>
    </row>
    <row r="29330" spans="1:2" x14ac:dyDescent="0.25">
      <c r="A29330" s="2">
        <v>29325</v>
      </c>
      <c r="B29330" s="11" t="str">
        <f>"01069384"</f>
        <v>01069384</v>
      </c>
    </row>
    <row r="29331" spans="1:2" x14ac:dyDescent="0.25">
      <c r="A29331" s="2">
        <v>29326</v>
      </c>
      <c r="B29331" s="11" t="str">
        <f>"01069387"</f>
        <v>01069387</v>
      </c>
    </row>
    <row r="29332" spans="1:2" x14ac:dyDescent="0.25">
      <c r="A29332" s="2">
        <v>29327</v>
      </c>
      <c r="B29332" s="11" t="str">
        <f>"01069393"</f>
        <v>01069393</v>
      </c>
    </row>
    <row r="29333" spans="1:2" x14ac:dyDescent="0.25">
      <c r="A29333" s="2">
        <v>29328</v>
      </c>
      <c r="B29333" s="11" t="str">
        <f>"01069395"</f>
        <v>01069395</v>
      </c>
    </row>
    <row r="29334" spans="1:2" x14ac:dyDescent="0.25">
      <c r="A29334" s="2">
        <v>29329</v>
      </c>
      <c r="B29334" s="11" t="str">
        <f>"01069399"</f>
        <v>01069399</v>
      </c>
    </row>
    <row r="29335" spans="1:2" x14ac:dyDescent="0.25">
      <c r="A29335" s="2">
        <v>29330</v>
      </c>
      <c r="B29335" s="11" t="str">
        <f>"01069404"</f>
        <v>01069404</v>
      </c>
    </row>
    <row r="29336" spans="1:2" x14ac:dyDescent="0.25">
      <c r="A29336" s="2">
        <v>29331</v>
      </c>
      <c r="B29336" s="11" t="str">
        <f>"01069406"</f>
        <v>01069406</v>
      </c>
    </row>
    <row r="29337" spans="1:2" x14ac:dyDescent="0.25">
      <c r="A29337" s="2">
        <v>29332</v>
      </c>
      <c r="B29337" s="11" t="str">
        <f>"01069408"</f>
        <v>01069408</v>
      </c>
    </row>
    <row r="29338" spans="1:2" x14ac:dyDescent="0.25">
      <c r="A29338" s="2">
        <v>29333</v>
      </c>
      <c r="B29338" s="11" t="str">
        <f>"01069415"</f>
        <v>01069415</v>
      </c>
    </row>
    <row r="29339" spans="1:2" x14ac:dyDescent="0.25">
      <c r="A29339" s="2">
        <v>29334</v>
      </c>
      <c r="B29339" s="11" t="str">
        <f>"01069420"</f>
        <v>01069420</v>
      </c>
    </row>
    <row r="29340" spans="1:2" x14ac:dyDescent="0.25">
      <c r="A29340" s="2">
        <v>29335</v>
      </c>
      <c r="B29340" s="11" t="str">
        <f>"01069434"</f>
        <v>01069434</v>
      </c>
    </row>
    <row r="29341" spans="1:2" x14ac:dyDescent="0.25">
      <c r="A29341" s="2">
        <v>29336</v>
      </c>
      <c r="B29341" s="11" t="str">
        <f>"01069445"</f>
        <v>01069445</v>
      </c>
    </row>
    <row r="29342" spans="1:2" x14ac:dyDescent="0.25">
      <c r="A29342" s="2">
        <v>29337</v>
      </c>
      <c r="B29342" s="11" t="str">
        <f>"01069451"</f>
        <v>01069451</v>
      </c>
    </row>
    <row r="29343" spans="1:2" x14ac:dyDescent="0.25">
      <c r="A29343" s="2">
        <v>29338</v>
      </c>
      <c r="B29343" s="11" t="str">
        <f>"01069453"</f>
        <v>01069453</v>
      </c>
    </row>
    <row r="29344" spans="1:2" x14ac:dyDescent="0.25">
      <c r="A29344" s="2">
        <v>29339</v>
      </c>
      <c r="B29344" s="11" t="str">
        <f>"01069457"</f>
        <v>01069457</v>
      </c>
    </row>
    <row r="29345" spans="1:2" x14ac:dyDescent="0.25">
      <c r="A29345" s="2">
        <v>29340</v>
      </c>
      <c r="B29345" s="11" t="str">
        <f>"01069458"</f>
        <v>01069458</v>
      </c>
    </row>
    <row r="29346" spans="1:2" x14ac:dyDescent="0.25">
      <c r="A29346" s="2">
        <v>29341</v>
      </c>
      <c r="B29346" s="11" t="str">
        <f>"01069461"</f>
        <v>01069461</v>
      </c>
    </row>
    <row r="29347" spans="1:2" x14ac:dyDescent="0.25">
      <c r="A29347" s="2">
        <v>29342</v>
      </c>
      <c r="B29347" s="11" t="str">
        <f>"01069471"</f>
        <v>01069471</v>
      </c>
    </row>
    <row r="29348" spans="1:2" x14ac:dyDescent="0.25">
      <c r="A29348" s="2">
        <v>29343</v>
      </c>
      <c r="B29348" s="11" t="str">
        <f>"01069474"</f>
        <v>01069474</v>
      </c>
    </row>
    <row r="29349" spans="1:2" x14ac:dyDescent="0.25">
      <c r="A29349" s="2">
        <v>29344</v>
      </c>
      <c r="B29349" s="11" t="str">
        <f>"01069481"</f>
        <v>01069481</v>
      </c>
    </row>
    <row r="29350" spans="1:2" x14ac:dyDescent="0.25">
      <c r="A29350" s="2">
        <v>29345</v>
      </c>
      <c r="B29350" s="11" t="str">
        <f>"01069483"</f>
        <v>01069483</v>
      </c>
    </row>
    <row r="29351" spans="1:2" x14ac:dyDescent="0.25">
      <c r="A29351" s="2">
        <v>29346</v>
      </c>
      <c r="B29351" s="11" t="str">
        <f>"01069493"</f>
        <v>01069493</v>
      </c>
    </row>
    <row r="29352" spans="1:2" x14ac:dyDescent="0.25">
      <c r="A29352" s="2">
        <v>29347</v>
      </c>
      <c r="B29352" s="11" t="str">
        <f>"01069496"</f>
        <v>01069496</v>
      </c>
    </row>
    <row r="29353" spans="1:2" x14ac:dyDescent="0.25">
      <c r="A29353" s="2">
        <v>29348</v>
      </c>
      <c r="B29353" s="11" t="str">
        <f>"01069498"</f>
        <v>01069498</v>
      </c>
    </row>
    <row r="29354" spans="1:2" x14ac:dyDescent="0.25">
      <c r="A29354" s="2">
        <v>29349</v>
      </c>
      <c r="B29354" s="11" t="str">
        <f>"01069504"</f>
        <v>01069504</v>
      </c>
    </row>
    <row r="29355" spans="1:2" x14ac:dyDescent="0.25">
      <c r="A29355" s="2">
        <v>29350</v>
      </c>
      <c r="B29355" s="11" t="str">
        <f>"01069507"</f>
        <v>01069507</v>
      </c>
    </row>
    <row r="29356" spans="1:2" x14ac:dyDescent="0.25">
      <c r="A29356" s="2">
        <v>29351</v>
      </c>
      <c r="B29356" s="11" t="str">
        <f>"01069510"</f>
        <v>01069510</v>
      </c>
    </row>
    <row r="29357" spans="1:2" x14ac:dyDescent="0.25">
      <c r="A29357" s="2">
        <v>29352</v>
      </c>
      <c r="B29357" s="11" t="str">
        <f>"01069515"</f>
        <v>01069515</v>
      </c>
    </row>
    <row r="29358" spans="1:2" x14ac:dyDescent="0.25">
      <c r="A29358" s="2">
        <v>29353</v>
      </c>
      <c r="B29358" s="11" t="str">
        <f>"01069519"</f>
        <v>01069519</v>
      </c>
    </row>
    <row r="29359" spans="1:2" x14ac:dyDescent="0.25">
      <c r="A29359" s="2">
        <v>29354</v>
      </c>
      <c r="B29359" s="11" t="str">
        <f>"01069521"</f>
        <v>01069521</v>
      </c>
    </row>
    <row r="29360" spans="1:2" x14ac:dyDescent="0.25">
      <c r="A29360" s="2">
        <v>29355</v>
      </c>
      <c r="B29360" s="11" t="str">
        <f>"01069523"</f>
        <v>01069523</v>
      </c>
    </row>
    <row r="29361" spans="1:2" x14ac:dyDescent="0.25">
      <c r="A29361" s="2">
        <v>29356</v>
      </c>
      <c r="B29361" s="11" t="str">
        <f>"01069528"</f>
        <v>01069528</v>
      </c>
    </row>
    <row r="29362" spans="1:2" x14ac:dyDescent="0.25">
      <c r="A29362" s="2">
        <v>29357</v>
      </c>
      <c r="B29362" s="11" t="str">
        <f>"01069532"</f>
        <v>01069532</v>
      </c>
    </row>
    <row r="29363" spans="1:2" x14ac:dyDescent="0.25">
      <c r="A29363" s="2">
        <v>29358</v>
      </c>
      <c r="B29363" s="11" t="str">
        <f>"01069536"</f>
        <v>01069536</v>
      </c>
    </row>
    <row r="29364" spans="1:2" x14ac:dyDescent="0.25">
      <c r="A29364" s="2">
        <v>29359</v>
      </c>
      <c r="B29364" s="11" t="str">
        <f>"01069537"</f>
        <v>01069537</v>
      </c>
    </row>
    <row r="29365" spans="1:2" x14ac:dyDescent="0.25">
      <c r="A29365" s="2">
        <v>29360</v>
      </c>
      <c r="B29365" s="11" t="str">
        <f>"01069538"</f>
        <v>01069538</v>
      </c>
    </row>
    <row r="29366" spans="1:2" x14ac:dyDescent="0.25">
      <c r="A29366" s="2">
        <v>29361</v>
      </c>
      <c r="B29366" s="11" t="str">
        <f>"01069540"</f>
        <v>01069540</v>
      </c>
    </row>
    <row r="29367" spans="1:2" x14ac:dyDescent="0.25">
      <c r="A29367" s="2">
        <v>29362</v>
      </c>
      <c r="B29367" s="11" t="str">
        <f>"01069547"</f>
        <v>01069547</v>
      </c>
    </row>
    <row r="29368" spans="1:2" x14ac:dyDescent="0.25">
      <c r="A29368" s="2">
        <v>29363</v>
      </c>
      <c r="B29368" s="11" t="str">
        <f>"01069548"</f>
        <v>01069548</v>
      </c>
    </row>
    <row r="29369" spans="1:2" x14ac:dyDescent="0.25">
      <c r="A29369" s="2">
        <v>29364</v>
      </c>
      <c r="B29369" s="11" t="str">
        <f>"01069549"</f>
        <v>01069549</v>
      </c>
    </row>
    <row r="29370" spans="1:2" x14ac:dyDescent="0.25">
      <c r="A29370" s="2">
        <v>29365</v>
      </c>
      <c r="B29370" s="11" t="str">
        <f>"01069554"</f>
        <v>01069554</v>
      </c>
    </row>
    <row r="29371" spans="1:2" x14ac:dyDescent="0.25">
      <c r="A29371" s="2">
        <v>29366</v>
      </c>
      <c r="B29371" s="11" t="str">
        <f>"01069560"</f>
        <v>01069560</v>
      </c>
    </row>
    <row r="29372" spans="1:2" x14ac:dyDescent="0.25">
      <c r="A29372" s="2">
        <v>29367</v>
      </c>
      <c r="B29372" s="11" t="str">
        <f>"01069562"</f>
        <v>01069562</v>
      </c>
    </row>
    <row r="29373" spans="1:2" x14ac:dyDescent="0.25">
      <c r="A29373" s="2">
        <v>29368</v>
      </c>
      <c r="B29373" s="11" t="str">
        <f>"01069563"</f>
        <v>01069563</v>
      </c>
    </row>
    <row r="29374" spans="1:2" x14ac:dyDescent="0.25">
      <c r="A29374" s="2">
        <v>29369</v>
      </c>
      <c r="B29374" s="11" t="str">
        <f>"01069566"</f>
        <v>01069566</v>
      </c>
    </row>
    <row r="29375" spans="1:2" x14ac:dyDescent="0.25">
      <c r="A29375" s="2">
        <v>29370</v>
      </c>
      <c r="B29375" s="11" t="str">
        <f>"01069570"</f>
        <v>01069570</v>
      </c>
    </row>
    <row r="29376" spans="1:2" x14ac:dyDescent="0.25">
      <c r="A29376" s="2">
        <v>29371</v>
      </c>
      <c r="B29376" s="11" t="str">
        <f>"01069571"</f>
        <v>01069571</v>
      </c>
    </row>
    <row r="29377" spans="1:2" x14ac:dyDescent="0.25">
      <c r="A29377" s="2">
        <v>29372</v>
      </c>
      <c r="B29377" s="11" t="str">
        <f>"01069572"</f>
        <v>01069572</v>
      </c>
    </row>
    <row r="29378" spans="1:2" x14ac:dyDescent="0.25">
      <c r="A29378" s="2">
        <v>29373</v>
      </c>
      <c r="B29378" s="11" t="str">
        <f>"01069581"</f>
        <v>01069581</v>
      </c>
    </row>
    <row r="29379" spans="1:2" x14ac:dyDescent="0.25">
      <c r="A29379" s="2">
        <v>29374</v>
      </c>
      <c r="B29379" s="11" t="str">
        <f>"01069583"</f>
        <v>01069583</v>
      </c>
    </row>
    <row r="29380" spans="1:2" x14ac:dyDescent="0.25">
      <c r="A29380" s="2">
        <v>29375</v>
      </c>
      <c r="B29380" s="11" t="str">
        <f>"01069592"</f>
        <v>01069592</v>
      </c>
    </row>
    <row r="29381" spans="1:2" x14ac:dyDescent="0.25">
      <c r="A29381" s="2">
        <v>29376</v>
      </c>
      <c r="B29381" s="11" t="str">
        <f>"01069596"</f>
        <v>01069596</v>
      </c>
    </row>
    <row r="29382" spans="1:2" x14ac:dyDescent="0.25">
      <c r="A29382" s="2">
        <v>29377</v>
      </c>
      <c r="B29382" s="11" t="str">
        <f>"01069598"</f>
        <v>01069598</v>
      </c>
    </row>
    <row r="29383" spans="1:2" x14ac:dyDescent="0.25">
      <c r="A29383" s="2">
        <v>29378</v>
      </c>
      <c r="B29383" s="11" t="str">
        <f>"01069601"</f>
        <v>01069601</v>
      </c>
    </row>
    <row r="29384" spans="1:2" x14ac:dyDescent="0.25">
      <c r="A29384" s="2">
        <v>29379</v>
      </c>
      <c r="B29384" s="11" t="str">
        <f>"01069602"</f>
        <v>01069602</v>
      </c>
    </row>
    <row r="29385" spans="1:2" x14ac:dyDescent="0.25">
      <c r="A29385" s="2">
        <v>29380</v>
      </c>
      <c r="B29385" s="11" t="str">
        <f>"01069613"</f>
        <v>01069613</v>
      </c>
    </row>
    <row r="29386" spans="1:2" x14ac:dyDescent="0.25">
      <c r="A29386" s="2">
        <v>29381</v>
      </c>
      <c r="B29386" s="11" t="str">
        <f>"01069619"</f>
        <v>01069619</v>
      </c>
    </row>
    <row r="29387" spans="1:2" x14ac:dyDescent="0.25">
      <c r="A29387" s="2">
        <v>29382</v>
      </c>
      <c r="B29387" s="11" t="str">
        <f>"01069620"</f>
        <v>01069620</v>
      </c>
    </row>
    <row r="29388" spans="1:2" x14ac:dyDescent="0.25">
      <c r="A29388" s="2">
        <v>29383</v>
      </c>
      <c r="B29388" s="11" t="str">
        <f>"01069621"</f>
        <v>01069621</v>
      </c>
    </row>
    <row r="29389" spans="1:2" x14ac:dyDescent="0.25">
      <c r="A29389" s="2">
        <v>29384</v>
      </c>
      <c r="B29389" s="11" t="str">
        <f>"01069629"</f>
        <v>01069629</v>
      </c>
    </row>
    <row r="29390" spans="1:2" x14ac:dyDescent="0.25">
      <c r="A29390" s="2">
        <v>29385</v>
      </c>
      <c r="B29390" s="11" t="str">
        <f>"01069634"</f>
        <v>01069634</v>
      </c>
    </row>
    <row r="29391" spans="1:2" x14ac:dyDescent="0.25">
      <c r="A29391" s="2">
        <v>29386</v>
      </c>
      <c r="B29391" s="11" t="str">
        <f>"01069635"</f>
        <v>01069635</v>
      </c>
    </row>
    <row r="29392" spans="1:2" x14ac:dyDescent="0.25">
      <c r="A29392" s="2">
        <v>29387</v>
      </c>
      <c r="B29392" s="11" t="str">
        <f>"01069638"</f>
        <v>01069638</v>
      </c>
    </row>
    <row r="29393" spans="1:2" x14ac:dyDescent="0.25">
      <c r="A29393" s="2">
        <v>29388</v>
      </c>
      <c r="B29393" s="11" t="str">
        <f>"01069645"</f>
        <v>01069645</v>
      </c>
    </row>
    <row r="29394" spans="1:2" x14ac:dyDescent="0.25">
      <c r="A29394" s="2">
        <v>29389</v>
      </c>
      <c r="B29394" s="11" t="str">
        <f>"01069646"</f>
        <v>01069646</v>
      </c>
    </row>
    <row r="29395" spans="1:2" x14ac:dyDescent="0.25">
      <c r="A29395" s="2">
        <v>29390</v>
      </c>
      <c r="B29395" s="11" t="str">
        <f>"01069648"</f>
        <v>01069648</v>
      </c>
    </row>
    <row r="29396" spans="1:2" x14ac:dyDescent="0.25">
      <c r="A29396" s="2">
        <v>29391</v>
      </c>
      <c r="B29396" s="11" t="str">
        <f>"01069653"</f>
        <v>01069653</v>
      </c>
    </row>
    <row r="29397" spans="1:2" x14ac:dyDescent="0.25">
      <c r="A29397" s="2">
        <v>29392</v>
      </c>
      <c r="B29397" s="11" t="str">
        <f>"01069654"</f>
        <v>01069654</v>
      </c>
    </row>
    <row r="29398" spans="1:2" x14ac:dyDescent="0.25">
      <c r="A29398" s="2">
        <v>29393</v>
      </c>
      <c r="B29398" s="11" t="str">
        <f>"01069660"</f>
        <v>01069660</v>
      </c>
    </row>
    <row r="29399" spans="1:2" x14ac:dyDescent="0.25">
      <c r="A29399" s="2">
        <v>29394</v>
      </c>
      <c r="B29399" s="11" t="str">
        <f>"01069662"</f>
        <v>01069662</v>
      </c>
    </row>
    <row r="29400" spans="1:2" x14ac:dyDescent="0.25">
      <c r="A29400" s="2">
        <v>29395</v>
      </c>
      <c r="B29400" s="11" t="str">
        <f>"01069665"</f>
        <v>01069665</v>
      </c>
    </row>
    <row r="29401" spans="1:2" x14ac:dyDescent="0.25">
      <c r="A29401" s="2">
        <v>29396</v>
      </c>
      <c r="B29401" s="11" t="str">
        <f>"01069671"</f>
        <v>01069671</v>
      </c>
    </row>
    <row r="29402" spans="1:2" x14ac:dyDescent="0.25">
      <c r="A29402" s="2">
        <v>29397</v>
      </c>
      <c r="B29402" s="11" t="str">
        <f>"01069674"</f>
        <v>01069674</v>
      </c>
    </row>
    <row r="29403" spans="1:2" x14ac:dyDescent="0.25">
      <c r="A29403" s="2">
        <v>29398</v>
      </c>
      <c r="B29403" s="11" t="str">
        <f>"01069677"</f>
        <v>01069677</v>
      </c>
    </row>
    <row r="29404" spans="1:2" x14ac:dyDescent="0.25">
      <c r="A29404" s="2">
        <v>29399</v>
      </c>
      <c r="B29404" s="11" t="str">
        <f>"01069679"</f>
        <v>01069679</v>
      </c>
    </row>
    <row r="29405" spans="1:2" x14ac:dyDescent="0.25">
      <c r="A29405" s="2">
        <v>29400</v>
      </c>
      <c r="B29405" s="11" t="str">
        <f>"01069687"</f>
        <v>01069687</v>
      </c>
    </row>
    <row r="29406" spans="1:2" x14ac:dyDescent="0.25">
      <c r="A29406" s="2">
        <v>29401</v>
      </c>
      <c r="B29406" s="11" t="str">
        <f>"01069700"</f>
        <v>01069700</v>
      </c>
    </row>
    <row r="29407" spans="1:2" x14ac:dyDescent="0.25">
      <c r="A29407" s="2">
        <v>29402</v>
      </c>
      <c r="B29407" s="11" t="str">
        <f>"01069705"</f>
        <v>01069705</v>
      </c>
    </row>
    <row r="29408" spans="1:2" x14ac:dyDescent="0.25">
      <c r="A29408" s="2">
        <v>29403</v>
      </c>
      <c r="B29408" s="11" t="str">
        <f>"01069710"</f>
        <v>01069710</v>
      </c>
    </row>
    <row r="29409" spans="1:2" x14ac:dyDescent="0.25">
      <c r="A29409" s="2">
        <v>29404</v>
      </c>
      <c r="B29409" s="11" t="str">
        <f>"01069719"</f>
        <v>01069719</v>
      </c>
    </row>
    <row r="29410" spans="1:2" x14ac:dyDescent="0.25">
      <c r="A29410" s="2">
        <v>29405</v>
      </c>
      <c r="B29410" s="11" t="str">
        <f>"01069722"</f>
        <v>01069722</v>
      </c>
    </row>
    <row r="29411" spans="1:2" x14ac:dyDescent="0.25">
      <c r="A29411" s="2">
        <v>29406</v>
      </c>
      <c r="B29411" s="11" t="str">
        <f>"01069725"</f>
        <v>01069725</v>
      </c>
    </row>
    <row r="29412" spans="1:2" x14ac:dyDescent="0.25">
      <c r="A29412" s="2">
        <v>29407</v>
      </c>
      <c r="B29412" s="11" t="str">
        <f>"01069733"</f>
        <v>01069733</v>
      </c>
    </row>
    <row r="29413" spans="1:2" x14ac:dyDescent="0.25">
      <c r="A29413" s="2">
        <v>29408</v>
      </c>
      <c r="B29413" s="11" t="str">
        <f>"01069738"</f>
        <v>01069738</v>
      </c>
    </row>
    <row r="29414" spans="1:2" x14ac:dyDescent="0.25">
      <c r="A29414" s="2">
        <v>29409</v>
      </c>
      <c r="B29414" s="11" t="str">
        <f>"01069739"</f>
        <v>01069739</v>
      </c>
    </row>
    <row r="29415" spans="1:2" x14ac:dyDescent="0.25">
      <c r="A29415" s="2">
        <v>29410</v>
      </c>
      <c r="B29415" s="11" t="str">
        <f>"01069743"</f>
        <v>01069743</v>
      </c>
    </row>
    <row r="29416" spans="1:2" x14ac:dyDescent="0.25">
      <c r="A29416" s="2">
        <v>29411</v>
      </c>
      <c r="B29416" s="11" t="str">
        <f>"01069745"</f>
        <v>01069745</v>
      </c>
    </row>
    <row r="29417" spans="1:2" x14ac:dyDescent="0.25">
      <c r="A29417" s="2">
        <v>29412</v>
      </c>
      <c r="B29417" s="11" t="str">
        <f>"01069759"</f>
        <v>01069759</v>
      </c>
    </row>
    <row r="29418" spans="1:2" x14ac:dyDescent="0.25">
      <c r="A29418" s="2">
        <v>29413</v>
      </c>
      <c r="B29418" s="11" t="str">
        <f>"01069760"</f>
        <v>01069760</v>
      </c>
    </row>
    <row r="29419" spans="1:2" x14ac:dyDescent="0.25">
      <c r="A29419" s="2">
        <v>29414</v>
      </c>
      <c r="B29419" s="11" t="str">
        <f>"01069765"</f>
        <v>01069765</v>
      </c>
    </row>
    <row r="29420" spans="1:2" x14ac:dyDescent="0.25">
      <c r="A29420" s="2">
        <v>29415</v>
      </c>
      <c r="B29420" s="11" t="str">
        <f>"01069767"</f>
        <v>01069767</v>
      </c>
    </row>
    <row r="29421" spans="1:2" x14ac:dyDescent="0.25">
      <c r="A29421" s="2">
        <v>29416</v>
      </c>
      <c r="B29421" s="11" t="str">
        <f>"01069768"</f>
        <v>01069768</v>
      </c>
    </row>
    <row r="29422" spans="1:2" x14ac:dyDescent="0.25">
      <c r="A29422" s="2">
        <v>29417</v>
      </c>
      <c r="B29422" s="11" t="str">
        <f>"01069769"</f>
        <v>01069769</v>
      </c>
    </row>
    <row r="29423" spans="1:2" x14ac:dyDescent="0.25">
      <c r="A29423" s="2">
        <v>29418</v>
      </c>
      <c r="B29423" s="11" t="str">
        <f>"01069771"</f>
        <v>01069771</v>
      </c>
    </row>
    <row r="29424" spans="1:2" x14ac:dyDescent="0.25">
      <c r="A29424" s="2">
        <v>29419</v>
      </c>
      <c r="B29424" s="11" t="str">
        <f>"01069773"</f>
        <v>01069773</v>
      </c>
    </row>
    <row r="29425" spans="1:2" x14ac:dyDescent="0.25">
      <c r="A29425" s="2">
        <v>29420</v>
      </c>
      <c r="B29425" s="11" t="str">
        <f>"01069774"</f>
        <v>01069774</v>
      </c>
    </row>
    <row r="29426" spans="1:2" x14ac:dyDescent="0.25">
      <c r="A29426" s="2">
        <v>29421</v>
      </c>
      <c r="B29426" s="11" t="str">
        <f>"01069776"</f>
        <v>01069776</v>
      </c>
    </row>
    <row r="29427" spans="1:2" x14ac:dyDescent="0.25">
      <c r="A29427" s="2">
        <v>29422</v>
      </c>
      <c r="B29427" s="11" t="str">
        <f>"01069777"</f>
        <v>01069777</v>
      </c>
    </row>
    <row r="29428" spans="1:2" x14ac:dyDescent="0.25">
      <c r="A29428" s="2">
        <v>29423</v>
      </c>
      <c r="B29428" s="11" t="str">
        <f>"01069782"</f>
        <v>01069782</v>
      </c>
    </row>
    <row r="29429" spans="1:2" x14ac:dyDescent="0.25">
      <c r="A29429" s="2">
        <v>29424</v>
      </c>
      <c r="B29429" s="11" t="str">
        <f>"01069783"</f>
        <v>01069783</v>
      </c>
    </row>
    <row r="29430" spans="1:2" x14ac:dyDescent="0.25">
      <c r="A29430" s="2">
        <v>29425</v>
      </c>
      <c r="B29430" s="11" t="str">
        <f>"01069785"</f>
        <v>01069785</v>
      </c>
    </row>
    <row r="29431" spans="1:2" x14ac:dyDescent="0.25">
      <c r="A29431" s="2">
        <v>29426</v>
      </c>
      <c r="B29431" s="11" t="str">
        <f>"01069786"</f>
        <v>01069786</v>
      </c>
    </row>
    <row r="29432" spans="1:2" x14ac:dyDescent="0.25">
      <c r="A29432" s="2">
        <v>29427</v>
      </c>
      <c r="B29432" s="11" t="str">
        <f>"01069792"</f>
        <v>01069792</v>
      </c>
    </row>
    <row r="29433" spans="1:2" x14ac:dyDescent="0.25">
      <c r="A29433" s="2">
        <v>29428</v>
      </c>
      <c r="B29433" s="11" t="str">
        <f>"01069795"</f>
        <v>01069795</v>
      </c>
    </row>
    <row r="29434" spans="1:2" x14ac:dyDescent="0.25">
      <c r="A29434" s="2">
        <v>29429</v>
      </c>
      <c r="B29434" s="11" t="str">
        <f>"01069797"</f>
        <v>01069797</v>
      </c>
    </row>
    <row r="29435" spans="1:2" x14ac:dyDescent="0.25">
      <c r="A29435" s="2">
        <v>29430</v>
      </c>
      <c r="B29435" s="11" t="str">
        <f>"01069799"</f>
        <v>01069799</v>
      </c>
    </row>
    <row r="29436" spans="1:2" x14ac:dyDescent="0.25">
      <c r="A29436" s="2">
        <v>29431</v>
      </c>
      <c r="B29436" s="11" t="str">
        <f>"01069800"</f>
        <v>01069800</v>
      </c>
    </row>
    <row r="29437" spans="1:2" x14ac:dyDescent="0.25">
      <c r="A29437" s="2">
        <v>29432</v>
      </c>
      <c r="B29437" s="11" t="str">
        <f>"01069806"</f>
        <v>01069806</v>
      </c>
    </row>
    <row r="29438" spans="1:2" x14ac:dyDescent="0.25">
      <c r="A29438" s="2">
        <v>29433</v>
      </c>
      <c r="B29438" s="11" t="str">
        <f>"01069809"</f>
        <v>01069809</v>
      </c>
    </row>
    <row r="29439" spans="1:2" x14ac:dyDescent="0.25">
      <c r="A29439" s="2">
        <v>29434</v>
      </c>
      <c r="B29439" s="11" t="str">
        <f>"01069810"</f>
        <v>01069810</v>
      </c>
    </row>
    <row r="29440" spans="1:2" x14ac:dyDescent="0.25">
      <c r="A29440" s="2">
        <v>29435</v>
      </c>
      <c r="B29440" s="11" t="str">
        <f>"01069821"</f>
        <v>01069821</v>
      </c>
    </row>
    <row r="29441" spans="1:2" x14ac:dyDescent="0.25">
      <c r="A29441" s="2">
        <v>29436</v>
      </c>
      <c r="B29441" s="11" t="str">
        <f>"01069827"</f>
        <v>01069827</v>
      </c>
    </row>
    <row r="29442" spans="1:2" x14ac:dyDescent="0.25">
      <c r="A29442" s="2">
        <v>29437</v>
      </c>
      <c r="B29442" s="11" t="str">
        <f>"01069835"</f>
        <v>01069835</v>
      </c>
    </row>
    <row r="29443" spans="1:2" x14ac:dyDescent="0.25">
      <c r="A29443" s="2">
        <v>29438</v>
      </c>
      <c r="B29443" s="11" t="str">
        <f>"01069837"</f>
        <v>01069837</v>
      </c>
    </row>
    <row r="29444" spans="1:2" x14ac:dyDescent="0.25">
      <c r="A29444" s="2">
        <v>29439</v>
      </c>
      <c r="B29444" s="11" t="str">
        <f>"01069840"</f>
        <v>01069840</v>
      </c>
    </row>
    <row r="29445" spans="1:2" x14ac:dyDescent="0.25">
      <c r="A29445" s="2">
        <v>29440</v>
      </c>
      <c r="B29445" s="11" t="str">
        <f>"01069849"</f>
        <v>01069849</v>
      </c>
    </row>
    <row r="29446" spans="1:2" x14ac:dyDescent="0.25">
      <c r="A29446" s="2">
        <v>29441</v>
      </c>
      <c r="B29446" s="11" t="str">
        <f>"01069851"</f>
        <v>01069851</v>
      </c>
    </row>
    <row r="29447" spans="1:2" x14ac:dyDescent="0.25">
      <c r="A29447" s="2">
        <v>29442</v>
      </c>
      <c r="B29447" s="11" t="str">
        <f>"01069857"</f>
        <v>01069857</v>
      </c>
    </row>
    <row r="29448" spans="1:2" x14ac:dyDescent="0.25">
      <c r="A29448" s="2">
        <v>29443</v>
      </c>
      <c r="B29448" s="11" t="str">
        <f>"01069860"</f>
        <v>01069860</v>
      </c>
    </row>
    <row r="29449" spans="1:2" x14ac:dyDescent="0.25">
      <c r="A29449" s="2">
        <v>29444</v>
      </c>
      <c r="B29449" s="11" t="str">
        <f>"01069863"</f>
        <v>01069863</v>
      </c>
    </row>
    <row r="29450" spans="1:2" x14ac:dyDescent="0.25">
      <c r="A29450" s="2">
        <v>29445</v>
      </c>
      <c r="B29450" s="11" t="str">
        <f>"01069868"</f>
        <v>01069868</v>
      </c>
    </row>
    <row r="29451" spans="1:2" x14ac:dyDescent="0.25">
      <c r="A29451" s="2">
        <v>29446</v>
      </c>
      <c r="B29451" s="11" t="str">
        <f>"01069871"</f>
        <v>01069871</v>
      </c>
    </row>
    <row r="29452" spans="1:2" x14ac:dyDescent="0.25">
      <c r="A29452" s="2">
        <v>29447</v>
      </c>
      <c r="B29452" s="11" t="str">
        <f>"01069883"</f>
        <v>01069883</v>
      </c>
    </row>
    <row r="29453" spans="1:2" x14ac:dyDescent="0.25">
      <c r="A29453" s="2">
        <v>29448</v>
      </c>
      <c r="B29453" s="11" t="str">
        <f>"01069888"</f>
        <v>01069888</v>
      </c>
    </row>
    <row r="29454" spans="1:2" x14ac:dyDescent="0.25">
      <c r="A29454" s="2">
        <v>29449</v>
      </c>
      <c r="B29454" s="11" t="str">
        <f>"01069890"</f>
        <v>01069890</v>
      </c>
    </row>
    <row r="29455" spans="1:2" x14ac:dyDescent="0.25">
      <c r="A29455" s="2">
        <v>29450</v>
      </c>
      <c r="B29455" s="11" t="str">
        <f>"01069891"</f>
        <v>01069891</v>
      </c>
    </row>
    <row r="29456" spans="1:2" x14ac:dyDescent="0.25">
      <c r="A29456" s="2">
        <v>29451</v>
      </c>
      <c r="B29456" s="11" t="str">
        <f>"01069893"</f>
        <v>01069893</v>
      </c>
    </row>
    <row r="29457" spans="1:2" x14ac:dyDescent="0.25">
      <c r="A29457" s="2">
        <v>29452</v>
      </c>
      <c r="B29457" s="11" t="str">
        <f>"01069895"</f>
        <v>01069895</v>
      </c>
    </row>
    <row r="29458" spans="1:2" x14ac:dyDescent="0.25">
      <c r="A29458" s="2">
        <v>29453</v>
      </c>
      <c r="B29458" s="11" t="str">
        <f>"01069896"</f>
        <v>01069896</v>
      </c>
    </row>
    <row r="29459" spans="1:2" x14ac:dyDescent="0.25">
      <c r="A29459" s="2">
        <v>29454</v>
      </c>
      <c r="B29459" s="11" t="str">
        <f>"01069899"</f>
        <v>01069899</v>
      </c>
    </row>
    <row r="29460" spans="1:2" x14ac:dyDescent="0.25">
      <c r="A29460" s="2">
        <v>29455</v>
      </c>
      <c r="B29460" s="11" t="str">
        <f>"01069901"</f>
        <v>01069901</v>
      </c>
    </row>
    <row r="29461" spans="1:2" x14ac:dyDescent="0.25">
      <c r="A29461" s="2">
        <v>29456</v>
      </c>
      <c r="B29461" s="11" t="str">
        <f>"01069908"</f>
        <v>01069908</v>
      </c>
    </row>
    <row r="29462" spans="1:2" x14ac:dyDescent="0.25">
      <c r="A29462" s="2">
        <v>29457</v>
      </c>
      <c r="B29462" s="11" t="str">
        <f>"01069911"</f>
        <v>01069911</v>
      </c>
    </row>
    <row r="29463" spans="1:2" x14ac:dyDescent="0.25">
      <c r="A29463" s="2">
        <v>29458</v>
      </c>
      <c r="B29463" s="11" t="str">
        <f>"01069919"</f>
        <v>01069919</v>
      </c>
    </row>
    <row r="29464" spans="1:2" x14ac:dyDescent="0.25">
      <c r="A29464" s="2">
        <v>29459</v>
      </c>
      <c r="B29464" s="11" t="str">
        <f>"01069921"</f>
        <v>01069921</v>
      </c>
    </row>
    <row r="29465" spans="1:2" x14ac:dyDescent="0.25">
      <c r="A29465" s="2">
        <v>29460</v>
      </c>
      <c r="B29465" s="11" t="str">
        <f>"01069929"</f>
        <v>01069929</v>
      </c>
    </row>
    <row r="29466" spans="1:2" x14ac:dyDescent="0.25">
      <c r="A29466" s="2">
        <v>29461</v>
      </c>
      <c r="B29466" s="11" t="str">
        <f>"01069930"</f>
        <v>01069930</v>
      </c>
    </row>
    <row r="29467" spans="1:2" x14ac:dyDescent="0.25">
      <c r="A29467" s="2">
        <v>29462</v>
      </c>
      <c r="B29467" s="11" t="str">
        <f>"01069933"</f>
        <v>01069933</v>
      </c>
    </row>
    <row r="29468" spans="1:2" x14ac:dyDescent="0.25">
      <c r="A29468" s="2">
        <v>29463</v>
      </c>
      <c r="B29468" s="11" t="str">
        <f>"01069939"</f>
        <v>01069939</v>
      </c>
    </row>
    <row r="29469" spans="1:2" x14ac:dyDescent="0.25">
      <c r="A29469" s="2">
        <v>29464</v>
      </c>
      <c r="B29469" s="11" t="str">
        <f>"01069947"</f>
        <v>01069947</v>
      </c>
    </row>
    <row r="29470" spans="1:2" x14ac:dyDescent="0.25">
      <c r="A29470" s="2">
        <v>29465</v>
      </c>
      <c r="B29470" s="11" t="str">
        <f>"01069952"</f>
        <v>01069952</v>
      </c>
    </row>
    <row r="29471" spans="1:2" x14ac:dyDescent="0.25">
      <c r="A29471" s="2">
        <v>29466</v>
      </c>
      <c r="B29471" s="11" t="str">
        <f>"01069955"</f>
        <v>01069955</v>
      </c>
    </row>
    <row r="29472" spans="1:2" x14ac:dyDescent="0.25">
      <c r="A29472" s="2">
        <v>29467</v>
      </c>
      <c r="B29472" s="11" t="str">
        <f>"01069966"</f>
        <v>01069966</v>
      </c>
    </row>
    <row r="29473" spans="1:2" x14ac:dyDescent="0.25">
      <c r="A29473" s="2">
        <v>29468</v>
      </c>
      <c r="B29473" s="11" t="str">
        <f>"01069972"</f>
        <v>01069972</v>
      </c>
    </row>
    <row r="29474" spans="1:2" x14ac:dyDescent="0.25">
      <c r="A29474" s="2">
        <v>29469</v>
      </c>
      <c r="B29474" s="11" t="str">
        <f>"01069980"</f>
        <v>01069980</v>
      </c>
    </row>
    <row r="29475" spans="1:2" x14ac:dyDescent="0.25">
      <c r="A29475" s="2">
        <v>29470</v>
      </c>
      <c r="B29475" s="11" t="str">
        <f>"01069981"</f>
        <v>01069981</v>
      </c>
    </row>
    <row r="29476" spans="1:2" x14ac:dyDescent="0.25">
      <c r="A29476" s="2">
        <v>29471</v>
      </c>
      <c r="B29476" s="11" t="str">
        <f>"01069985"</f>
        <v>01069985</v>
      </c>
    </row>
    <row r="29477" spans="1:2" x14ac:dyDescent="0.25">
      <c r="A29477" s="2">
        <v>29472</v>
      </c>
      <c r="B29477" s="11" t="str">
        <f>"01069990"</f>
        <v>01069990</v>
      </c>
    </row>
    <row r="29478" spans="1:2" x14ac:dyDescent="0.25">
      <c r="A29478" s="2">
        <v>29473</v>
      </c>
      <c r="B29478" s="11" t="str">
        <f>"01069992"</f>
        <v>01069992</v>
      </c>
    </row>
    <row r="29479" spans="1:2" x14ac:dyDescent="0.25">
      <c r="A29479" s="2">
        <v>29474</v>
      </c>
      <c r="B29479" s="11" t="str">
        <f>"01069994"</f>
        <v>01069994</v>
      </c>
    </row>
    <row r="29480" spans="1:2" x14ac:dyDescent="0.25">
      <c r="A29480" s="2">
        <v>29475</v>
      </c>
      <c r="B29480" s="11" t="str">
        <f>"01069999"</f>
        <v>01069999</v>
      </c>
    </row>
    <row r="29481" spans="1:2" x14ac:dyDescent="0.25">
      <c r="A29481" s="2">
        <v>29476</v>
      </c>
      <c r="B29481" s="11" t="str">
        <f>"01070008"</f>
        <v>01070008</v>
      </c>
    </row>
    <row r="29482" spans="1:2" x14ac:dyDescent="0.25">
      <c r="A29482" s="2">
        <v>29477</v>
      </c>
      <c r="B29482" s="11" t="str">
        <f>"01070031"</f>
        <v>01070031</v>
      </c>
    </row>
    <row r="29483" spans="1:2" x14ac:dyDescent="0.25">
      <c r="A29483" s="2">
        <v>29478</v>
      </c>
      <c r="B29483" s="11" t="str">
        <f>"01070036"</f>
        <v>01070036</v>
      </c>
    </row>
    <row r="29484" spans="1:2" x14ac:dyDescent="0.25">
      <c r="A29484" s="2">
        <v>29479</v>
      </c>
      <c r="B29484" s="11" t="str">
        <f>"01070041"</f>
        <v>01070041</v>
      </c>
    </row>
    <row r="29485" spans="1:2" x14ac:dyDescent="0.25">
      <c r="A29485" s="2">
        <v>29480</v>
      </c>
      <c r="B29485" s="11" t="str">
        <f>"01070046"</f>
        <v>01070046</v>
      </c>
    </row>
    <row r="29486" spans="1:2" x14ac:dyDescent="0.25">
      <c r="A29486" s="2">
        <v>29481</v>
      </c>
      <c r="B29486" s="11" t="str">
        <f>"01070052"</f>
        <v>01070052</v>
      </c>
    </row>
    <row r="29487" spans="1:2" x14ac:dyDescent="0.25">
      <c r="A29487" s="2">
        <v>29482</v>
      </c>
      <c r="B29487" s="11" t="str">
        <f>"01070057"</f>
        <v>01070057</v>
      </c>
    </row>
    <row r="29488" spans="1:2" x14ac:dyDescent="0.25">
      <c r="A29488" s="2">
        <v>29483</v>
      </c>
      <c r="B29488" s="11" t="str">
        <f>"01070059"</f>
        <v>01070059</v>
      </c>
    </row>
    <row r="29489" spans="1:2" x14ac:dyDescent="0.25">
      <c r="A29489" s="2">
        <v>29484</v>
      </c>
      <c r="B29489" s="11" t="str">
        <f>"01070064"</f>
        <v>01070064</v>
      </c>
    </row>
    <row r="29490" spans="1:2" x14ac:dyDescent="0.25">
      <c r="A29490" s="2">
        <v>29485</v>
      </c>
      <c r="B29490" s="11" t="str">
        <f>"01070068"</f>
        <v>01070068</v>
      </c>
    </row>
    <row r="29491" spans="1:2" x14ac:dyDescent="0.25">
      <c r="A29491" s="2">
        <v>29486</v>
      </c>
      <c r="B29491" s="11" t="str">
        <f>"01070070"</f>
        <v>01070070</v>
      </c>
    </row>
    <row r="29492" spans="1:2" x14ac:dyDescent="0.25">
      <c r="A29492" s="2">
        <v>29487</v>
      </c>
      <c r="B29492" s="11" t="str">
        <f>"01070074"</f>
        <v>01070074</v>
      </c>
    </row>
    <row r="29493" spans="1:2" x14ac:dyDescent="0.25">
      <c r="A29493" s="2">
        <v>29488</v>
      </c>
      <c r="B29493" s="11" t="str">
        <f>"01070076"</f>
        <v>01070076</v>
      </c>
    </row>
    <row r="29494" spans="1:2" x14ac:dyDescent="0.25">
      <c r="A29494" s="2">
        <v>29489</v>
      </c>
      <c r="B29494" s="11" t="str">
        <f>"01070085"</f>
        <v>01070085</v>
      </c>
    </row>
    <row r="29495" spans="1:2" x14ac:dyDescent="0.25">
      <c r="A29495" s="2">
        <v>29490</v>
      </c>
      <c r="B29495" s="11" t="str">
        <f>"01070086"</f>
        <v>01070086</v>
      </c>
    </row>
    <row r="29496" spans="1:2" x14ac:dyDescent="0.25">
      <c r="A29496" s="2">
        <v>29491</v>
      </c>
      <c r="B29496" s="11" t="str">
        <f>"01070089"</f>
        <v>01070089</v>
      </c>
    </row>
    <row r="29497" spans="1:2" x14ac:dyDescent="0.25">
      <c r="A29497" s="2">
        <v>29492</v>
      </c>
      <c r="B29497" s="11" t="str">
        <f>"01070095"</f>
        <v>01070095</v>
      </c>
    </row>
    <row r="29498" spans="1:2" x14ac:dyDescent="0.25">
      <c r="A29498" s="2">
        <v>29493</v>
      </c>
      <c r="B29498" s="11" t="str">
        <f>"01070100"</f>
        <v>01070100</v>
      </c>
    </row>
    <row r="29499" spans="1:2" x14ac:dyDescent="0.25">
      <c r="A29499" s="2">
        <v>29494</v>
      </c>
      <c r="B29499" s="11" t="str">
        <f>"01070106"</f>
        <v>01070106</v>
      </c>
    </row>
    <row r="29500" spans="1:2" x14ac:dyDescent="0.25">
      <c r="A29500" s="2">
        <v>29495</v>
      </c>
      <c r="B29500" s="11" t="str">
        <f>"01070112"</f>
        <v>01070112</v>
      </c>
    </row>
    <row r="29501" spans="1:2" x14ac:dyDescent="0.25">
      <c r="A29501" s="2">
        <v>29496</v>
      </c>
      <c r="B29501" s="11" t="str">
        <f>"01070114"</f>
        <v>01070114</v>
      </c>
    </row>
    <row r="29502" spans="1:2" x14ac:dyDescent="0.25">
      <c r="A29502" s="2">
        <v>29497</v>
      </c>
      <c r="B29502" s="11" t="str">
        <f>"01070116"</f>
        <v>01070116</v>
      </c>
    </row>
    <row r="29503" spans="1:2" x14ac:dyDescent="0.25">
      <c r="A29503" s="2">
        <v>29498</v>
      </c>
      <c r="B29503" s="11" t="str">
        <f>"01070120"</f>
        <v>01070120</v>
      </c>
    </row>
    <row r="29504" spans="1:2" x14ac:dyDescent="0.25">
      <c r="A29504" s="2">
        <v>29499</v>
      </c>
      <c r="B29504" s="11" t="str">
        <f>"01070122"</f>
        <v>01070122</v>
      </c>
    </row>
    <row r="29505" spans="1:2" x14ac:dyDescent="0.25">
      <c r="A29505" s="2">
        <v>29500</v>
      </c>
      <c r="B29505" s="11" t="str">
        <f>"01070124"</f>
        <v>01070124</v>
      </c>
    </row>
    <row r="29506" spans="1:2" x14ac:dyDescent="0.25">
      <c r="A29506" s="2">
        <v>29501</v>
      </c>
      <c r="B29506" s="11" t="str">
        <f>"01070132"</f>
        <v>01070132</v>
      </c>
    </row>
    <row r="29507" spans="1:2" x14ac:dyDescent="0.25">
      <c r="A29507" s="2">
        <v>29502</v>
      </c>
      <c r="B29507" s="11" t="str">
        <f>"01070134"</f>
        <v>01070134</v>
      </c>
    </row>
    <row r="29508" spans="1:2" x14ac:dyDescent="0.25">
      <c r="A29508" s="2">
        <v>29503</v>
      </c>
      <c r="B29508" s="11" t="str">
        <f>"01070135"</f>
        <v>01070135</v>
      </c>
    </row>
    <row r="29509" spans="1:2" x14ac:dyDescent="0.25">
      <c r="A29509" s="2">
        <v>29504</v>
      </c>
      <c r="B29509" s="11" t="str">
        <f>"01070136"</f>
        <v>01070136</v>
      </c>
    </row>
    <row r="29510" spans="1:2" x14ac:dyDescent="0.25">
      <c r="A29510" s="2">
        <v>29505</v>
      </c>
      <c r="B29510" s="11" t="str">
        <f>"01070137"</f>
        <v>01070137</v>
      </c>
    </row>
    <row r="29511" spans="1:2" x14ac:dyDescent="0.25">
      <c r="A29511" s="2">
        <v>29506</v>
      </c>
      <c r="B29511" s="11" t="str">
        <f>"01070139"</f>
        <v>01070139</v>
      </c>
    </row>
    <row r="29512" spans="1:2" x14ac:dyDescent="0.25">
      <c r="A29512" s="2">
        <v>29507</v>
      </c>
      <c r="B29512" s="11" t="str">
        <f>"01070141"</f>
        <v>01070141</v>
      </c>
    </row>
    <row r="29513" spans="1:2" x14ac:dyDescent="0.25">
      <c r="A29513" s="2">
        <v>29508</v>
      </c>
      <c r="B29513" s="11" t="str">
        <f>"01070142"</f>
        <v>01070142</v>
      </c>
    </row>
    <row r="29514" spans="1:2" x14ac:dyDescent="0.25">
      <c r="A29514" s="2">
        <v>29509</v>
      </c>
      <c r="B29514" s="11" t="str">
        <f>"01070144"</f>
        <v>01070144</v>
      </c>
    </row>
    <row r="29515" spans="1:2" x14ac:dyDescent="0.25">
      <c r="A29515" s="2">
        <v>29510</v>
      </c>
      <c r="B29515" s="11" t="str">
        <f>"01070149"</f>
        <v>01070149</v>
      </c>
    </row>
    <row r="29516" spans="1:2" x14ac:dyDescent="0.25">
      <c r="A29516" s="2">
        <v>29511</v>
      </c>
      <c r="B29516" s="11" t="str">
        <f>"01070150"</f>
        <v>01070150</v>
      </c>
    </row>
    <row r="29517" spans="1:2" x14ac:dyDescent="0.25">
      <c r="A29517" s="2">
        <v>29512</v>
      </c>
      <c r="B29517" s="11" t="str">
        <f>"01070162"</f>
        <v>01070162</v>
      </c>
    </row>
    <row r="29518" spans="1:2" x14ac:dyDescent="0.25">
      <c r="A29518" s="2">
        <v>29513</v>
      </c>
      <c r="B29518" s="11" t="str">
        <f>"01070168"</f>
        <v>01070168</v>
      </c>
    </row>
    <row r="29519" spans="1:2" x14ac:dyDescent="0.25">
      <c r="A29519" s="2">
        <v>29514</v>
      </c>
      <c r="B29519" s="11" t="str">
        <f>"01070169"</f>
        <v>01070169</v>
      </c>
    </row>
    <row r="29520" spans="1:2" x14ac:dyDescent="0.25">
      <c r="A29520" s="2">
        <v>29515</v>
      </c>
      <c r="B29520" s="11" t="str">
        <f>"01070171"</f>
        <v>01070171</v>
      </c>
    </row>
    <row r="29521" spans="1:2" x14ac:dyDescent="0.25">
      <c r="A29521" s="2">
        <v>29516</v>
      </c>
      <c r="B29521" s="11" t="str">
        <f>"01070176"</f>
        <v>01070176</v>
      </c>
    </row>
    <row r="29522" spans="1:2" x14ac:dyDescent="0.25">
      <c r="A29522" s="2">
        <v>29517</v>
      </c>
      <c r="B29522" s="11" t="str">
        <f>"01070204"</f>
        <v>01070204</v>
      </c>
    </row>
    <row r="29523" spans="1:2" x14ac:dyDescent="0.25">
      <c r="A29523" s="2">
        <v>29518</v>
      </c>
      <c r="B29523" s="11" t="str">
        <f>"01070214"</f>
        <v>01070214</v>
      </c>
    </row>
    <row r="29524" spans="1:2" x14ac:dyDescent="0.25">
      <c r="A29524" s="2">
        <v>29519</v>
      </c>
      <c r="B29524" s="11" t="str">
        <f>"01070217"</f>
        <v>01070217</v>
      </c>
    </row>
    <row r="29525" spans="1:2" x14ac:dyDescent="0.25">
      <c r="A29525" s="2">
        <v>29520</v>
      </c>
      <c r="B29525" s="11" t="str">
        <f>"01070218"</f>
        <v>01070218</v>
      </c>
    </row>
    <row r="29526" spans="1:2" x14ac:dyDescent="0.25">
      <c r="A29526" s="2">
        <v>29521</v>
      </c>
      <c r="B29526" s="11" t="str">
        <f>"01070222"</f>
        <v>01070222</v>
      </c>
    </row>
    <row r="29527" spans="1:2" x14ac:dyDescent="0.25">
      <c r="A29527" s="2">
        <v>29522</v>
      </c>
      <c r="B29527" s="11" t="str">
        <f>"01070224"</f>
        <v>01070224</v>
      </c>
    </row>
    <row r="29528" spans="1:2" x14ac:dyDescent="0.25">
      <c r="A29528" s="2">
        <v>29523</v>
      </c>
      <c r="B29528" s="11" t="str">
        <f>"01070233"</f>
        <v>01070233</v>
      </c>
    </row>
    <row r="29529" spans="1:2" x14ac:dyDescent="0.25">
      <c r="A29529" s="2">
        <v>29524</v>
      </c>
      <c r="B29529" s="11" t="str">
        <f>"01070235"</f>
        <v>01070235</v>
      </c>
    </row>
    <row r="29530" spans="1:2" x14ac:dyDescent="0.25">
      <c r="A29530" s="2">
        <v>29525</v>
      </c>
      <c r="B29530" s="11" t="str">
        <f>"01070237"</f>
        <v>01070237</v>
      </c>
    </row>
    <row r="29531" spans="1:2" x14ac:dyDescent="0.25">
      <c r="A29531" s="2">
        <v>29526</v>
      </c>
      <c r="B29531" s="11" t="str">
        <f>"01070239"</f>
        <v>01070239</v>
      </c>
    </row>
    <row r="29532" spans="1:2" x14ac:dyDescent="0.25">
      <c r="A29532" s="2">
        <v>29527</v>
      </c>
      <c r="B29532" s="11" t="str">
        <f>"01070242"</f>
        <v>01070242</v>
      </c>
    </row>
    <row r="29533" spans="1:2" x14ac:dyDescent="0.25">
      <c r="A29533" s="2">
        <v>29528</v>
      </c>
      <c r="B29533" s="11" t="str">
        <f>"01070249"</f>
        <v>01070249</v>
      </c>
    </row>
    <row r="29534" spans="1:2" x14ac:dyDescent="0.25">
      <c r="A29534" s="2">
        <v>29529</v>
      </c>
      <c r="B29534" s="11" t="str">
        <f>"01070252"</f>
        <v>01070252</v>
      </c>
    </row>
    <row r="29535" spans="1:2" x14ac:dyDescent="0.25">
      <c r="A29535" s="2">
        <v>29530</v>
      </c>
      <c r="B29535" s="11" t="str">
        <f>"01070259"</f>
        <v>01070259</v>
      </c>
    </row>
    <row r="29536" spans="1:2" x14ac:dyDescent="0.25">
      <c r="A29536" s="2">
        <v>29531</v>
      </c>
      <c r="B29536" s="11" t="str">
        <f>"01070262"</f>
        <v>01070262</v>
      </c>
    </row>
    <row r="29537" spans="1:2" x14ac:dyDescent="0.25">
      <c r="A29537" s="2">
        <v>29532</v>
      </c>
      <c r="B29537" s="11" t="str">
        <f>"01070269"</f>
        <v>01070269</v>
      </c>
    </row>
    <row r="29538" spans="1:2" x14ac:dyDescent="0.25">
      <c r="A29538" s="2">
        <v>29533</v>
      </c>
      <c r="B29538" s="11" t="str">
        <f>"01070271"</f>
        <v>01070271</v>
      </c>
    </row>
    <row r="29539" spans="1:2" x14ac:dyDescent="0.25">
      <c r="A29539" s="2">
        <v>29534</v>
      </c>
      <c r="B29539" s="11" t="str">
        <f>"01070272"</f>
        <v>01070272</v>
      </c>
    </row>
    <row r="29540" spans="1:2" x14ac:dyDescent="0.25">
      <c r="A29540" s="2">
        <v>29535</v>
      </c>
      <c r="B29540" s="11" t="str">
        <f>"01070285"</f>
        <v>01070285</v>
      </c>
    </row>
    <row r="29541" spans="1:2" x14ac:dyDescent="0.25">
      <c r="A29541" s="2">
        <v>29536</v>
      </c>
      <c r="B29541" s="11" t="str">
        <f>"01070290"</f>
        <v>01070290</v>
      </c>
    </row>
    <row r="29542" spans="1:2" x14ac:dyDescent="0.25">
      <c r="A29542" s="2">
        <v>29537</v>
      </c>
      <c r="B29542" s="11" t="str">
        <f>"01070305"</f>
        <v>01070305</v>
      </c>
    </row>
    <row r="29543" spans="1:2" x14ac:dyDescent="0.25">
      <c r="A29543" s="2">
        <v>29538</v>
      </c>
      <c r="B29543" s="11" t="str">
        <f>"01070308"</f>
        <v>01070308</v>
      </c>
    </row>
    <row r="29544" spans="1:2" x14ac:dyDescent="0.25">
      <c r="A29544" s="2">
        <v>29539</v>
      </c>
      <c r="B29544" s="11" t="str">
        <f>"01070309"</f>
        <v>01070309</v>
      </c>
    </row>
    <row r="29545" spans="1:2" x14ac:dyDescent="0.25">
      <c r="A29545" s="2">
        <v>29540</v>
      </c>
      <c r="B29545" s="11" t="str">
        <f>"01070313"</f>
        <v>01070313</v>
      </c>
    </row>
    <row r="29546" spans="1:2" x14ac:dyDescent="0.25">
      <c r="A29546" s="2">
        <v>29541</v>
      </c>
      <c r="B29546" s="11" t="str">
        <f>"01070317"</f>
        <v>01070317</v>
      </c>
    </row>
    <row r="29547" spans="1:2" x14ac:dyDescent="0.25">
      <c r="A29547" s="2">
        <v>29542</v>
      </c>
      <c r="B29547" s="11" t="str">
        <f>"01070318"</f>
        <v>01070318</v>
      </c>
    </row>
    <row r="29548" spans="1:2" x14ac:dyDescent="0.25">
      <c r="A29548" s="2">
        <v>29543</v>
      </c>
      <c r="B29548" s="11" t="str">
        <f>"01070322"</f>
        <v>01070322</v>
      </c>
    </row>
    <row r="29549" spans="1:2" x14ac:dyDescent="0.25">
      <c r="A29549" s="2">
        <v>29544</v>
      </c>
      <c r="B29549" s="11" t="str">
        <f>"01070353"</f>
        <v>01070353</v>
      </c>
    </row>
    <row r="29550" spans="1:2" x14ac:dyDescent="0.25">
      <c r="A29550" s="2">
        <v>29545</v>
      </c>
      <c r="B29550" s="11" t="str">
        <f>"01070355"</f>
        <v>01070355</v>
      </c>
    </row>
    <row r="29551" spans="1:2" x14ac:dyDescent="0.25">
      <c r="A29551" s="2">
        <v>29546</v>
      </c>
      <c r="B29551" s="11" t="str">
        <f>"01070357"</f>
        <v>01070357</v>
      </c>
    </row>
    <row r="29552" spans="1:2" x14ac:dyDescent="0.25">
      <c r="A29552" s="2">
        <v>29547</v>
      </c>
      <c r="B29552" s="11" t="str">
        <f>"01070361"</f>
        <v>01070361</v>
      </c>
    </row>
    <row r="29553" spans="1:2" x14ac:dyDescent="0.25">
      <c r="A29553" s="2">
        <v>29548</v>
      </c>
      <c r="B29553" s="11" t="str">
        <f>"01070363"</f>
        <v>01070363</v>
      </c>
    </row>
    <row r="29554" spans="1:2" x14ac:dyDescent="0.25">
      <c r="A29554" s="2">
        <v>29549</v>
      </c>
      <c r="B29554" s="11" t="str">
        <f>"01070365"</f>
        <v>01070365</v>
      </c>
    </row>
    <row r="29555" spans="1:2" x14ac:dyDescent="0.25">
      <c r="A29555" s="2">
        <v>29550</v>
      </c>
      <c r="B29555" s="11" t="str">
        <f>"01070367"</f>
        <v>01070367</v>
      </c>
    </row>
    <row r="29556" spans="1:2" x14ac:dyDescent="0.25">
      <c r="A29556" s="2">
        <v>29551</v>
      </c>
      <c r="B29556" s="11" t="str">
        <f>"01070373"</f>
        <v>01070373</v>
      </c>
    </row>
    <row r="29557" spans="1:2" x14ac:dyDescent="0.25">
      <c r="A29557" s="2">
        <v>29552</v>
      </c>
      <c r="B29557" s="11" t="str">
        <f>"01070383"</f>
        <v>01070383</v>
      </c>
    </row>
    <row r="29558" spans="1:2" x14ac:dyDescent="0.25">
      <c r="A29558" s="2">
        <v>29553</v>
      </c>
      <c r="B29558" s="11" t="str">
        <f>"01070394"</f>
        <v>01070394</v>
      </c>
    </row>
    <row r="29559" spans="1:2" x14ac:dyDescent="0.25">
      <c r="A29559" s="2">
        <v>29554</v>
      </c>
      <c r="B29559" s="11" t="str">
        <f>"01070398"</f>
        <v>01070398</v>
      </c>
    </row>
    <row r="29560" spans="1:2" x14ac:dyDescent="0.25">
      <c r="A29560" s="2">
        <v>29555</v>
      </c>
      <c r="B29560" s="11" t="str">
        <f>"01070401"</f>
        <v>01070401</v>
      </c>
    </row>
    <row r="29561" spans="1:2" x14ac:dyDescent="0.25">
      <c r="A29561" s="2">
        <v>29556</v>
      </c>
      <c r="B29561" s="11" t="str">
        <f>"01070402"</f>
        <v>01070402</v>
      </c>
    </row>
    <row r="29562" spans="1:2" x14ac:dyDescent="0.25">
      <c r="A29562" s="2">
        <v>29557</v>
      </c>
      <c r="B29562" s="11" t="str">
        <f>"01070413"</f>
        <v>01070413</v>
      </c>
    </row>
    <row r="29563" spans="1:2" x14ac:dyDescent="0.25">
      <c r="A29563" s="2">
        <v>29558</v>
      </c>
      <c r="B29563" s="11" t="str">
        <f>"01070417"</f>
        <v>01070417</v>
      </c>
    </row>
    <row r="29564" spans="1:2" x14ac:dyDescent="0.25">
      <c r="A29564" s="2">
        <v>29559</v>
      </c>
      <c r="B29564" s="11" t="str">
        <f>"01070418"</f>
        <v>01070418</v>
      </c>
    </row>
    <row r="29565" spans="1:2" x14ac:dyDescent="0.25">
      <c r="A29565" s="2">
        <v>29560</v>
      </c>
      <c r="B29565" s="11" t="str">
        <f>"01070420"</f>
        <v>01070420</v>
      </c>
    </row>
    <row r="29566" spans="1:2" x14ac:dyDescent="0.25">
      <c r="A29566" s="2">
        <v>29561</v>
      </c>
      <c r="B29566" s="11" t="str">
        <f>"01070422"</f>
        <v>01070422</v>
      </c>
    </row>
    <row r="29567" spans="1:2" x14ac:dyDescent="0.25">
      <c r="A29567" s="2">
        <v>29562</v>
      </c>
      <c r="B29567" s="11" t="str">
        <f>"01070426"</f>
        <v>01070426</v>
      </c>
    </row>
    <row r="29568" spans="1:2" x14ac:dyDescent="0.25">
      <c r="A29568" s="2">
        <v>29563</v>
      </c>
      <c r="B29568" s="11" t="str">
        <f>"01070427"</f>
        <v>01070427</v>
      </c>
    </row>
    <row r="29569" spans="1:2" x14ac:dyDescent="0.25">
      <c r="A29569" s="2">
        <v>29564</v>
      </c>
      <c r="B29569" s="11" t="str">
        <f>"01070437"</f>
        <v>01070437</v>
      </c>
    </row>
    <row r="29570" spans="1:2" x14ac:dyDescent="0.25">
      <c r="A29570" s="2">
        <v>29565</v>
      </c>
      <c r="B29570" s="11" t="str">
        <f>"01070441"</f>
        <v>01070441</v>
      </c>
    </row>
    <row r="29571" spans="1:2" x14ac:dyDescent="0.25">
      <c r="A29571" s="2">
        <v>29566</v>
      </c>
      <c r="B29571" s="11" t="str">
        <f>"01070442"</f>
        <v>01070442</v>
      </c>
    </row>
    <row r="29572" spans="1:2" x14ac:dyDescent="0.25">
      <c r="A29572" s="2">
        <v>29567</v>
      </c>
      <c r="B29572" s="11" t="str">
        <f>"01070443"</f>
        <v>01070443</v>
      </c>
    </row>
    <row r="29573" spans="1:2" x14ac:dyDescent="0.25">
      <c r="A29573" s="2">
        <v>29568</v>
      </c>
      <c r="B29573" s="11" t="str">
        <f>"01070447"</f>
        <v>01070447</v>
      </c>
    </row>
    <row r="29574" spans="1:2" x14ac:dyDescent="0.25">
      <c r="A29574" s="2">
        <v>29569</v>
      </c>
      <c r="B29574" s="11" t="str">
        <f>"01070448"</f>
        <v>01070448</v>
      </c>
    </row>
    <row r="29575" spans="1:2" x14ac:dyDescent="0.25">
      <c r="A29575" s="2">
        <v>29570</v>
      </c>
      <c r="B29575" s="11" t="str">
        <f>"01070454"</f>
        <v>01070454</v>
      </c>
    </row>
    <row r="29576" spans="1:2" x14ac:dyDescent="0.25">
      <c r="A29576" s="2">
        <v>29571</v>
      </c>
      <c r="B29576" s="11" t="str">
        <f>"01070458"</f>
        <v>01070458</v>
      </c>
    </row>
    <row r="29577" spans="1:2" x14ac:dyDescent="0.25">
      <c r="A29577" s="2">
        <v>29572</v>
      </c>
      <c r="B29577" s="11" t="str">
        <f>"01070462"</f>
        <v>01070462</v>
      </c>
    </row>
    <row r="29578" spans="1:2" x14ac:dyDescent="0.25">
      <c r="A29578" s="2">
        <v>29573</v>
      </c>
      <c r="B29578" s="11" t="str">
        <f>"01070463"</f>
        <v>01070463</v>
      </c>
    </row>
    <row r="29579" spans="1:2" x14ac:dyDescent="0.25">
      <c r="A29579" s="2">
        <v>29574</v>
      </c>
      <c r="B29579" s="11" t="str">
        <f>"01070464"</f>
        <v>01070464</v>
      </c>
    </row>
    <row r="29580" spans="1:2" x14ac:dyDescent="0.25">
      <c r="A29580" s="2">
        <v>29575</v>
      </c>
      <c r="B29580" s="11" t="str">
        <f>"01070470"</f>
        <v>01070470</v>
      </c>
    </row>
    <row r="29581" spans="1:2" x14ac:dyDescent="0.25">
      <c r="A29581" s="2">
        <v>29576</v>
      </c>
      <c r="B29581" s="11" t="str">
        <f>"01070472"</f>
        <v>01070472</v>
      </c>
    </row>
    <row r="29582" spans="1:2" x14ac:dyDescent="0.25">
      <c r="A29582" s="2">
        <v>29577</v>
      </c>
      <c r="B29582" s="11" t="str">
        <f>"01070473"</f>
        <v>01070473</v>
      </c>
    </row>
    <row r="29583" spans="1:2" x14ac:dyDescent="0.25">
      <c r="A29583" s="2">
        <v>29578</v>
      </c>
      <c r="B29583" s="11" t="str">
        <f>"01070474"</f>
        <v>01070474</v>
      </c>
    </row>
    <row r="29584" spans="1:2" x14ac:dyDescent="0.25">
      <c r="A29584" s="2">
        <v>29579</v>
      </c>
      <c r="B29584" s="11" t="str">
        <f>"01070477"</f>
        <v>01070477</v>
      </c>
    </row>
    <row r="29585" spans="1:2" x14ac:dyDescent="0.25">
      <c r="A29585" s="2">
        <v>29580</v>
      </c>
      <c r="B29585" s="11" t="str">
        <f>"01070486"</f>
        <v>01070486</v>
      </c>
    </row>
    <row r="29586" spans="1:2" x14ac:dyDescent="0.25">
      <c r="A29586" s="2">
        <v>29581</v>
      </c>
      <c r="B29586" s="11" t="str">
        <f>"01070487"</f>
        <v>01070487</v>
      </c>
    </row>
    <row r="29587" spans="1:2" x14ac:dyDescent="0.25">
      <c r="A29587" s="2">
        <v>29582</v>
      </c>
      <c r="B29587" s="11" t="str">
        <f>"01070489"</f>
        <v>01070489</v>
      </c>
    </row>
    <row r="29588" spans="1:2" x14ac:dyDescent="0.25">
      <c r="A29588" s="2">
        <v>29583</v>
      </c>
      <c r="B29588" s="11" t="str">
        <f>"01070494"</f>
        <v>01070494</v>
      </c>
    </row>
    <row r="29589" spans="1:2" x14ac:dyDescent="0.25">
      <c r="A29589" s="2">
        <v>29584</v>
      </c>
      <c r="B29589" s="11" t="str">
        <f>"01070495"</f>
        <v>01070495</v>
      </c>
    </row>
    <row r="29590" spans="1:2" x14ac:dyDescent="0.25">
      <c r="A29590" s="2">
        <v>29585</v>
      </c>
      <c r="B29590" s="11" t="str">
        <f>"01070499"</f>
        <v>01070499</v>
      </c>
    </row>
    <row r="29591" spans="1:2" x14ac:dyDescent="0.25">
      <c r="A29591" s="2">
        <v>29586</v>
      </c>
      <c r="B29591" s="11" t="str">
        <f>"01070500"</f>
        <v>01070500</v>
      </c>
    </row>
    <row r="29592" spans="1:2" x14ac:dyDescent="0.25">
      <c r="A29592" s="2">
        <v>29587</v>
      </c>
      <c r="B29592" s="11" t="str">
        <f>"01070501"</f>
        <v>01070501</v>
      </c>
    </row>
    <row r="29593" spans="1:2" x14ac:dyDescent="0.25">
      <c r="A29593" s="2">
        <v>29588</v>
      </c>
      <c r="B29593" s="11" t="str">
        <f>"01070504"</f>
        <v>01070504</v>
      </c>
    </row>
    <row r="29594" spans="1:2" x14ac:dyDescent="0.25">
      <c r="A29594" s="2">
        <v>29589</v>
      </c>
      <c r="B29594" s="11" t="str">
        <f>"01070517"</f>
        <v>01070517</v>
      </c>
    </row>
    <row r="29595" spans="1:2" x14ac:dyDescent="0.25">
      <c r="A29595" s="2">
        <v>29590</v>
      </c>
      <c r="B29595" s="11" t="str">
        <f>"01070521"</f>
        <v>01070521</v>
      </c>
    </row>
    <row r="29596" spans="1:2" x14ac:dyDescent="0.25">
      <c r="A29596" s="2">
        <v>29591</v>
      </c>
      <c r="B29596" s="11" t="str">
        <f>"01070529"</f>
        <v>01070529</v>
      </c>
    </row>
    <row r="29597" spans="1:2" x14ac:dyDescent="0.25">
      <c r="A29597" s="2">
        <v>29592</v>
      </c>
      <c r="B29597" s="11" t="str">
        <f>"01070533"</f>
        <v>01070533</v>
      </c>
    </row>
    <row r="29598" spans="1:2" x14ac:dyDescent="0.25">
      <c r="A29598" s="2">
        <v>29593</v>
      </c>
      <c r="B29598" s="11" t="str">
        <f>"01070534"</f>
        <v>01070534</v>
      </c>
    </row>
    <row r="29599" spans="1:2" x14ac:dyDescent="0.25">
      <c r="A29599" s="2">
        <v>29594</v>
      </c>
      <c r="B29599" s="11" t="str">
        <f>"01070536"</f>
        <v>01070536</v>
      </c>
    </row>
    <row r="29600" spans="1:2" x14ac:dyDescent="0.25">
      <c r="A29600" s="2">
        <v>29595</v>
      </c>
      <c r="B29600" s="11" t="str">
        <f>"01070540"</f>
        <v>01070540</v>
      </c>
    </row>
    <row r="29601" spans="1:2" x14ac:dyDescent="0.25">
      <c r="A29601" s="2">
        <v>29596</v>
      </c>
      <c r="B29601" s="11" t="str">
        <f>"01070547"</f>
        <v>01070547</v>
      </c>
    </row>
    <row r="29602" spans="1:2" x14ac:dyDescent="0.25">
      <c r="A29602" s="2">
        <v>29597</v>
      </c>
      <c r="B29602" s="11" t="str">
        <f>"01070551"</f>
        <v>01070551</v>
      </c>
    </row>
    <row r="29603" spans="1:2" x14ac:dyDescent="0.25">
      <c r="A29603" s="2">
        <v>29598</v>
      </c>
      <c r="B29603" s="11" t="str">
        <f>"01070552"</f>
        <v>01070552</v>
      </c>
    </row>
    <row r="29604" spans="1:2" x14ac:dyDescent="0.25">
      <c r="A29604" s="2">
        <v>29599</v>
      </c>
      <c r="B29604" s="11" t="str">
        <f>"01070553"</f>
        <v>01070553</v>
      </c>
    </row>
    <row r="29605" spans="1:2" x14ac:dyDescent="0.25">
      <c r="A29605" s="2">
        <v>29600</v>
      </c>
      <c r="B29605" s="11" t="str">
        <f>"01070558"</f>
        <v>01070558</v>
      </c>
    </row>
    <row r="29606" spans="1:2" x14ac:dyDescent="0.25">
      <c r="A29606" s="2">
        <v>29601</v>
      </c>
      <c r="B29606" s="11" t="str">
        <f>"01070563"</f>
        <v>01070563</v>
      </c>
    </row>
    <row r="29607" spans="1:2" x14ac:dyDescent="0.25">
      <c r="A29607" s="2">
        <v>29602</v>
      </c>
      <c r="B29607" s="11" t="str">
        <f>"01070566"</f>
        <v>01070566</v>
      </c>
    </row>
    <row r="29608" spans="1:2" x14ac:dyDescent="0.25">
      <c r="A29608" s="2">
        <v>29603</v>
      </c>
      <c r="B29608" s="11" t="str">
        <f>"01070574"</f>
        <v>01070574</v>
      </c>
    </row>
    <row r="29609" spans="1:2" x14ac:dyDescent="0.25">
      <c r="A29609" s="2">
        <v>29604</v>
      </c>
      <c r="B29609" s="11" t="str">
        <f>"01070577"</f>
        <v>01070577</v>
      </c>
    </row>
    <row r="29610" spans="1:2" x14ac:dyDescent="0.25">
      <c r="A29610" s="2">
        <v>29605</v>
      </c>
      <c r="B29610" s="11" t="str">
        <f>"01070579"</f>
        <v>01070579</v>
      </c>
    </row>
    <row r="29611" spans="1:2" x14ac:dyDescent="0.25">
      <c r="A29611" s="2">
        <v>29606</v>
      </c>
      <c r="B29611" s="11" t="str">
        <f>"01070582"</f>
        <v>01070582</v>
      </c>
    </row>
    <row r="29612" spans="1:2" x14ac:dyDescent="0.25">
      <c r="A29612" s="2">
        <v>29607</v>
      </c>
      <c r="B29612" s="11" t="str">
        <f>"01070583"</f>
        <v>01070583</v>
      </c>
    </row>
    <row r="29613" spans="1:2" x14ac:dyDescent="0.25">
      <c r="A29613" s="2">
        <v>29608</v>
      </c>
      <c r="B29613" s="11" t="str">
        <f>"01070587"</f>
        <v>01070587</v>
      </c>
    </row>
    <row r="29614" spans="1:2" x14ac:dyDescent="0.25">
      <c r="A29614" s="2">
        <v>29609</v>
      </c>
      <c r="B29614" s="11" t="str">
        <f>"01070589"</f>
        <v>01070589</v>
      </c>
    </row>
    <row r="29615" spans="1:2" x14ac:dyDescent="0.25">
      <c r="A29615" s="2">
        <v>29610</v>
      </c>
      <c r="B29615" s="11" t="str">
        <f>"01070600"</f>
        <v>01070600</v>
      </c>
    </row>
    <row r="29616" spans="1:2" x14ac:dyDescent="0.25">
      <c r="A29616" s="2">
        <v>29611</v>
      </c>
      <c r="B29616" s="11" t="str">
        <f>"01070609"</f>
        <v>01070609</v>
      </c>
    </row>
    <row r="29617" spans="1:2" x14ac:dyDescent="0.25">
      <c r="A29617" s="2">
        <v>29612</v>
      </c>
      <c r="B29617" s="11" t="str">
        <f>"01070611"</f>
        <v>01070611</v>
      </c>
    </row>
    <row r="29618" spans="1:2" x14ac:dyDescent="0.25">
      <c r="A29618" s="2">
        <v>29613</v>
      </c>
      <c r="B29618" s="11" t="str">
        <f>"01070615"</f>
        <v>01070615</v>
      </c>
    </row>
    <row r="29619" spans="1:2" x14ac:dyDescent="0.25">
      <c r="A29619" s="2">
        <v>29614</v>
      </c>
      <c r="B29619" s="11" t="str">
        <f>"01070619"</f>
        <v>01070619</v>
      </c>
    </row>
    <row r="29620" spans="1:2" x14ac:dyDescent="0.25">
      <c r="A29620" s="2">
        <v>29615</v>
      </c>
      <c r="B29620" s="11" t="str">
        <f>"01070623"</f>
        <v>01070623</v>
      </c>
    </row>
    <row r="29621" spans="1:2" x14ac:dyDescent="0.25">
      <c r="A29621" s="2">
        <v>29616</v>
      </c>
      <c r="B29621" s="11" t="str">
        <f>"01070624"</f>
        <v>01070624</v>
      </c>
    </row>
    <row r="29622" spans="1:2" x14ac:dyDescent="0.25">
      <c r="A29622" s="2">
        <v>29617</v>
      </c>
      <c r="B29622" s="11" t="str">
        <f>"01070626"</f>
        <v>01070626</v>
      </c>
    </row>
    <row r="29623" spans="1:2" x14ac:dyDescent="0.25">
      <c r="A29623" s="2">
        <v>29618</v>
      </c>
      <c r="B29623" s="11" t="str">
        <f>"01070630"</f>
        <v>01070630</v>
      </c>
    </row>
    <row r="29624" spans="1:2" x14ac:dyDescent="0.25">
      <c r="A29624" s="2">
        <v>29619</v>
      </c>
      <c r="B29624" s="11" t="str">
        <f>"01070634"</f>
        <v>01070634</v>
      </c>
    </row>
    <row r="29625" spans="1:2" x14ac:dyDescent="0.25">
      <c r="A29625" s="2">
        <v>29620</v>
      </c>
      <c r="B29625" s="11" t="str">
        <f>"01070639"</f>
        <v>01070639</v>
      </c>
    </row>
    <row r="29626" spans="1:2" x14ac:dyDescent="0.25">
      <c r="A29626" s="2">
        <v>29621</v>
      </c>
      <c r="B29626" s="11" t="str">
        <f>"01070645"</f>
        <v>01070645</v>
      </c>
    </row>
    <row r="29627" spans="1:2" x14ac:dyDescent="0.25">
      <c r="A29627" s="2">
        <v>29622</v>
      </c>
      <c r="B29627" s="11" t="str">
        <f>"01070648"</f>
        <v>01070648</v>
      </c>
    </row>
    <row r="29628" spans="1:2" x14ac:dyDescent="0.25">
      <c r="A29628" s="2">
        <v>29623</v>
      </c>
      <c r="B29628" s="11" t="str">
        <f>"01070654"</f>
        <v>01070654</v>
      </c>
    </row>
    <row r="29629" spans="1:2" x14ac:dyDescent="0.25">
      <c r="A29629" s="2">
        <v>29624</v>
      </c>
      <c r="B29629" s="11" t="str">
        <f>"01070656"</f>
        <v>01070656</v>
      </c>
    </row>
    <row r="29630" spans="1:2" x14ac:dyDescent="0.25">
      <c r="A29630" s="2">
        <v>29625</v>
      </c>
      <c r="B29630" s="11" t="str">
        <f>"01070657"</f>
        <v>01070657</v>
      </c>
    </row>
    <row r="29631" spans="1:2" x14ac:dyDescent="0.25">
      <c r="A29631" s="2">
        <v>29626</v>
      </c>
      <c r="B29631" s="11" t="str">
        <f>"01070661"</f>
        <v>01070661</v>
      </c>
    </row>
    <row r="29632" spans="1:2" x14ac:dyDescent="0.25">
      <c r="A29632" s="2">
        <v>29627</v>
      </c>
      <c r="B29632" s="11" t="str">
        <f>"01070670"</f>
        <v>01070670</v>
      </c>
    </row>
    <row r="29633" spans="1:2" x14ac:dyDescent="0.25">
      <c r="A29633" s="2">
        <v>29628</v>
      </c>
      <c r="B29633" s="11" t="str">
        <f>"01070674"</f>
        <v>01070674</v>
      </c>
    </row>
    <row r="29634" spans="1:2" x14ac:dyDescent="0.25">
      <c r="A29634" s="2">
        <v>29629</v>
      </c>
      <c r="B29634" s="11" t="str">
        <f>"01070676"</f>
        <v>01070676</v>
      </c>
    </row>
    <row r="29635" spans="1:2" x14ac:dyDescent="0.25">
      <c r="A29635" s="2">
        <v>29630</v>
      </c>
      <c r="B29635" s="11" t="str">
        <f>"01070677"</f>
        <v>01070677</v>
      </c>
    </row>
    <row r="29636" spans="1:2" x14ac:dyDescent="0.25">
      <c r="A29636" s="2">
        <v>29631</v>
      </c>
      <c r="B29636" s="11" t="str">
        <f>"01070678"</f>
        <v>01070678</v>
      </c>
    </row>
    <row r="29637" spans="1:2" x14ac:dyDescent="0.25">
      <c r="A29637" s="2">
        <v>29632</v>
      </c>
      <c r="B29637" s="11" t="str">
        <f>"01070681"</f>
        <v>01070681</v>
      </c>
    </row>
    <row r="29638" spans="1:2" x14ac:dyDescent="0.25">
      <c r="A29638" s="2">
        <v>29633</v>
      </c>
      <c r="B29638" s="11" t="str">
        <f>"01070688"</f>
        <v>01070688</v>
      </c>
    </row>
    <row r="29639" spans="1:2" x14ac:dyDescent="0.25">
      <c r="A29639" s="2">
        <v>29634</v>
      </c>
      <c r="B29639" s="11" t="str">
        <f>"01070690"</f>
        <v>01070690</v>
      </c>
    </row>
    <row r="29640" spans="1:2" x14ac:dyDescent="0.25">
      <c r="A29640" s="2">
        <v>29635</v>
      </c>
      <c r="B29640" s="11" t="str">
        <f>"01070694"</f>
        <v>01070694</v>
      </c>
    </row>
    <row r="29641" spans="1:2" x14ac:dyDescent="0.25">
      <c r="A29641" s="2">
        <v>29636</v>
      </c>
      <c r="B29641" s="11" t="str">
        <f>"01070695"</f>
        <v>01070695</v>
      </c>
    </row>
    <row r="29642" spans="1:2" x14ac:dyDescent="0.25">
      <c r="A29642" s="2">
        <v>29637</v>
      </c>
      <c r="B29642" s="11" t="str">
        <f>"01070696"</f>
        <v>01070696</v>
      </c>
    </row>
    <row r="29643" spans="1:2" x14ac:dyDescent="0.25">
      <c r="A29643" s="2">
        <v>29638</v>
      </c>
      <c r="B29643" s="11" t="str">
        <f>"01070708"</f>
        <v>01070708</v>
      </c>
    </row>
    <row r="29644" spans="1:2" x14ac:dyDescent="0.25">
      <c r="A29644" s="2">
        <v>29639</v>
      </c>
      <c r="B29644" s="11" t="str">
        <f>"01070709"</f>
        <v>01070709</v>
      </c>
    </row>
    <row r="29645" spans="1:2" x14ac:dyDescent="0.25">
      <c r="A29645" s="2">
        <v>29640</v>
      </c>
      <c r="B29645" s="11" t="str">
        <f>"01070714"</f>
        <v>01070714</v>
      </c>
    </row>
    <row r="29646" spans="1:2" x14ac:dyDescent="0.25">
      <c r="A29646" s="2">
        <v>29641</v>
      </c>
      <c r="B29646" s="11" t="str">
        <f>"01070715"</f>
        <v>01070715</v>
      </c>
    </row>
    <row r="29647" spans="1:2" x14ac:dyDescent="0.25">
      <c r="A29647" s="2">
        <v>29642</v>
      </c>
      <c r="B29647" s="11" t="str">
        <f>"01070716"</f>
        <v>01070716</v>
      </c>
    </row>
    <row r="29648" spans="1:2" x14ac:dyDescent="0.25">
      <c r="A29648" s="2">
        <v>29643</v>
      </c>
      <c r="B29648" s="11" t="str">
        <f>"01070720"</f>
        <v>01070720</v>
      </c>
    </row>
    <row r="29649" spans="1:2" x14ac:dyDescent="0.25">
      <c r="A29649" s="2">
        <v>29644</v>
      </c>
      <c r="B29649" s="11" t="str">
        <f>"01070722"</f>
        <v>01070722</v>
      </c>
    </row>
    <row r="29650" spans="1:2" x14ac:dyDescent="0.25">
      <c r="A29650" s="2">
        <v>29645</v>
      </c>
      <c r="B29650" s="11" t="str">
        <f>"01070725"</f>
        <v>01070725</v>
      </c>
    </row>
    <row r="29651" spans="1:2" x14ac:dyDescent="0.25">
      <c r="A29651" s="2">
        <v>29646</v>
      </c>
      <c r="B29651" s="11" t="str">
        <f>"01070730"</f>
        <v>01070730</v>
      </c>
    </row>
    <row r="29652" spans="1:2" x14ac:dyDescent="0.25">
      <c r="A29652" s="2">
        <v>29647</v>
      </c>
      <c r="B29652" s="11" t="str">
        <f>"01070734"</f>
        <v>01070734</v>
      </c>
    </row>
    <row r="29653" spans="1:2" x14ac:dyDescent="0.25">
      <c r="A29653" s="2">
        <v>29648</v>
      </c>
      <c r="B29653" s="11" t="str">
        <f>"01070743"</f>
        <v>01070743</v>
      </c>
    </row>
    <row r="29654" spans="1:2" x14ac:dyDescent="0.25">
      <c r="A29654" s="2">
        <v>29649</v>
      </c>
      <c r="B29654" s="11" t="str">
        <f>"01070745"</f>
        <v>01070745</v>
      </c>
    </row>
    <row r="29655" spans="1:2" x14ac:dyDescent="0.25">
      <c r="A29655" s="2">
        <v>29650</v>
      </c>
      <c r="B29655" s="11" t="str">
        <f>"01070747"</f>
        <v>01070747</v>
      </c>
    </row>
    <row r="29656" spans="1:2" x14ac:dyDescent="0.25">
      <c r="A29656" s="2">
        <v>29651</v>
      </c>
      <c r="B29656" s="11" t="str">
        <f>"01070751"</f>
        <v>01070751</v>
      </c>
    </row>
    <row r="29657" spans="1:2" x14ac:dyDescent="0.25">
      <c r="A29657" s="2">
        <v>29652</v>
      </c>
      <c r="B29657" s="11" t="str">
        <f>"01070752"</f>
        <v>01070752</v>
      </c>
    </row>
    <row r="29658" spans="1:2" x14ac:dyDescent="0.25">
      <c r="A29658" s="2">
        <v>29653</v>
      </c>
      <c r="B29658" s="11" t="str">
        <f>"01070753"</f>
        <v>01070753</v>
      </c>
    </row>
    <row r="29659" spans="1:2" x14ac:dyDescent="0.25">
      <c r="A29659" s="2">
        <v>29654</v>
      </c>
      <c r="B29659" s="11" t="str">
        <f>"01070754"</f>
        <v>01070754</v>
      </c>
    </row>
    <row r="29660" spans="1:2" x14ac:dyDescent="0.25">
      <c r="A29660" s="2">
        <v>29655</v>
      </c>
      <c r="B29660" s="11" t="str">
        <f>"01070762"</f>
        <v>01070762</v>
      </c>
    </row>
    <row r="29661" spans="1:2" x14ac:dyDescent="0.25">
      <c r="A29661" s="2">
        <v>29656</v>
      </c>
      <c r="B29661" s="11" t="str">
        <f>"01070763"</f>
        <v>01070763</v>
      </c>
    </row>
    <row r="29662" spans="1:2" x14ac:dyDescent="0.25">
      <c r="A29662" s="2">
        <v>29657</v>
      </c>
      <c r="B29662" s="11" t="str">
        <f>"01070767"</f>
        <v>01070767</v>
      </c>
    </row>
    <row r="29663" spans="1:2" x14ac:dyDescent="0.25">
      <c r="A29663" s="2">
        <v>29658</v>
      </c>
      <c r="B29663" s="11" t="str">
        <f>"01070768"</f>
        <v>01070768</v>
      </c>
    </row>
    <row r="29664" spans="1:2" x14ac:dyDescent="0.25">
      <c r="A29664" s="2">
        <v>29659</v>
      </c>
      <c r="B29664" s="11" t="str">
        <f>"01070770"</f>
        <v>01070770</v>
      </c>
    </row>
    <row r="29665" spans="1:2" x14ac:dyDescent="0.25">
      <c r="A29665" s="2">
        <v>29660</v>
      </c>
      <c r="B29665" s="11" t="str">
        <f>"01070774"</f>
        <v>01070774</v>
      </c>
    </row>
    <row r="29666" spans="1:2" x14ac:dyDescent="0.25">
      <c r="A29666" s="2">
        <v>29661</v>
      </c>
      <c r="B29666" s="11" t="str">
        <f>"01070775"</f>
        <v>01070775</v>
      </c>
    </row>
    <row r="29667" spans="1:2" x14ac:dyDescent="0.25">
      <c r="A29667" s="2">
        <v>29662</v>
      </c>
      <c r="B29667" s="11" t="str">
        <f>"01070777"</f>
        <v>01070777</v>
      </c>
    </row>
    <row r="29668" spans="1:2" x14ac:dyDescent="0.25">
      <c r="A29668" s="2">
        <v>29663</v>
      </c>
      <c r="B29668" s="11" t="str">
        <f>"01070778"</f>
        <v>01070778</v>
      </c>
    </row>
    <row r="29669" spans="1:2" x14ac:dyDescent="0.25">
      <c r="A29669" s="2">
        <v>29664</v>
      </c>
      <c r="B29669" s="11" t="str">
        <f>"01070781"</f>
        <v>01070781</v>
      </c>
    </row>
    <row r="29670" spans="1:2" x14ac:dyDescent="0.25">
      <c r="A29670" s="2">
        <v>29665</v>
      </c>
      <c r="B29670" s="11" t="str">
        <f>"01070785"</f>
        <v>01070785</v>
      </c>
    </row>
    <row r="29671" spans="1:2" x14ac:dyDescent="0.25">
      <c r="A29671" s="2">
        <v>29666</v>
      </c>
      <c r="B29671" s="11" t="str">
        <f>"01070787"</f>
        <v>01070787</v>
      </c>
    </row>
    <row r="29672" spans="1:2" x14ac:dyDescent="0.25">
      <c r="A29672" s="2">
        <v>29667</v>
      </c>
      <c r="B29672" s="11" t="str">
        <f>"01070790"</f>
        <v>01070790</v>
      </c>
    </row>
    <row r="29673" spans="1:2" x14ac:dyDescent="0.25">
      <c r="A29673" s="2">
        <v>29668</v>
      </c>
      <c r="B29673" s="11" t="str">
        <f>"01070792"</f>
        <v>01070792</v>
      </c>
    </row>
    <row r="29674" spans="1:2" x14ac:dyDescent="0.25">
      <c r="A29674" s="2">
        <v>29669</v>
      </c>
      <c r="B29674" s="11" t="str">
        <f>"01070797"</f>
        <v>01070797</v>
      </c>
    </row>
    <row r="29675" spans="1:2" x14ac:dyDescent="0.25">
      <c r="A29675" s="2">
        <v>29670</v>
      </c>
      <c r="B29675" s="11" t="str">
        <f>"01070800"</f>
        <v>01070800</v>
      </c>
    </row>
    <row r="29676" spans="1:2" x14ac:dyDescent="0.25">
      <c r="A29676" s="2">
        <v>29671</v>
      </c>
      <c r="B29676" s="11" t="str">
        <f>"01070802"</f>
        <v>01070802</v>
      </c>
    </row>
    <row r="29677" spans="1:2" x14ac:dyDescent="0.25">
      <c r="A29677" s="2">
        <v>29672</v>
      </c>
      <c r="B29677" s="11" t="str">
        <f>"01070803"</f>
        <v>01070803</v>
      </c>
    </row>
    <row r="29678" spans="1:2" x14ac:dyDescent="0.25">
      <c r="A29678" s="2">
        <v>29673</v>
      </c>
      <c r="B29678" s="11" t="str">
        <f>"01070815"</f>
        <v>01070815</v>
      </c>
    </row>
    <row r="29679" spans="1:2" x14ac:dyDescent="0.25">
      <c r="A29679" s="2">
        <v>29674</v>
      </c>
      <c r="B29679" s="11" t="str">
        <f>"01070820"</f>
        <v>01070820</v>
      </c>
    </row>
    <row r="29680" spans="1:2" x14ac:dyDescent="0.25">
      <c r="A29680" s="2">
        <v>29675</v>
      </c>
      <c r="B29680" s="11" t="str">
        <f>"01070824"</f>
        <v>01070824</v>
      </c>
    </row>
    <row r="29681" spans="1:2" x14ac:dyDescent="0.25">
      <c r="A29681" s="2">
        <v>29676</v>
      </c>
      <c r="B29681" s="11" t="str">
        <f>"01070829"</f>
        <v>01070829</v>
      </c>
    </row>
    <row r="29682" spans="1:2" x14ac:dyDescent="0.25">
      <c r="A29682" s="2">
        <v>29677</v>
      </c>
      <c r="B29682" s="11" t="str">
        <f>"01070830"</f>
        <v>01070830</v>
      </c>
    </row>
    <row r="29683" spans="1:2" x14ac:dyDescent="0.25">
      <c r="A29683" s="2">
        <v>29678</v>
      </c>
      <c r="B29683" s="11" t="str">
        <f>"01070834"</f>
        <v>01070834</v>
      </c>
    </row>
    <row r="29684" spans="1:2" x14ac:dyDescent="0.25">
      <c r="A29684" s="2">
        <v>29679</v>
      </c>
      <c r="B29684" s="11" t="str">
        <f>"01070836"</f>
        <v>01070836</v>
      </c>
    </row>
    <row r="29685" spans="1:2" x14ac:dyDescent="0.25">
      <c r="A29685" s="2">
        <v>29680</v>
      </c>
      <c r="B29685" s="11" t="str">
        <f>"01070837"</f>
        <v>01070837</v>
      </c>
    </row>
    <row r="29686" spans="1:2" x14ac:dyDescent="0.25">
      <c r="A29686" s="2">
        <v>29681</v>
      </c>
      <c r="B29686" s="11" t="str">
        <f>"01070838"</f>
        <v>01070838</v>
      </c>
    </row>
    <row r="29687" spans="1:2" x14ac:dyDescent="0.25">
      <c r="A29687" s="2">
        <v>29682</v>
      </c>
      <c r="B29687" s="11" t="str">
        <f>"01070840"</f>
        <v>01070840</v>
      </c>
    </row>
    <row r="29688" spans="1:2" x14ac:dyDescent="0.25">
      <c r="A29688" s="2">
        <v>29683</v>
      </c>
      <c r="B29688" s="11" t="str">
        <f>"01070847"</f>
        <v>01070847</v>
      </c>
    </row>
    <row r="29689" spans="1:2" x14ac:dyDescent="0.25">
      <c r="A29689" s="2">
        <v>29684</v>
      </c>
      <c r="B29689" s="11" t="str">
        <f>"01070849"</f>
        <v>01070849</v>
      </c>
    </row>
    <row r="29690" spans="1:2" x14ac:dyDescent="0.25">
      <c r="A29690" s="2">
        <v>29685</v>
      </c>
      <c r="B29690" s="11" t="str">
        <f>"01070856"</f>
        <v>01070856</v>
      </c>
    </row>
    <row r="29691" spans="1:2" x14ac:dyDescent="0.25">
      <c r="A29691" s="2">
        <v>29686</v>
      </c>
      <c r="B29691" s="11" t="str">
        <f>"01070859"</f>
        <v>01070859</v>
      </c>
    </row>
    <row r="29692" spans="1:2" x14ac:dyDescent="0.25">
      <c r="A29692" s="2">
        <v>29687</v>
      </c>
      <c r="B29692" s="11" t="str">
        <f>"01070862"</f>
        <v>01070862</v>
      </c>
    </row>
    <row r="29693" spans="1:2" x14ac:dyDescent="0.25">
      <c r="A29693" s="2">
        <v>29688</v>
      </c>
      <c r="B29693" s="11" t="str">
        <f>"01070872"</f>
        <v>01070872</v>
      </c>
    </row>
    <row r="29694" spans="1:2" x14ac:dyDescent="0.25">
      <c r="A29694" s="2">
        <v>29689</v>
      </c>
      <c r="B29694" s="11" t="str">
        <f>"01070874"</f>
        <v>01070874</v>
      </c>
    </row>
    <row r="29695" spans="1:2" x14ac:dyDescent="0.25">
      <c r="A29695" s="2">
        <v>29690</v>
      </c>
      <c r="B29695" s="11" t="str">
        <f>"01070876"</f>
        <v>01070876</v>
      </c>
    </row>
    <row r="29696" spans="1:2" x14ac:dyDescent="0.25">
      <c r="A29696" s="2">
        <v>29691</v>
      </c>
      <c r="B29696" s="11" t="str">
        <f>"01070878"</f>
        <v>01070878</v>
      </c>
    </row>
    <row r="29697" spans="1:2" x14ac:dyDescent="0.25">
      <c r="A29697" s="2">
        <v>29692</v>
      </c>
      <c r="B29697" s="11" t="str">
        <f>"01070881"</f>
        <v>01070881</v>
      </c>
    </row>
    <row r="29698" spans="1:2" x14ac:dyDescent="0.25">
      <c r="A29698" s="2">
        <v>29693</v>
      </c>
      <c r="B29698" s="11" t="str">
        <f>"01070883"</f>
        <v>01070883</v>
      </c>
    </row>
    <row r="29699" spans="1:2" x14ac:dyDescent="0.25">
      <c r="A29699" s="2">
        <v>29694</v>
      </c>
      <c r="B29699" s="11" t="str">
        <f>"01070885"</f>
        <v>01070885</v>
      </c>
    </row>
    <row r="29700" spans="1:2" x14ac:dyDescent="0.25">
      <c r="A29700" s="2">
        <v>29695</v>
      </c>
      <c r="B29700" s="11" t="str">
        <f>"01070887"</f>
        <v>01070887</v>
      </c>
    </row>
    <row r="29701" spans="1:2" x14ac:dyDescent="0.25">
      <c r="A29701" s="2">
        <v>29696</v>
      </c>
      <c r="B29701" s="11" t="str">
        <f>"01070890"</f>
        <v>01070890</v>
      </c>
    </row>
    <row r="29702" spans="1:2" x14ac:dyDescent="0.25">
      <c r="A29702" s="2">
        <v>29697</v>
      </c>
      <c r="B29702" s="11" t="str">
        <f>"01070892"</f>
        <v>01070892</v>
      </c>
    </row>
    <row r="29703" spans="1:2" x14ac:dyDescent="0.25">
      <c r="A29703" s="2">
        <v>29698</v>
      </c>
      <c r="B29703" s="11" t="str">
        <f>"01070896"</f>
        <v>01070896</v>
      </c>
    </row>
    <row r="29704" spans="1:2" x14ac:dyDescent="0.25">
      <c r="A29704" s="2">
        <v>29699</v>
      </c>
      <c r="B29704" s="11" t="str">
        <f>"01070900"</f>
        <v>01070900</v>
      </c>
    </row>
    <row r="29705" spans="1:2" x14ac:dyDescent="0.25">
      <c r="A29705" s="2">
        <v>29700</v>
      </c>
      <c r="B29705" s="11" t="str">
        <f>"01070901"</f>
        <v>01070901</v>
      </c>
    </row>
    <row r="29706" spans="1:2" x14ac:dyDescent="0.25">
      <c r="A29706" s="2">
        <v>29701</v>
      </c>
      <c r="B29706" s="11" t="str">
        <f>"01070904"</f>
        <v>01070904</v>
      </c>
    </row>
    <row r="29707" spans="1:2" x14ac:dyDescent="0.25">
      <c r="A29707" s="2">
        <v>29702</v>
      </c>
      <c r="B29707" s="11" t="str">
        <f>"01070915"</f>
        <v>01070915</v>
      </c>
    </row>
    <row r="29708" spans="1:2" x14ac:dyDescent="0.25">
      <c r="A29708" s="2">
        <v>29703</v>
      </c>
      <c r="B29708" s="11" t="str">
        <f>"01070930"</f>
        <v>01070930</v>
      </c>
    </row>
    <row r="29709" spans="1:2" x14ac:dyDescent="0.25">
      <c r="A29709" s="2">
        <v>29704</v>
      </c>
      <c r="B29709" s="11" t="str">
        <f>"01070931"</f>
        <v>01070931</v>
      </c>
    </row>
    <row r="29710" spans="1:2" x14ac:dyDescent="0.25">
      <c r="A29710" s="2">
        <v>29705</v>
      </c>
      <c r="B29710" s="11" t="str">
        <f>"01070933"</f>
        <v>01070933</v>
      </c>
    </row>
    <row r="29711" spans="1:2" x14ac:dyDescent="0.25">
      <c r="A29711" s="2">
        <v>29706</v>
      </c>
      <c r="B29711" s="11" t="str">
        <f>"01070947"</f>
        <v>01070947</v>
      </c>
    </row>
    <row r="29712" spans="1:2" x14ac:dyDescent="0.25">
      <c r="A29712" s="2">
        <v>29707</v>
      </c>
      <c r="B29712" s="11" t="str">
        <f>"01070950"</f>
        <v>01070950</v>
      </c>
    </row>
    <row r="29713" spans="1:2" x14ac:dyDescent="0.25">
      <c r="A29713" s="2">
        <v>29708</v>
      </c>
      <c r="B29713" s="11" t="str">
        <f>"01070954"</f>
        <v>01070954</v>
      </c>
    </row>
    <row r="29714" spans="1:2" x14ac:dyDescent="0.25">
      <c r="A29714" s="2">
        <v>29709</v>
      </c>
      <c r="B29714" s="11" t="str">
        <f>"01070960"</f>
        <v>01070960</v>
      </c>
    </row>
    <row r="29715" spans="1:2" x14ac:dyDescent="0.25">
      <c r="A29715" s="2">
        <v>29710</v>
      </c>
      <c r="B29715" s="11" t="str">
        <f>"01070962"</f>
        <v>01070962</v>
      </c>
    </row>
    <row r="29716" spans="1:2" x14ac:dyDescent="0.25">
      <c r="A29716" s="2">
        <v>29711</v>
      </c>
      <c r="B29716" s="11" t="str">
        <f>"01070973"</f>
        <v>01070973</v>
      </c>
    </row>
    <row r="29717" spans="1:2" x14ac:dyDescent="0.25">
      <c r="A29717" s="2">
        <v>29712</v>
      </c>
      <c r="B29717" s="11" t="str">
        <f>"01070974"</f>
        <v>01070974</v>
      </c>
    </row>
    <row r="29718" spans="1:2" x14ac:dyDescent="0.25">
      <c r="A29718" s="2">
        <v>29713</v>
      </c>
      <c r="B29718" s="11" t="str">
        <f>"01070976"</f>
        <v>01070976</v>
      </c>
    </row>
    <row r="29719" spans="1:2" x14ac:dyDescent="0.25">
      <c r="A29719" s="2">
        <v>29714</v>
      </c>
      <c r="B29719" s="11" t="str">
        <f>"01070978"</f>
        <v>01070978</v>
      </c>
    </row>
    <row r="29720" spans="1:2" x14ac:dyDescent="0.25">
      <c r="A29720" s="2">
        <v>29715</v>
      </c>
      <c r="B29720" s="11" t="str">
        <f>"01070982"</f>
        <v>01070982</v>
      </c>
    </row>
    <row r="29721" spans="1:2" x14ac:dyDescent="0.25">
      <c r="A29721" s="2">
        <v>29716</v>
      </c>
      <c r="B29721" s="11" t="str">
        <f>"01070984"</f>
        <v>01070984</v>
      </c>
    </row>
    <row r="29722" spans="1:2" x14ac:dyDescent="0.25">
      <c r="A29722" s="2">
        <v>29717</v>
      </c>
      <c r="B29722" s="11" t="str">
        <f>"01070987"</f>
        <v>01070987</v>
      </c>
    </row>
    <row r="29723" spans="1:2" x14ac:dyDescent="0.25">
      <c r="A29723" s="2">
        <v>29718</v>
      </c>
      <c r="B29723" s="11" t="str">
        <f>"01070988"</f>
        <v>01070988</v>
      </c>
    </row>
    <row r="29724" spans="1:2" x14ac:dyDescent="0.25">
      <c r="A29724" s="2">
        <v>29719</v>
      </c>
      <c r="B29724" s="11" t="str">
        <f>"01070990"</f>
        <v>01070990</v>
      </c>
    </row>
    <row r="29725" spans="1:2" x14ac:dyDescent="0.25">
      <c r="A29725" s="2">
        <v>29720</v>
      </c>
      <c r="B29725" s="11" t="str">
        <f>"01070992"</f>
        <v>01070992</v>
      </c>
    </row>
    <row r="29726" spans="1:2" x14ac:dyDescent="0.25">
      <c r="A29726" s="2">
        <v>29721</v>
      </c>
      <c r="B29726" s="11" t="str">
        <f>"01071007"</f>
        <v>01071007</v>
      </c>
    </row>
    <row r="29727" spans="1:2" x14ac:dyDescent="0.25">
      <c r="A29727" s="2">
        <v>29722</v>
      </c>
      <c r="B29727" s="11" t="str">
        <f>"01071008"</f>
        <v>01071008</v>
      </c>
    </row>
    <row r="29728" spans="1:2" x14ac:dyDescent="0.25">
      <c r="A29728" s="2">
        <v>29723</v>
      </c>
      <c r="B29728" s="11" t="str">
        <f>"01071009"</f>
        <v>01071009</v>
      </c>
    </row>
    <row r="29729" spans="1:2" x14ac:dyDescent="0.25">
      <c r="A29729" s="2">
        <v>29724</v>
      </c>
      <c r="B29729" s="11" t="str">
        <f>"01071011"</f>
        <v>01071011</v>
      </c>
    </row>
    <row r="29730" spans="1:2" x14ac:dyDescent="0.25">
      <c r="A29730" s="2">
        <v>29725</v>
      </c>
      <c r="B29730" s="11" t="str">
        <f>"01071013"</f>
        <v>01071013</v>
      </c>
    </row>
    <row r="29731" spans="1:2" x14ac:dyDescent="0.25">
      <c r="A29731" s="2">
        <v>29726</v>
      </c>
      <c r="B29731" s="11" t="str">
        <f>"01071025"</f>
        <v>01071025</v>
      </c>
    </row>
    <row r="29732" spans="1:2" x14ac:dyDescent="0.25">
      <c r="A29732" s="2">
        <v>29727</v>
      </c>
      <c r="B29732" s="11" t="str">
        <f>"01071029"</f>
        <v>01071029</v>
      </c>
    </row>
    <row r="29733" spans="1:2" x14ac:dyDescent="0.25">
      <c r="A29733" s="2">
        <v>29728</v>
      </c>
      <c r="B29733" s="11" t="str">
        <f>"01071033"</f>
        <v>01071033</v>
      </c>
    </row>
    <row r="29734" spans="1:2" x14ac:dyDescent="0.25">
      <c r="A29734" s="2">
        <v>29729</v>
      </c>
      <c r="B29734" s="11" t="str">
        <f>"01071037"</f>
        <v>01071037</v>
      </c>
    </row>
    <row r="29735" spans="1:2" x14ac:dyDescent="0.25">
      <c r="A29735" s="2">
        <v>29730</v>
      </c>
      <c r="B29735" s="11" t="str">
        <f>"01071038"</f>
        <v>01071038</v>
      </c>
    </row>
    <row r="29736" spans="1:2" x14ac:dyDescent="0.25">
      <c r="A29736" s="2">
        <v>29731</v>
      </c>
      <c r="B29736" s="11" t="str">
        <f>"01071043"</f>
        <v>01071043</v>
      </c>
    </row>
    <row r="29737" spans="1:2" x14ac:dyDescent="0.25">
      <c r="A29737" s="2">
        <v>29732</v>
      </c>
      <c r="B29737" s="11" t="str">
        <f>"01071044"</f>
        <v>01071044</v>
      </c>
    </row>
    <row r="29738" spans="1:2" x14ac:dyDescent="0.25">
      <c r="A29738" s="2">
        <v>29733</v>
      </c>
      <c r="B29738" s="11" t="str">
        <f>"01071046"</f>
        <v>01071046</v>
      </c>
    </row>
    <row r="29739" spans="1:2" x14ac:dyDescent="0.25">
      <c r="A29739" s="2">
        <v>29734</v>
      </c>
      <c r="B29739" s="11" t="str">
        <f>"01071052"</f>
        <v>01071052</v>
      </c>
    </row>
    <row r="29740" spans="1:2" x14ac:dyDescent="0.25">
      <c r="A29740" s="2">
        <v>29735</v>
      </c>
      <c r="B29740" s="11" t="str">
        <f>"01071057"</f>
        <v>01071057</v>
      </c>
    </row>
    <row r="29741" spans="1:2" x14ac:dyDescent="0.25">
      <c r="A29741" s="2">
        <v>29736</v>
      </c>
      <c r="B29741" s="11" t="str">
        <f>"01071058"</f>
        <v>01071058</v>
      </c>
    </row>
    <row r="29742" spans="1:2" x14ac:dyDescent="0.25">
      <c r="A29742" s="2">
        <v>29737</v>
      </c>
      <c r="B29742" s="11" t="str">
        <f>"01071059"</f>
        <v>01071059</v>
      </c>
    </row>
    <row r="29743" spans="1:2" x14ac:dyDescent="0.25">
      <c r="A29743" s="2">
        <v>29738</v>
      </c>
      <c r="B29743" s="11" t="str">
        <f>"01071064"</f>
        <v>01071064</v>
      </c>
    </row>
    <row r="29744" spans="1:2" x14ac:dyDescent="0.25">
      <c r="A29744" s="2">
        <v>29739</v>
      </c>
      <c r="B29744" s="11" t="str">
        <f>"01071065"</f>
        <v>01071065</v>
      </c>
    </row>
    <row r="29745" spans="1:2" x14ac:dyDescent="0.25">
      <c r="A29745" s="2">
        <v>29740</v>
      </c>
      <c r="B29745" s="11" t="str">
        <f>"01071067"</f>
        <v>01071067</v>
      </c>
    </row>
    <row r="29746" spans="1:2" x14ac:dyDescent="0.25">
      <c r="A29746" s="2">
        <v>29741</v>
      </c>
      <c r="B29746" s="11" t="str">
        <f>"01071071"</f>
        <v>01071071</v>
      </c>
    </row>
    <row r="29747" spans="1:2" x14ac:dyDescent="0.25">
      <c r="A29747" s="2">
        <v>29742</v>
      </c>
      <c r="B29747" s="11" t="str">
        <f>"01071077"</f>
        <v>01071077</v>
      </c>
    </row>
    <row r="29748" spans="1:2" x14ac:dyDescent="0.25">
      <c r="A29748" s="2">
        <v>29743</v>
      </c>
      <c r="B29748" s="11" t="str">
        <f>"01071083"</f>
        <v>01071083</v>
      </c>
    </row>
    <row r="29749" spans="1:2" x14ac:dyDescent="0.25">
      <c r="A29749" s="2">
        <v>29744</v>
      </c>
      <c r="B29749" s="11" t="str">
        <f>"01071084"</f>
        <v>01071084</v>
      </c>
    </row>
    <row r="29750" spans="1:2" x14ac:dyDescent="0.25">
      <c r="A29750" s="2">
        <v>29745</v>
      </c>
      <c r="B29750" s="11" t="str">
        <f>"01071085"</f>
        <v>01071085</v>
      </c>
    </row>
    <row r="29751" spans="1:2" x14ac:dyDescent="0.25">
      <c r="A29751" s="2">
        <v>29746</v>
      </c>
      <c r="B29751" s="11" t="str">
        <f>"01071086"</f>
        <v>01071086</v>
      </c>
    </row>
    <row r="29752" spans="1:2" x14ac:dyDescent="0.25">
      <c r="A29752" s="2">
        <v>29747</v>
      </c>
      <c r="B29752" s="11" t="str">
        <f>"01071093"</f>
        <v>01071093</v>
      </c>
    </row>
    <row r="29753" spans="1:2" x14ac:dyDescent="0.25">
      <c r="A29753" s="2">
        <v>29748</v>
      </c>
      <c r="B29753" s="11" t="str">
        <f>"01071094"</f>
        <v>01071094</v>
      </c>
    </row>
    <row r="29754" spans="1:2" x14ac:dyDescent="0.25">
      <c r="A29754" s="2">
        <v>29749</v>
      </c>
      <c r="B29754" s="11" t="str">
        <f>"01071095"</f>
        <v>01071095</v>
      </c>
    </row>
    <row r="29755" spans="1:2" x14ac:dyDescent="0.25">
      <c r="A29755" s="2">
        <v>29750</v>
      </c>
      <c r="B29755" s="11" t="str">
        <f>"01071096"</f>
        <v>01071096</v>
      </c>
    </row>
    <row r="29756" spans="1:2" x14ac:dyDescent="0.25">
      <c r="A29756" s="2">
        <v>29751</v>
      </c>
      <c r="B29756" s="11" t="str">
        <f>"01071097"</f>
        <v>01071097</v>
      </c>
    </row>
    <row r="29757" spans="1:2" x14ac:dyDescent="0.25">
      <c r="A29757" s="2">
        <v>29752</v>
      </c>
      <c r="B29757" s="11" t="str">
        <f>"01071098"</f>
        <v>01071098</v>
      </c>
    </row>
    <row r="29758" spans="1:2" x14ac:dyDescent="0.25">
      <c r="A29758" s="2">
        <v>29753</v>
      </c>
      <c r="B29758" s="11" t="str">
        <f>"01071099"</f>
        <v>01071099</v>
      </c>
    </row>
    <row r="29759" spans="1:2" x14ac:dyDescent="0.25">
      <c r="A29759" s="2">
        <v>29754</v>
      </c>
      <c r="B29759" s="11" t="str">
        <f>"01071104"</f>
        <v>01071104</v>
      </c>
    </row>
    <row r="29760" spans="1:2" x14ac:dyDescent="0.25">
      <c r="A29760" s="2">
        <v>29755</v>
      </c>
      <c r="B29760" s="11" t="str">
        <f>"01071120"</f>
        <v>01071120</v>
      </c>
    </row>
    <row r="29761" spans="1:2" x14ac:dyDescent="0.25">
      <c r="A29761" s="2">
        <v>29756</v>
      </c>
      <c r="B29761" s="11" t="str">
        <f>"01071124"</f>
        <v>01071124</v>
      </c>
    </row>
    <row r="29762" spans="1:2" x14ac:dyDescent="0.25">
      <c r="A29762" s="2">
        <v>29757</v>
      </c>
      <c r="B29762" s="11" t="str">
        <f>"01071125"</f>
        <v>01071125</v>
      </c>
    </row>
    <row r="29763" spans="1:2" x14ac:dyDescent="0.25">
      <c r="A29763" s="2">
        <v>29758</v>
      </c>
      <c r="B29763" s="11" t="str">
        <f>"01071137"</f>
        <v>01071137</v>
      </c>
    </row>
    <row r="29764" spans="1:2" x14ac:dyDescent="0.25">
      <c r="A29764" s="2">
        <v>29759</v>
      </c>
      <c r="B29764" s="11" t="str">
        <f>"01071141"</f>
        <v>01071141</v>
      </c>
    </row>
    <row r="29765" spans="1:2" x14ac:dyDescent="0.25">
      <c r="A29765" s="2">
        <v>29760</v>
      </c>
      <c r="B29765" s="11" t="str">
        <f>"01071146"</f>
        <v>01071146</v>
      </c>
    </row>
    <row r="29766" spans="1:2" x14ac:dyDescent="0.25">
      <c r="A29766" s="2">
        <v>29761</v>
      </c>
      <c r="B29766" s="11" t="str">
        <f>"01071149"</f>
        <v>01071149</v>
      </c>
    </row>
    <row r="29767" spans="1:2" x14ac:dyDescent="0.25">
      <c r="A29767" s="2">
        <v>29762</v>
      </c>
      <c r="B29767" s="11" t="str">
        <f>"01071152"</f>
        <v>01071152</v>
      </c>
    </row>
    <row r="29768" spans="1:2" x14ac:dyDescent="0.25">
      <c r="A29768" s="2">
        <v>29763</v>
      </c>
      <c r="B29768" s="11" t="str">
        <f>"01071165"</f>
        <v>01071165</v>
      </c>
    </row>
    <row r="29769" spans="1:2" x14ac:dyDescent="0.25">
      <c r="A29769" s="2">
        <v>29764</v>
      </c>
      <c r="B29769" s="11" t="str">
        <f>"01071172"</f>
        <v>01071172</v>
      </c>
    </row>
    <row r="29770" spans="1:2" x14ac:dyDescent="0.25">
      <c r="A29770" s="2">
        <v>29765</v>
      </c>
      <c r="B29770" s="11" t="str">
        <f>"01071173"</f>
        <v>01071173</v>
      </c>
    </row>
    <row r="29771" spans="1:2" x14ac:dyDescent="0.25">
      <c r="A29771" s="2">
        <v>29766</v>
      </c>
      <c r="B29771" s="11" t="str">
        <f>"01071174"</f>
        <v>01071174</v>
      </c>
    </row>
    <row r="29772" spans="1:2" x14ac:dyDescent="0.25">
      <c r="A29772" s="2">
        <v>29767</v>
      </c>
      <c r="B29772" s="11" t="str">
        <f>"01071175"</f>
        <v>01071175</v>
      </c>
    </row>
    <row r="29773" spans="1:2" x14ac:dyDescent="0.25">
      <c r="A29773" s="2">
        <v>29768</v>
      </c>
      <c r="B29773" s="11" t="str">
        <f>"01071176"</f>
        <v>01071176</v>
      </c>
    </row>
    <row r="29774" spans="1:2" x14ac:dyDescent="0.25">
      <c r="A29774" s="2">
        <v>29769</v>
      </c>
      <c r="B29774" s="11" t="str">
        <f>"01071177"</f>
        <v>01071177</v>
      </c>
    </row>
    <row r="29775" spans="1:2" x14ac:dyDescent="0.25">
      <c r="A29775" s="2">
        <v>29770</v>
      </c>
      <c r="B29775" s="11" t="str">
        <f>"01071178"</f>
        <v>01071178</v>
      </c>
    </row>
    <row r="29776" spans="1:2" x14ac:dyDescent="0.25">
      <c r="A29776" s="2">
        <v>29771</v>
      </c>
      <c r="B29776" s="11" t="str">
        <f>"01071179"</f>
        <v>01071179</v>
      </c>
    </row>
    <row r="29777" spans="1:2" x14ac:dyDescent="0.25">
      <c r="A29777" s="2">
        <v>29772</v>
      </c>
      <c r="B29777" s="11" t="str">
        <f>"01071181"</f>
        <v>01071181</v>
      </c>
    </row>
    <row r="29778" spans="1:2" x14ac:dyDescent="0.25">
      <c r="A29778" s="2">
        <v>29773</v>
      </c>
      <c r="B29778" s="11" t="str">
        <f>"01071182"</f>
        <v>01071182</v>
      </c>
    </row>
    <row r="29779" spans="1:2" x14ac:dyDescent="0.25">
      <c r="A29779" s="2">
        <v>29774</v>
      </c>
      <c r="B29779" s="11" t="str">
        <f>"01071187"</f>
        <v>01071187</v>
      </c>
    </row>
    <row r="29780" spans="1:2" x14ac:dyDescent="0.25">
      <c r="A29780" s="2">
        <v>29775</v>
      </c>
      <c r="B29780" s="11" t="str">
        <f>"01071189"</f>
        <v>01071189</v>
      </c>
    </row>
    <row r="29781" spans="1:2" x14ac:dyDescent="0.25">
      <c r="A29781" s="2">
        <v>29776</v>
      </c>
      <c r="B29781" s="11" t="str">
        <f>"01071195"</f>
        <v>01071195</v>
      </c>
    </row>
    <row r="29782" spans="1:2" x14ac:dyDescent="0.25">
      <c r="A29782" s="2">
        <v>29777</v>
      </c>
      <c r="B29782" s="11" t="str">
        <f>"01071196"</f>
        <v>01071196</v>
      </c>
    </row>
    <row r="29783" spans="1:2" x14ac:dyDescent="0.25">
      <c r="A29783" s="2">
        <v>29778</v>
      </c>
      <c r="B29783" s="11" t="str">
        <f>"01071199"</f>
        <v>01071199</v>
      </c>
    </row>
    <row r="29784" spans="1:2" x14ac:dyDescent="0.25">
      <c r="A29784" s="2">
        <v>29779</v>
      </c>
      <c r="B29784" s="11" t="str">
        <f>"01071201"</f>
        <v>01071201</v>
      </c>
    </row>
    <row r="29785" spans="1:2" x14ac:dyDescent="0.25">
      <c r="A29785" s="2">
        <v>29780</v>
      </c>
      <c r="B29785" s="11" t="str">
        <f>"01071209"</f>
        <v>01071209</v>
      </c>
    </row>
    <row r="29786" spans="1:2" x14ac:dyDescent="0.25">
      <c r="A29786" s="2">
        <v>29781</v>
      </c>
      <c r="B29786" s="11" t="str">
        <f>"01071211"</f>
        <v>01071211</v>
      </c>
    </row>
    <row r="29787" spans="1:2" x14ac:dyDescent="0.25">
      <c r="A29787" s="2">
        <v>29782</v>
      </c>
      <c r="B29787" s="11" t="str">
        <f>"01071213"</f>
        <v>01071213</v>
      </c>
    </row>
    <row r="29788" spans="1:2" x14ac:dyDescent="0.25">
      <c r="A29788" s="2">
        <v>29783</v>
      </c>
      <c r="B29788" s="11" t="str">
        <f>"01071216"</f>
        <v>01071216</v>
      </c>
    </row>
    <row r="29789" spans="1:2" x14ac:dyDescent="0.25">
      <c r="A29789" s="2">
        <v>29784</v>
      </c>
      <c r="B29789" s="11" t="str">
        <f>"01071217"</f>
        <v>01071217</v>
      </c>
    </row>
    <row r="29790" spans="1:2" x14ac:dyDescent="0.25">
      <c r="A29790" s="2">
        <v>29785</v>
      </c>
      <c r="B29790" s="11" t="str">
        <f>"01071220"</f>
        <v>01071220</v>
      </c>
    </row>
    <row r="29791" spans="1:2" x14ac:dyDescent="0.25">
      <c r="A29791" s="2">
        <v>29786</v>
      </c>
      <c r="B29791" s="11" t="str">
        <f>"01071224"</f>
        <v>01071224</v>
      </c>
    </row>
    <row r="29792" spans="1:2" x14ac:dyDescent="0.25">
      <c r="A29792" s="2">
        <v>29787</v>
      </c>
      <c r="B29792" s="11" t="str">
        <f>"01071231"</f>
        <v>01071231</v>
      </c>
    </row>
    <row r="29793" spans="1:2" x14ac:dyDescent="0.25">
      <c r="A29793" s="2">
        <v>29788</v>
      </c>
      <c r="B29793" s="11" t="str">
        <f>"01071238"</f>
        <v>01071238</v>
      </c>
    </row>
    <row r="29794" spans="1:2" x14ac:dyDescent="0.25">
      <c r="A29794" s="2">
        <v>29789</v>
      </c>
      <c r="B29794" s="11" t="str">
        <f>"01071243"</f>
        <v>01071243</v>
      </c>
    </row>
    <row r="29795" spans="1:2" x14ac:dyDescent="0.25">
      <c r="A29795" s="2">
        <v>29790</v>
      </c>
      <c r="B29795" s="11" t="str">
        <f>"01071245"</f>
        <v>01071245</v>
      </c>
    </row>
    <row r="29796" spans="1:2" x14ac:dyDescent="0.25">
      <c r="A29796" s="2">
        <v>29791</v>
      </c>
      <c r="B29796" s="11" t="str">
        <f>"01071253"</f>
        <v>01071253</v>
      </c>
    </row>
    <row r="29797" spans="1:2" x14ac:dyDescent="0.25">
      <c r="A29797" s="2">
        <v>29792</v>
      </c>
      <c r="B29797" s="11" t="str">
        <f>"01071257"</f>
        <v>01071257</v>
      </c>
    </row>
    <row r="29798" spans="1:2" x14ac:dyDescent="0.25">
      <c r="A29798" s="2">
        <v>29793</v>
      </c>
      <c r="B29798" s="11" t="str">
        <f>"01071260"</f>
        <v>01071260</v>
      </c>
    </row>
    <row r="29799" spans="1:2" x14ac:dyDescent="0.25">
      <c r="A29799" s="2">
        <v>29794</v>
      </c>
      <c r="B29799" s="11" t="str">
        <f>"01071261"</f>
        <v>01071261</v>
      </c>
    </row>
    <row r="29800" spans="1:2" x14ac:dyDescent="0.25">
      <c r="A29800" s="2">
        <v>29795</v>
      </c>
      <c r="B29800" s="11" t="str">
        <f>"01071263"</f>
        <v>01071263</v>
      </c>
    </row>
    <row r="29801" spans="1:2" x14ac:dyDescent="0.25">
      <c r="A29801" s="2">
        <v>29796</v>
      </c>
      <c r="B29801" s="11" t="str">
        <f>"01071282"</f>
        <v>01071282</v>
      </c>
    </row>
    <row r="29802" spans="1:2" x14ac:dyDescent="0.25">
      <c r="A29802" s="2">
        <v>29797</v>
      </c>
      <c r="B29802" s="11" t="str">
        <f>"01071288"</f>
        <v>01071288</v>
      </c>
    </row>
    <row r="29803" spans="1:2" x14ac:dyDescent="0.25">
      <c r="A29803" s="2">
        <v>29798</v>
      </c>
      <c r="B29803" s="11" t="str">
        <f>"01071292"</f>
        <v>01071292</v>
      </c>
    </row>
    <row r="29804" spans="1:2" x14ac:dyDescent="0.25">
      <c r="A29804" s="2">
        <v>29799</v>
      </c>
      <c r="B29804" s="11" t="str">
        <f>"01071293"</f>
        <v>01071293</v>
      </c>
    </row>
    <row r="29805" spans="1:2" x14ac:dyDescent="0.25">
      <c r="A29805" s="2">
        <v>29800</v>
      </c>
      <c r="B29805" s="11" t="str">
        <f>"01071303"</f>
        <v>01071303</v>
      </c>
    </row>
    <row r="29806" spans="1:2" x14ac:dyDescent="0.25">
      <c r="A29806" s="2">
        <v>29801</v>
      </c>
      <c r="B29806" s="11" t="str">
        <f>"01071306"</f>
        <v>01071306</v>
      </c>
    </row>
    <row r="29807" spans="1:2" x14ac:dyDescent="0.25">
      <c r="A29807" s="2">
        <v>29802</v>
      </c>
      <c r="B29807" s="11" t="str">
        <f>"01071307"</f>
        <v>01071307</v>
      </c>
    </row>
    <row r="29808" spans="1:2" x14ac:dyDescent="0.25">
      <c r="A29808" s="2">
        <v>29803</v>
      </c>
      <c r="B29808" s="11" t="str">
        <f>"01071311"</f>
        <v>01071311</v>
      </c>
    </row>
    <row r="29809" spans="1:2" x14ac:dyDescent="0.25">
      <c r="A29809" s="2">
        <v>29804</v>
      </c>
      <c r="B29809" s="11" t="str">
        <f>"01071316"</f>
        <v>01071316</v>
      </c>
    </row>
    <row r="29810" spans="1:2" x14ac:dyDescent="0.25">
      <c r="A29810" s="2">
        <v>29805</v>
      </c>
      <c r="B29810" s="11" t="str">
        <f>"01071324"</f>
        <v>01071324</v>
      </c>
    </row>
    <row r="29811" spans="1:2" x14ac:dyDescent="0.25">
      <c r="A29811" s="2">
        <v>29806</v>
      </c>
      <c r="B29811" s="11" t="str">
        <f>"01071325"</f>
        <v>01071325</v>
      </c>
    </row>
    <row r="29812" spans="1:2" x14ac:dyDescent="0.25">
      <c r="A29812" s="2">
        <v>29807</v>
      </c>
      <c r="B29812" s="11" t="str">
        <f>"01071329"</f>
        <v>01071329</v>
      </c>
    </row>
    <row r="29813" spans="1:2" x14ac:dyDescent="0.25">
      <c r="A29813" s="2">
        <v>29808</v>
      </c>
      <c r="B29813" s="11" t="str">
        <f>"01071336"</f>
        <v>01071336</v>
      </c>
    </row>
    <row r="29814" spans="1:2" x14ac:dyDescent="0.25">
      <c r="A29814" s="2">
        <v>29809</v>
      </c>
      <c r="B29814" s="11" t="str">
        <f>"01071337"</f>
        <v>01071337</v>
      </c>
    </row>
    <row r="29815" spans="1:2" x14ac:dyDescent="0.25">
      <c r="A29815" s="2">
        <v>29810</v>
      </c>
      <c r="B29815" s="11" t="str">
        <f>"01071341"</f>
        <v>01071341</v>
      </c>
    </row>
    <row r="29816" spans="1:2" x14ac:dyDescent="0.25">
      <c r="A29816" s="2">
        <v>29811</v>
      </c>
      <c r="B29816" s="11" t="str">
        <f>"01071343"</f>
        <v>01071343</v>
      </c>
    </row>
    <row r="29817" spans="1:2" x14ac:dyDescent="0.25">
      <c r="A29817" s="2">
        <v>29812</v>
      </c>
      <c r="B29817" s="11" t="str">
        <f>"01071344"</f>
        <v>01071344</v>
      </c>
    </row>
    <row r="29818" spans="1:2" x14ac:dyDescent="0.25">
      <c r="A29818" s="2">
        <v>29813</v>
      </c>
      <c r="B29818" s="11" t="str">
        <f>"01071345"</f>
        <v>01071345</v>
      </c>
    </row>
    <row r="29819" spans="1:2" x14ac:dyDescent="0.25">
      <c r="A29819" s="2">
        <v>29814</v>
      </c>
      <c r="B29819" s="11" t="str">
        <f>"01071352"</f>
        <v>01071352</v>
      </c>
    </row>
    <row r="29820" spans="1:2" x14ac:dyDescent="0.25">
      <c r="A29820" s="2">
        <v>29815</v>
      </c>
      <c r="B29820" s="11" t="str">
        <f>"01071358"</f>
        <v>01071358</v>
      </c>
    </row>
    <row r="29821" spans="1:2" x14ac:dyDescent="0.25">
      <c r="A29821" s="2">
        <v>29816</v>
      </c>
      <c r="B29821" s="11" t="str">
        <f>"01071359"</f>
        <v>01071359</v>
      </c>
    </row>
    <row r="29822" spans="1:2" x14ac:dyDescent="0.25">
      <c r="A29822" s="2">
        <v>29817</v>
      </c>
      <c r="B29822" s="11" t="str">
        <f>"01071363"</f>
        <v>01071363</v>
      </c>
    </row>
    <row r="29823" spans="1:2" x14ac:dyDescent="0.25">
      <c r="A29823" s="2">
        <v>29818</v>
      </c>
      <c r="B29823" s="11" t="str">
        <f>"01071366"</f>
        <v>01071366</v>
      </c>
    </row>
    <row r="29824" spans="1:2" x14ac:dyDescent="0.25">
      <c r="A29824" s="2">
        <v>29819</v>
      </c>
      <c r="B29824" s="11" t="str">
        <f>"01071371"</f>
        <v>01071371</v>
      </c>
    </row>
    <row r="29825" spans="1:2" x14ac:dyDescent="0.25">
      <c r="A29825" s="2">
        <v>29820</v>
      </c>
      <c r="B29825" s="11" t="str">
        <f>"01071374"</f>
        <v>01071374</v>
      </c>
    </row>
    <row r="29826" spans="1:2" x14ac:dyDescent="0.25">
      <c r="A29826" s="2">
        <v>29821</v>
      </c>
      <c r="B29826" s="11" t="str">
        <f>"01071379"</f>
        <v>01071379</v>
      </c>
    </row>
    <row r="29827" spans="1:2" x14ac:dyDescent="0.25">
      <c r="A29827" s="2">
        <v>29822</v>
      </c>
      <c r="B29827" s="11" t="str">
        <f>"01071380"</f>
        <v>01071380</v>
      </c>
    </row>
    <row r="29828" spans="1:2" x14ac:dyDescent="0.25">
      <c r="A29828" s="2">
        <v>29823</v>
      </c>
      <c r="B29828" s="11" t="str">
        <f>"01071390"</f>
        <v>01071390</v>
      </c>
    </row>
    <row r="29829" spans="1:2" x14ac:dyDescent="0.25">
      <c r="A29829" s="2">
        <v>29824</v>
      </c>
      <c r="B29829" s="11" t="str">
        <f>"01071394"</f>
        <v>01071394</v>
      </c>
    </row>
    <row r="29830" spans="1:2" x14ac:dyDescent="0.25">
      <c r="A29830" s="2">
        <v>29825</v>
      </c>
      <c r="B29830" s="11" t="str">
        <f>"01071395"</f>
        <v>01071395</v>
      </c>
    </row>
    <row r="29831" spans="1:2" x14ac:dyDescent="0.25">
      <c r="A29831" s="2">
        <v>29826</v>
      </c>
      <c r="B29831" s="11" t="str">
        <f>"01071401"</f>
        <v>01071401</v>
      </c>
    </row>
    <row r="29832" spans="1:2" x14ac:dyDescent="0.25">
      <c r="A29832" s="2">
        <v>29827</v>
      </c>
      <c r="B29832" s="11" t="str">
        <f>"01071402"</f>
        <v>01071402</v>
      </c>
    </row>
    <row r="29833" spans="1:2" x14ac:dyDescent="0.25">
      <c r="A29833" s="2">
        <v>29828</v>
      </c>
      <c r="B29833" s="11" t="str">
        <f>"01071403"</f>
        <v>01071403</v>
      </c>
    </row>
    <row r="29834" spans="1:2" x14ac:dyDescent="0.25">
      <c r="A29834" s="2">
        <v>29829</v>
      </c>
      <c r="B29834" s="11" t="str">
        <f>"01071405"</f>
        <v>01071405</v>
      </c>
    </row>
    <row r="29835" spans="1:2" x14ac:dyDescent="0.25">
      <c r="A29835" s="2">
        <v>29830</v>
      </c>
      <c r="B29835" s="11" t="str">
        <f>"01071412"</f>
        <v>01071412</v>
      </c>
    </row>
    <row r="29836" spans="1:2" x14ac:dyDescent="0.25">
      <c r="A29836" s="2">
        <v>29831</v>
      </c>
      <c r="B29836" s="11" t="str">
        <f>"01071416"</f>
        <v>01071416</v>
      </c>
    </row>
    <row r="29837" spans="1:2" x14ac:dyDescent="0.25">
      <c r="A29837" s="2">
        <v>29832</v>
      </c>
      <c r="B29837" s="11" t="str">
        <f>"01071418"</f>
        <v>01071418</v>
      </c>
    </row>
    <row r="29838" spans="1:2" x14ac:dyDescent="0.25">
      <c r="A29838" s="2">
        <v>29833</v>
      </c>
      <c r="B29838" s="11" t="str">
        <f>"01071419"</f>
        <v>01071419</v>
      </c>
    </row>
    <row r="29839" spans="1:2" x14ac:dyDescent="0.25">
      <c r="A29839" s="2">
        <v>29834</v>
      </c>
      <c r="B29839" s="11" t="str">
        <f>"01071421"</f>
        <v>01071421</v>
      </c>
    </row>
    <row r="29840" spans="1:2" x14ac:dyDescent="0.25">
      <c r="A29840" s="2">
        <v>29835</v>
      </c>
      <c r="B29840" s="11" t="str">
        <f>"01071426"</f>
        <v>01071426</v>
      </c>
    </row>
    <row r="29841" spans="1:2" x14ac:dyDescent="0.25">
      <c r="A29841" s="2">
        <v>29836</v>
      </c>
      <c r="B29841" s="11" t="str">
        <f>"01071429"</f>
        <v>01071429</v>
      </c>
    </row>
    <row r="29842" spans="1:2" x14ac:dyDescent="0.25">
      <c r="A29842" s="2">
        <v>29837</v>
      </c>
      <c r="B29842" s="11" t="str">
        <f>"01071430"</f>
        <v>01071430</v>
      </c>
    </row>
    <row r="29843" spans="1:2" x14ac:dyDescent="0.25">
      <c r="A29843" s="2">
        <v>29838</v>
      </c>
      <c r="B29843" s="11" t="str">
        <f>"01071440"</f>
        <v>01071440</v>
      </c>
    </row>
    <row r="29844" spans="1:2" x14ac:dyDescent="0.25">
      <c r="A29844" s="2">
        <v>29839</v>
      </c>
      <c r="B29844" s="11" t="str">
        <f>"01071442"</f>
        <v>01071442</v>
      </c>
    </row>
    <row r="29845" spans="1:2" x14ac:dyDescent="0.25">
      <c r="A29845" s="2">
        <v>29840</v>
      </c>
      <c r="B29845" s="11" t="str">
        <f>"01071446"</f>
        <v>01071446</v>
      </c>
    </row>
    <row r="29846" spans="1:2" x14ac:dyDescent="0.25">
      <c r="A29846" s="2">
        <v>29841</v>
      </c>
      <c r="B29846" s="11" t="str">
        <f>"01071448"</f>
        <v>01071448</v>
      </c>
    </row>
    <row r="29847" spans="1:2" x14ac:dyDescent="0.25">
      <c r="A29847" s="2">
        <v>29842</v>
      </c>
      <c r="B29847" s="11" t="str">
        <f>"01071452"</f>
        <v>01071452</v>
      </c>
    </row>
    <row r="29848" spans="1:2" x14ac:dyDescent="0.25">
      <c r="A29848" s="2">
        <v>29843</v>
      </c>
      <c r="B29848" s="11" t="str">
        <f>"01071454"</f>
        <v>01071454</v>
      </c>
    </row>
    <row r="29849" spans="1:2" x14ac:dyDescent="0.25">
      <c r="A29849" s="2">
        <v>29844</v>
      </c>
      <c r="B29849" s="11" t="str">
        <f>"01071455"</f>
        <v>01071455</v>
      </c>
    </row>
    <row r="29850" spans="1:2" x14ac:dyDescent="0.25">
      <c r="A29850" s="2">
        <v>29845</v>
      </c>
      <c r="B29850" s="11" t="str">
        <f>"01071456"</f>
        <v>01071456</v>
      </c>
    </row>
    <row r="29851" spans="1:2" x14ac:dyDescent="0.25">
      <c r="A29851" s="2">
        <v>29846</v>
      </c>
      <c r="B29851" s="11" t="str">
        <f>"01071461"</f>
        <v>01071461</v>
      </c>
    </row>
    <row r="29852" spans="1:2" x14ac:dyDescent="0.25">
      <c r="A29852" s="2">
        <v>29847</v>
      </c>
      <c r="B29852" s="11" t="str">
        <f>"01071462"</f>
        <v>01071462</v>
      </c>
    </row>
    <row r="29853" spans="1:2" x14ac:dyDescent="0.25">
      <c r="A29853" s="2">
        <v>29848</v>
      </c>
      <c r="B29853" s="11" t="str">
        <f>"01071480"</f>
        <v>01071480</v>
      </c>
    </row>
    <row r="29854" spans="1:2" x14ac:dyDescent="0.25">
      <c r="A29854" s="2">
        <v>29849</v>
      </c>
      <c r="B29854" s="11" t="str">
        <f>"01071481"</f>
        <v>01071481</v>
      </c>
    </row>
    <row r="29855" spans="1:2" x14ac:dyDescent="0.25">
      <c r="A29855" s="2">
        <v>29850</v>
      </c>
      <c r="B29855" s="11" t="str">
        <f>"01071482"</f>
        <v>01071482</v>
      </c>
    </row>
    <row r="29856" spans="1:2" x14ac:dyDescent="0.25">
      <c r="A29856" s="2">
        <v>29851</v>
      </c>
      <c r="B29856" s="11" t="str">
        <f>"01071487"</f>
        <v>01071487</v>
      </c>
    </row>
    <row r="29857" spans="1:2" x14ac:dyDescent="0.25">
      <c r="A29857" s="2">
        <v>29852</v>
      </c>
      <c r="B29857" s="11" t="str">
        <f>"01071491"</f>
        <v>01071491</v>
      </c>
    </row>
    <row r="29858" spans="1:2" x14ac:dyDescent="0.25">
      <c r="A29858" s="2">
        <v>29853</v>
      </c>
      <c r="B29858" s="11" t="str">
        <f>"01071499"</f>
        <v>01071499</v>
      </c>
    </row>
    <row r="29859" spans="1:2" x14ac:dyDescent="0.25">
      <c r="A29859" s="2">
        <v>29854</v>
      </c>
      <c r="B29859" s="11" t="str">
        <f>"01071500"</f>
        <v>01071500</v>
      </c>
    </row>
    <row r="29860" spans="1:2" x14ac:dyDescent="0.25">
      <c r="A29860" s="2">
        <v>29855</v>
      </c>
      <c r="B29860" s="11" t="str">
        <f>"01071503"</f>
        <v>01071503</v>
      </c>
    </row>
    <row r="29861" spans="1:2" x14ac:dyDescent="0.25">
      <c r="A29861" s="2">
        <v>29856</v>
      </c>
      <c r="B29861" s="11" t="str">
        <f>"01071508"</f>
        <v>01071508</v>
      </c>
    </row>
    <row r="29862" spans="1:2" x14ac:dyDescent="0.25">
      <c r="A29862" s="2">
        <v>29857</v>
      </c>
      <c r="B29862" s="11" t="str">
        <f>"01071509"</f>
        <v>01071509</v>
      </c>
    </row>
    <row r="29863" spans="1:2" x14ac:dyDescent="0.25">
      <c r="A29863" s="2">
        <v>29858</v>
      </c>
      <c r="B29863" s="11" t="str">
        <f>"01071510"</f>
        <v>01071510</v>
      </c>
    </row>
    <row r="29864" spans="1:2" x14ac:dyDescent="0.25">
      <c r="A29864" s="2">
        <v>29859</v>
      </c>
      <c r="B29864" s="11" t="str">
        <f>"01071512"</f>
        <v>01071512</v>
      </c>
    </row>
    <row r="29865" spans="1:2" x14ac:dyDescent="0.25">
      <c r="A29865" s="2">
        <v>29860</v>
      </c>
      <c r="B29865" s="11" t="str">
        <f>"01071513"</f>
        <v>01071513</v>
      </c>
    </row>
    <row r="29866" spans="1:2" x14ac:dyDescent="0.25">
      <c r="A29866" s="2">
        <v>29861</v>
      </c>
      <c r="B29866" s="11" t="str">
        <f>"01071516"</f>
        <v>01071516</v>
      </c>
    </row>
    <row r="29867" spans="1:2" x14ac:dyDescent="0.25">
      <c r="A29867" s="2">
        <v>29862</v>
      </c>
      <c r="B29867" s="11" t="str">
        <f>"01071518"</f>
        <v>01071518</v>
      </c>
    </row>
    <row r="29868" spans="1:2" x14ac:dyDescent="0.25">
      <c r="A29868" s="2">
        <v>29863</v>
      </c>
      <c r="B29868" s="11" t="str">
        <f>"01071520"</f>
        <v>01071520</v>
      </c>
    </row>
    <row r="29869" spans="1:2" x14ac:dyDescent="0.25">
      <c r="A29869" s="2">
        <v>29864</v>
      </c>
      <c r="B29869" s="11" t="str">
        <f>"01071526"</f>
        <v>01071526</v>
      </c>
    </row>
    <row r="29870" spans="1:2" x14ac:dyDescent="0.25">
      <c r="A29870" s="2">
        <v>29865</v>
      </c>
      <c r="B29870" s="11" t="str">
        <f>"01071528"</f>
        <v>01071528</v>
      </c>
    </row>
    <row r="29871" spans="1:2" x14ac:dyDescent="0.25">
      <c r="A29871" s="2">
        <v>29866</v>
      </c>
      <c r="B29871" s="11" t="str">
        <f>"01071529"</f>
        <v>01071529</v>
      </c>
    </row>
    <row r="29872" spans="1:2" x14ac:dyDescent="0.25">
      <c r="A29872" s="2">
        <v>29867</v>
      </c>
      <c r="B29872" s="11" t="str">
        <f>"01071532"</f>
        <v>01071532</v>
      </c>
    </row>
    <row r="29873" spans="1:2" x14ac:dyDescent="0.25">
      <c r="A29873" s="2">
        <v>29868</v>
      </c>
      <c r="B29873" s="11" t="str">
        <f>"01071555"</f>
        <v>01071555</v>
      </c>
    </row>
    <row r="29874" spans="1:2" x14ac:dyDescent="0.25">
      <c r="A29874" s="2">
        <v>29869</v>
      </c>
      <c r="B29874" s="11" t="str">
        <f>"01071558"</f>
        <v>01071558</v>
      </c>
    </row>
    <row r="29875" spans="1:2" x14ac:dyDescent="0.25">
      <c r="A29875" s="2">
        <v>29870</v>
      </c>
      <c r="B29875" s="11" t="str">
        <f>"01071564"</f>
        <v>01071564</v>
      </c>
    </row>
    <row r="29876" spans="1:2" x14ac:dyDescent="0.25">
      <c r="A29876" s="2">
        <v>29871</v>
      </c>
      <c r="B29876" s="11" t="str">
        <f>"01071565"</f>
        <v>01071565</v>
      </c>
    </row>
    <row r="29877" spans="1:2" x14ac:dyDescent="0.25">
      <c r="A29877" s="2">
        <v>29872</v>
      </c>
      <c r="B29877" s="11" t="str">
        <f>"01071572"</f>
        <v>01071572</v>
      </c>
    </row>
    <row r="29878" spans="1:2" x14ac:dyDescent="0.25">
      <c r="A29878" s="2">
        <v>29873</v>
      </c>
      <c r="B29878" s="11" t="str">
        <f>"01071580"</f>
        <v>01071580</v>
      </c>
    </row>
    <row r="29879" spans="1:2" x14ac:dyDescent="0.25">
      <c r="A29879" s="2">
        <v>29874</v>
      </c>
      <c r="B29879" s="11" t="str">
        <f>"01071583"</f>
        <v>01071583</v>
      </c>
    </row>
    <row r="29880" spans="1:2" x14ac:dyDescent="0.25">
      <c r="A29880" s="2">
        <v>29875</v>
      </c>
      <c r="B29880" s="11" t="str">
        <f>"01071587"</f>
        <v>01071587</v>
      </c>
    </row>
    <row r="29881" spans="1:2" x14ac:dyDescent="0.25">
      <c r="A29881" s="2">
        <v>29876</v>
      </c>
      <c r="B29881" s="11" t="str">
        <f>"01071588"</f>
        <v>01071588</v>
      </c>
    </row>
    <row r="29882" spans="1:2" x14ac:dyDescent="0.25">
      <c r="A29882" s="2">
        <v>29877</v>
      </c>
      <c r="B29882" s="11" t="str">
        <f>"01071594"</f>
        <v>01071594</v>
      </c>
    </row>
    <row r="29883" spans="1:2" x14ac:dyDescent="0.25">
      <c r="A29883" s="2">
        <v>29878</v>
      </c>
      <c r="B29883" s="11" t="str">
        <f>"01071597"</f>
        <v>01071597</v>
      </c>
    </row>
    <row r="29884" spans="1:2" x14ac:dyDescent="0.25">
      <c r="A29884" s="2">
        <v>29879</v>
      </c>
      <c r="B29884" s="11" t="str">
        <f>"01071600"</f>
        <v>01071600</v>
      </c>
    </row>
    <row r="29885" spans="1:2" x14ac:dyDescent="0.25">
      <c r="A29885" s="2">
        <v>29880</v>
      </c>
      <c r="B29885" s="11" t="str">
        <f>"01071602"</f>
        <v>01071602</v>
      </c>
    </row>
    <row r="29886" spans="1:2" x14ac:dyDescent="0.25">
      <c r="A29886" s="2">
        <v>29881</v>
      </c>
      <c r="B29886" s="11" t="str">
        <f>"01071603"</f>
        <v>01071603</v>
      </c>
    </row>
    <row r="29887" spans="1:2" x14ac:dyDescent="0.25">
      <c r="A29887" s="2">
        <v>29882</v>
      </c>
      <c r="B29887" s="11" t="str">
        <f>"01071604"</f>
        <v>01071604</v>
      </c>
    </row>
    <row r="29888" spans="1:2" x14ac:dyDescent="0.25">
      <c r="A29888" s="2">
        <v>29883</v>
      </c>
      <c r="B29888" s="11" t="str">
        <f>"01071607"</f>
        <v>01071607</v>
      </c>
    </row>
    <row r="29889" spans="1:2" x14ac:dyDescent="0.25">
      <c r="A29889" s="2">
        <v>29884</v>
      </c>
      <c r="B29889" s="11" t="str">
        <f>"01071608"</f>
        <v>01071608</v>
      </c>
    </row>
    <row r="29890" spans="1:2" x14ac:dyDescent="0.25">
      <c r="A29890" s="2">
        <v>29885</v>
      </c>
      <c r="B29890" s="11" t="str">
        <f>"01071610"</f>
        <v>01071610</v>
      </c>
    </row>
    <row r="29891" spans="1:2" x14ac:dyDescent="0.25">
      <c r="A29891" s="2">
        <v>29886</v>
      </c>
      <c r="B29891" s="11" t="str">
        <f>"01071616"</f>
        <v>01071616</v>
      </c>
    </row>
    <row r="29892" spans="1:2" x14ac:dyDescent="0.25">
      <c r="A29892" s="2">
        <v>29887</v>
      </c>
      <c r="B29892" s="11" t="str">
        <f>"01071619"</f>
        <v>01071619</v>
      </c>
    </row>
    <row r="29893" spans="1:2" x14ac:dyDescent="0.25">
      <c r="A29893" s="2">
        <v>29888</v>
      </c>
      <c r="B29893" s="11" t="str">
        <f>"01071622"</f>
        <v>01071622</v>
      </c>
    </row>
    <row r="29894" spans="1:2" x14ac:dyDescent="0.25">
      <c r="A29894" s="2">
        <v>29889</v>
      </c>
      <c r="B29894" s="11" t="str">
        <f>"01071623"</f>
        <v>01071623</v>
      </c>
    </row>
    <row r="29895" spans="1:2" x14ac:dyDescent="0.25">
      <c r="A29895" s="2">
        <v>29890</v>
      </c>
      <c r="B29895" s="11" t="str">
        <f>"01071624"</f>
        <v>01071624</v>
      </c>
    </row>
    <row r="29896" spans="1:2" x14ac:dyDescent="0.25">
      <c r="A29896" s="2">
        <v>29891</v>
      </c>
      <c r="B29896" s="11" t="str">
        <f>"01071627"</f>
        <v>01071627</v>
      </c>
    </row>
    <row r="29897" spans="1:2" x14ac:dyDescent="0.25">
      <c r="A29897" s="2">
        <v>29892</v>
      </c>
      <c r="B29897" s="11" t="str">
        <f>"01071629"</f>
        <v>01071629</v>
      </c>
    </row>
    <row r="29898" spans="1:2" x14ac:dyDescent="0.25">
      <c r="A29898" s="2">
        <v>29893</v>
      </c>
      <c r="B29898" s="11" t="str">
        <f>"01071636"</f>
        <v>01071636</v>
      </c>
    </row>
    <row r="29899" spans="1:2" x14ac:dyDescent="0.25">
      <c r="A29899" s="2">
        <v>29894</v>
      </c>
      <c r="B29899" s="11" t="str">
        <f>"01071637"</f>
        <v>01071637</v>
      </c>
    </row>
    <row r="29900" spans="1:2" x14ac:dyDescent="0.25">
      <c r="A29900" s="2">
        <v>29895</v>
      </c>
      <c r="B29900" s="11" t="str">
        <f>"01071646"</f>
        <v>01071646</v>
      </c>
    </row>
    <row r="29901" spans="1:2" x14ac:dyDescent="0.25">
      <c r="A29901" s="2">
        <v>29896</v>
      </c>
      <c r="B29901" s="11" t="str">
        <f>"01071652"</f>
        <v>01071652</v>
      </c>
    </row>
    <row r="29902" spans="1:2" x14ac:dyDescent="0.25">
      <c r="A29902" s="2">
        <v>29897</v>
      </c>
      <c r="B29902" s="11" t="str">
        <f>"01071654"</f>
        <v>01071654</v>
      </c>
    </row>
    <row r="29903" spans="1:2" x14ac:dyDescent="0.25">
      <c r="A29903" s="2">
        <v>29898</v>
      </c>
      <c r="B29903" s="11" t="str">
        <f>"01071660"</f>
        <v>01071660</v>
      </c>
    </row>
    <row r="29904" spans="1:2" x14ac:dyDescent="0.25">
      <c r="A29904" s="2">
        <v>29899</v>
      </c>
      <c r="B29904" s="11" t="str">
        <f>"01071663"</f>
        <v>01071663</v>
      </c>
    </row>
    <row r="29905" spans="1:2" x14ac:dyDescent="0.25">
      <c r="A29905" s="2">
        <v>29900</v>
      </c>
      <c r="B29905" s="11" t="str">
        <f>"01071671"</f>
        <v>01071671</v>
      </c>
    </row>
    <row r="29906" spans="1:2" x14ac:dyDescent="0.25">
      <c r="A29906" s="2">
        <v>29901</v>
      </c>
      <c r="B29906" s="11" t="str">
        <f>"01071677"</f>
        <v>01071677</v>
      </c>
    </row>
    <row r="29907" spans="1:2" x14ac:dyDescent="0.25">
      <c r="A29907" s="2">
        <v>29902</v>
      </c>
      <c r="B29907" s="11" t="str">
        <f>"01071687"</f>
        <v>01071687</v>
      </c>
    </row>
    <row r="29908" spans="1:2" x14ac:dyDescent="0.25">
      <c r="A29908" s="2">
        <v>29903</v>
      </c>
      <c r="B29908" s="11" t="str">
        <f>"01071696"</f>
        <v>01071696</v>
      </c>
    </row>
    <row r="29909" spans="1:2" x14ac:dyDescent="0.25">
      <c r="A29909" s="2">
        <v>29904</v>
      </c>
      <c r="B29909" s="11" t="str">
        <f>"01071698"</f>
        <v>01071698</v>
      </c>
    </row>
    <row r="29910" spans="1:2" x14ac:dyDescent="0.25">
      <c r="A29910" s="2">
        <v>29905</v>
      </c>
      <c r="B29910" s="11" t="str">
        <f>"01071701"</f>
        <v>01071701</v>
      </c>
    </row>
    <row r="29911" spans="1:2" x14ac:dyDescent="0.25">
      <c r="A29911" s="2">
        <v>29906</v>
      </c>
      <c r="B29911" s="11" t="str">
        <f>"01071708"</f>
        <v>01071708</v>
      </c>
    </row>
    <row r="29912" spans="1:2" x14ac:dyDescent="0.25">
      <c r="A29912" s="2">
        <v>29907</v>
      </c>
      <c r="B29912" s="11" t="str">
        <f>"01071716"</f>
        <v>01071716</v>
      </c>
    </row>
    <row r="29913" spans="1:2" x14ac:dyDescent="0.25">
      <c r="A29913" s="2">
        <v>29908</v>
      </c>
      <c r="B29913" s="11" t="str">
        <f>"01071722"</f>
        <v>01071722</v>
      </c>
    </row>
    <row r="29914" spans="1:2" x14ac:dyDescent="0.25">
      <c r="A29914" s="2">
        <v>29909</v>
      </c>
      <c r="B29914" s="11" t="str">
        <f>"01071724"</f>
        <v>01071724</v>
      </c>
    </row>
    <row r="29915" spans="1:2" x14ac:dyDescent="0.25">
      <c r="A29915" s="2">
        <v>29910</v>
      </c>
      <c r="B29915" s="11" t="str">
        <f>"01071725"</f>
        <v>01071725</v>
      </c>
    </row>
    <row r="29916" spans="1:2" x14ac:dyDescent="0.25">
      <c r="A29916" s="2">
        <v>29911</v>
      </c>
      <c r="B29916" s="11" t="str">
        <f>"01071733"</f>
        <v>01071733</v>
      </c>
    </row>
    <row r="29917" spans="1:2" x14ac:dyDescent="0.25">
      <c r="A29917" s="2">
        <v>29912</v>
      </c>
      <c r="B29917" s="11" t="str">
        <f>"01071738"</f>
        <v>01071738</v>
      </c>
    </row>
    <row r="29918" spans="1:2" x14ac:dyDescent="0.25">
      <c r="A29918" s="2">
        <v>29913</v>
      </c>
      <c r="B29918" s="11" t="str">
        <f>"01071743"</f>
        <v>01071743</v>
      </c>
    </row>
    <row r="29919" spans="1:2" x14ac:dyDescent="0.25">
      <c r="A29919" s="2">
        <v>29914</v>
      </c>
      <c r="B29919" s="11" t="str">
        <f>"01071758"</f>
        <v>01071758</v>
      </c>
    </row>
    <row r="29920" spans="1:2" x14ac:dyDescent="0.25">
      <c r="A29920" s="2">
        <v>29915</v>
      </c>
      <c r="B29920" s="11" t="str">
        <f>"01071762"</f>
        <v>01071762</v>
      </c>
    </row>
    <row r="29921" spans="1:2" x14ac:dyDescent="0.25">
      <c r="A29921" s="2">
        <v>29916</v>
      </c>
      <c r="B29921" s="11" t="str">
        <f>"01071765"</f>
        <v>01071765</v>
      </c>
    </row>
    <row r="29922" spans="1:2" x14ac:dyDescent="0.25">
      <c r="A29922" s="2">
        <v>29917</v>
      </c>
      <c r="B29922" s="11" t="str">
        <f>"01071768"</f>
        <v>01071768</v>
      </c>
    </row>
    <row r="29923" spans="1:2" x14ac:dyDescent="0.25">
      <c r="A29923" s="2">
        <v>29918</v>
      </c>
      <c r="B29923" s="11" t="str">
        <f>"01071769"</f>
        <v>01071769</v>
      </c>
    </row>
    <row r="29924" spans="1:2" x14ac:dyDescent="0.25">
      <c r="A29924" s="2">
        <v>29919</v>
      </c>
      <c r="B29924" s="11" t="str">
        <f>"01071771"</f>
        <v>01071771</v>
      </c>
    </row>
    <row r="29925" spans="1:2" x14ac:dyDescent="0.25">
      <c r="A29925" s="2">
        <v>29920</v>
      </c>
      <c r="B29925" s="11" t="str">
        <f>"01071781"</f>
        <v>01071781</v>
      </c>
    </row>
    <row r="29926" spans="1:2" x14ac:dyDescent="0.25">
      <c r="A29926" s="2">
        <v>29921</v>
      </c>
      <c r="B29926" s="11" t="str">
        <f>"01071786"</f>
        <v>01071786</v>
      </c>
    </row>
    <row r="29927" spans="1:2" x14ac:dyDescent="0.25">
      <c r="A29927" s="2">
        <v>29922</v>
      </c>
      <c r="B29927" s="11" t="str">
        <f>"01071792"</f>
        <v>01071792</v>
      </c>
    </row>
    <row r="29928" spans="1:2" x14ac:dyDescent="0.25">
      <c r="A29928" s="2">
        <v>29923</v>
      </c>
      <c r="B29928" s="11" t="str">
        <f>"01071796"</f>
        <v>01071796</v>
      </c>
    </row>
    <row r="29929" spans="1:2" x14ac:dyDescent="0.25">
      <c r="A29929" s="2">
        <v>29924</v>
      </c>
      <c r="B29929" s="11" t="str">
        <f>"01071797"</f>
        <v>01071797</v>
      </c>
    </row>
    <row r="29930" spans="1:2" x14ac:dyDescent="0.25">
      <c r="A29930" s="2">
        <v>29925</v>
      </c>
      <c r="B29930" s="11" t="str">
        <f>"01071810"</f>
        <v>01071810</v>
      </c>
    </row>
    <row r="29931" spans="1:2" x14ac:dyDescent="0.25">
      <c r="A29931" s="2">
        <v>29926</v>
      </c>
      <c r="B29931" s="11" t="str">
        <f>"01071820"</f>
        <v>01071820</v>
      </c>
    </row>
    <row r="29932" spans="1:2" x14ac:dyDescent="0.25">
      <c r="A29932" s="2">
        <v>29927</v>
      </c>
      <c r="B29932" s="11" t="str">
        <f>"01071823"</f>
        <v>01071823</v>
      </c>
    </row>
    <row r="29933" spans="1:2" x14ac:dyDescent="0.25">
      <c r="A29933" s="2">
        <v>29928</v>
      </c>
      <c r="B29933" s="11" t="str">
        <f>"01071826"</f>
        <v>01071826</v>
      </c>
    </row>
    <row r="29934" spans="1:2" x14ac:dyDescent="0.25">
      <c r="A29934" s="2">
        <v>29929</v>
      </c>
      <c r="B29934" s="11" t="str">
        <f>"01071828"</f>
        <v>01071828</v>
      </c>
    </row>
    <row r="29935" spans="1:2" x14ac:dyDescent="0.25">
      <c r="A29935" s="2">
        <v>29930</v>
      </c>
      <c r="B29935" s="11" t="str">
        <f>"01071830"</f>
        <v>01071830</v>
      </c>
    </row>
    <row r="29936" spans="1:2" x14ac:dyDescent="0.25">
      <c r="A29936" s="2">
        <v>29931</v>
      </c>
      <c r="B29936" s="11" t="str">
        <f>"01071836"</f>
        <v>01071836</v>
      </c>
    </row>
    <row r="29937" spans="1:2" x14ac:dyDescent="0.25">
      <c r="A29937" s="2">
        <v>29932</v>
      </c>
      <c r="B29937" s="11" t="str">
        <f>"01071837"</f>
        <v>01071837</v>
      </c>
    </row>
    <row r="29938" spans="1:2" x14ac:dyDescent="0.25">
      <c r="A29938" s="2">
        <v>29933</v>
      </c>
      <c r="B29938" s="11" t="str">
        <f>"01071838"</f>
        <v>01071838</v>
      </c>
    </row>
    <row r="29939" spans="1:2" x14ac:dyDescent="0.25">
      <c r="A29939" s="2">
        <v>29934</v>
      </c>
      <c r="B29939" s="11" t="str">
        <f>"01071839"</f>
        <v>01071839</v>
      </c>
    </row>
    <row r="29940" spans="1:2" x14ac:dyDescent="0.25">
      <c r="A29940" s="2">
        <v>29935</v>
      </c>
      <c r="B29940" s="11" t="str">
        <f>"01071841"</f>
        <v>01071841</v>
      </c>
    </row>
    <row r="29941" spans="1:2" x14ac:dyDescent="0.25">
      <c r="A29941" s="2">
        <v>29936</v>
      </c>
      <c r="B29941" s="11" t="str">
        <f>"01071845"</f>
        <v>01071845</v>
      </c>
    </row>
    <row r="29942" spans="1:2" x14ac:dyDescent="0.25">
      <c r="A29942" s="2">
        <v>29937</v>
      </c>
      <c r="B29942" s="11" t="str">
        <f>"01071851"</f>
        <v>01071851</v>
      </c>
    </row>
    <row r="29943" spans="1:2" x14ac:dyDescent="0.25">
      <c r="A29943" s="2">
        <v>29938</v>
      </c>
      <c r="B29943" s="11" t="str">
        <f>"01071852"</f>
        <v>01071852</v>
      </c>
    </row>
    <row r="29944" spans="1:2" x14ac:dyDescent="0.25">
      <c r="A29944" s="2">
        <v>29939</v>
      </c>
      <c r="B29944" s="11" t="str">
        <f>"01071863"</f>
        <v>01071863</v>
      </c>
    </row>
    <row r="29945" spans="1:2" x14ac:dyDescent="0.25">
      <c r="A29945" s="2">
        <v>29940</v>
      </c>
      <c r="B29945" s="11" t="str">
        <f>"01071864"</f>
        <v>01071864</v>
      </c>
    </row>
    <row r="29946" spans="1:2" x14ac:dyDescent="0.25">
      <c r="A29946" s="2">
        <v>29941</v>
      </c>
      <c r="B29946" s="11" t="str">
        <f>"01071868"</f>
        <v>01071868</v>
      </c>
    </row>
    <row r="29947" spans="1:2" x14ac:dyDescent="0.25">
      <c r="A29947" s="2">
        <v>29942</v>
      </c>
      <c r="B29947" s="11" t="str">
        <f>"01071869"</f>
        <v>01071869</v>
      </c>
    </row>
    <row r="29948" spans="1:2" x14ac:dyDescent="0.25">
      <c r="A29948" s="2">
        <v>29943</v>
      </c>
      <c r="B29948" s="11" t="str">
        <f>"01071874"</f>
        <v>01071874</v>
      </c>
    </row>
    <row r="29949" spans="1:2" x14ac:dyDescent="0.25">
      <c r="A29949" s="2">
        <v>29944</v>
      </c>
      <c r="B29949" s="11" t="str">
        <f>"01071876"</f>
        <v>01071876</v>
      </c>
    </row>
    <row r="29950" spans="1:2" x14ac:dyDescent="0.25">
      <c r="A29950" s="2">
        <v>29945</v>
      </c>
      <c r="B29950" s="11" t="str">
        <f>"01071877"</f>
        <v>01071877</v>
      </c>
    </row>
    <row r="29951" spans="1:2" x14ac:dyDescent="0.25">
      <c r="A29951" s="2">
        <v>29946</v>
      </c>
      <c r="B29951" s="11" t="str">
        <f>"01071884"</f>
        <v>01071884</v>
      </c>
    </row>
    <row r="29952" spans="1:2" x14ac:dyDescent="0.25">
      <c r="A29952" s="2">
        <v>29947</v>
      </c>
      <c r="B29952" s="11" t="str">
        <f>"01071893"</f>
        <v>01071893</v>
      </c>
    </row>
    <row r="29953" spans="1:2" x14ac:dyDescent="0.25">
      <c r="A29953" s="2">
        <v>29948</v>
      </c>
      <c r="B29953" s="11" t="str">
        <f>"01071898"</f>
        <v>01071898</v>
      </c>
    </row>
    <row r="29954" spans="1:2" x14ac:dyDescent="0.25">
      <c r="A29954" s="2">
        <v>29949</v>
      </c>
      <c r="B29954" s="11" t="str">
        <f>"01071899"</f>
        <v>01071899</v>
      </c>
    </row>
    <row r="29955" spans="1:2" x14ac:dyDescent="0.25">
      <c r="A29955" s="2">
        <v>29950</v>
      </c>
      <c r="B29955" s="11" t="str">
        <f>"01071905"</f>
        <v>01071905</v>
      </c>
    </row>
    <row r="29956" spans="1:2" x14ac:dyDescent="0.25">
      <c r="A29956" s="2">
        <v>29951</v>
      </c>
      <c r="B29956" s="11" t="str">
        <f>"01071909"</f>
        <v>01071909</v>
      </c>
    </row>
    <row r="29957" spans="1:2" x14ac:dyDescent="0.25">
      <c r="A29957" s="2">
        <v>29952</v>
      </c>
      <c r="B29957" s="11" t="str">
        <f>"01071915"</f>
        <v>01071915</v>
      </c>
    </row>
    <row r="29958" spans="1:2" x14ac:dyDescent="0.25">
      <c r="A29958" s="2">
        <v>29953</v>
      </c>
      <c r="B29958" s="11" t="str">
        <f>"01071919"</f>
        <v>01071919</v>
      </c>
    </row>
    <row r="29959" spans="1:2" x14ac:dyDescent="0.25">
      <c r="A29959" s="2">
        <v>29954</v>
      </c>
      <c r="B29959" s="11" t="str">
        <f>"01071922"</f>
        <v>01071922</v>
      </c>
    </row>
    <row r="29960" spans="1:2" x14ac:dyDescent="0.25">
      <c r="A29960" s="2">
        <v>29955</v>
      </c>
      <c r="B29960" s="11" t="str">
        <f>"01071928"</f>
        <v>01071928</v>
      </c>
    </row>
    <row r="29961" spans="1:2" x14ac:dyDescent="0.25">
      <c r="A29961" s="2">
        <v>29956</v>
      </c>
      <c r="B29961" s="11" t="str">
        <f>"01071945"</f>
        <v>01071945</v>
      </c>
    </row>
    <row r="29962" spans="1:2" x14ac:dyDescent="0.25">
      <c r="A29962" s="2">
        <v>29957</v>
      </c>
      <c r="B29962" s="11" t="str">
        <f>"01071947"</f>
        <v>01071947</v>
      </c>
    </row>
    <row r="29963" spans="1:2" x14ac:dyDescent="0.25">
      <c r="A29963" s="2">
        <v>29958</v>
      </c>
      <c r="B29963" s="11" t="str">
        <f>"01071948"</f>
        <v>01071948</v>
      </c>
    </row>
    <row r="29964" spans="1:2" x14ac:dyDescent="0.25">
      <c r="A29964" s="2">
        <v>29959</v>
      </c>
      <c r="B29964" s="11" t="str">
        <f>"01071951"</f>
        <v>01071951</v>
      </c>
    </row>
    <row r="29965" spans="1:2" x14ac:dyDescent="0.25">
      <c r="A29965" s="2">
        <v>29960</v>
      </c>
      <c r="B29965" s="11" t="str">
        <f>"01071957"</f>
        <v>01071957</v>
      </c>
    </row>
    <row r="29966" spans="1:2" x14ac:dyDescent="0.25">
      <c r="A29966" s="2">
        <v>29961</v>
      </c>
      <c r="B29966" s="11" t="str">
        <f>"01071964"</f>
        <v>01071964</v>
      </c>
    </row>
    <row r="29967" spans="1:2" x14ac:dyDescent="0.25">
      <c r="A29967" s="2">
        <v>29962</v>
      </c>
      <c r="B29967" s="11" t="str">
        <f>"01071965"</f>
        <v>01071965</v>
      </c>
    </row>
    <row r="29968" spans="1:2" x14ac:dyDescent="0.25">
      <c r="A29968" s="2">
        <v>29963</v>
      </c>
      <c r="B29968" s="11" t="str">
        <f>"01071985"</f>
        <v>01071985</v>
      </c>
    </row>
    <row r="29969" spans="1:2" x14ac:dyDescent="0.25">
      <c r="A29969" s="2">
        <v>29964</v>
      </c>
      <c r="B29969" s="11" t="str">
        <f>"01071986"</f>
        <v>01071986</v>
      </c>
    </row>
    <row r="29970" spans="1:2" x14ac:dyDescent="0.25">
      <c r="A29970" s="2">
        <v>29965</v>
      </c>
      <c r="B29970" s="11" t="str">
        <f>"01071990"</f>
        <v>01071990</v>
      </c>
    </row>
    <row r="29971" spans="1:2" x14ac:dyDescent="0.25">
      <c r="A29971" s="2">
        <v>29966</v>
      </c>
      <c r="B29971" s="11" t="str">
        <f>"01071992"</f>
        <v>01071992</v>
      </c>
    </row>
    <row r="29972" spans="1:2" x14ac:dyDescent="0.25">
      <c r="A29972" s="2">
        <v>29967</v>
      </c>
      <c r="B29972" s="11" t="str">
        <f>"01071999"</f>
        <v>01071999</v>
      </c>
    </row>
    <row r="29973" spans="1:2" x14ac:dyDescent="0.25">
      <c r="A29973" s="2">
        <v>29968</v>
      </c>
      <c r="B29973" s="11" t="str">
        <f>"01072009"</f>
        <v>01072009</v>
      </c>
    </row>
    <row r="29974" spans="1:2" x14ac:dyDescent="0.25">
      <c r="A29974" s="2">
        <v>29969</v>
      </c>
      <c r="B29974" s="11" t="str">
        <f>"01072017"</f>
        <v>01072017</v>
      </c>
    </row>
    <row r="29975" spans="1:2" x14ac:dyDescent="0.25">
      <c r="A29975" s="2">
        <v>29970</v>
      </c>
      <c r="B29975" s="11" t="str">
        <f>"01072019"</f>
        <v>01072019</v>
      </c>
    </row>
    <row r="29976" spans="1:2" x14ac:dyDescent="0.25">
      <c r="A29976" s="2">
        <v>29971</v>
      </c>
      <c r="B29976" s="11" t="str">
        <f>"01072021"</f>
        <v>01072021</v>
      </c>
    </row>
    <row r="29977" spans="1:2" x14ac:dyDescent="0.25">
      <c r="A29977" s="2">
        <v>29972</v>
      </c>
      <c r="B29977" s="11" t="str">
        <f>"01072027"</f>
        <v>01072027</v>
      </c>
    </row>
    <row r="29978" spans="1:2" x14ac:dyDescent="0.25">
      <c r="A29978" s="2">
        <v>29973</v>
      </c>
      <c r="B29978" s="11" t="str">
        <f>"01072030"</f>
        <v>01072030</v>
      </c>
    </row>
    <row r="29979" spans="1:2" x14ac:dyDescent="0.25">
      <c r="A29979" s="2">
        <v>29974</v>
      </c>
      <c r="B29979" s="11" t="str">
        <f>"01072034"</f>
        <v>01072034</v>
      </c>
    </row>
    <row r="29980" spans="1:2" x14ac:dyDescent="0.25">
      <c r="A29980" s="2">
        <v>29975</v>
      </c>
      <c r="B29980" s="11" t="str">
        <f>"01072035"</f>
        <v>01072035</v>
      </c>
    </row>
    <row r="29981" spans="1:2" x14ac:dyDescent="0.25">
      <c r="A29981" s="2">
        <v>29976</v>
      </c>
      <c r="B29981" s="11" t="str">
        <f>"01072039"</f>
        <v>01072039</v>
      </c>
    </row>
    <row r="29982" spans="1:2" x14ac:dyDescent="0.25">
      <c r="A29982" s="2">
        <v>29977</v>
      </c>
      <c r="B29982" s="11" t="str">
        <f>"01072055"</f>
        <v>01072055</v>
      </c>
    </row>
    <row r="29983" spans="1:2" x14ac:dyDescent="0.25">
      <c r="A29983" s="2">
        <v>29978</v>
      </c>
      <c r="B29983" s="11" t="str">
        <f>"01072074"</f>
        <v>01072074</v>
      </c>
    </row>
    <row r="29984" spans="1:2" x14ac:dyDescent="0.25">
      <c r="A29984" s="2">
        <v>29979</v>
      </c>
      <c r="B29984" s="11" t="str">
        <f>"01072076"</f>
        <v>01072076</v>
      </c>
    </row>
    <row r="29985" spans="1:2" x14ac:dyDescent="0.25">
      <c r="A29985" s="2">
        <v>29980</v>
      </c>
      <c r="B29985" s="11" t="str">
        <f>"01072080"</f>
        <v>01072080</v>
      </c>
    </row>
    <row r="29986" spans="1:2" x14ac:dyDescent="0.25">
      <c r="A29986" s="2">
        <v>29981</v>
      </c>
      <c r="B29986" s="11" t="str">
        <f>"01072082"</f>
        <v>01072082</v>
      </c>
    </row>
    <row r="29987" spans="1:2" x14ac:dyDescent="0.25">
      <c r="A29987" s="2">
        <v>29982</v>
      </c>
      <c r="B29987" s="11" t="str">
        <f>"01072090"</f>
        <v>01072090</v>
      </c>
    </row>
    <row r="29988" spans="1:2" x14ac:dyDescent="0.25">
      <c r="A29988" s="2">
        <v>29983</v>
      </c>
      <c r="B29988" s="11" t="str">
        <f>"01072097"</f>
        <v>01072097</v>
      </c>
    </row>
    <row r="29989" spans="1:2" x14ac:dyDescent="0.25">
      <c r="A29989" s="2">
        <v>29984</v>
      </c>
      <c r="B29989" s="11" t="str">
        <f>"01072098"</f>
        <v>01072098</v>
      </c>
    </row>
    <row r="29990" spans="1:2" x14ac:dyDescent="0.25">
      <c r="A29990" s="2">
        <v>29985</v>
      </c>
      <c r="B29990" s="11" t="str">
        <f>"01072099"</f>
        <v>01072099</v>
      </c>
    </row>
    <row r="29991" spans="1:2" x14ac:dyDescent="0.25">
      <c r="A29991" s="2">
        <v>29986</v>
      </c>
      <c r="B29991" s="11" t="str">
        <f>"01072103"</f>
        <v>01072103</v>
      </c>
    </row>
    <row r="29992" spans="1:2" x14ac:dyDescent="0.25">
      <c r="A29992" s="2">
        <v>29987</v>
      </c>
      <c r="B29992" s="11" t="str">
        <f>"01072105"</f>
        <v>01072105</v>
      </c>
    </row>
    <row r="29993" spans="1:2" x14ac:dyDescent="0.25">
      <c r="A29993" s="2">
        <v>29988</v>
      </c>
      <c r="B29993" s="11" t="str">
        <f>"01072107"</f>
        <v>01072107</v>
      </c>
    </row>
    <row r="29994" spans="1:2" x14ac:dyDescent="0.25">
      <c r="A29994" s="2">
        <v>29989</v>
      </c>
      <c r="B29994" s="11" t="str">
        <f>"01072110"</f>
        <v>01072110</v>
      </c>
    </row>
    <row r="29995" spans="1:2" x14ac:dyDescent="0.25">
      <c r="A29995" s="2">
        <v>29990</v>
      </c>
      <c r="B29995" s="11" t="str">
        <f>"01072116"</f>
        <v>01072116</v>
      </c>
    </row>
    <row r="29996" spans="1:2" x14ac:dyDescent="0.25">
      <c r="A29996" s="2">
        <v>29991</v>
      </c>
      <c r="B29996" s="11" t="str">
        <f>"01072117"</f>
        <v>01072117</v>
      </c>
    </row>
    <row r="29997" spans="1:2" x14ac:dyDescent="0.25">
      <c r="A29997" s="2">
        <v>29992</v>
      </c>
      <c r="B29997" s="11" t="str">
        <f>"01072119"</f>
        <v>01072119</v>
      </c>
    </row>
    <row r="29998" spans="1:2" x14ac:dyDescent="0.25">
      <c r="A29998" s="2">
        <v>29993</v>
      </c>
      <c r="B29998" s="11" t="str">
        <f>"01072129"</f>
        <v>01072129</v>
      </c>
    </row>
    <row r="29999" spans="1:2" x14ac:dyDescent="0.25">
      <c r="A29999" s="2">
        <v>29994</v>
      </c>
      <c r="B29999" s="11" t="str">
        <f>"01072136"</f>
        <v>01072136</v>
      </c>
    </row>
    <row r="30000" spans="1:2" x14ac:dyDescent="0.25">
      <c r="A30000" s="2">
        <v>29995</v>
      </c>
      <c r="B30000" s="11" t="str">
        <f>"01072138"</f>
        <v>01072138</v>
      </c>
    </row>
    <row r="30001" spans="1:2" x14ac:dyDescent="0.25">
      <c r="A30001" s="2">
        <v>29996</v>
      </c>
      <c r="B30001" s="11" t="str">
        <f>"01072144"</f>
        <v>01072144</v>
      </c>
    </row>
    <row r="30002" spans="1:2" x14ac:dyDescent="0.25">
      <c r="A30002" s="2">
        <v>29997</v>
      </c>
      <c r="B30002" s="11" t="str">
        <f>"01072145"</f>
        <v>01072145</v>
      </c>
    </row>
    <row r="30003" spans="1:2" x14ac:dyDescent="0.25">
      <c r="A30003" s="2">
        <v>29998</v>
      </c>
      <c r="B30003" s="11" t="str">
        <f>"01072147"</f>
        <v>01072147</v>
      </c>
    </row>
    <row r="30004" spans="1:2" x14ac:dyDescent="0.25">
      <c r="A30004" s="2">
        <v>29999</v>
      </c>
      <c r="B30004" s="11" t="str">
        <f>"01072148"</f>
        <v>01072148</v>
      </c>
    </row>
    <row r="30005" spans="1:2" x14ac:dyDescent="0.25">
      <c r="A30005" s="2">
        <v>30000</v>
      </c>
      <c r="B30005" s="11" t="str">
        <f>"01072149"</f>
        <v>01072149</v>
      </c>
    </row>
    <row r="30006" spans="1:2" x14ac:dyDescent="0.25">
      <c r="A30006" s="2">
        <v>30001</v>
      </c>
      <c r="B30006" s="11" t="str">
        <f>"01072156"</f>
        <v>01072156</v>
      </c>
    </row>
    <row r="30007" spans="1:2" x14ac:dyDescent="0.25">
      <c r="A30007" s="2">
        <v>30002</v>
      </c>
      <c r="B30007" s="11" t="str">
        <f>"01072158"</f>
        <v>01072158</v>
      </c>
    </row>
    <row r="30008" spans="1:2" x14ac:dyDescent="0.25">
      <c r="A30008" s="2">
        <v>30003</v>
      </c>
      <c r="B30008" s="11" t="str">
        <f>"01072159"</f>
        <v>01072159</v>
      </c>
    </row>
    <row r="30009" spans="1:2" x14ac:dyDescent="0.25">
      <c r="A30009" s="2">
        <v>30004</v>
      </c>
      <c r="B30009" s="11" t="str">
        <f>"01072161"</f>
        <v>01072161</v>
      </c>
    </row>
    <row r="30010" spans="1:2" x14ac:dyDescent="0.25">
      <c r="A30010" s="2">
        <v>30005</v>
      </c>
      <c r="B30010" s="11" t="str">
        <f>"01072166"</f>
        <v>01072166</v>
      </c>
    </row>
    <row r="30011" spans="1:2" x14ac:dyDescent="0.25">
      <c r="A30011" s="2">
        <v>30006</v>
      </c>
      <c r="B30011" s="11" t="str">
        <f>"01072169"</f>
        <v>01072169</v>
      </c>
    </row>
    <row r="30012" spans="1:2" x14ac:dyDescent="0.25">
      <c r="A30012" s="2">
        <v>30007</v>
      </c>
      <c r="B30012" s="11" t="str">
        <f>"01072175"</f>
        <v>01072175</v>
      </c>
    </row>
    <row r="30013" spans="1:2" x14ac:dyDescent="0.25">
      <c r="A30013" s="2">
        <v>30008</v>
      </c>
      <c r="B30013" s="11" t="str">
        <f>"01072177"</f>
        <v>01072177</v>
      </c>
    </row>
    <row r="30014" spans="1:2" x14ac:dyDescent="0.25">
      <c r="A30014" s="2">
        <v>30009</v>
      </c>
      <c r="B30014" s="11" t="str">
        <f>"01072190"</f>
        <v>01072190</v>
      </c>
    </row>
    <row r="30015" spans="1:2" x14ac:dyDescent="0.25">
      <c r="A30015" s="2">
        <v>30010</v>
      </c>
      <c r="B30015" s="11" t="str">
        <f>"01072191"</f>
        <v>01072191</v>
      </c>
    </row>
    <row r="30016" spans="1:2" x14ac:dyDescent="0.25">
      <c r="A30016" s="2">
        <v>30011</v>
      </c>
      <c r="B30016" s="11" t="str">
        <f>"01072197"</f>
        <v>01072197</v>
      </c>
    </row>
    <row r="30017" spans="1:2" x14ac:dyDescent="0.25">
      <c r="A30017" s="2">
        <v>30012</v>
      </c>
      <c r="B30017" s="11" t="str">
        <f>"01072198"</f>
        <v>01072198</v>
      </c>
    </row>
    <row r="30018" spans="1:2" x14ac:dyDescent="0.25">
      <c r="A30018" s="2">
        <v>30013</v>
      </c>
      <c r="B30018" s="11" t="str">
        <f>"01072200"</f>
        <v>01072200</v>
      </c>
    </row>
    <row r="30019" spans="1:2" x14ac:dyDescent="0.25">
      <c r="A30019" s="2">
        <v>30014</v>
      </c>
      <c r="B30019" s="11" t="str">
        <f>"01072208"</f>
        <v>01072208</v>
      </c>
    </row>
    <row r="30020" spans="1:2" x14ac:dyDescent="0.25">
      <c r="A30020" s="2">
        <v>30015</v>
      </c>
      <c r="B30020" s="11" t="str">
        <f>"01072212"</f>
        <v>01072212</v>
      </c>
    </row>
    <row r="30021" spans="1:2" x14ac:dyDescent="0.25">
      <c r="A30021" s="2">
        <v>30016</v>
      </c>
      <c r="B30021" s="11" t="str">
        <f>"01072213"</f>
        <v>01072213</v>
      </c>
    </row>
    <row r="30022" spans="1:2" x14ac:dyDescent="0.25">
      <c r="A30022" s="2">
        <v>30017</v>
      </c>
      <c r="B30022" s="11" t="str">
        <f>"01072217"</f>
        <v>01072217</v>
      </c>
    </row>
    <row r="30023" spans="1:2" x14ac:dyDescent="0.25">
      <c r="A30023" s="2">
        <v>30018</v>
      </c>
      <c r="B30023" s="11" t="str">
        <f>"01072218"</f>
        <v>01072218</v>
      </c>
    </row>
    <row r="30024" spans="1:2" x14ac:dyDescent="0.25">
      <c r="A30024" s="2">
        <v>30019</v>
      </c>
      <c r="B30024" s="11" t="str">
        <f>"01072221"</f>
        <v>01072221</v>
      </c>
    </row>
    <row r="30025" spans="1:2" x14ac:dyDescent="0.25">
      <c r="A30025" s="2">
        <v>30020</v>
      </c>
      <c r="B30025" s="11" t="str">
        <f>"01072223"</f>
        <v>01072223</v>
      </c>
    </row>
    <row r="30026" spans="1:2" x14ac:dyDescent="0.25">
      <c r="A30026" s="2">
        <v>30021</v>
      </c>
      <c r="B30026" s="11" t="str">
        <f>"01072228"</f>
        <v>01072228</v>
      </c>
    </row>
    <row r="30027" spans="1:2" x14ac:dyDescent="0.25">
      <c r="A30027" s="2">
        <v>30022</v>
      </c>
      <c r="B30027" s="11" t="str">
        <f>"01072236"</f>
        <v>01072236</v>
      </c>
    </row>
    <row r="30028" spans="1:2" x14ac:dyDescent="0.25">
      <c r="A30028" s="2">
        <v>30023</v>
      </c>
      <c r="B30028" s="11" t="str">
        <f>"01072246"</f>
        <v>01072246</v>
      </c>
    </row>
    <row r="30029" spans="1:2" x14ac:dyDescent="0.25">
      <c r="A30029" s="2">
        <v>30024</v>
      </c>
      <c r="B30029" s="11" t="str">
        <f>"01072247"</f>
        <v>01072247</v>
      </c>
    </row>
    <row r="30030" spans="1:2" x14ac:dyDescent="0.25">
      <c r="A30030" s="2">
        <v>30025</v>
      </c>
      <c r="B30030" s="11" t="str">
        <f>"01072256"</f>
        <v>01072256</v>
      </c>
    </row>
    <row r="30031" spans="1:2" x14ac:dyDescent="0.25">
      <c r="A30031" s="2">
        <v>30026</v>
      </c>
      <c r="B30031" s="11" t="str">
        <f>"01072265"</f>
        <v>01072265</v>
      </c>
    </row>
    <row r="30032" spans="1:2" x14ac:dyDescent="0.25">
      <c r="A30032" s="2">
        <v>30027</v>
      </c>
      <c r="B30032" s="11" t="str">
        <f>"01072266"</f>
        <v>01072266</v>
      </c>
    </row>
    <row r="30033" spans="1:2" x14ac:dyDescent="0.25">
      <c r="A30033" s="2">
        <v>30028</v>
      </c>
      <c r="B30033" s="11" t="str">
        <f>"01072273"</f>
        <v>01072273</v>
      </c>
    </row>
    <row r="30034" spans="1:2" x14ac:dyDescent="0.25">
      <c r="A30034" s="2">
        <v>30029</v>
      </c>
      <c r="B30034" s="11" t="str">
        <f>"01072277"</f>
        <v>01072277</v>
      </c>
    </row>
    <row r="30035" spans="1:2" x14ac:dyDescent="0.25">
      <c r="A30035" s="2">
        <v>30030</v>
      </c>
      <c r="B30035" s="11" t="str">
        <f>"01072290"</f>
        <v>01072290</v>
      </c>
    </row>
    <row r="30036" spans="1:2" x14ac:dyDescent="0.25">
      <c r="A30036" s="2">
        <v>30031</v>
      </c>
      <c r="B30036" s="11" t="str">
        <f>"01072292"</f>
        <v>01072292</v>
      </c>
    </row>
    <row r="30037" spans="1:2" x14ac:dyDescent="0.25">
      <c r="A30037" s="2">
        <v>30032</v>
      </c>
      <c r="B30037" s="11" t="str">
        <f>"01072304"</f>
        <v>01072304</v>
      </c>
    </row>
    <row r="30038" spans="1:2" x14ac:dyDescent="0.25">
      <c r="A30038" s="2">
        <v>30033</v>
      </c>
      <c r="B30038" s="11" t="str">
        <f>"01072305"</f>
        <v>01072305</v>
      </c>
    </row>
    <row r="30039" spans="1:2" x14ac:dyDescent="0.25">
      <c r="A30039" s="2">
        <v>30034</v>
      </c>
      <c r="B30039" s="11" t="str">
        <f>"01072311"</f>
        <v>01072311</v>
      </c>
    </row>
    <row r="30040" spans="1:2" x14ac:dyDescent="0.25">
      <c r="A30040" s="2">
        <v>30035</v>
      </c>
      <c r="B30040" s="11" t="str">
        <f>"01072321"</f>
        <v>01072321</v>
      </c>
    </row>
    <row r="30041" spans="1:2" x14ac:dyDescent="0.25">
      <c r="A30041" s="2">
        <v>30036</v>
      </c>
      <c r="B30041" s="11" t="str">
        <f>"01072334"</f>
        <v>01072334</v>
      </c>
    </row>
    <row r="30042" spans="1:2" x14ac:dyDescent="0.25">
      <c r="A30042" s="2">
        <v>30037</v>
      </c>
      <c r="B30042" s="11" t="str">
        <f>"01072336"</f>
        <v>01072336</v>
      </c>
    </row>
    <row r="30043" spans="1:2" x14ac:dyDescent="0.25">
      <c r="A30043" s="2">
        <v>30038</v>
      </c>
      <c r="B30043" s="11" t="str">
        <f>"01072338"</f>
        <v>01072338</v>
      </c>
    </row>
    <row r="30044" spans="1:2" x14ac:dyDescent="0.25">
      <c r="A30044" s="2">
        <v>30039</v>
      </c>
      <c r="B30044" s="11" t="str">
        <f>"01072344"</f>
        <v>01072344</v>
      </c>
    </row>
    <row r="30045" spans="1:2" x14ac:dyDescent="0.25">
      <c r="A30045" s="2">
        <v>30040</v>
      </c>
      <c r="B30045" s="11" t="str">
        <f>"01072356"</f>
        <v>01072356</v>
      </c>
    </row>
    <row r="30046" spans="1:2" x14ac:dyDescent="0.25">
      <c r="A30046" s="2">
        <v>30041</v>
      </c>
      <c r="B30046" s="11" t="str">
        <f>"01072358"</f>
        <v>01072358</v>
      </c>
    </row>
    <row r="30047" spans="1:2" x14ac:dyDescent="0.25">
      <c r="A30047" s="2">
        <v>30042</v>
      </c>
      <c r="B30047" s="11" t="str">
        <f>"01072361"</f>
        <v>01072361</v>
      </c>
    </row>
    <row r="30048" spans="1:2" x14ac:dyDescent="0.25">
      <c r="A30048" s="2">
        <v>30043</v>
      </c>
      <c r="B30048" s="11" t="str">
        <f>"01072363"</f>
        <v>01072363</v>
      </c>
    </row>
    <row r="30049" spans="1:2" x14ac:dyDescent="0.25">
      <c r="A30049" s="2">
        <v>30044</v>
      </c>
      <c r="B30049" s="11" t="str">
        <f>"01072365"</f>
        <v>01072365</v>
      </c>
    </row>
    <row r="30050" spans="1:2" x14ac:dyDescent="0.25">
      <c r="A30050" s="2">
        <v>30045</v>
      </c>
      <c r="B30050" s="11" t="str">
        <f>"01072366"</f>
        <v>01072366</v>
      </c>
    </row>
    <row r="30051" spans="1:2" x14ac:dyDescent="0.25">
      <c r="A30051" s="2">
        <v>30046</v>
      </c>
      <c r="B30051" s="11" t="str">
        <f>"01072374"</f>
        <v>01072374</v>
      </c>
    </row>
    <row r="30052" spans="1:2" x14ac:dyDescent="0.25">
      <c r="A30052" s="2">
        <v>30047</v>
      </c>
      <c r="B30052" s="11" t="str">
        <f>"01072382"</f>
        <v>01072382</v>
      </c>
    </row>
    <row r="30053" spans="1:2" x14ac:dyDescent="0.25">
      <c r="A30053" s="2">
        <v>30048</v>
      </c>
      <c r="B30053" s="11" t="str">
        <f>"01072383"</f>
        <v>01072383</v>
      </c>
    </row>
    <row r="30054" spans="1:2" x14ac:dyDescent="0.25">
      <c r="A30054" s="2">
        <v>30049</v>
      </c>
      <c r="B30054" s="11" t="str">
        <f>"01072384"</f>
        <v>01072384</v>
      </c>
    </row>
    <row r="30055" spans="1:2" x14ac:dyDescent="0.25">
      <c r="A30055" s="2">
        <v>30050</v>
      </c>
      <c r="B30055" s="11" t="str">
        <f>"01072385"</f>
        <v>01072385</v>
      </c>
    </row>
    <row r="30056" spans="1:2" x14ac:dyDescent="0.25">
      <c r="A30056" s="2">
        <v>30051</v>
      </c>
      <c r="B30056" s="11" t="str">
        <f>"01072389"</f>
        <v>01072389</v>
      </c>
    </row>
    <row r="30057" spans="1:2" x14ac:dyDescent="0.25">
      <c r="A30057" s="2">
        <v>30052</v>
      </c>
      <c r="B30057" s="11" t="str">
        <f>"01072394"</f>
        <v>01072394</v>
      </c>
    </row>
    <row r="30058" spans="1:2" x14ac:dyDescent="0.25">
      <c r="A30058" s="2">
        <v>30053</v>
      </c>
      <c r="B30058" s="11" t="str">
        <f>"01072396"</f>
        <v>01072396</v>
      </c>
    </row>
    <row r="30059" spans="1:2" x14ac:dyDescent="0.25">
      <c r="A30059" s="2">
        <v>30054</v>
      </c>
      <c r="B30059" s="11" t="str">
        <f>"01072398"</f>
        <v>01072398</v>
      </c>
    </row>
    <row r="30060" spans="1:2" x14ac:dyDescent="0.25">
      <c r="A30060" s="2">
        <v>30055</v>
      </c>
      <c r="B30060" s="11" t="str">
        <f>"01072405"</f>
        <v>01072405</v>
      </c>
    </row>
    <row r="30061" spans="1:2" x14ac:dyDescent="0.25">
      <c r="A30061" s="2">
        <v>30056</v>
      </c>
      <c r="B30061" s="11" t="str">
        <f>"01072406"</f>
        <v>01072406</v>
      </c>
    </row>
    <row r="30062" spans="1:2" x14ac:dyDescent="0.25">
      <c r="A30062" s="2">
        <v>30057</v>
      </c>
      <c r="B30062" s="11" t="str">
        <f>"01072407"</f>
        <v>01072407</v>
      </c>
    </row>
    <row r="30063" spans="1:2" x14ac:dyDescent="0.25">
      <c r="A30063" s="2">
        <v>30058</v>
      </c>
      <c r="B30063" s="11" t="str">
        <f>"01072409"</f>
        <v>01072409</v>
      </c>
    </row>
    <row r="30064" spans="1:2" x14ac:dyDescent="0.25">
      <c r="A30064" s="2">
        <v>30059</v>
      </c>
      <c r="B30064" s="11" t="str">
        <f>"01072415"</f>
        <v>01072415</v>
      </c>
    </row>
    <row r="30065" spans="1:2" x14ac:dyDescent="0.25">
      <c r="A30065" s="2">
        <v>30060</v>
      </c>
      <c r="B30065" s="11" t="str">
        <f>"01072420"</f>
        <v>01072420</v>
      </c>
    </row>
    <row r="30066" spans="1:2" x14ac:dyDescent="0.25">
      <c r="A30066" s="2">
        <v>30061</v>
      </c>
      <c r="B30066" s="11" t="str">
        <f>"01072431"</f>
        <v>01072431</v>
      </c>
    </row>
    <row r="30067" spans="1:2" x14ac:dyDescent="0.25">
      <c r="A30067" s="2">
        <v>30062</v>
      </c>
      <c r="B30067" s="11" t="str">
        <f>"01072438"</f>
        <v>01072438</v>
      </c>
    </row>
    <row r="30068" spans="1:2" x14ac:dyDescent="0.25">
      <c r="A30068" s="2">
        <v>30063</v>
      </c>
      <c r="B30068" s="11" t="str">
        <f>"01072445"</f>
        <v>01072445</v>
      </c>
    </row>
    <row r="30069" spans="1:2" x14ac:dyDescent="0.25">
      <c r="A30069" s="2">
        <v>30064</v>
      </c>
      <c r="B30069" s="11" t="str">
        <f>"01072451"</f>
        <v>01072451</v>
      </c>
    </row>
    <row r="30070" spans="1:2" x14ac:dyDescent="0.25">
      <c r="A30070" s="2">
        <v>30065</v>
      </c>
      <c r="B30070" s="11" t="str">
        <f>"01072456"</f>
        <v>01072456</v>
      </c>
    </row>
    <row r="30071" spans="1:2" x14ac:dyDescent="0.25">
      <c r="A30071" s="2">
        <v>30066</v>
      </c>
      <c r="B30071" s="11" t="str">
        <f>"01072469"</f>
        <v>01072469</v>
      </c>
    </row>
    <row r="30072" spans="1:2" x14ac:dyDescent="0.25">
      <c r="A30072" s="2">
        <v>30067</v>
      </c>
      <c r="B30072" s="11" t="str">
        <f>"01072471"</f>
        <v>01072471</v>
      </c>
    </row>
    <row r="30073" spans="1:2" x14ac:dyDescent="0.25">
      <c r="A30073" s="2">
        <v>30068</v>
      </c>
      <c r="B30073" s="11" t="str">
        <f>"01072482"</f>
        <v>01072482</v>
      </c>
    </row>
    <row r="30074" spans="1:2" x14ac:dyDescent="0.25">
      <c r="A30074" s="2">
        <v>30069</v>
      </c>
      <c r="B30074" s="11" t="str">
        <f>"01072487"</f>
        <v>01072487</v>
      </c>
    </row>
    <row r="30075" spans="1:2" x14ac:dyDescent="0.25">
      <c r="A30075" s="2">
        <v>30070</v>
      </c>
      <c r="B30075" s="11" t="str">
        <f>"01072488"</f>
        <v>01072488</v>
      </c>
    </row>
    <row r="30076" spans="1:2" x14ac:dyDescent="0.25">
      <c r="A30076" s="2">
        <v>30071</v>
      </c>
      <c r="B30076" s="11" t="str">
        <f>"01072496"</f>
        <v>01072496</v>
      </c>
    </row>
    <row r="30077" spans="1:2" x14ac:dyDescent="0.25">
      <c r="A30077" s="2">
        <v>30072</v>
      </c>
      <c r="B30077" s="11" t="str">
        <f>"01072501"</f>
        <v>01072501</v>
      </c>
    </row>
    <row r="30078" spans="1:2" x14ac:dyDescent="0.25">
      <c r="A30078" s="2">
        <v>30073</v>
      </c>
      <c r="B30078" s="11" t="str">
        <f>"01072506"</f>
        <v>01072506</v>
      </c>
    </row>
    <row r="30079" spans="1:2" x14ac:dyDescent="0.25">
      <c r="A30079" s="2">
        <v>30074</v>
      </c>
      <c r="B30079" s="11" t="str">
        <f>"01072510"</f>
        <v>01072510</v>
      </c>
    </row>
    <row r="30080" spans="1:2" x14ac:dyDescent="0.25">
      <c r="A30080" s="2">
        <v>30075</v>
      </c>
      <c r="B30080" s="11" t="str">
        <f>"01072511"</f>
        <v>01072511</v>
      </c>
    </row>
    <row r="30081" spans="1:2" x14ac:dyDescent="0.25">
      <c r="A30081" s="2">
        <v>30076</v>
      </c>
      <c r="B30081" s="11" t="str">
        <f>"01072514"</f>
        <v>01072514</v>
      </c>
    </row>
    <row r="30082" spans="1:2" x14ac:dyDescent="0.25">
      <c r="A30082" s="2">
        <v>30077</v>
      </c>
      <c r="B30082" s="11" t="str">
        <f>"01072519"</f>
        <v>01072519</v>
      </c>
    </row>
    <row r="30083" spans="1:2" x14ac:dyDescent="0.25">
      <c r="A30083" s="2">
        <v>30078</v>
      </c>
      <c r="B30083" s="11" t="str">
        <f>"01072523"</f>
        <v>01072523</v>
      </c>
    </row>
    <row r="30084" spans="1:2" x14ac:dyDescent="0.25">
      <c r="A30084" s="2">
        <v>30079</v>
      </c>
      <c r="B30084" s="11" t="str">
        <f>"01072524"</f>
        <v>01072524</v>
      </c>
    </row>
    <row r="30085" spans="1:2" x14ac:dyDescent="0.25">
      <c r="A30085" s="2">
        <v>30080</v>
      </c>
      <c r="B30085" s="11" t="str">
        <f>"01072525"</f>
        <v>01072525</v>
      </c>
    </row>
    <row r="30086" spans="1:2" x14ac:dyDescent="0.25">
      <c r="A30086" s="2">
        <v>30081</v>
      </c>
      <c r="B30086" s="11" t="str">
        <f>"01072530"</f>
        <v>01072530</v>
      </c>
    </row>
    <row r="30087" spans="1:2" x14ac:dyDescent="0.25">
      <c r="A30087" s="2">
        <v>30082</v>
      </c>
      <c r="B30087" s="11" t="str">
        <f>"01072533"</f>
        <v>01072533</v>
      </c>
    </row>
    <row r="30088" spans="1:2" x14ac:dyDescent="0.25">
      <c r="A30088" s="2">
        <v>30083</v>
      </c>
      <c r="B30088" s="11" t="str">
        <f>"01072534"</f>
        <v>01072534</v>
      </c>
    </row>
    <row r="30089" spans="1:2" x14ac:dyDescent="0.25">
      <c r="A30089" s="2">
        <v>30084</v>
      </c>
      <c r="B30089" s="11" t="str">
        <f>"01072542"</f>
        <v>01072542</v>
      </c>
    </row>
    <row r="30090" spans="1:2" x14ac:dyDescent="0.25">
      <c r="A30090" s="2">
        <v>30085</v>
      </c>
      <c r="B30090" s="11" t="str">
        <f>"01072543"</f>
        <v>01072543</v>
      </c>
    </row>
    <row r="30091" spans="1:2" x14ac:dyDescent="0.25">
      <c r="A30091" s="2">
        <v>30086</v>
      </c>
      <c r="B30091" s="11" t="str">
        <f>"01072544"</f>
        <v>01072544</v>
      </c>
    </row>
    <row r="30092" spans="1:2" x14ac:dyDescent="0.25">
      <c r="A30092" s="2">
        <v>30087</v>
      </c>
      <c r="B30092" s="11" t="str">
        <f>"01072545"</f>
        <v>01072545</v>
      </c>
    </row>
    <row r="30093" spans="1:2" x14ac:dyDescent="0.25">
      <c r="A30093" s="2">
        <v>30088</v>
      </c>
      <c r="B30093" s="11" t="str">
        <f>"01072546"</f>
        <v>01072546</v>
      </c>
    </row>
    <row r="30094" spans="1:2" x14ac:dyDescent="0.25">
      <c r="A30094" s="2">
        <v>30089</v>
      </c>
      <c r="B30094" s="11" t="str">
        <f>"01072552"</f>
        <v>01072552</v>
      </c>
    </row>
    <row r="30095" spans="1:2" x14ac:dyDescent="0.25">
      <c r="A30095" s="2">
        <v>30090</v>
      </c>
      <c r="B30095" s="11" t="str">
        <f>"01072557"</f>
        <v>01072557</v>
      </c>
    </row>
    <row r="30096" spans="1:2" x14ac:dyDescent="0.25">
      <c r="A30096" s="2">
        <v>30091</v>
      </c>
      <c r="B30096" s="11" t="str">
        <f>"01072558"</f>
        <v>01072558</v>
      </c>
    </row>
    <row r="30097" spans="1:2" x14ac:dyDescent="0.25">
      <c r="A30097" s="2">
        <v>30092</v>
      </c>
      <c r="B30097" s="11" t="str">
        <f>"01072562"</f>
        <v>01072562</v>
      </c>
    </row>
    <row r="30098" spans="1:2" x14ac:dyDescent="0.25">
      <c r="A30098" s="2">
        <v>30093</v>
      </c>
      <c r="B30098" s="11" t="str">
        <f>"01072563"</f>
        <v>01072563</v>
      </c>
    </row>
    <row r="30099" spans="1:2" x14ac:dyDescent="0.25">
      <c r="A30099" s="2">
        <v>30094</v>
      </c>
      <c r="B30099" s="11" t="str">
        <f>"01072572"</f>
        <v>01072572</v>
      </c>
    </row>
    <row r="30100" spans="1:2" x14ac:dyDescent="0.25">
      <c r="A30100" s="2">
        <v>30095</v>
      </c>
      <c r="B30100" s="11" t="str">
        <f>"01072575"</f>
        <v>01072575</v>
      </c>
    </row>
    <row r="30101" spans="1:2" x14ac:dyDescent="0.25">
      <c r="A30101" s="2">
        <v>30096</v>
      </c>
      <c r="B30101" s="11" t="str">
        <f>"01072577"</f>
        <v>01072577</v>
      </c>
    </row>
    <row r="30102" spans="1:2" x14ac:dyDescent="0.25">
      <c r="A30102" s="2">
        <v>30097</v>
      </c>
      <c r="B30102" s="11" t="str">
        <f>"01072584"</f>
        <v>01072584</v>
      </c>
    </row>
    <row r="30103" spans="1:2" x14ac:dyDescent="0.25">
      <c r="A30103" s="2">
        <v>30098</v>
      </c>
      <c r="B30103" s="11" t="str">
        <f>"01072587"</f>
        <v>01072587</v>
      </c>
    </row>
    <row r="30104" spans="1:2" x14ac:dyDescent="0.25">
      <c r="A30104" s="2">
        <v>30099</v>
      </c>
      <c r="B30104" s="11" t="str">
        <f>"01072597"</f>
        <v>01072597</v>
      </c>
    </row>
    <row r="30105" spans="1:2" x14ac:dyDescent="0.25">
      <c r="A30105" s="2">
        <v>30100</v>
      </c>
      <c r="B30105" s="11" t="str">
        <f>"01072601"</f>
        <v>01072601</v>
      </c>
    </row>
    <row r="30106" spans="1:2" x14ac:dyDescent="0.25">
      <c r="A30106" s="2">
        <v>30101</v>
      </c>
      <c r="B30106" s="11" t="str">
        <f>"01072603"</f>
        <v>01072603</v>
      </c>
    </row>
    <row r="30107" spans="1:2" x14ac:dyDescent="0.25">
      <c r="A30107" s="2">
        <v>30102</v>
      </c>
      <c r="B30107" s="11" t="str">
        <f>"01072611"</f>
        <v>01072611</v>
      </c>
    </row>
    <row r="30108" spans="1:2" x14ac:dyDescent="0.25">
      <c r="A30108" s="2">
        <v>30103</v>
      </c>
      <c r="B30108" s="11" t="str">
        <f>"01072616"</f>
        <v>01072616</v>
      </c>
    </row>
    <row r="30109" spans="1:2" x14ac:dyDescent="0.25">
      <c r="A30109" s="2">
        <v>30104</v>
      </c>
      <c r="B30109" s="11" t="str">
        <f>"01072628"</f>
        <v>01072628</v>
      </c>
    </row>
    <row r="30110" spans="1:2" x14ac:dyDescent="0.25">
      <c r="A30110" s="2">
        <v>30105</v>
      </c>
      <c r="B30110" s="11" t="str">
        <f>"01072631"</f>
        <v>01072631</v>
      </c>
    </row>
    <row r="30111" spans="1:2" x14ac:dyDescent="0.25">
      <c r="A30111" s="2">
        <v>30106</v>
      </c>
      <c r="B30111" s="11" t="str">
        <f>"01072634"</f>
        <v>01072634</v>
      </c>
    </row>
    <row r="30112" spans="1:2" x14ac:dyDescent="0.25">
      <c r="A30112" s="2">
        <v>30107</v>
      </c>
      <c r="B30112" s="11" t="str">
        <f>"01072637"</f>
        <v>01072637</v>
      </c>
    </row>
    <row r="30113" spans="1:2" x14ac:dyDescent="0.25">
      <c r="A30113" s="2">
        <v>30108</v>
      </c>
      <c r="B30113" s="11" t="str">
        <f>"01072638"</f>
        <v>01072638</v>
      </c>
    </row>
    <row r="30114" spans="1:2" x14ac:dyDescent="0.25">
      <c r="A30114" s="2">
        <v>30109</v>
      </c>
      <c r="B30114" s="11" t="str">
        <f>"01072639"</f>
        <v>01072639</v>
      </c>
    </row>
    <row r="30115" spans="1:2" x14ac:dyDescent="0.25">
      <c r="A30115" s="2">
        <v>30110</v>
      </c>
      <c r="B30115" s="11" t="str">
        <f>"01072643"</f>
        <v>01072643</v>
      </c>
    </row>
    <row r="30116" spans="1:2" x14ac:dyDescent="0.25">
      <c r="A30116" s="2">
        <v>30111</v>
      </c>
      <c r="B30116" s="11" t="str">
        <f>"01072645"</f>
        <v>01072645</v>
      </c>
    </row>
    <row r="30117" spans="1:2" x14ac:dyDescent="0.25">
      <c r="A30117" s="2">
        <v>30112</v>
      </c>
      <c r="B30117" s="11" t="str">
        <f>"01072649"</f>
        <v>01072649</v>
      </c>
    </row>
    <row r="30118" spans="1:2" x14ac:dyDescent="0.25">
      <c r="A30118" s="2">
        <v>30113</v>
      </c>
      <c r="B30118" s="11" t="str">
        <f>"01072651"</f>
        <v>01072651</v>
      </c>
    </row>
    <row r="30119" spans="1:2" x14ac:dyDescent="0.25">
      <c r="A30119" s="2">
        <v>30114</v>
      </c>
      <c r="B30119" s="11" t="str">
        <f>"01072654"</f>
        <v>01072654</v>
      </c>
    </row>
    <row r="30120" spans="1:2" x14ac:dyDescent="0.25">
      <c r="A30120" s="2">
        <v>30115</v>
      </c>
      <c r="B30120" s="11" t="str">
        <f>"01072655"</f>
        <v>01072655</v>
      </c>
    </row>
    <row r="30121" spans="1:2" x14ac:dyDescent="0.25">
      <c r="A30121" s="2">
        <v>30116</v>
      </c>
      <c r="B30121" s="11" t="str">
        <f>"01072663"</f>
        <v>01072663</v>
      </c>
    </row>
    <row r="30122" spans="1:2" x14ac:dyDescent="0.25">
      <c r="A30122" s="2">
        <v>30117</v>
      </c>
      <c r="B30122" s="11" t="str">
        <f>"01072665"</f>
        <v>01072665</v>
      </c>
    </row>
    <row r="30123" spans="1:2" x14ac:dyDescent="0.25">
      <c r="A30123" s="2">
        <v>30118</v>
      </c>
      <c r="B30123" s="11" t="str">
        <f>"01072666"</f>
        <v>01072666</v>
      </c>
    </row>
    <row r="30124" spans="1:2" x14ac:dyDescent="0.25">
      <c r="A30124" s="2">
        <v>30119</v>
      </c>
      <c r="B30124" s="11" t="str">
        <f>"01072671"</f>
        <v>01072671</v>
      </c>
    </row>
    <row r="30125" spans="1:2" x14ac:dyDescent="0.25">
      <c r="A30125" s="2">
        <v>30120</v>
      </c>
      <c r="B30125" s="11" t="str">
        <f>"01072672"</f>
        <v>01072672</v>
      </c>
    </row>
    <row r="30126" spans="1:2" x14ac:dyDescent="0.25">
      <c r="A30126" s="2">
        <v>30121</v>
      </c>
      <c r="B30126" s="11" t="str">
        <f>"01072674"</f>
        <v>01072674</v>
      </c>
    </row>
    <row r="30127" spans="1:2" x14ac:dyDescent="0.25">
      <c r="A30127" s="2">
        <v>30122</v>
      </c>
      <c r="B30127" s="11" t="str">
        <f>"01072682"</f>
        <v>01072682</v>
      </c>
    </row>
    <row r="30128" spans="1:2" x14ac:dyDescent="0.25">
      <c r="A30128" s="2">
        <v>30123</v>
      </c>
      <c r="B30128" s="11" t="str">
        <f>"01072693"</f>
        <v>01072693</v>
      </c>
    </row>
    <row r="30129" spans="1:2" x14ac:dyDescent="0.25">
      <c r="A30129" s="2">
        <v>30124</v>
      </c>
      <c r="B30129" s="11" t="str">
        <f>"01072697"</f>
        <v>01072697</v>
      </c>
    </row>
    <row r="30130" spans="1:2" x14ac:dyDescent="0.25">
      <c r="A30130" s="2">
        <v>30125</v>
      </c>
      <c r="B30130" s="11" t="str">
        <f>"01072698"</f>
        <v>01072698</v>
      </c>
    </row>
    <row r="30131" spans="1:2" x14ac:dyDescent="0.25">
      <c r="A30131" s="2">
        <v>30126</v>
      </c>
      <c r="B30131" s="11" t="str">
        <f>"01072700"</f>
        <v>01072700</v>
      </c>
    </row>
    <row r="30132" spans="1:2" x14ac:dyDescent="0.25">
      <c r="A30132" s="2">
        <v>30127</v>
      </c>
      <c r="B30132" s="11" t="str">
        <f>"01072702"</f>
        <v>01072702</v>
      </c>
    </row>
    <row r="30133" spans="1:2" x14ac:dyDescent="0.25">
      <c r="A30133" s="2">
        <v>30128</v>
      </c>
      <c r="B30133" s="11" t="str">
        <f>"01072706"</f>
        <v>01072706</v>
      </c>
    </row>
    <row r="30134" spans="1:2" x14ac:dyDescent="0.25">
      <c r="A30134" s="2">
        <v>30129</v>
      </c>
      <c r="B30134" s="11" t="str">
        <f>"01072718"</f>
        <v>01072718</v>
      </c>
    </row>
    <row r="30135" spans="1:2" x14ac:dyDescent="0.25">
      <c r="A30135" s="2">
        <v>30130</v>
      </c>
      <c r="B30135" s="11" t="str">
        <f>"01072720"</f>
        <v>01072720</v>
      </c>
    </row>
    <row r="30136" spans="1:2" x14ac:dyDescent="0.25">
      <c r="A30136" s="2">
        <v>30131</v>
      </c>
      <c r="B30136" s="11" t="str">
        <f>"01072723"</f>
        <v>01072723</v>
      </c>
    </row>
    <row r="30137" spans="1:2" x14ac:dyDescent="0.25">
      <c r="A30137" s="2">
        <v>30132</v>
      </c>
      <c r="B30137" s="11" t="str">
        <f>"01072725"</f>
        <v>01072725</v>
      </c>
    </row>
    <row r="30138" spans="1:2" x14ac:dyDescent="0.25">
      <c r="A30138" s="2">
        <v>30133</v>
      </c>
      <c r="B30138" s="11" t="str">
        <f>"01072727"</f>
        <v>01072727</v>
      </c>
    </row>
    <row r="30139" spans="1:2" x14ac:dyDescent="0.25">
      <c r="A30139" s="2">
        <v>30134</v>
      </c>
      <c r="B30139" s="11" t="str">
        <f>"01072728"</f>
        <v>01072728</v>
      </c>
    </row>
    <row r="30140" spans="1:2" x14ac:dyDescent="0.25">
      <c r="A30140" s="2">
        <v>30135</v>
      </c>
      <c r="B30140" s="11" t="str">
        <f>"01072729"</f>
        <v>01072729</v>
      </c>
    </row>
    <row r="30141" spans="1:2" x14ac:dyDescent="0.25">
      <c r="A30141" s="2">
        <v>30136</v>
      </c>
      <c r="B30141" s="11" t="str">
        <f>"01072730"</f>
        <v>01072730</v>
      </c>
    </row>
    <row r="30142" spans="1:2" x14ac:dyDescent="0.25">
      <c r="A30142" s="2">
        <v>30137</v>
      </c>
      <c r="B30142" s="11" t="str">
        <f>"01072737"</f>
        <v>01072737</v>
      </c>
    </row>
    <row r="30143" spans="1:2" x14ac:dyDescent="0.25">
      <c r="A30143" s="2">
        <v>30138</v>
      </c>
      <c r="B30143" s="11" t="str">
        <f>"01072738"</f>
        <v>01072738</v>
      </c>
    </row>
    <row r="30144" spans="1:2" x14ac:dyDescent="0.25">
      <c r="A30144" s="2">
        <v>30139</v>
      </c>
      <c r="B30144" s="11" t="str">
        <f>"01072739"</f>
        <v>01072739</v>
      </c>
    </row>
    <row r="30145" spans="1:2" x14ac:dyDescent="0.25">
      <c r="A30145" s="2">
        <v>30140</v>
      </c>
      <c r="B30145" s="11" t="str">
        <f>"01072750"</f>
        <v>01072750</v>
      </c>
    </row>
    <row r="30146" spans="1:2" x14ac:dyDescent="0.25">
      <c r="A30146" s="2">
        <v>30141</v>
      </c>
      <c r="B30146" s="11" t="str">
        <f>"01072753"</f>
        <v>01072753</v>
      </c>
    </row>
    <row r="30147" spans="1:2" x14ac:dyDescent="0.25">
      <c r="A30147" s="2">
        <v>30142</v>
      </c>
      <c r="B30147" s="11" t="str">
        <f>"01072765"</f>
        <v>01072765</v>
      </c>
    </row>
    <row r="30148" spans="1:2" x14ac:dyDescent="0.25">
      <c r="A30148" s="2">
        <v>30143</v>
      </c>
      <c r="B30148" s="11" t="str">
        <f>"01072766"</f>
        <v>01072766</v>
      </c>
    </row>
    <row r="30149" spans="1:2" x14ac:dyDescent="0.25">
      <c r="A30149" s="2">
        <v>30144</v>
      </c>
      <c r="B30149" s="11" t="str">
        <f>"01072788"</f>
        <v>01072788</v>
      </c>
    </row>
    <row r="30150" spans="1:2" x14ac:dyDescent="0.25">
      <c r="A30150" s="2">
        <v>30145</v>
      </c>
      <c r="B30150" s="11" t="str">
        <f>"01072790"</f>
        <v>01072790</v>
      </c>
    </row>
    <row r="30151" spans="1:2" x14ac:dyDescent="0.25">
      <c r="A30151" s="2">
        <v>30146</v>
      </c>
      <c r="B30151" s="11" t="str">
        <f>"01072791"</f>
        <v>01072791</v>
      </c>
    </row>
    <row r="30152" spans="1:2" x14ac:dyDescent="0.25">
      <c r="A30152" s="2">
        <v>30147</v>
      </c>
      <c r="B30152" s="11" t="str">
        <f>"01072797"</f>
        <v>01072797</v>
      </c>
    </row>
    <row r="30153" spans="1:2" x14ac:dyDescent="0.25">
      <c r="A30153" s="2">
        <v>30148</v>
      </c>
      <c r="B30153" s="11" t="str">
        <f>"01072799"</f>
        <v>01072799</v>
      </c>
    </row>
    <row r="30154" spans="1:2" x14ac:dyDescent="0.25">
      <c r="A30154" s="2">
        <v>30149</v>
      </c>
      <c r="B30154" s="11" t="str">
        <f>"01072804"</f>
        <v>01072804</v>
      </c>
    </row>
    <row r="30155" spans="1:2" x14ac:dyDescent="0.25">
      <c r="A30155" s="2">
        <v>30150</v>
      </c>
      <c r="B30155" s="11" t="str">
        <f>"01072808"</f>
        <v>01072808</v>
      </c>
    </row>
    <row r="30156" spans="1:2" x14ac:dyDescent="0.25">
      <c r="A30156" s="2">
        <v>30151</v>
      </c>
      <c r="B30156" s="11" t="str">
        <f>"01072811"</f>
        <v>01072811</v>
      </c>
    </row>
    <row r="30157" spans="1:2" x14ac:dyDescent="0.25">
      <c r="A30157" s="2">
        <v>30152</v>
      </c>
      <c r="B30157" s="11" t="str">
        <f>"01072814"</f>
        <v>01072814</v>
      </c>
    </row>
    <row r="30158" spans="1:2" x14ac:dyDescent="0.25">
      <c r="A30158" s="2">
        <v>30153</v>
      </c>
      <c r="B30158" s="11" t="str">
        <f>"01072818"</f>
        <v>01072818</v>
      </c>
    </row>
    <row r="30159" spans="1:2" x14ac:dyDescent="0.25">
      <c r="A30159" s="2">
        <v>30154</v>
      </c>
      <c r="B30159" s="11" t="str">
        <f>"01072823"</f>
        <v>01072823</v>
      </c>
    </row>
    <row r="30160" spans="1:2" x14ac:dyDescent="0.25">
      <c r="A30160" s="2">
        <v>30155</v>
      </c>
      <c r="B30160" s="11" t="str">
        <f>"01072825"</f>
        <v>01072825</v>
      </c>
    </row>
    <row r="30161" spans="1:2" x14ac:dyDescent="0.25">
      <c r="A30161" s="2">
        <v>30156</v>
      </c>
      <c r="B30161" s="11" t="str">
        <f>"01072827"</f>
        <v>01072827</v>
      </c>
    </row>
    <row r="30162" spans="1:2" x14ac:dyDescent="0.25">
      <c r="A30162" s="2">
        <v>30157</v>
      </c>
      <c r="B30162" s="11" t="str">
        <f>"01072833"</f>
        <v>01072833</v>
      </c>
    </row>
    <row r="30163" spans="1:2" x14ac:dyDescent="0.25">
      <c r="A30163" s="2">
        <v>30158</v>
      </c>
      <c r="B30163" s="11" t="str">
        <f>"01072840"</f>
        <v>01072840</v>
      </c>
    </row>
    <row r="30164" spans="1:2" x14ac:dyDescent="0.25">
      <c r="A30164" s="2">
        <v>30159</v>
      </c>
      <c r="B30164" s="11" t="str">
        <f>"01072842"</f>
        <v>01072842</v>
      </c>
    </row>
    <row r="30165" spans="1:2" x14ac:dyDescent="0.25">
      <c r="A30165" s="2">
        <v>30160</v>
      </c>
      <c r="B30165" s="11" t="str">
        <f>"01072843"</f>
        <v>01072843</v>
      </c>
    </row>
    <row r="30166" spans="1:2" x14ac:dyDescent="0.25">
      <c r="A30166" s="2">
        <v>30161</v>
      </c>
      <c r="B30166" s="11" t="str">
        <f>"01072854"</f>
        <v>01072854</v>
      </c>
    </row>
    <row r="30167" spans="1:2" x14ac:dyDescent="0.25">
      <c r="A30167" s="2">
        <v>30162</v>
      </c>
      <c r="B30167" s="11" t="str">
        <f>"01072867"</f>
        <v>01072867</v>
      </c>
    </row>
    <row r="30168" spans="1:2" x14ac:dyDescent="0.25">
      <c r="A30168" s="2">
        <v>30163</v>
      </c>
      <c r="B30168" s="11" t="str">
        <f>"01072868"</f>
        <v>01072868</v>
      </c>
    </row>
    <row r="30169" spans="1:2" x14ac:dyDescent="0.25">
      <c r="A30169" s="2">
        <v>30164</v>
      </c>
      <c r="B30169" s="11" t="str">
        <f>"01072869"</f>
        <v>01072869</v>
      </c>
    </row>
    <row r="30170" spans="1:2" x14ac:dyDescent="0.25">
      <c r="A30170" s="2">
        <v>30165</v>
      </c>
      <c r="B30170" s="11" t="str">
        <f>"01072882"</f>
        <v>01072882</v>
      </c>
    </row>
    <row r="30171" spans="1:2" x14ac:dyDescent="0.25">
      <c r="A30171" s="2">
        <v>30166</v>
      </c>
      <c r="B30171" s="11" t="str">
        <f>"01072883"</f>
        <v>01072883</v>
      </c>
    </row>
    <row r="30172" spans="1:2" x14ac:dyDescent="0.25">
      <c r="A30172" s="2">
        <v>30167</v>
      </c>
      <c r="B30172" s="11" t="str">
        <f>"01072886"</f>
        <v>01072886</v>
      </c>
    </row>
    <row r="30173" spans="1:2" x14ac:dyDescent="0.25">
      <c r="A30173" s="2">
        <v>30168</v>
      </c>
      <c r="B30173" s="11" t="str">
        <f>"01072893"</f>
        <v>01072893</v>
      </c>
    </row>
    <row r="30174" spans="1:2" x14ac:dyDescent="0.25">
      <c r="A30174" s="2">
        <v>30169</v>
      </c>
      <c r="B30174" s="11" t="str">
        <f>"01072897"</f>
        <v>01072897</v>
      </c>
    </row>
    <row r="30175" spans="1:2" x14ac:dyDescent="0.25">
      <c r="A30175" s="2">
        <v>30170</v>
      </c>
      <c r="B30175" s="11" t="str">
        <f>"01072903"</f>
        <v>01072903</v>
      </c>
    </row>
    <row r="30176" spans="1:2" x14ac:dyDescent="0.25">
      <c r="A30176" s="2">
        <v>30171</v>
      </c>
      <c r="B30176" s="11" t="str">
        <f>"01072904"</f>
        <v>01072904</v>
      </c>
    </row>
    <row r="30177" spans="1:2" x14ac:dyDescent="0.25">
      <c r="A30177" s="2">
        <v>30172</v>
      </c>
      <c r="B30177" s="11" t="str">
        <f>"01072911"</f>
        <v>01072911</v>
      </c>
    </row>
    <row r="30178" spans="1:2" x14ac:dyDescent="0.25">
      <c r="A30178" s="2">
        <v>30173</v>
      </c>
      <c r="B30178" s="11" t="str">
        <f>"01072914"</f>
        <v>01072914</v>
      </c>
    </row>
    <row r="30179" spans="1:2" x14ac:dyDescent="0.25">
      <c r="A30179" s="2">
        <v>30174</v>
      </c>
      <c r="B30179" s="11" t="str">
        <f>"01072915"</f>
        <v>01072915</v>
      </c>
    </row>
    <row r="30180" spans="1:2" x14ac:dyDescent="0.25">
      <c r="A30180" s="2">
        <v>30175</v>
      </c>
      <c r="B30180" s="11" t="str">
        <f>"01072917"</f>
        <v>01072917</v>
      </c>
    </row>
    <row r="30181" spans="1:2" x14ac:dyDescent="0.25">
      <c r="A30181" s="2">
        <v>30176</v>
      </c>
      <c r="B30181" s="11" t="str">
        <f>"01072924"</f>
        <v>01072924</v>
      </c>
    </row>
    <row r="30182" spans="1:2" x14ac:dyDescent="0.25">
      <c r="A30182" s="2">
        <v>30177</v>
      </c>
      <c r="B30182" s="11" t="str">
        <f>"01072930"</f>
        <v>01072930</v>
      </c>
    </row>
    <row r="30183" spans="1:2" x14ac:dyDescent="0.25">
      <c r="A30183" s="2">
        <v>30178</v>
      </c>
      <c r="B30183" s="11" t="str">
        <f>"01072933"</f>
        <v>01072933</v>
      </c>
    </row>
    <row r="30184" spans="1:2" x14ac:dyDescent="0.25">
      <c r="A30184" s="2">
        <v>30179</v>
      </c>
      <c r="B30184" s="11" t="str">
        <f>"01072934"</f>
        <v>01072934</v>
      </c>
    </row>
    <row r="30185" spans="1:2" x14ac:dyDescent="0.25">
      <c r="A30185" s="2">
        <v>30180</v>
      </c>
      <c r="B30185" s="11" t="str">
        <f>"01072941"</f>
        <v>01072941</v>
      </c>
    </row>
    <row r="30186" spans="1:2" x14ac:dyDescent="0.25">
      <c r="A30186" s="2">
        <v>30181</v>
      </c>
      <c r="B30186" s="11" t="str">
        <f>"01072943"</f>
        <v>01072943</v>
      </c>
    </row>
    <row r="30187" spans="1:2" x14ac:dyDescent="0.25">
      <c r="A30187" s="2">
        <v>30182</v>
      </c>
      <c r="B30187" s="11" t="str">
        <f>"01072949"</f>
        <v>01072949</v>
      </c>
    </row>
    <row r="30188" spans="1:2" x14ac:dyDescent="0.25">
      <c r="A30188" s="2">
        <v>30183</v>
      </c>
      <c r="B30188" s="11" t="str">
        <f>"01072952"</f>
        <v>01072952</v>
      </c>
    </row>
    <row r="30189" spans="1:2" x14ac:dyDescent="0.25">
      <c r="A30189" s="2">
        <v>30184</v>
      </c>
      <c r="B30189" s="11" t="str">
        <f>"01072959"</f>
        <v>01072959</v>
      </c>
    </row>
    <row r="30190" spans="1:2" x14ac:dyDescent="0.25">
      <c r="A30190" s="2">
        <v>30185</v>
      </c>
      <c r="B30190" s="11" t="str">
        <f>"01072962"</f>
        <v>01072962</v>
      </c>
    </row>
    <row r="30191" spans="1:2" x14ac:dyDescent="0.25">
      <c r="A30191" s="2">
        <v>30186</v>
      </c>
      <c r="B30191" s="11" t="str">
        <f>"01072963"</f>
        <v>01072963</v>
      </c>
    </row>
    <row r="30192" spans="1:2" x14ac:dyDescent="0.25">
      <c r="A30192" s="2">
        <v>30187</v>
      </c>
      <c r="B30192" s="11" t="str">
        <f>"01072971"</f>
        <v>01072971</v>
      </c>
    </row>
    <row r="30193" spans="1:2" x14ac:dyDescent="0.25">
      <c r="A30193" s="2">
        <v>30188</v>
      </c>
      <c r="B30193" s="11" t="str">
        <f>"01072972"</f>
        <v>01072972</v>
      </c>
    </row>
    <row r="30194" spans="1:2" x14ac:dyDescent="0.25">
      <c r="A30194" s="2">
        <v>30189</v>
      </c>
      <c r="B30194" s="11" t="str">
        <f>"01072977"</f>
        <v>01072977</v>
      </c>
    </row>
    <row r="30195" spans="1:2" x14ac:dyDescent="0.25">
      <c r="A30195" s="2">
        <v>30190</v>
      </c>
      <c r="B30195" s="11" t="str">
        <f>"01072980"</f>
        <v>01072980</v>
      </c>
    </row>
    <row r="30196" spans="1:2" x14ac:dyDescent="0.25">
      <c r="A30196" s="2">
        <v>30191</v>
      </c>
      <c r="B30196" s="11" t="str">
        <f>"01072981"</f>
        <v>01072981</v>
      </c>
    </row>
    <row r="30197" spans="1:2" x14ac:dyDescent="0.25">
      <c r="A30197" s="2">
        <v>30192</v>
      </c>
      <c r="B30197" s="11" t="str">
        <f>"01072982"</f>
        <v>01072982</v>
      </c>
    </row>
    <row r="30198" spans="1:2" x14ac:dyDescent="0.25">
      <c r="A30198" s="2">
        <v>30193</v>
      </c>
      <c r="B30198" s="11" t="str">
        <f>"01072985"</f>
        <v>01072985</v>
      </c>
    </row>
    <row r="30199" spans="1:2" x14ac:dyDescent="0.25">
      <c r="A30199" s="2">
        <v>30194</v>
      </c>
      <c r="B30199" s="11" t="str">
        <f>"01072987"</f>
        <v>01072987</v>
      </c>
    </row>
    <row r="30200" spans="1:2" x14ac:dyDescent="0.25">
      <c r="A30200" s="2">
        <v>30195</v>
      </c>
      <c r="B30200" s="11" t="str">
        <f>"01072993"</f>
        <v>01072993</v>
      </c>
    </row>
    <row r="30201" spans="1:2" x14ac:dyDescent="0.25">
      <c r="A30201" s="2">
        <v>30196</v>
      </c>
      <c r="B30201" s="11" t="str">
        <f>"01072997"</f>
        <v>01072997</v>
      </c>
    </row>
    <row r="30202" spans="1:2" x14ac:dyDescent="0.25">
      <c r="A30202" s="2">
        <v>30197</v>
      </c>
      <c r="B30202" s="11" t="str">
        <f>"01073001"</f>
        <v>01073001</v>
      </c>
    </row>
    <row r="30203" spans="1:2" x14ac:dyDescent="0.25">
      <c r="A30203" s="2">
        <v>30198</v>
      </c>
      <c r="B30203" s="11" t="str">
        <f>"01073004"</f>
        <v>01073004</v>
      </c>
    </row>
    <row r="30204" spans="1:2" x14ac:dyDescent="0.25">
      <c r="A30204" s="2">
        <v>30199</v>
      </c>
      <c r="B30204" s="11" t="str">
        <f>"01073007"</f>
        <v>01073007</v>
      </c>
    </row>
    <row r="30205" spans="1:2" x14ac:dyDescent="0.25">
      <c r="A30205" s="2">
        <v>30200</v>
      </c>
      <c r="B30205" s="11" t="str">
        <f>"01073029"</f>
        <v>01073029</v>
      </c>
    </row>
    <row r="30206" spans="1:2" x14ac:dyDescent="0.25">
      <c r="A30206" s="2">
        <v>30201</v>
      </c>
      <c r="B30206" s="11" t="str">
        <f>"01073039"</f>
        <v>01073039</v>
      </c>
    </row>
    <row r="30207" spans="1:2" x14ac:dyDescent="0.25">
      <c r="A30207" s="2">
        <v>30202</v>
      </c>
      <c r="B30207" s="11" t="str">
        <f>"01073046"</f>
        <v>01073046</v>
      </c>
    </row>
    <row r="30208" spans="1:2" x14ac:dyDescent="0.25">
      <c r="A30208" s="2">
        <v>30203</v>
      </c>
      <c r="B30208" s="11" t="str">
        <f>"01073050"</f>
        <v>01073050</v>
      </c>
    </row>
    <row r="30209" spans="1:2" x14ac:dyDescent="0.25">
      <c r="A30209" s="2">
        <v>30204</v>
      </c>
      <c r="B30209" s="11" t="str">
        <f>"01073066"</f>
        <v>01073066</v>
      </c>
    </row>
    <row r="30210" spans="1:2" x14ac:dyDescent="0.25">
      <c r="A30210" s="2">
        <v>30205</v>
      </c>
      <c r="B30210" s="11" t="str">
        <f>"01073071"</f>
        <v>01073071</v>
      </c>
    </row>
    <row r="30211" spans="1:2" x14ac:dyDescent="0.25">
      <c r="A30211" s="2">
        <v>30206</v>
      </c>
      <c r="B30211" s="11" t="str">
        <f>"01073073"</f>
        <v>01073073</v>
      </c>
    </row>
    <row r="30212" spans="1:2" x14ac:dyDescent="0.25">
      <c r="A30212" s="2">
        <v>30207</v>
      </c>
      <c r="B30212" s="11" t="str">
        <f>"01073075"</f>
        <v>01073075</v>
      </c>
    </row>
    <row r="30213" spans="1:2" x14ac:dyDescent="0.25">
      <c r="A30213" s="2">
        <v>30208</v>
      </c>
      <c r="B30213" s="11" t="str">
        <f>"01073076"</f>
        <v>01073076</v>
      </c>
    </row>
    <row r="30214" spans="1:2" x14ac:dyDescent="0.25">
      <c r="A30214" s="2">
        <v>30209</v>
      </c>
      <c r="B30214" s="11" t="str">
        <f>"01073099"</f>
        <v>01073099</v>
      </c>
    </row>
    <row r="30215" spans="1:2" x14ac:dyDescent="0.25">
      <c r="A30215" s="2">
        <v>30210</v>
      </c>
      <c r="B30215" s="11" t="str">
        <f>"01073103"</f>
        <v>01073103</v>
      </c>
    </row>
    <row r="30216" spans="1:2" x14ac:dyDescent="0.25">
      <c r="A30216" s="2">
        <v>30211</v>
      </c>
      <c r="B30216" s="11" t="str">
        <f>"01073105"</f>
        <v>01073105</v>
      </c>
    </row>
    <row r="30217" spans="1:2" x14ac:dyDescent="0.25">
      <c r="A30217" s="2">
        <v>30212</v>
      </c>
      <c r="B30217" s="11" t="str">
        <f>"01073110"</f>
        <v>01073110</v>
      </c>
    </row>
    <row r="30218" spans="1:2" x14ac:dyDescent="0.25">
      <c r="A30218" s="2">
        <v>30213</v>
      </c>
      <c r="B30218" s="11" t="str">
        <f>"01073111"</f>
        <v>01073111</v>
      </c>
    </row>
    <row r="30219" spans="1:2" x14ac:dyDescent="0.25">
      <c r="A30219" s="2">
        <v>30214</v>
      </c>
      <c r="B30219" s="11" t="str">
        <f>"01073115"</f>
        <v>01073115</v>
      </c>
    </row>
    <row r="30220" spans="1:2" x14ac:dyDescent="0.25">
      <c r="A30220" s="2">
        <v>30215</v>
      </c>
      <c r="B30220" s="11" t="str">
        <f>"01073117"</f>
        <v>01073117</v>
      </c>
    </row>
    <row r="30221" spans="1:2" x14ac:dyDescent="0.25">
      <c r="A30221" s="2">
        <v>30216</v>
      </c>
      <c r="B30221" s="11" t="str">
        <f>"01073118"</f>
        <v>01073118</v>
      </c>
    </row>
    <row r="30222" spans="1:2" x14ac:dyDescent="0.25">
      <c r="A30222" s="2">
        <v>30217</v>
      </c>
      <c r="B30222" s="11" t="str">
        <f>"01073120"</f>
        <v>01073120</v>
      </c>
    </row>
    <row r="30223" spans="1:2" x14ac:dyDescent="0.25">
      <c r="A30223" s="2">
        <v>30218</v>
      </c>
      <c r="B30223" s="11" t="str">
        <f>"01073122"</f>
        <v>01073122</v>
      </c>
    </row>
    <row r="30224" spans="1:2" x14ac:dyDescent="0.25">
      <c r="A30224" s="2">
        <v>30219</v>
      </c>
      <c r="B30224" s="11" t="str">
        <f>"01073142"</f>
        <v>01073142</v>
      </c>
    </row>
    <row r="30225" spans="1:2" x14ac:dyDescent="0.25">
      <c r="A30225" s="2">
        <v>30220</v>
      </c>
      <c r="B30225" s="11" t="str">
        <f>"01073143"</f>
        <v>01073143</v>
      </c>
    </row>
    <row r="30226" spans="1:2" x14ac:dyDescent="0.25">
      <c r="A30226" s="2">
        <v>30221</v>
      </c>
      <c r="B30226" s="11" t="str">
        <f>"01073144"</f>
        <v>01073144</v>
      </c>
    </row>
    <row r="30227" spans="1:2" x14ac:dyDescent="0.25">
      <c r="A30227" s="2">
        <v>30222</v>
      </c>
      <c r="B30227" s="11" t="str">
        <f>"01073145"</f>
        <v>01073145</v>
      </c>
    </row>
    <row r="30228" spans="1:2" x14ac:dyDescent="0.25">
      <c r="A30228" s="2">
        <v>30223</v>
      </c>
      <c r="B30228" s="11" t="str">
        <f>"01073146"</f>
        <v>01073146</v>
      </c>
    </row>
    <row r="30229" spans="1:2" x14ac:dyDescent="0.25">
      <c r="A30229" s="2">
        <v>30224</v>
      </c>
      <c r="B30229" s="11" t="str">
        <f>"01073148"</f>
        <v>01073148</v>
      </c>
    </row>
    <row r="30230" spans="1:2" x14ac:dyDescent="0.25">
      <c r="A30230" s="2">
        <v>30225</v>
      </c>
      <c r="B30230" s="11" t="str">
        <f>"01073152"</f>
        <v>01073152</v>
      </c>
    </row>
    <row r="30231" spans="1:2" x14ac:dyDescent="0.25">
      <c r="A30231" s="2">
        <v>30226</v>
      </c>
      <c r="B30231" s="11" t="str">
        <f>"01073159"</f>
        <v>01073159</v>
      </c>
    </row>
    <row r="30232" spans="1:2" x14ac:dyDescent="0.25">
      <c r="A30232" s="2">
        <v>30227</v>
      </c>
      <c r="B30232" s="11" t="str">
        <f>"01073161"</f>
        <v>01073161</v>
      </c>
    </row>
    <row r="30233" spans="1:2" x14ac:dyDescent="0.25">
      <c r="A30233" s="2">
        <v>30228</v>
      </c>
      <c r="B30233" s="11" t="str">
        <f>"01073163"</f>
        <v>01073163</v>
      </c>
    </row>
    <row r="30234" spans="1:2" x14ac:dyDescent="0.25">
      <c r="A30234" s="2">
        <v>30229</v>
      </c>
      <c r="B30234" s="11" t="str">
        <f>"01073167"</f>
        <v>01073167</v>
      </c>
    </row>
    <row r="30235" spans="1:2" x14ac:dyDescent="0.25">
      <c r="A30235" s="2">
        <v>30230</v>
      </c>
      <c r="B30235" s="11" t="str">
        <f>"01073180"</f>
        <v>01073180</v>
      </c>
    </row>
    <row r="30236" spans="1:2" x14ac:dyDescent="0.25">
      <c r="A30236" s="2">
        <v>30231</v>
      </c>
      <c r="B30236" s="11" t="str">
        <f>"01073182"</f>
        <v>01073182</v>
      </c>
    </row>
    <row r="30237" spans="1:2" x14ac:dyDescent="0.25">
      <c r="A30237" s="2">
        <v>30232</v>
      </c>
      <c r="B30237" s="11" t="str">
        <f>"01073183"</f>
        <v>01073183</v>
      </c>
    </row>
    <row r="30238" spans="1:2" x14ac:dyDescent="0.25">
      <c r="A30238" s="2">
        <v>30233</v>
      </c>
      <c r="B30238" s="11" t="str">
        <f>"01073188"</f>
        <v>01073188</v>
      </c>
    </row>
    <row r="30239" spans="1:2" x14ac:dyDescent="0.25">
      <c r="A30239" s="2">
        <v>30234</v>
      </c>
      <c r="B30239" s="11" t="str">
        <f>"01073198"</f>
        <v>01073198</v>
      </c>
    </row>
    <row r="30240" spans="1:2" x14ac:dyDescent="0.25">
      <c r="A30240" s="2">
        <v>30235</v>
      </c>
      <c r="B30240" s="11" t="str">
        <f>"01073206"</f>
        <v>01073206</v>
      </c>
    </row>
    <row r="30241" spans="1:2" x14ac:dyDescent="0.25">
      <c r="A30241" s="2">
        <v>30236</v>
      </c>
      <c r="B30241" s="11" t="str">
        <f>"01073211"</f>
        <v>01073211</v>
      </c>
    </row>
    <row r="30242" spans="1:2" x14ac:dyDescent="0.25">
      <c r="A30242" s="2">
        <v>30237</v>
      </c>
      <c r="B30242" s="11" t="str">
        <f>"01073212"</f>
        <v>01073212</v>
      </c>
    </row>
    <row r="30243" spans="1:2" x14ac:dyDescent="0.25">
      <c r="A30243" s="2">
        <v>30238</v>
      </c>
      <c r="B30243" s="11" t="str">
        <f>"01073221"</f>
        <v>01073221</v>
      </c>
    </row>
    <row r="30244" spans="1:2" x14ac:dyDescent="0.25">
      <c r="A30244" s="2">
        <v>30239</v>
      </c>
      <c r="B30244" s="11" t="str">
        <f>"01073223"</f>
        <v>01073223</v>
      </c>
    </row>
    <row r="30245" spans="1:2" x14ac:dyDescent="0.25">
      <c r="A30245" s="2">
        <v>30240</v>
      </c>
      <c r="B30245" s="11" t="str">
        <f>"01073226"</f>
        <v>01073226</v>
      </c>
    </row>
    <row r="30246" spans="1:2" x14ac:dyDescent="0.25">
      <c r="A30246" s="2">
        <v>30241</v>
      </c>
      <c r="B30246" s="11" t="str">
        <f>"01073231"</f>
        <v>01073231</v>
      </c>
    </row>
    <row r="30247" spans="1:2" x14ac:dyDescent="0.25">
      <c r="A30247" s="2">
        <v>30242</v>
      </c>
      <c r="B30247" s="11" t="str">
        <f>"01073236"</f>
        <v>01073236</v>
      </c>
    </row>
    <row r="30248" spans="1:2" x14ac:dyDescent="0.25">
      <c r="A30248" s="2">
        <v>30243</v>
      </c>
      <c r="B30248" s="11" t="str">
        <f>"01073239"</f>
        <v>01073239</v>
      </c>
    </row>
    <row r="30249" spans="1:2" x14ac:dyDescent="0.25">
      <c r="A30249" s="2">
        <v>30244</v>
      </c>
      <c r="B30249" s="11" t="str">
        <f>"01073250"</f>
        <v>01073250</v>
      </c>
    </row>
    <row r="30250" spans="1:2" x14ac:dyDescent="0.25">
      <c r="A30250" s="2">
        <v>30245</v>
      </c>
      <c r="B30250" s="11" t="str">
        <f>"01073254"</f>
        <v>01073254</v>
      </c>
    </row>
    <row r="30251" spans="1:2" x14ac:dyDescent="0.25">
      <c r="A30251" s="2">
        <v>30246</v>
      </c>
      <c r="B30251" s="11" t="str">
        <f>"01073261"</f>
        <v>01073261</v>
      </c>
    </row>
    <row r="30252" spans="1:2" x14ac:dyDescent="0.25">
      <c r="A30252" s="2">
        <v>30247</v>
      </c>
      <c r="B30252" s="11" t="str">
        <f>"01073263"</f>
        <v>01073263</v>
      </c>
    </row>
    <row r="30253" spans="1:2" x14ac:dyDescent="0.25">
      <c r="A30253" s="2">
        <v>30248</v>
      </c>
      <c r="B30253" s="11" t="str">
        <f>"01073265"</f>
        <v>01073265</v>
      </c>
    </row>
    <row r="30254" spans="1:2" x14ac:dyDescent="0.25">
      <c r="A30254" s="2">
        <v>30249</v>
      </c>
      <c r="B30254" s="11" t="str">
        <f>"01073274"</f>
        <v>01073274</v>
      </c>
    </row>
    <row r="30255" spans="1:2" x14ac:dyDescent="0.25">
      <c r="A30255" s="2">
        <v>30250</v>
      </c>
      <c r="B30255" s="11" t="str">
        <f>"01073287"</f>
        <v>01073287</v>
      </c>
    </row>
    <row r="30256" spans="1:2" x14ac:dyDescent="0.25">
      <c r="A30256" s="2">
        <v>30251</v>
      </c>
      <c r="B30256" s="11" t="str">
        <f>"01073289"</f>
        <v>01073289</v>
      </c>
    </row>
    <row r="30257" spans="1:2" x14ac:dyDescent="0.25">
      <c r="A30257" s="2">
        <v>30252</v>
      </c>
      <c r="B30257" s="11" t="str">
        <f>"01073300"</f>
        <v>01073300</v>
      </c>
    </row>
    <row r="30258" spans="1:2" x14ac:dyDescent="0.25">
      <c r="A30258" s="2">
        <v>30253</v>
      </c>
      <c r="B30258" s="11" t="str">
        <f>"01073302"</f>
        <v>01073302</v>
      </c>
    </row>
    <row r="30259" spans="1:2" x14ac:dyDescent="0.25">
      <c r="A30259" s="2">
        <v>30254</v>
      </c>
      <c r="B30259" s="11" t="str">
        <f>"01073309"</f>
        <v>01073309</v>
      </c>
    </row>
    <row r="30260" spans="1:2" x14ac:dyDescent="0.25">
      <c r="A30260" s="2">
        <v>30255</v>
      </c>
      <c r="B30260" s="11" t="str">
        <f>"01073312"</f>
        <v>01073312</v>
      </c>
    </row>
    <row r="30261" spans="1:2" x14ac:dyDescent="0.25">
      <c r="A30261" s="2">
        <v>30256</v>
      </c>
      <c r="B30261" s="11" t="str">
        <f>"01073316"</f>
        <v>01073316</v>
      </c>
    </row>
    <row r="30262" spans="1:2" x14ac:dyDescent="0.25">
      <c r="A30262" s="2">
        <v>30257</v>
      </c>
      <c r="B30262" s="11" t="str">
        <f>"01073323"</f>
        <v>01073323</v>
      </c>
    </row>
    <row r="30263" spans="1:2" x14ac:dyDescent="0.25">
      <c r="A30263" s="2">
        <v>30258</v>
      </c>
      <c r="B30263" s="11" t="str">
        <f>"01073326"</f>
        <v>01073326</v>
      </c>
    </row>
    <row r="30264" spans="1:2" x14ac:dyDescent="0.25">
      <c r="A30264" s="2">
        <v>30259</v>
      </c>
      <c r="B30264" s="11" t="str">
        <f>"01073337"</f>
        <v>01073337</v>
      </c>
    </row>
    <row r="30265" spans="1:2" x14ac:dyDescent="0.25">
      <c r="A30265" s="2">
        <v>30260</v>
      </c>
      <c r="B30265" s="11" t="str">
        <f>"01073341"</f>
        <v>01073341</v>
      </c>
    </row>
    <row r="30266" spans="1:2" x14ac:dyDescent="0.25">
      <c r="A30266" s="2">
        <v>30261</v>
      </c>
      <c r="B30266" s="11" t="str">
        <f>"01073344"</f>
        <v>01073344</v>
      </c>
    </row>
    <row r="30267" spans="1:2" x14ac:dyDescent="0.25">
      <c r="A30267" s="2">
        <v>30262</v>
      </c>
      <c r="B30267" s="11" t="str">
        <f>"01073354"</f>
        <v>01073354</v>
      </c>
    </row>
    <row r="30268" spans="1:2" x14ac:dyDescent="0.25">
      <c r="A30268" s="2">
        <v>30263</v>
      </c>
      <c r="B30268" s="11" t="str">
        <f>"01073358"</f>
        <v>01073358</v>
      </c>
    </row>
    <row r="30269" spans="1:2" x14ac:dyDescent="0.25">
      <c r="A30269" s="2">
        <v>30264</v>
      </c>
      <c r="B30269" s="11" t="str">
        <f>"01073359"</f>
        <v>01073359</v>
      </c>
    </row>
    <row r="30270" spans="1:2" x14ac:dyDescent="0.25">
      <c r="A30270" s="2">
        <v>30265</v>
      </c>
      <c r="B30270" s="11" t="str">
        <f>"01073362"</f>
        <v>01073362</v>
      </c>
    </row>
    <row r="30271" spans="1:2" x14ac:dyDescent="0.25">
      <c r="A30271" s="2">
        <v>30266</v>
      </c>
      <c r="B30271" s="11" t="str">
        <f>"01073371"</f>
        <v>01073371</v>
      </c>
    </row>
    <row r="30272" spans="1:2" x14ac:dyDescent="0.25">
      <c r="A30272" s="2">
        <v>30267</v>
      </c>
      <c r="B30272" s="11" t="str">
        <f>"01073377"</f>
        <v>01073377</v>
      </c>
    </row>
    <row r="30273" spans="1:2" x14ac:dyDescent="0.25">
      <c r="A30273" s="2">
        <v>30268</v>
      </c>
      <c r="B30273" s="11" t="str">
        <f>"01073378"</f>
        <v>01073378</v>
      </c>
    </row>
    <row r="30274" spans="1:2" x14ac:dyDescent="0.25">
      <c r="A30274" s="2">
        <v>30269</v>
      </c>
      <c r="B30274" s="11" t="str">
        <f>"01073380"</f>
        <v>01073380</v>
      </c>
    </row>
    <row r="30275" spans="1:2" x14ac:dyDescent="0.25">
      <c r="A30275" s="2">
        <v>30270</v>
      </c>
      <c r="B30275" s="11" t="str">
        <f>"01073383"</f>
        <v>01073383</v>
      </c>
    </row>
    <row r="30276" spans="1:2" x14ac:dyDescent="0.25">
      <c r="A30276" s="2">
        <v>30271</v>
      </c>
      <c r="B30276" s="11" t="str">
        <f>"01073387"</f>
        <v>01073387</v>
      </c>
    </row>
    <row r="30277" spans="1:2" x14ac:dyDescent="0.25">
      <c r="A30277" s="2">
        <v>30272</v>
      </c>
      <c r="B30277" s="11" t="str">
        <f>"01073388"</f>
        <v>01073388</v>
      </c>
    </row>
    <row r="30278" spans="1:2" x14ac:dyDescent="0.25">
      <c r="A30278" s="2">
        <v>30273</v>
      </c>
      <c r="B30278" s="11" t="str">
        <f>"01073396"</f>
        <v>01073396</v>
      </c>
    </row>
    <row r="30279" spans="1:2" x14ac:dyDescent="0.25">
      <c r="A30279" s="2">
        <v>30274</v>
      </c>
      <c r="B30279" s="11" t="str">
        <f>"01073398"</f>
        <v>01073398</v>
      </c>
    </row>
    <row r="30280" spans="1:2" x14ac:dyDescent="0.25">
      <c r="A30280" s="2">
        <v>30275</v>
      </c>
      <c r="B30280" s="11" t="str">
        <f>"01073399"</f>
        <v>01073399</v>
      </c>
    </row>
    <row r="30281" spans="1:2" x14ac:dyDescent="0.25">
      <c r="A30281" s="2">
        <v>30276</v>
      </c>
      <c r="B30281" s="11" t="str">
        <f>"01073405"</f>
        <v>01073405</v>
      </c>
    </row>
    <row r="30282" spans="1:2" x14ac:dyDescent="0.25">
      <c r="A30282" s="2">
        <v>30277</v>
      </c>
      <c r="B30282" s="11" t="str">
        <f>"01073411"</f>
        <v>01073411</v>
      </c>
    </row>
    <row r="30283" spans="1:2" x14ac:dyDescent="0.25">
      <c r="A30283" s="2">
        <v>30278</v>
      </c>
      <c r="B30283" s="11" t="str">
        <f>"01073413"</f>
        <v>01073413</v>
      </c>
    </row>
    <row r="30284" spans="1:2" x14ac:dyDescent="0.25">
      <c r="A30284" s="2">
        <v>30279</v>
      </c>
      <c r="B30284" s="11" t="str">
        <f>"01073414"</f>
        <v>01073414</v>
      </c>
    </row>
    <row r="30285" spans="1:2" x14ac:dyDescent="0.25">
      <c r="A30285" s="2">
        <v>30280</v>
      </c>
      <c r="B30285" s="11" t="str">
        <f>"01073415"</f>
        <v>01073415</v>
      </c>
    </row>
    <row r="30286" spans="1:2" x14ac:dyDescent="0.25">
      <c r="A30286" s="2">
        <v>30281</v>
      </c>
      <c r="B30286" s="11" t="str">
        <f>"01073419"</f>
        <v>01073419</v>
      </c>
    </row>
    <row r="30287" spans="1:2" x14ac:dyDescent="0.25">
      <c r="A30287" s="2">
        <v>30282</v>
      </c>
      <c r="B30287" s="11" t="str">
        <f>"01073434"</f>
        <v>01073434</v>
      </c>
    </row>
    <row r="30288" spans="1:2" x14ac:dyDescent="0.25">
      <c r="A30288" s="2">
        <v>30283</v>
      </c>
      <c r="B30288" s="11" t="str">
        <f>"01073445"</f>
        <v>01073445</v>
      </c>
    </row>
    <row r="30289" spans="1:2" x14ac:dyDescent="0.25">
      <c r="A30289" s="2">
        <v>30284</v>
      </c>
      <c r="B30289" s="11" t="str">
        <f>"01073449"</f>
        <v>01073449</v>
      </c>
    </row>
    <row r="30290" spans="1:2" x14ac:dyDescent="0.25">
      <c r="A30290" s="2">
        <v>30285</v>
      </c>
      <c r="B30290" s="11" t="str">
        <f>"01073453"</f>
        <v>01073453</v>
      </c>
    </row>
    <row r="30291" spans="1:2" x14ac:dyDescent="0.25">
      <c r="A30291" s="2">
        <v>30286</v>
      </c>
      <c r="B30291" s="11" t="str">
        <f>"01073454"</f>
        <v>01073454</v>
      </c>
    </row>
    <row r="30292" spans="1:2" x14ac:dyDescent="0.25">
      <c r="A30292" s="2">
        <v>30287</v>
      </c>
      <c r="B30292" s="11" t="str">
        <f>"01073456"</f>
        <v>01073456</v>
      </c>
    </row>
    <row r="30293" spans="1:2" x14ac:dyDescent="0.25">
      <c r="A30293" s="2">
        <v>30288</v>
      </c>
      <c r="B30293" s="11" t="str">
        <f>"01073457"</f>
        <v>01073457</v>
      </c>
    </row>
    <row r="30294" spans="1:2" x14ac:dyDescent="0.25">
      <c r="A30294" s="2">
        <v>30289</v>
      </c>
      <c r="B30294" s="11" t="str">
        <f>"01073470"</f>
        <v>01073470</v>
      </c>
    </row>
    <row r="30295" spans="1:2" x14ac:dyDescent="0.25">
      <c r="A30295" s="2">
        <v>30290</v>
      </c>
      <c r="B30295" s="11" t="str">
        <f>"01073472"</f>
        <v>01073472</v>
      </c>
    </row>
    <row r="30296" spans="1:2" x14ac:dyDescent="0.25">
      <c r="A30296" s="2">
        <v>30291</v>
      </c>
      <c r="B30296" s="11" t="str">
        <f>"01073485"</f>
        <v>01073485</v>
      </c>
    </row>
    <row r="30297" spans="1:2" x14ac:dyDescent="0.25">
      <c r="A30297" s="2">
        <v>30292</v>
      </c>
      <c r="B30297" s="11" t="str">
        <f>"01073495"</f>
        <v>01073495</v>
      </c>
    </row>
    <row r="30298" spans="1:2" x14ac:dyDescent="0.25">
      <c r="A30298" s="2">
        <v>30293</v>
      </c>
      <c r="B30298" s="11" t="str">
        <f>"01073501"</f>
        <v>01073501</v>
      </c>
    </row>
    <row r="30299" spans="1:2" x14ac:dyDescent="0.25">
      <c r="A30299" s="2">
        <v>30294</v>
      </c>
      <c r="B30299" s="11" t="str">
        <f>"01073502"</f>
        <v>01073502</v>
      </c>
    </row>
    <row r="30300" spans="1:2" x14ac:dyDescent="0.25">
      <c r="A30300" s="2">
        <v>30295</v>
      </c>
      <c r="B30300" s="11" t="str">
        <f>"01073503"</f>
        <v>01073503</v>
      </c>
    </row>
    <row r="30301" spans="1:2" x14ac:dyDescent="0.25">
      <c r="A30301" s="2">
        <v>30296</v>
      </c>
      <c r="B30301" s="11" t="str">
        <f>"01073504"</f>
        <v>01073504</v>
      </c>
    </row>
    <row r="30302" spans="1:2" x14ac:dyDescent="0.25">
      <c r="A30302" s="2">
        <v>30297</v>
      </c>
      <c r="B30302" s="11" t="str">
        <f>"01073518"</f>
        <v>01073518</v>
      </c>
    </row>
    <row r="30303" spans="1:2" x14ac:dyDescent="0.25">
      <c r="A30303" s="2">
        <v>30298</v>
      </c>
      <c r="B30303" s="11" t="str">
        <f>"01073521"</f>
        <v>01073521</v>
      </c>
    </row>
    <row r="30304" spans="1:2" x14ac:dyDescent="0.25">
      <c r="A30304" s="2">
        <v>30299</v>
      </c>
      <c r="B30304" s="11" t="str">
        <f>"01073524"</f>
        <v>01073524</v>
      </c>
    </row>
    <row r="30305" spans="1:2" x14ac:dyDescent="0.25">
      <c r="A30305" s="2">
        <v>30300</v>
      </c>
      <c r="B30305" s="11" t="str">
        <f>"01073528"</f>
        <v>01073528</v>
      </c>
    </row>
    <row r="30306" spans="1:2" x14ac:dyDescent="0.25">
      <c r="A30306" s="2">
        <v>30301</v>
      </c>
      <c r="B30306" s="11" t="str">
        <f>"01073529"</f>
        <v>01073529</v>
      </c>
    </row>
    <row r="30307" spans="1:2" x14ac:dyDescent="0.25">
      <c r="A30307" s="2">
        <v>30302</v>
      </c>
      <c r="B30307" s="11" t="str">
        <f>"01073530"</f>
        <v>01073530</v>
      </c>
    </row>
    <row r="30308" spans="1:2" x14ac:dyDescent="0.25">
      <c r="A30308" s="2">
        <v>30303</v>
      </c>
      <c r="B30308" s="11" t="str">
        <f>"01073549"</f>
        <v>01073549</v>
      </c>
    </row>
    <row r="30309" spans="1:2" x14ac:dyDescent="0.25">
      <c r="A30309" s="2">
        <v>30304</v>
      </c>
      <c r="B30309" s="11" t="str">
        <f>"01073561"</f>
        <v>01073561</v>
      </c>
    </row>
    <row r="30310" spans="1:2" x14ac:dyDescent="0.25">
      <c r="A30310" s="2">
        <v>30305</v>
      </c>
      <c r="B30310" s="11" t="str">
        <f>"01073564"</f>
        <v>01073564</v>
      </c>
    </row>
    <row r="30311" spans="1:2" x14ac:dyDescent="0.25">
      <c r="A30311" s="2">
        <v>30306</v>
      </c>
      <c r="B30311" s="11" t="str">
        <f>"01073569"</f>
        <v>01073569</v>
      </c>
    </row>
    <row r="30312" spans="1:2" x14ac:dyDescent="0.25">
      <c r="A30312" s="2">
        <v>30307</v>
      </c>
      <c r="B30312" s="11" t="str">
        <f>"01073570"</f>
        <v>01073570</v>
      </c>
    </row>
    <row r="30313" spans="1:2" x14ac:dyDescent="0.25">
      <c r="A30313" s="2">
        <v>30308</v>
      </c>
      <c r="B30313" s="11" t="str">
        <f>"01073577"</f>
        <v>01073577</v>
      </c>
    </row>
    <row r="30314" spans="1:2" x14ac:dyDescent="0.25">
      <c r="A30314" s="2">
        <v>30309</v>
      </c>
      <c r="B30314" s="11" t="str">
        <f>"01073585"</f>
        <v>01073585</v>
      </c>
    </row>
    <row r="30315" spans="1:2" x14ac:dyDescent="0.25">
      <c r="A30315" s="2">
        <v>30310</v>
      </c>
      <c r="B30315" s="11" t="str">
        <f>"01073588"</f>
        <v>01073588</v>
      </c>
    </row>
    <row r="30316" spans="1:2" x14ac:dyDescent="0.25">
      <c r="A30316" s="2">
        <v>30311</v>
      </c>
      <c r="B30316" s="11" t="str">
        <f>"01073589"</f>
        <v>01073589</v>
      </c>
    </row>
    <row r="30317" spans="1:2" x14ac:dyDescent="0.25">
      <c r="A30317" s="2">
        <v>30312</v>
      </c>
      <c r="B30317" s="11" t="str">
        <f>"01073590"</f>
        <v>01073590</v>
      </c>
    </row>
    <row r="30318" spans="1:2" x14ac:dyDescent="0.25">
      <c r="A30318" s="2">
        <v>30313</v>
      </c>
      <c r="B30318" s="11" t="str">
        <f>"01073605"</f>
        <v>01073605</v>
      </c>
    </row>
    <row r="30319" spans="1:2" x14ac:dyDescent="0.25">
      <c r="A30319" s="2">
        <v>30314</v>
      </c>
      <c r="B30319" s="11" t="str">
        <f>"01073606"</f>
        <v>01073606</v>
      </c>
    </row>
    <row r="30320" spans="1:2" x14ac:dyDescent="0.25">
      <c r="A30320" s="2">
        <v>30315</v>
      </c>
      <c r="B30320" s="11" t="str">
        <f>"01073612"</f>
        <v>01073612</v>
      </c>
    </row>
    <row r="30321" spans="1:2" x14ac:dyDescent="0.25">
      <c r="A30321" s="2">
        <v>30316</v>
      </c>
      <c r="B30321" s="11" t="str">
        <f>"01073613"</f>
        <v>01073613</v>
      </c>
    </row>
    <row r="30322" spans="1:2" x14ac:dyDescent="0.25">
      <c r="A30322" s="2">
        <v>30317</v>
      </c>
      <c r="B30322" s="11" t="str">
        <f>"01073615"</f>
        <v>01073615</v>
      </c>
    </row>
    <row r="30323" spans="1:2" x14ac:dyDescent="0.25">
      <c r="A30323" s="2">
        <v>30318</v>
      </c>
      <c r="B30323" s="11" t="str">
        <f>"01073616"</f>
        <v>01073616</v>
      </c>
    </row>
    <row r="30324" spans="1:2" x14ac:dyDescent="0.25">
      <c r="A30324" s="2">
        <v>30319</v>
      </c>
      <c r="B30324" s="11" t="str">
        <f>"01073630"</f>
        <v>01073630</v>
      </c>
    </row>
    <row r="30325" spans="1:2" x14ac:dyDescent="0.25">
      <c r="A30325" s="2">
        <v>30320</v>
      </c>
      <c r="B30325" s="11" t="str">
        <f>"01073638"</f>
        <v>01073638</v>
      </c>
    </row>
    <row r="30326" spans="1:2" x14ac:dyDescent="0.25">
      <c r="A30326" s="2">
        <v>30321</v>
      </c>
      <c r="B30326" s="11" t="str">
        <f>"01073656"</f>
        <v>01073656</v>
      </c>
    </row>
    <row r="30327" spans="1:2" x14ac:dyDescent="0.25">
      <c r="A30327" s="2">
        <v>30322</v>
      </c>
      <c r="B30327" s="11" t="str">
        <f>"01073665"</f>
        <v>01073665</v>
      </c>
    </row>
    <row r="30328" spans="1:2" x14ac:dyDescent="0.25">
      <c r="A30328" s="2">
        <v>30323</v>
      </c>
      <c r="B30328" s="11" t="str">
        <f>"01073675"</f>
        <v>01073675</v>
      </c>
    </row>
    <row r="30329" spans="1:2" x14ac:dyDescent="0.25">
      <c r="A30329" s="2">
        <v>30324</v>
      </c>
      <c r="B30329" s="11" t="str">
        <f>"01073688"</f>
        <v>01073688</v>
      </c>
    </row>
    <row r="30330" spans="1:2" x14ac:dyDescent="0.25">
      <c r="A30330" s="2">
        <v>30325</v>
      </c>
      <c r="B30330" s="11" t="str">
        <f>"01073696"</f>
        <v>01073696</v>
      </c>
    </row>
    <row r="30331" spans="1:2" x14ac:dyDescent="0.25">
      <c r="A30331" s="2">
        <v>30326</v>
      </c>
      <c r="B30331" s="11" t="str">
        <f>"01073698"</f>
        <v>01073698</v>
      </c>
    </row>
    <row r="30332" spans="1:2" x14ac:dyDescent="0.25">
      <c r="A30332" s="2">
        <v>30327</v>
      </c>
      <c r="B30332" s="11" t="str">
        <f>"01073702"</f>
        <v>01073702</v>
      </c>
    </row>
    <row r="30333" spans="1:2" x14ac:dyDescent="0.25">
      <c r="A30333" s="2">
        <v>30328</v>
      </c>
      <c r="B30333" s="11" t="str">
        <f>"01073705"</f>
        <v>01073705</v>
      </c>
    </row>
    <row r="30334" spans="1:2" x14ac:dyDescent="0.25">
      <c r="A30334" s="2">
        <v>30329</v>
      </c>
      <c r="B30334" s="11" t="str">
        <f>"01073707"</f>
        <v>01073707</v>
      </c>
    </row>
    <row r="30335" spans="1:2" x14ac:dyDescent="0.25">
      <c r="A30335" s="2">
        <v>30330</v>
      </c>
      <c r="B30335" s="11" t="str">
        <f>"01073708"</f>
        <v>01073708</v>
      </c>
    </row>
    <row r="30336" spans="1:2" x14ac:dyDescent="0.25">
      <c r="A30336" s="2">
        <v>30331</v>
      </c>
      <c r="B30336" s="11" t="str">
        <f>"01073709"</f>
        <v>01073709</v>
      </c>
    </row>
    <row r="30337" spans="1:2" x14ac:dyDescent="0.25">
      <c r="A30337" s="2">
        <v>30332</v>
      </c>
      <c r="B30337" s="11" t="str">
        <f>"01073711"</f>
        <v>01073711</v>
      </c>
    </row>
    <row r="30338" spans="1:2" x14ac:dyDescent="0.25">
      <c r="A30338" s="2">
        <v>30333</v>
      </c>
      <c r="B30338" s="11" t="str">
        <f>"01073712"</f>
        <v>01073712</v>
      </c>
    </row>
    <row r="30339" spans="1:2" x14ac:dyDescent="0.25">
      <c r="A30339" s="2">
        <v>30334</v>
      </c>
      <c r="B30339" s="11" t="str">
        <f>"01073719"</f>
        <v>01073719</v>
      </c>
    </row>
    <row r="30340" spans="1:2" x14ac:dyDescent="0.25">
      <c r="A30340" s="2">
        <v>30335</v>
      </c>
      <c r="B30340" s="11" t="str">
        <f>"01073725"</f>
        <v>01073725</v>
      </c>
    </row>
    <row r="30341" spans="1:2" x14ac:dyDescent="0.25">
      <c r="A30341" s="2">
        <v>30336</v>
      </c>
      <c r="B30341" s="11" t="str">
        <f>"01073729"</f>
        <v>01073729</v>
      </c>
    </row>
    <row r="30342" spans="1:2" x14ac:dyDescent="0.25">
      <c r="A30342" s="2">
        <v>30337</v>
      </c>
      <c r="B30342" s="11" t="str">
        <f>"01073730"</f>
        <v>01073730</v>
      </c>
    </row>
    <row r="30343" spans="1:2" x14ac:dyDescent="0.25">
      <c r="A30343" s="2">
        <v>30338</v>
      </c>
      <c r="B30343" s="11" t="str">
        <f>"01073731"</f>
        <v>01073731</v>
      </c>
    </row>
    <row r="30344" spans="1:2" x14ac:dyDescent="0.25">
      <c r="A30344" s="2">
        <v>30339</v>
      </c>
      <c r="B30344" s="11" t="str">
        <f>"01073734"</f>
        <v>01073734</v>
      </c>
    </row>
    <row r="30345" spans="1:2" x14ac:dyDescent="0.25">
      <c r="A30345" s="2">
        <v>30340</v>
      </c>
      <c r="B30345" s="11" t="str">
        <f>"01073736"</f>
        <v>01073736</v>
      </c>
    </row>
    <row r="30346" spans="1:2" x14ac:dyDescent="0.25">
      <c r="A30346" s="2">
        <v>30341</v>
      </c>
      <c r="B30346" s="11" t="str">
        <f>"01073748"</f>
        <v>01073748</v>
      </c>
    </row>
    <row r="30347" spans="1:2" x14ac:dyDescent="0.25">
      <c r="A30347" s="2">
        <v>30342</v>
      </c>
      <c r="B30347" s="11" t="str">
        <f>"01073752"</f>
        <v>01073752</v>
      </c>
    </row>
    <row r="30348" spans="1:2" x14ac:dyDescent="0.25">
      <c r="A30348" s="2">
        <v>30343</v>
      </c>
      <c r="B30348" s="11" t="str">
        <f>"01073755"</f>
        <v>01073755</v>
      </c>
    </row>
    <row r="30349" spans="1:2" x14ac:dyDescent="0.25">
      <c r="A30349" s="2">
        <v>30344</v>
      </c>
      <c r="B30349" s="11" t="str">
        <f>"01073756"</f>
        <v>01073756</v>
      </c>
    </row>
    <row r="30350" spans="1:2" x14ac:dyDescent="0.25">
      <c r="A30350" s="2">
        <v>30345</v>
      </c>
      <c r="B30350" s="11" t="str">
        <f>"01073758"</f>
        <v>01073758</v>
      </c>
    </row>
    <row r="30351" spans="1:2" x14ac:dyDescent="0.25">
      <c r="A30351" s="2">
        <v>30346</v>
      </c>
      <c r="B30351" s="11" t="str">
        <f>"01073766"</f>
        <v>01073766</v>
      </c>
    </row>
    <row r="30352" spans="1:2" x14ac:dyDescent="0.25">
      <c r="A30352" s="2">
        <v>30347</v>
      </c>
      <c r="B30352" s="11" t="str">
        <f>"01073768"</f>
        <v>01073768</v>
      </c>
    </row>
    <row r="30353" spans="1:2" x14ac:dyDescent="0.25">
      <c r="A30353" s="2">
        <v>30348</v>
      </c>
      <c r="B30353" s="11" t="str">
        <f>"01073778"</f>
        <v>01073778</v>
      </c>
    </row>
    <row r="30354" spans="1:2" x14ac:dyDescent="0.25">
      <c r="A30354" s="2">
        <v>30349</v>
      </c>
      <c r="B30354" s="11" t="str">
        <f>"01073786"</f>
        <v>01073786</v>
      </c>
    </row>
    <row r="30355" spans="1:2" x14ac:dyDescent="0.25">
      <c r="A30355" s="2">
        <v>30350</v>
      </c>
      <c r="B30355" s="11" t="str">
        <f>"01073802"</f>
        <v>01073802</v>
      </c>
    </row>
    <row r="30356" spans="1:2" x14ac:dyDescent="0.25">
      <c r="A30356" s="2">
        <v>30351</v>
      </c>
      <c r="B30356" s="11" t="str">
        <f>"01073808"</f>
        <v>01073808</v>
      </c>
    </row>
    <row r="30357" spans="1:2" x14ac:dyDescent="0.25">
      <c r="A30357" s="2">
        <v>30352</v>
      </c>
      <c r="B30357" s="11" t="str">
        <f>"01073812"</f>
        <v>01073812</v>
      </c>
    </row>
    <row r="30358" spans="1:2" x14ac:dyDescent="0.25">
      <c r="A30358" s="2">
        <v>30353</v>
      </c>
      <c r="B30358" s="11" t="str">
        <f>"01073815"</f>
        <v>01073815</v>
      </c>
    </row>
    <row r="30359" spans="1:2" x14ac:dyDescent="0.25">
      <c r="A30359" s="2">
        <v>30354</v>
      </c>
      <c r="B30359" s="11" t="str">
        <f>"01073822"</f>
        <v>01073822</v>
      </c>
    </row>
    <row r="30360" spans="1:2" x14ac:dyDescent="0.25">
      <c r="A30360" s="2">
        <v>30355</v>
      </c>
      <c r="B30360" s="11" t="str">
        <f>"01073831"</f>
        <v>01073831</v>
      </c>
    </row>
    <row r="30361" spans="1:2" x14ac:dyDescent="0.25">
      <c r="A30361" s="2">
        <v>30356</v>
      </c>
      <c r="B30361" s="11" t="str">
        <f>"01073832"</f>
        <v>01073832</v>
      </c>
    </row>
    <row r="30362" spans="1:2" x14ac:dyDescent="0.25">
      <c r="A30362" s="2">
        <v>30357</v>
      </c>
      <c r="B30362" s="11" t="str">
        <f>"01073838"</f>
        <v>01073838</v>
      </c>
    </row>
    <row r="30363" spans="1:2" x14ac:dyDescent="0.25">
      <c r="A30363" s="2">
        <v>30358</v>
      </c>
      <c r="B30363" s="11" t="str">
        <f>"01073839"</f>
        <v>01073839</v>
      </c>
    </row>
    <row r="30364" spans="1:2" x14ac:dyDescent="0.25">
      <c r="A30364" s="2">
        <v>30359</v>
      </c>
      <c r="B30364" s="11" t="str">
        <f>"01073854"</f>
        <v>01073854</v>
      </c>
    </row>
    <row r="30365" spans="1:2" x14ac:dyDescent="0.25">
      <c r="A30365" s="2">
        <v>30360</v>
      </c>
      <c r="B30365" s="11" t="str">
        <f>"01073857"</f>
        <v>01073857</v>
      </c>
    </row>
    <row r="30366" spans="1:2" x14ac:dyDescent="0.25">
      <c r="A30366" s="2">
        <v>30361</v>
      </c>
      <c r="B30366" s="11" t="str">
        <f>"01073859"</f>
        <v>01073859</v>
      </c>
    </row>
    <row r="30367" spans="1:2" x14ac:dyDescent="0.25">
      <c r="A30367" s="2">
        <v>30362</v>
      </c>
      <c r="B30367" s="11" t="str">
        <f>"01073860"</f>
        <v>01073860</v>
      </c>
    </row>
    <row r="30368" spans="1:2" x14ac:dyDescent="0.25">
      <c r="A30368" s="2">
        <v>30363</v>
      </c>
      <c r="B30368" s="11" t="str">
        <f>"01073864"</f>
        <v>01073864</v>
      </c>
    </row>
    <row r="30369" spans="1:2" x14ac:dyDescent="0.25">
      <c r="A30369" s="2">
        <v>30364</v>
      </c>
      <c r="B30369" s="11" t="str">
        <f>"01073867"</f>
        <v>01073867</v>
      </c>
    </row>
    <row r="30370" spans="1:2" x14ac:dyDescent="0.25">
      <c r="A30370" s="2">
        <v>30365</v>
      </c>
      <c r="B30370" s="11" t="str">
        <f>"01073870"</f>
        <v>01073870</v>
      </c>
    </row>
    <row r="30371" spans="1:2" x14ac:dyDescent="0.25">
      <c r="A30371" s="2">
        <v>30366</v>
      </c>
      <c r="B30371" s="11" t="str">
        <f>"01073876"</f>
        <v>01073876</v>
      </c>
    </row>
    <row r="30372" spans="1:2" x14ac:dyDescent="0.25">
      <c r="A30372" s="2">
        <v>30367</v>
      </c>
      <c r="B30372" s="11" t="str">
        <f>"01073901"</f>
        <v>01073901</v>
      </c>
    </row>
    <row r="30373" spans="1:2" x14ac:dyDescent="0.25">
      <c r="A30373" s="2">
        <v>30368</v>
      </c>
      <c r="B30373" s="11" t="str">
        <f>"01073902"</f>
        <v>01073902</v>
      </c>
    </row>
    <row r="30374" spans="1:2" x14ac:dyDescent="0.25">
      <c r="A30374" s="2">
        <v>30369</v>
      </c>
      <c r="B30374" s="11" t="str">
        <f>"01073907"</f>
        <v>01073907</v>
      </c>
    </row>
    <row r="30375" spans="1:2" x14ac:dyDescent="0.25">
      <c r="A30375" s="2">
        <v>30370</v>
      </c>
      <c r="B30375" s="11" t="str">
        <f>"01073908"</f>
        <v>01073908</v>
      </c>
    </row>
    <row r="30376" spans="1:2" x14ac:dyDescent="0.25">
      <c r="A30376" s="2">
        <v>30371</v>
      </c>
      <c r="B30376" s="11" t="str">
        <f>"01073918"</f>
        <v>01073918</v>
      </c>
    </row>
    <row r="30377" spans="1:2" x14ac:dyDescent="0.25">
      <c r="A30377" s="2">
        <v>30372</v>
      </c>
      <c r="B30377" s="11" t="str">
        <f>"01073920"</f>
        <v>01073920</v>
      </c>
    </row>
    <row r="30378" spans="1:2" x14ac:dyDescent="0.25">
      <c r="A30378" s="2">
        <v>30373</v>
      </c>
      <c r="B30378" s="11" t="str">
        <f>"01073923"</f>
        <v>01073923</v>
      </c>
    </row>
    <row r="30379" spans="1:2" x14ac:dyDescent="0.25">
      <c r="A30379" s="2">
        <v>30374</v>
      </c>
      <c r="B30379" s="11" t="str">
        <f>"01073927"</f>
        <v>01073927</v>
      </c>
    </row>
    <row r="30380" spans="1:2" x14ac:dyDescent="0.25">
      <c r="A30380" s="2">
        <v>30375</v>
      </c>
      <c r="B30380" s="11" t="str">
        <f>"01073935"</f>
        <v>01073935</v>
      </c>
    </row>
    <row r="30381" spans="1:2" x14ac:dyDescent="0.25">
      <c r="A30381" s="2">
        <v>30376</v>
      </c>
      <c r="B30381" s="11" t="str">
        <f>"01073939"</f>
        <v>01073939</v>
      </c>
    </row>
    <row r="30382" spans="1:2" x14ac:dyDescent="0.25">
      <c r="A30382" s="2">
        <v>30377</v>
      </c>
      <c r="B30382" s="11" t="str">
        <f>"01073941"</f>
        <v>01073941</v>
      </c>
    </row>
    <row r="30383" spans="1:2" x14ac:dyDescent="0.25">
      <c r="A30383" s="2">
        <v>30378</v>
      </c>
      <c r="B30383" s="11" t="str">
        <f>"01073950"</f>
        <v>01073950</v>
      </c>
    </row>
    <row r="30384" spans="1:2" x14ac:dyDescent="0.25">
      <c r="A30384" s="2">
        <v>30379</v>
      </c>
      <c r="B30384" s="11" t="str">
        <f>"01073951"</f>
        <v>01073951</v>
      </c>
    </row>
    <row r="30385" spans="1:2" x14ac:dyDescent="0.25">
      <c r="A30385" s="2">
        <v>30380</v>
      </c>
      <c r="B30385" s="11" t="str">
        <f>"01073952"</f>
        <v>01073952</v>
      </c>
    </row>
    <row r="30386" spans="1:2" x14ac:dyDescent="0.25">
      <c r="A30386" s="2">
        <v>30381</v>
      </c>
      <c r="B30386" s="11" t="str">
        <f>"01073967"</f>
        <v>01073967</v>
      </c>
    </row>
    <row r="30387" spans="1:2" x14ac:dyDescent="0.25">
      <c r="A30387" s="2">
        <v>30382</v>
      </c>
      <c r="B30387" s="11" t="str">
        <f>"01073969"</f>
        <v>01073969</v>
      </c>
    </row>
    <row r="30388" spans="1:2" x14ac:dyDescent="0.25">
      <c r="A30388" s="2">
        <v>30383</v>
      </c>
      <c r="B30388" s="11" t="str">
        <f>"01073972"</f>
        <v>01073972</v>
      </c>
    </row>
    <row r="30389" spans="1:2" x14ac:dyDescent="0.25">
      <c r="A30389" s="2">
        <v>30384</v>
      </c>
      <c r="B30389" s="11" t="str">
        <f>"01073976"</f>
        <v>01073976</v>
      </c>
    </row>
    <row r="30390" spans="1:2" x14ac:dyDescent="0.25">
      <c r="A30390" s="2">
        <v>30385</v>
      </c>
      <c r="B30390" s="11" t="str">
        <f>"01073983"</f>
        <v>01073983</v>
      </c>
    </row>
    <row r="30391" spans="1:2" x14ac:dyDescent="0.25">
      <c r="A30391" s="2">
        <v>30386</v>
      </c>
      <c r="B30391" s="11" t="str">
        <f>"01073989"</f>
        <v>01073989</v>
      </c>
    </row>
    <row r="30392" spans="1:2" x14ac:dyDescent="0.25">
      <c r="A30392" s="2">
        <v>30387</v>
      </c>
      <c r="B30392" s="11" t="str">
        <f>"01074005"</f>
        <v>01074005</v>
      </c>
    </row>
    <row r="30393" spans="1:2" x14ac:dyDescent="0.25">
      <c r="A30393" s="2">
        <v>30388</v>
      </c>
      <c r="B30393" s="11" t="str">
        <f>"01074011"</f>
        <v>01074011</v>
      </c>
    </row>
    <row r="30394" spans="1:2" x14ac:dyDescent="0.25">
      <c r="A30394" s="2">
        <v>30389</v>
      </c>
      <c r="B30394" s="11" t="str">
        <f>"01074022"</f>
        <v>01074022</v>
      </c>
    </row>
    <row r="30395" spans="1:2" x14ac:dyDescent="0.25">
      <c r="A30395" s="2">
        <v>30390</v>
      </c>
      <c r="B30395" s="11" t="str">
        <f>"01074023"</f>
        <v>01074023</v>
      </c>
    </row>
    <row r="30396" spans="1:2" x14ac:dyDescent="0.25">
      <c r="A30396" s="2">
        <v>30391</v>
      </c>
      <c r="B30396" s="11" t="str">
        <f>"01074030"</f>
        <v>01074030</v>
      </c>
    </row>
    <row r="30397" spans="1:2" x14ac:dyDescent="0.25">
      <c r="A30397" s="2">
        <v>30392</v>
      </c>
      <c r="B30397" s="11" t="str">
        <f>"01074032"</f>
        <v>01074032</v>
      </c>
    </row>
    <row r="30398" spans="1:2" x14ac:dyDescent="0.25">
      <c r="A30398" s="2">
        <v>30393</v>
      </c>
      <c r="B30398" s="11" t="str">
        <f>"01074034"</f>
        <v>01074034</v>
      </c>
    </row>
    <row r="30399" spans="1:2" x14ac:dyDescent="0.25">
      <c r="A30399" s="2">
        <v>30394</v>
      </c>
      <c r="B30399" s="11" t="str">
        <f>"01074040"</f>
        <v>01074040</v>
      </c>
    </row>
    <row r="30400" spans="1:2" x14ac:dyDescent="0.25">
      <c r="A30400" s="2">
        <v>30395</v>
      </c>
      <c r="B30400" s="11" t="str">
        <f>"01074043"</f>
        <v>01074043</v>
      </c>
    </row>
    <row r="30401" spans="1:2" x14ac:dyDescent="0.25">
      <c r="A30401" s="2">
        <v>30396</v>
      </c>
      <c r="B30401" s="11" t="str">
        <f>"01074044"</f>
        <v>01074044</v>
      </c>
    </row>
    <row r="30402" spans="1:2" x14ac:dyDescent="0.25">
      <c r="A30402" s="2">
        <v>30397</v>
      </c>
      <c r="B30402" s="11" t="str">
        <f>"01074045"</f>
        <v>01074045</v>
      </c>
    </row>
    <row r="30403" spans="1:2" x14ac:dyDescent="0.25">
      <c r="A30403" s="2">
        <v>30398</v>
      </c>
      <c r="B30403" s="11" t="str">
        <f>"01074046"</f>
        <v>01074046</v>
      </c>
    </row>
    <row r="30404" spans="1:2" x14ac:dyDescent="0.25">
      <c r="A30404" s="2">
        <v>30399</v>
      </c>
      <c r="B30404" s="11" t="str">
        <f>"01074047"</f>
        <v>01074047</v>
      </c>
    </row>
    <row r="30405" spans="1:2" x14ac:dyDescent="0.25">
      <c r="A30405" s="2">
        <v>30400</v>
      </c>
      <c r="B30405" s="11" t="str">
        <f>"01074055"</f>
        <v>01074055</v>
      </c>
    </row>
    <row r="30406" spans="1:2" x14ac:dyDescent="0.25">
      <c r="A30406" s="2">
        <v>30401</v>
      </c>
      <c r="B30406" s="11" t="str">
        <f>"01074072"</f>
        <v>01074072</v>
      </c>
    </row>
    <row r="30407" spans="1:2" x14ac:dyDescent="0.25">
      <c r="A30407" s="2">
        <v>30402</v>
      </c>
      <c r="B30407" s="11" t="str">
        <f>"01074073"</f>
        <v>01074073</v>
      </c>
    </row>
    <row r="30408" spans="1:2" x14ac:dyDescent="0.25">
      <c r="A30408" s="2">
        <v>30403</v>
      </c>
      <c r="B30408" s="11" t="str">
        <f>"01074084"</f>
        <v>01074084</v>
      </c>
    </row>
    <row r="30409" spans="1:2" x14ac:dyDescent="0.25">
      <c r="A30409" s="2">
        <v>30404</v>
      </c>
      <c r="B30409" s="11" t="str">
        <f>"01074089"</f>
        <v>01074089</v>
      </c>
    </row>
    <row r="30410" spans="1:2" x14ac:dyDescent="0.25">
      <c r="A30410" s="2">
        <v>30405</v>
      </c>
      <c r="B30410" s="11" t="str">
        <f>"01074096"</f>
        <v>01074096</v>
      </c>
    </row>
    <row r="30411" spans="1:2" x14ac:dyDescent="0.25">
      <c r="A30411" s="2">
        <v>30406</v>
      </c>
      <c r="B30411" s="11" t="str">
        <f>"01074102"</f>
        <v>01074102</v>
      </c>
    </row>
    <row r="30412" spans="1:2" x14ac:dyDescent="0.25">
      <c r="A30412" s="2">
        <v>30407</v>
      </c>
      <c r="B30412" s="11" t="str">
        <f>"01074106"</f>
        <v>01074106</v>
      </c>
    </row>
    <row r="30413" spans="1:2" x14ac:dyDescent="0.25">
      <c r="A30413" s="2">
        <v>30408</v>
      </c>
      <c r="B30413" s="11" t="str">
        <f>"01074111"</f>
        <v>01074111</v>
      </c>
    </row>
    <row r="30414" spans="1:2" x14ac:dyDescent="0.25">
      <c r="A30414" s="2">
        <v>30409</v>
      </c>
      <c r="B30414" s="11" t="str">
        <f>"01074112"</f>
        <v>01074112</v>
      </c>
    </row>
    <row r="30415" spans="1:2" x14ac:dyDescent="0.25">
      <c r="A30415" s="2">
        <v>30410</v>
      </c>
      <c r="B30415" s="11" t="str">
        <f>"01074113"</f>
        <v>01074113</v>
      </c>
    </row>
    <row r="30416" spans="1:2" x14ac:dyDescent="0.25">
      <c r="A30416" s="2">
        <v>30411</v>
      </c>
      <c r="B30416" s="11" t="str">
        <f>"01074115"</f>
        <v>01074115</v>
      </c>
    </row>
    <row r="30417" spans="1:2" x14ac:dyDescent="0.25">
      <c r="A30417" s="2">
        <v>30412</v>
      </c>
      <c r="B30417" s="11" t="str">
        <f>"01074122"</f>
        <v>01074122</v>
      </c>
    </row>
    <row r="30418" spans="1:2" x14ac:dyDescent="0.25">
      <c r="A30418" s="2">
        <v>30413</v>
      </c>
      <c r="B30418" s="11" t="str">
        <f>"01074123"</f>
        <v>01074123</v>
      </c>
    </row>
    <row r="30419" spans="1:2" x14ac:dyDescent="0.25">
      <c r="A30419" s="2">
        <v>30414</v>
      </c>
      <c r="B30419" s="11" t="str">
        <f>"01074130"</f>
        <v>01074130</v>
      </c>
    </row>
    <row r="30420" spans="1:2" x14ac:dyDescent="0.25">
      <c r="A30420" s="2">
        <v>30415</v>
      </c>
      <c r="B30420" s="11" t="str">
        <f>"01074135"</f>
        <v>01074135</v>
      </c>
    </row>
    <row r="30421" spans="1:2" x14ac:dyDescent="0.25">
      <c r="A30421" s="2">
        <v>30416</v>
      </c>
      <c r="B30421" s="11" t="str">
        <f>"01074139"</f>
        <v>01074139</v>
      </c>
    </row>
    <row r="30422" spans="1:2" x14ac:dyDescent="0.25">
      <c r="A30422" s="2">
        <v>30417</v>
      </c>
      <c r="B30422" s="11" t="str">
        <f>"01074148"</f>
        <v>01074148</v>
      </c>
    </row>
    <row r="30423" spans="1:2" x14ac:dyDescent="0.25">
      <c r="A30423" s="2">
        <v>30418</v>
      </c>
      <c r="B30423" s="11" t="str">
        <f>"01074157"</f>
        <v>01074157</v>
      </c>
    </row>
    <row r="30424" spans="1:2" x14ac:dyDescent="0.25">
      <c r="A30424" s="2">
        <v>30419</v>
      </c>
      <c r="B30424" s="11" t="str">
        <f>"01074158"</f>
        <v>01074158</v>
      </c>
    </row>
    <row r="30425" spans="1:2" x14ac:dyDescent="0.25">
      <c r="A30425" s="2">
        <v>30420</v>
      </c>
      <c r="B30425" s="11" t="str">
        <f>"01074171"</f>
        <v>01074171</v>
      </c>
    </row>
    <row r="30426" spans="1:2" x14ac:dyDescent="0.25">
      <c r="A30426" s="2">
        <v>30421</v>
      </c>
      <c r="B30426" s="11" t="str">
        <f>"01074175"</f>
        <v>01074175</v>
      </c>
    </row>
    <row r="30427" spans="1:2" x14ac:dyDescent="0.25">
      <c r="A30427" s="2">
        <v>30422</v>
      </c>
      <c r="B30427" s="11" t="str">
        <f>"01074176"</f>
        <v>01074176</v>
      </c>
    </row>
    <row r="30428" spans="1:2" x14ac:dyDescent="0.25">
      <c r="A30428" s="2">
        <v>30423</v>
      </c>
      <c r="B30428" s="11" t="str">
        <f>"01074179"</f>
        <v>01074179</v>
      </c>
    </row>
    <row r="30429" spans="1:2" x14ac:dyDescent="0.25">
      <c r="A30429" s="2">
        <v>30424</v>
      </c>
      <c r="B30429" s="11" t="str">
        <f>"01074183"</f>
        <v>01074183</v>
      </c>
    </row>
    <row r="30430" spans="1:2" x14ac:dyDescent="0.25">
      <c r="A30430" s="2">
        <v>30425</v>
      </c>
      <c r="B30430" s="11" t="str">
        <f>"01074190"</f>
        <v>01074190</v>
      </c>
    </row>
    <row r="30431" spans="1:2" x14ac:dyDescent="0.25">
      <c r="A30431" s="2">
        <v>30426</v>
      </c>
      <c r="B30431" s="11" t="str">
        <f>"01074194"</f>
        <v>01074194</v>
      </c>
    </row>
    <row r="30432" spans="1:2" x14ac:dyDescent="0.25">
      <c r="A30432" s="2">
        <v>30427</v>
      </c>
      <c r="B30432" s="11" t="str">
        <f>"01074196"</f>
        <v>01074196</v>
      </c>
    </row>
    <row r="30433" spans="1:2" x14ac:dyDescent="0.25">
      <c r="A30433" s="2">
        <v>30428</v>
      </c>
      <c r="B30433" s="11" t="str">
        <f>"01074197"</f>
        <v>01074197</v>
      </c>
    </row>
    <row r="30434" spans="1:2" x14ac:dyDescent="0.25">
      <c r="A30434" s="2">
        <v>30429</v>
      </c>
      <c r="B30434" s="11" t="str">
        <f>"01074208"</f>
        <v>01074208</v>
      </c>
    </row>
    <row r="30435" spans="1:2" x14ac:dyDescent="0.25">
      <c r="A30435" s="2">
        <v>30430</v>
      </c>
      <c r="B30435" s="11" t="str">
        <f>"01074213"</f>
        <v>01074213</v>
      </c>
    </row>
    <row r="30436" spans="1:2" x14ac:dyDescent="0.25">
      <c r="A30436" s="2">
        <v>30431</v>
      </c>
      <c r="B30436" s="11" t="str">
        <f>"01074219"</f>
        <v>01074219</v>
      </c>
    </row>
    <row r="30437" spans="1:2" x14ac:dyDescent="0.25">
      <c r="A30437" s="2">
        <v>30432</v>
      </c>
      <c r="B30437" s="11" t="str">
        <f>"01074238"</f>
        <v>01074238</v>
      </c>
    </row>
    <row r="30438" spans="1:2" x14ac:dyDescent="0.25">
      <c r="A30438" s="2">
        <v>30433</v>
      </c>
      <c r="B30438" s="11" t="str">
        <f>"01074253"</f>
        <v>01074253</v>
      </c>
    </row>
    <row r="30439" spans="1:2" x14ac:dyDescent="0.25">
      <c r="A30439" s="2">
        <v>30434</v>
      </c>
      <c r="B30439" s="11" t="str">
        <f>"01074260"</f>
        <v>01074260</v>
      </c>
    </row>
    <row r="30440" spans="1:2" x14ac:dyDescent="0.25">
      <c r="A30440" s="2">
        <v>30435</v>
      </c>
      <c r="B30440" s="11" t="str">
        <f>"01074266"</f>
        <v>01074266</v>
      </c>
    </row>
    <row r="30441" spans="1:2" x14ac:dyDescent="0.25">
      <c r="A30441" s="2">
        <v>30436</v>
      </c>
      <c r="B30441" s="11" t="str">
        <f>"01074269"</f>
        <v>01074269</v>
      </c>
    </row>
    <row r="30442" spans="1:2" x14ac:dyDescent="0.25">
      <c r="A30442" s="2">
        <v>30437</v>
      </c>
      <c r="B30442" s="11" t="str">
        <f>"01074273"</f>
        <v>01074273</v>
      </c>
    </row>
    <row r="30443" spans="1:2" x14ac:dyDescent="0.25">
      <c r="A30443" s="2">
        <v>30438</v>
      </c>
      <c r="B30443" s="11" t="str">
        <f>"01074286"</f>
        <v>01074286</v>
      </c>
    </row>
    <row r="30444" spans="1:2" x14ac:dyDescent="0.25">
      <c r="A30444" s="2">
        <v>30439</v>
      </c>
      <c r="B30444" s="11" t="str">
        <f>"01074288"</f>
        <v>01074288</v>
      </c>
    </row>
    <row r="30445" spans="1:2" x14ac:dyDescent="0.25">
      <c r="A30445" s="2">
        <v>30440</v>
      </c>
      <c r="B30445" s="11" t="str">
        <f>"01074290"</f>
        <v>01074290</v>
      </c>
    </row>
    <row r="30446" spans="1:2" x14ac:dyDescent="0.25">
      <c r="A30446" s="2">
        <v>30441</v>
      </c>
      <c r="B30446" s="11" t="str">
        <f>"01074295"</f>
        <v>01074295</v>
      </c>
    </row>
    <row r="30447" spans="1:2" x14ac:dyDescent="0.25">
      <c r="A30447" s="2">
        <v>30442</v>
      </c>
      <c r="B30447" s="11" t="str">
        <f>"01074301"</f>
        <v>01074301</v>
      </c>
    </row>
    <row r="30448" spans="1:2" x14ac:dyDescent="0.25">
      <c r="A30448" s="2">
        <v>30443</v>
      </c>
      <c r="B30448" s="11" t="str">
        <f>"01074302"</f>
        <v>01074302</v>
      </c>
    </row>
    <row r="30449" spans="1:2" x14ac:dyDescent="0.25">
      <c r="A30449" s="2">
        <v>30444</v>
      </c>
      <c r="B30449" s="11" t="str">
        <f>"01074304"</f>
        <v>01074304</v>
      </c>
    </row>
    <row r="30450" spans="1:2" x14ac:dyDescent="0.25">
      <c r="A30450" s="2">
        <v>30445</v>
      </c>
      <c r="B30450" s="11" t="str">
        <f>"01074305"</f>
        <v>01074305</v>
      </c>
    </row>
    <row r="30451" spans="1:2" x14ac:dyDescent="0.25">
      <c r="A30451" s="2">
        <v>30446</v>
      </c>
      <c r="B30451" s="11" t="str">
        <f>"01074306"</f>
        <v>01074306</v>
      </c>
    </row>
    <row r="30452" spans="1:2" x14ac:dyDescent="0.25">
      <c r="A30452" s="2">
        <v>30447</v>
      </c>
      <c r="B30452" s="11" t="str">
        <f>"01074308"</f>
        <v>01074308</v>
      </c>
    </row>
    <row r="30453" spans="1:2" x14ac:dyDescent="0.25">
      <c r="A30453" s="2">
        <v>30448</v>
      </c>
      <c r="B30453" s="11" t="str">
        <f>"01074314"</f>
        <v>01074314</v>
      </c>
    </row>
    <row r="30454" spans="1:2" x14ac:dyDescent="0.25">
      <c r="A30454" s="2">
        <v>30449</v>
      </c>
      <c r="B30454" s="11" t="str">
        <f>"01074322"</f>
        <v>01074322</v>
      </c>
    </row>
    <row r="30455" spans="1:2" x14ac:dyDescent="0.25">
      <c r="A30455" s="2">
        <v>30450</v>
      </c>
      <c r="B30455" s="11" t="str">
        <f>"01074326"</f>
        <v>01074326</v>
      </c>
    </row>
    <row r="30456" spans="1:2" x14ac:dyDescent="0.25">
      <c r="A30456" s="2">
        <v>30451</v>
      </c>
      <c r="B30456" s="11" t="str">
        <f>"01074330"</f>
        <v>01074330</v>
      </c>
    </row>
    <row r="30457" spans="1:2" x14ac:dyDescent="0.25">
      <c r="A30457" s="2">
        <v>30452</v>
      </c>
      <c r="B30457" s="11" t="str">
        <f>"01074334"</f>
        <v>01074334</v>
      </c>
    </row>
    <row r="30458" spans="1:2" x14ac:dyDescent="0.25">
      <c r="A30458" s="2">
        <v>30453</v>
      </c>
      <c r="B30458" s="11" t="str">
        <f>"01074337"</f>
        <v>01074337</v>
      </c>
    </row>
    <row r="30459" spans="1:2" x14ac:dyDescent="0.25">
      <c r="A30459" s="2">
        <v>30454</v>
      </c>
      <c r="B30459" s="11" t="str">
        <f>"01074338"</f>
        <v>01074338</v>
      </c>
    </row>
    <row r="30460" spans="1:2" x14ac:dyDescent="0.25">
      <c r="A30460" s="2">
        <v>30455</v>
      </c>
      <c r="B30460" s="11" t="str">
        <f>"01074340"</f>
        <v>01074340</v>
      </c>
    </row>
    <row r="30461" spans="1:2" x14ac:dyDescent="0.25">
      <c r="A30461" s="2">
        <v>30456</v>
      </c>
      <c r="B30461" s="11" t="str">
        <f>"01074341"</f>
        <v>01074341</v>
      </c>
    </row>
    <row r="30462" spans="1:2" x14ac:dyDescent="0.25">
      <c r="A30462" s="2">
        <v>30457</v>
      </c>
      <c r="B30462" s="11" t="str">
        <f>"01074344"</f>
        <v>01074344</v>
      </c>
    </row>
    <row r="30463" spans="1:2" x14ac:dyDescent="0.25">
      <c r="A30463" s="2">
        <v>30458</v>
      </c>
      <c r="B30463" s="11" t="str">
        <f>"01074348"</f>
        <v>01074348</v>
      </c>
    </row>
    <row r="30464" spans="1:2" x14ac:dyDescent="0.25">
      <c r="A30464" s="2">
        <v>30459</v>
      </c>
      <c r="B30464" s="11" t="str">
        <f>"01074358"</f>
        <v>01074358</v>
      </c>
    </row>
    <row r="30465" spans="1:2" x14ac:dyDescent="0.25">
      <c r="A30465" s="2">
        <v>30460</v>
      </c>
      <c r="B30465" s="11" t="str">
        <f>"01074361"</f>
        <v>01074361</v>
      </c>
    </row>
    <row r="30466" spans="1:2" x14ac:dyDescent="0.25">
      <c r="A30466" s="2">
        <v>30461</v>
      </c>
      <c r="B30466" s="11" t="str">
        <f>"01074364"</f>
        <v>01074364</v>
      </c>
    </row>
    <row r="30467" spans="1:2" x14ac:dyDescent="0.25">
      <c r="A30467" s="2">
        <v>30462</v>
      </c>
      <c r="B30467" s="11" t="str">
        <f>"01074366"</f>
        <v>01074366</v>
      </c>
    </row>
    <row r="30468" spans="1:2" x14ac:dyDescent="0.25">
      <c r="A30468" s="2">
        <v>30463</v>
      </c>
      <c r="B30468" s="11" t="str">
        <f>"01074373"</f>
        <v>01074373</v>
      </c>
    </row>
    <row r="30469" spans="1:2" x14ac:dyDescent="0.25">
      <c r="A30469" s="2">
        <v>30464</v>
      </c>
      <c r="B30469" s="11" t="str">
        <f>"01074374"</f>
        <v>01074374</v>
      </c>
    </row>
    <row r="30470" spans="1:2" x14ac:dyDescent="0.25">
      <c r="A30470" s="2">
        <v>30465</v>
      </c>
      <c r="B30470" s="11" t="str">
        <f>"01074375"</f>
        <v>01074375</v>
      </c>
    </row>
    <row r="30471" spans="1:2" x14ac:dyDescent="0.25">
      <c r="A30471" s="2">
        <v>30466</v>
      </c>
      <c r="B30471" s="11" t="str">
        <f>"01074383"</f>
        <v>01074383</v>
      </c>
    </row>
    <row r="30472" spans="1:2" x14ac:dyDescent="0.25">
      <c r="A30472" s="2">
        <v>30467</v>
      </c>
      <c r="B30472" s="11" t="str">
        <f>"01074387"</f>
        <v>01074387</v>
      </c>
    </row>
    <row r="30473" spans="1:2" x14ac:dyDescent="0.25">
      <c r="A30473" s="2">
        <v>30468</v>
      </c>
      <c r="B30473" s="11" t="str">
        <f>"01074388"</f>
        <v>01074388</v>
      </c>
    </row>
    <row r="30474" spans="1:2" x14ac:dyDescent="0.25">
      <c r="A30474" s="2">
        <v>30469</v>
      </c>
      <c r="B30474" s="11" t="str">
        <f>"01074398"</f>
        <v>01074398</v>
      </c>
    </row>
    <row r="30475" spans="1:2" x14ac:dyDescent="0.25">
      <c r="A30475" s="2">
        <v>30470</v>
      </c>
      <c r="B30475" s="11" t="str">
        <f>"01074401"</f>
        <v>01074401</v>
      </c>
    </row>
    <row r="30476" spans="1:2" x14ac:dyDescent="0.25">
      <c r="A30476" s="2">
        <v>30471</v>
      </c>
      <c r="B30476" s="11" t="str">
        <f>"01074408"</f>
        <v>01074408</v>
      </c>
    </row>
    <row r="30477" spans="1:2" x14ac:dyDescent="0.25">
      <c r="A30477" s="2">
        <v>30472</v>
      </c>
      <c r="B30477" s="11" t="str">
        <f>"01074409"</f>
        <v>01074409</v>
      </c>
    </row>
    <row r="30478" spans="1:2" x14ac:dyDescent="0.25">
      <c r="A30478" s="2">
        <v>30473</v>
      </c>
      <c r="B30478" s="11" t="str">
        <f>"01074411"</f>
        <v>01074411</v>
      </c>
    </row>
    <row r="30479" spans="1:2" x14ac:dyDescent="0.25">
      <c r="A30479" s="2">
        <v>30474</v>
      </c>
      <c r="B30479" s="11" t="str">
        <f>"01074414"</f>
        <v>01074414</v>
      </c>
    </row>
    <row r="30480" spans="1:2" x14ac:dyDescent="0.25">
      <c r="A30480" s="2">
        <v>30475</v>
      </c>
      <c r="B30480" s="11" t="str">
        <f>"01074418"</f>
        <v>01074418</v>
      </c>
    </row>
    <row r="30481" spans="1:2" x14ac:dyDescent="0.25">
      <c r="A30481" s="2">
        <v>30476</v>
      </c>
      <c r="B30481" s="11" t="str">
        <f>"01074422"</f>
        <v>01074422</v>
      </c>
    </row>
    <row r="30482" spans="1:2" x14ac:dyDescent="0.25">
      <c r="A30482" s="2">
        <v>30477</v>
      </c>
      <c r="B30482" s="11" t="str">
        <f>"01074423"</f>
        <v>01074423</v>
      </c>
    </row>
    <row r="30483" spans="1:2" x14ac:dyDescent="0.25">
      <c r="A30483" s="2">
        <v>30478</v>
      </c>
      <c r="B30483" s="11" t="str">
        <f>"01074431"</f>
        <v>01074431</v>
      </c>
    </row>
    <row r="30484" spans="1:2" x14ac:dyDescent="0.25">
      <c r="A30484" s="2">
        <v>30479</v>
      </c>
      <c r="B30484" s="11" t="str">
        <f>"01074436"</f>
        <v>01074436</v>
      </c>
    </row>
    <row r="30485" spans="1:2" x14ac:dyDescent="0.25">
      <c r="A30485" s="2">
        <v>30480</v>
      </c>
      <c r="B30485" s="11" t="str">
        <f>"01074437"</f>
        <v>01074437</v>
      </c>
    </row>
    <row r="30486" spans="1:2" x14ac:dyDescent="0.25">
      <c r="A30486" s="2">
        <v>30481</v>
      </c>
      <c r="B30486" s="11" t="str">
        <f>"01074438"</f>
        <v>01074438</v>
      </c>
    </row>
    <row r="30487" spans="1:2" x14ac:dyDescent="0.25">
      <c r="A30487" s="2">
        <v>30482</v>
      </c>
      <c r="B30487" s="11" t="str">
        <f>"01074440"</f>
        <v>01074440</v>
      </c>
    </row>
    <row r="30488" spans="1:2" x14ac:dyDescent="0.25">
      <c r="A30488" s="2">
        <v>30483</v>
      </c>
      <c r="B30488" s="11" t="str">
        <f>"01074447"</f>
        <v>01074447</v>
      </c>
    </row>
    <row r="30489" spans="1:2" x14ac:dyDescent="0.25">
      <c r="A30489" s="2">
        <v>30484</v>
      </c>
      <c r="B30489" s="11" t="str">
        <f>"01074448"</f>
        <v>01074448</v>
      </c>
    </row>
    <row r="30490" spans="1:2" x14ac:dyDescent="0.25">
      <c r="A30490" s="2">
        <v>30485</v>
      </c>
      <c r="B30490" s="11" t="str">
        <f>"01074450"</f>
        <v>01074450</v>
      </c>
    </row>
    <row r="30491" spans="1:2" x14ac:dyDescent="0.25">
      <c r="A30491" s="2">
        <v>30486</v>
      </c>
      <c r="B30491" s="11" t="str">
        <f>"01074459"</f>
        <v>01074459</v>
      </c>
    </row>
    <row r="30492" spans="1:2" x14ac:dyDescent="0.25">
      <c r="A30492" s="2">
        <v>30487</v>
      </c>
      <c r="B30492" s="11" t="str">
        <f>"01074462"</f>
        <v>01074462</v>
      </c>
    </row>
    <row r="30493" spans="1:2" x14ac:dyDescent="0.25">
      <c r="A30493" s="2">
        <v>30488</v>
      </c>
      <c r="B30493" s="11" t="str">
        <f>"01074469"</f>
        <v>01074469</v>
      </c>
    </row>
    <row r="30494" spans="1:2" x14ac:dyDescent="0.25">
      <c r="A30494" s="2">
        <v>30489</v>
      </c>
      <c r="B30494" s="11" t="str">
        <f>"01074489"</f>
        <v>01074489</v>
      </c>
    </row>
    <row r="30495" spans="1:2" x14ac:dyDescent="0.25">
      <c r="A30495" s="2">
        <v>30490</v>
      </c>
      <c r="B30495" s="11" t="str">
        <f>"01074490"</f>
        <v>01074490</v>
      </c>
    </row>
    <row r="30496" spans="1:2" x14ac:dyDescent="0.25">
      <c r="A30496" s="2">
        <v>30491</v>
      </c>
      <c r="B30496" s="11" t="str">
        <f>"01074503"</f>
        <v>01074503</v>
      </c>
    </row>
    <row r="30497" spans="1:2" x14ac:dyDescent="0.25">
      <c r="A30497" s="2">
        <v>30492</v>
      </c>
      <c r="B30497" s="11" t="str">
        <f>"01074507"</f>
        <v>01074507</v>
      </c>
    </row>
    <row r="30498" spans="1:2" x14ac:dyDescent="0.25">
      <c r="A30498" s="2">
        <v>30493</v>
      </c>
      <c r="B30498" s="11" t="str">
        <f>"01074526"</f>
        <v>01074526</v>
      </c>
    </row>
    <row r="30499" spans="1:2" x14ac:dyDescent="0.25">
      <c r="A30499" s="2">
        <v>30494</v>
      </c>
      <c r="B30499" s="11" t="str">
        <f>"01074527"</f>
        <v>01074527</v>
      </c>
    </row>
    <row r="30500" spans="1:2" x14ac:dyDescent="0.25">
      <c r="A30500" s="2">
        <v>30495</v>
      </c>
      <c r="B30500" s="11" t="str">
        <f>"01074528"</f>
        <v>01074528</v>
      </c>
    </row>
    <row r="30501" spans="1:2" x14ac:dyDescent="0.25">
      <c r="A30501" s="2">
        <v>30496</v>
      </c>
      <c r="B30501" s="11" t="str">
        <f>"01074537"</f>
        <v>01074537</v>
      </c>
    </row>
    <row r="30502" spans="1:2" x14ac:dyDescent="0.25">
      <c r="A30502" s="2">
        <v>30497</v>
      </c>
      <c r="B30502" s="11" t="str">
        <f>"01074538"</f>
        <v>01074538</v>
      </c>
    </row>
    <row r="30503" spans="1:2" x14ac:dyDescent="0.25">
      <c r="A30503" s="2">
        <v>30498</v>
      </c>
      <c r="B30503" s="11" t="str">
        <f>"01074539"</f>
        <v>01074539</v>
      </c>
    </row>
    <row r="30504" spans="1:2" x14ac:dyDescent="0.25">
      <c r="A30504" s="2">
        <v>30499</v>
      </c>
      <c r="B30504" s="11" t="str">
        <f>"01074540"</f>
        <v>01074540</v>
      </c>
    </row>
    <row r="30505" spans="1:2" x14ac:dyDescent="0.25">
      <c r="A30505" s="2">
        <v>30500</v>
      </c>
      <c r="B30505" s="11" t="str">
        <f>"01074541"</f>
        <v>01074541</v>
      </c>
    </row>
    <row r="30506" spans="1:2" x14ac:dyDescent="0.25">
      <c r="A30506" s="2">
        <v>30501</v>
      </c>
      <c r="B30506" s="11" t="str">
        <f>"01074542"</f>
        <v>01074542</v>
      </c>
    </row>
    <row r="30507" spans="1:2" x14ac:dyDescent="0.25">
      <c r="A30507" s="2">
        <v>30502</v>
      </c>
      <c r="B30507" s="11" t="str">
        <f>"01074547"</f>
        <v>01074547</v>
      </c>
    </row>
    <row r="30508" spans="1:2" x14ac:dyDescent="0.25">
      <c r="A30508" s="2">
        <v>30503</v>
      </c>
      <c r="B30508" s="11" t="str">
        <f>"01074552"</f>
        <v>01074552</v>
      </c>
    </row>
    <row r="30509" spans="1:2" x14ac:dyDescent="0.25">
      <c r="A30509" s="2">
        <v>30504</v>
      </c>
      <c r="B30509" s="11" t="str">
        <f>"01074553"</f>
        <v>01074553</v>
      </c>
    </row>
    <row r="30510" spans="1:2" x14ac:dyDescent="0.25">
      <c r="A30510" s="2">
        <v>30505</v>
      </c>
      <c r="B30510" s="11" t="str">
        <f>"01074556"</f>
        <v>01074556</v>
      </c>
    </row>
    <row r="30511" spans="1:2" x14ac:dyDescent="0.25">
      <c r="A30511" s="2">
        <v>30506</v>
      </c>
      <c r="B30511" s="11" t="str">
        <f>"01074565"</f>
        <v>01074565</v>
      </c>
    </row>
    <row r="30512" spans="1:2" x14ac:dyDescent="0.25">
      <c r="A30512" s="2">
        <v>30507</v>
      </c>
      <c r="B30512" s="11" t="str">
        <f>"01074566"</f>
        <v>01074566</v>
      </c>
    </row>
    <row r="30513" spans="1:2" x14ac:dyDescent="0.25">
      <c r="A30513" s="2">
        <v>30508</v>
      </c>
      <c r="B30513" s="11" t="str">
        <f>"01074568"</f>
        <v>01074568</v>
      </c>
    </row>
    <row r="30514" spans="1:2" x14ac:dyDescent="0.25">
      <c r="A30514" s="2">
        <v>30509</v>
      </c>
      <c r="B30514" s="11" t="str">
        <f>"01074569"</f>
        <v>01074569</v>
      </c>
    </row>
    <row r="30515" spans="1:2" x14ac:dyDescent="0.25">
      <c r="A30515" s="2">
        <v>30510</v>
      </c>
      <c r="B30515" s="11" t="str">
        <f>"01074572"</f>
        <v>01074572</v>
      </c>
    </row>
    <row r="30516" spans="1:2" x14ac:dyDescent="0.25">
      <c r="A30516" s="2">
        <v>30511</v>
      </c>
      <c r="B30516" s="11" t="str">
        <f>"01074576"</f>
        <v>01074576</v>
      </c>
    </row>
    <row r="30517" spans="1:2" x14ac:dyDescent="0.25">
      <c r="A30517" s="2">
        <v>30512</v>
      </c>
      <c r="B30517" s="11" t="str">
        <f>"01074577"</f>
        <v>01074577</v>
      </c>
    </row>
    <row r="30518" spans="1:2" x14ac:dyDescent="0.25">
      <c r="A30518" s="2">
        <v>30513</v>
      </c>
      <c r="B30518" s="11" t="str">
        <f>"01074578"</f>
        <v>01074578</v>
      </c>
    </row>
    <row r="30519" spans="1:2" x14ac:dyDescent="0.25">
      <c r="A30519" s="2">
        <v>30514</v>
      </c>
      <c r="B30519" s="11" t="str">
        <f>"01074579"</f>
        <v>01074579</v>
      </c>
    </row>
    <row r="30520" spans="1:2" x14ac:dyDescent="0.25">
      <c r="A30520" s="2">
        <v>30515</v>
      </c>
      <c r="B30520" s="11" t="str">
        <f>"01074580"</f>
        <v>01074580</v>
      </c>
    </row>
    <row r="30521" spans="1:2" x14ac:dyDescent="0.25">
      <c r="A30521" s="2">
        <v>30516</v>
      </c>
      <c r="B30521" s="11" t="str">
        <f>"01074581"</f>
        <v>01074581</v>
      </c>
    </row>
    <row r="30522" spans="1:2" x14ac:dyDescent="0.25">
      <c r="A30522" s="2">
        <v>30517</v>
      </c>
      <c r="B30522" s="11" t="str">
        <f>"01074590"</f>
        <v>01074590</v>
      </c>
    </row>
    <row r="30523" spans="1:2" x14ac:dyDescent="0.25">
      <c r="A30523" s="2">
        <v>30518</v>
      </c>
      <c r="B30523" s="11" t="str">
        <f>"01074593"</f>
        <v>01074593</v>
      </c>
    </row>
    <row r="30524" spans="1:2" x14ac:dyDescent="0.25">
      <c r="A30524" s="2">
        <v>30519</v>
      </c>
      <c r="B30524" s="11" t="str">
        <f>"01074599"</f>
        <v>01074599</v>
      </c>
    </row>
    <row r="30525" spans="1:2" x14ac:dyDescent="0.25">
      <c r="A30525" s="2">
        <v>30520</v>
      </c>
      <c r="B30525" s="11" t="str">
        <f>"01074602"</f>
        <v>01074602</v>
      </c>
    </row>
    <row r="30526" spans="1:2" x14ac:dyDescent="0.25">
      <c r="A30526" s="2">
        <v>30521</v>
      </c>
      <c r="B30526" s="11" t="str">
        <f>"01074604"</f>
        <v>01074604</v>
      </c>
    </row>
    <row r="30527" spans="1:2" x14ac:dyDescent="0.25">
      <c r="A30527" s="2">
        <v>30522</v>
      </c>
      <c r="B30527" s="11" t="str">
        <f>"01074606"</f>
        <v>01074606</v>
      </c>
    </row>
    <row r="30528" spans="1:2" x14ac:dyDescent="0.25">
      <c r="A30528" s="2">
        <v>30523</v>
      </c>
      <c r="B30528" s="11" t="str">
        <f>"01074614"</f>
        <v>01074614</v>
      </c>
    </row>
    <row r="30529" spans="1:2" x14ac:dyDescent="0.25">
      <c r="A30529" s="2">
        <v>30524</v>
      </c>
      <c r="B30529" s="11" t="str">
        <f>"01074619"</f>
        <v>01074619</v>
      </c>
    </row>
    <row r="30530" spans="1:2" x14ac:dyDescent="0.25">
      <c r="A30530" s="2">
        <v>30525</v>
      </c>
      <c r="B30530" s="11" t="str">
        <f>"01074622"</f>
        <v>01074622</v>
      </c>
    </row>
    <row r="30531" spans="1:2" x14ac:dyDescent="0.25">
      <c r="A30531" s="2">
        <v>30526</v>
      </c>
      <c r="B30531" s="11" t="str">
        <f>"01074627"</f>
        <v>01074627</v>
      </c>
    </row>
    <row r="30532" spans="1:2" x14ac:dyDescent="0.25">
      <c r="A30532" s="2">
        <v>30527</v>
      </c>
      <c r="B30532" s="11" t="str">
        <f>"01074631"</f>
        <v>01074631</v>
      </c>
    </row>
    <row r="30533" spans="1:2" x14ac:dyDescent="0.25">
      <c r="A30533" s="2">
        <v>30528</v>
      </c>
      <c r="B30533" s="11" t="str">
        <f>"01074633"</f>
        <v>01074633</v>
      </c>
    </row>
    <row r="30534" spans="1:2" x14ac:dyDescent="0.25">
      <c r="A30534" s="2">
        <v>30529</v>
      </c>
      <c r="B30534" s="11" t="str">
        <f>"01074634"</f>
        <v>01074634</v>
      </c>
    </row>
    <row r="30535" spans="1:2" x14ac:dyDescent="0.25">
      <c r="A30535" s="2">
        <v>30530</v>
      </c>
      <c r="B30535" s="11" t="str">
        <f>"01074635"</f>
        <v>01074635</v>
      </c>
    </row>
    <row r="30536" spans="1:2" x14ac:dyDescent="0.25">
      <c r="A30536" s="2">
        <v>30531</v>
      </c>
      <c r="B30536" s="11" t="str">
        <f>"01074641"</f>
        <v>01074641</v>
      </c>
    </row>
    <row r="30537" spans="1:2" x14ac:dyDescent="0.25">
      <c r="A30537" s="2">
        <v>30532</v>
      </c>
      <c r="B30537" s="11" t="str">
        <f>"01074642"</f>
        <v>01074642</v>
      </c>
    </row>
    <row r="30538" spans="1:2" x14ac:dyDescent="0.25">
      <c r="A30538" s="2">
        <v>30533</v>
      </c>
      <c r="B30538" s="11" t="str">
        <f>"01074644"</f>
        <v>01074644</v>
      </c>
    </row>
    <row r="30539" spans="1:2" x14ac:dyDescent="0.25">
      <c r="A30539" s="2">
        <v>30534</v>
      </c>
      <c r="B30539" s="11" t="str">
        <f>"01074647"</f>
        <v>01074647</v>
      </c>
    </row>
    <row r="30540" spans="1:2" x14ac:dyDescent="0.25">
      <c r="A30540" s="2">
        <v>30535</v>
      </c>
      <c r="B30540" s="11" t="str">
        <f>"01074653"</f>
        <v>01074653</v>
      </c>
    </row>
    <row r="30541" spans="1:2" x14ac:dyDescent="0.25">
      <c r="A30541" s="2">
        <v>30536</v>
      </c>
      <c r="B30541" s="11" t="str">
        <f>"01074657"</f>
        <v>01074657</v>
      </c>
    </row>
    <row r="30542" spans="1:2" x14ac:dyDescent="0.25">
      <c r="A30542" s="2">
        <v>30537</v>
      </c>
      <c r="B30542" s="11" t="str">
        <f>"01074663"</f>
        <v>01074663</v>
      </c>
    </row>
    <row r="30543" spans="1:2" x14ac:dyDescent="0.25">
      <c r="A30543" s="2">
        <v>30538</v>
      </c>
      <c r="B30543" s="11" t="str">
        <f>"01074665"</f>
        <v>01074665</v>
      </c>
    </row>
    <row r="30544" spans="1:2" x14ac:dyDescent="0.25">
      <c r="A30544" s="2">
        <v>30539</v>
      </c>
      <c r="B30544" s="11" t="str">
        <f>"01074672"</f>
        <v>01074672</v>
      </c>
    </row>
    <row r="30545" spans="1:2" x14ac:dyDescent="0.25">
      <c r="A30545" s="2">
        <v>30540</v>
      </c>
      <c r="B30545" s="11" t="str">
        <f>"01074681"</f>
        <v>01074681</v>
      </c>
    </row>
    <row r="30546" spans="1:2" x14ac:dyDescent="0.25">
      <c r="A30546" s="2">
        <v>30541</v>
      </c>
      <c r="B30546" s="11" t="str">
        <f>"01074685"</f>
        <v>01074685</v>
      </c>
    </row>
    <row r="30547" spans="1:2" x14ac:dyDescent="0.25">
      <c r="A30547" s="2">
        <v>30542</v>
      </c>
      <c r="B30547" s="11" t="str">
        <f>"01074686"</f>
        <v>01074686</v>
      </c>
    </row>
    <row r="30548" spans="1:2" x14ac:dyDescent="0.25">
      <c r="A30548" s="2">
        <v>30543</v>
      </c>
      <c r="B30548" s="11" t="str">
        <f>"01074687"</f>
        <v>01074687</v>
      </c>
    </row>
    <row r="30549" spans="1:2" x14ac:dyDescent="0.25">
      <c r="A30549" s="2">
        <v>30544</v>
      </c>
      <c r="B30549" s="11" t="str">
        <f>"01074688"</f>
        <v>01074688</v>
      </c>
    </row>
    <row r="30550" spans="1:2" x14ac:dyDescent="0.25">
      <c r="A30550" s="2">
        <v>30545</v>
      </c>
      <c r="B30550" s="11" t="str">
        <f>"01074691"</f>
        <v>01074691</v>
      </c>
    </row>
    <row r="30551" spans="1:2" x14ac:dyDescent="0.25">
      <c r="A30551" s="2">
        <v>30546</v>
      </c>
      <c r="B30551" s="11" t="str">
        <f>"01074695"</f>
        <v>01074695</v>
      </c>
    </row>
    <row r="30552" spans="1:2" x14ac:dyDescent="0.25">
      <c r="A30552" s="2">
        <v>30547</v>
      </c>
      <c r="B30552" s="11" t="str">
        <f>"01074697"</f>
        <v>01074697</v>
      </c>
    </row>
    <row r="30553" spans="1:2" x14ac:dyDescent="0.25">
      <c r="A30553" s="2">
        <v>30548</v>
      </c>
      <c r="B30553" s="11" t="str">
        <f>"01074699"</f>
        <v>01074699</v>
      </c>
    </row>
    <row r="30554" spans="1:2" x14ac:dyDescent="0.25">
      <c r="A30554" s="2">
        <v>30549</v>
      </c>
      <c r="B30554" s="11" t="str">
        <f>"01074707"</f>
        <v>01074707</v>
      </c>
    </row>
    <row r="30555" spans="1:2" x14ac:dyDescent="0.25">
      <c r="A30555" s="2">
        <v>30550</v>
      </c>
      <c r="B30555" s="11" t="str">
        <f>"01074711"</f>
        <v>01074711</v>
      </c>
    </row>
    <row r="30556" spans="1:2" x14ac:dyDescent="0.25">
      <c r="A30556" s="2">
        <v>30551</v>
      </c>
      <c r="B30556" s="11" t="str">
        <f>"01074723"</f>
        <v>01074723</v>
      </c>
    </row>
    <row r="30557" spans="1:2" x14ac:dyDescent="0.25">
      <c r="A30557" s="2">
        <v>30552</v>
      </c>
      <c r="B30557" s="11" t="str">
        <f>"01074727"</f>
        <v>01074727</v>
      </c>
    </row>
    <row r="30558" spans="1:2" x14ac:dyDescent="0.25">
      <c r="A30558" s="2">
        <v>30553</v>
      </c>
      <c r="B30558" s="11" t="str">
        <f>"01074735"</f>
        <v>01074735</v>
      </c>
    </row>
    <row r="30559" spans="1:2" x14ac:dyDescent="0.25">
      <c r="A30559" s="2">
        <v>30554</v>
      </c>
      <c r="B30559" s="11" t="str">
        <f>"01074739"</f>
        <v>01074739</v>
      </c>
    </row>
    <row r="30560" spans="1:2" x14ac:dyDescent="0.25">
      <c r="A30560" s="2">
        <v>30555</v>
      </c>
      <c r="B30560" s="11" t="str">
        <f>"01074741"</f>
        <v>01074741</v>
      </c>
    </row>
    <row r="30561" spans="1:2" x14ac:dyDescent="0.25">
      <c r="A30561" s="2">
        <v>30556</v>
      </c>
      <c r="B30561" s="11" t="str">
        <f>"01074744"</f>
        <v>01074744</v>
      </c>
    </row>
    <row r="30562" spans="1:2" x14ac:dyDescent="0.25">
      <c r="A30562" s="2">
        <v>30557</v>
      </c>
      <c r="B30562" s="11" t="str">
        <f>"01074746"</f>
        <v>01074746</v>
      </c>
    </row>
    <row r="30563" spans="1:2" x14ac:dyDescent="0.25">
      <c r="A30563" s="2">
        <v>30558</v>
      </c>
      <c r="B30563" s="11" t="str">
        <f>"01074747"</f>
        <v>01074747</v>
      </c>
    </row>
    <row r="30564" spans="1:2" x14ac:dyDescent="0.25">
      <c r="A30564" s="2">
        <v>30559</v>
      </c>
      <c r="B30564" s="11" t="str">
        <f>"01074757"</f>
        <v>01074757</v>
      </c>
    </row>
    <row r="30565" spans="1:2" x14ac:dyDescent="0.25">
      <c r="A30565" s="2">
        <v>30560</v>
      </c>
      <c r="B30565" s="11" t="str">
        <f>"01074761"</f>
        <v>01074761</v>
      </c>
    </row>
    <row r="30566" spans="1:2" x14ac:dyDescent="0.25">
      <c r="A30566" s="2">
        <v>30561</v>
      </c>
      <c r="B30566" s="11" t="str">
        <f>"01074762"</f>
        <v>01074762</v>
      </c>
    </row>
    <row r="30567" spans="1:2" x14ac:dyDescent="0.25">
      <c r="A30567" s="2">
        <v>30562</v>
      </c>
      <c r="B30567" s="11" t="str">
        <f>"01074763"</f>
        <v>01074763</v>
      </c>
    </row>
    <row r="30568" spans="1:2" x14ac:dyDescent="0.25">
      <c r="A30568" s="2">
        <v>30563</v>
      </c>
      <c r="B30568" s="11" t="str">
        <f>"01074766"</f>
        <v>01074766</v>
      </c>
    </row>
    <row r="30569" spans="1:2" x14ac:dyDescent="0.25">
      <c r="A30569" s="2">
        <v>30564</v>
      </c>
      <c r="B30569" s="11" t="str">
        <f>"01074774"</f>
        <v>01074774</v>
      </c>
    </row>
    <row r="30570" spans="1:2" x14ac:dyDescent="0.25">
      <c r="A30570" s="2">
        <v>30565</v>
      </c>
      <c r="B30570" s="11" t="str">
        <f>"01074775"</f>
        <v>01074775</v>
      </c>
    </row>
    <row r="30571" spans="1:2" x14ac:dyDescent="0.25">
      <c r="A30571" s="2">
        <v>30566</v>
      </c>
      <c r="B30571" s="11" t="str">
        <f>"01074779"</f>
        <v>01074779</v>
      </c>
    </row>
    <row r="30572" spans="1:2" x14ac:dyDescent="0.25">
      <c r="A30572" s="2">
        <v>30567</v>
      </c>
      <c r="B30572" s="11" t="str">
        <f>"01074781"</f>
        <v>01074781</v>
      </c>
    </row>
    <row r="30573" spans="1:2" x14ac:dyDescent="0.25">
      <c r="A30573" s="2">
        <v>30568</v>
      </c>
      <c r="B30573" s="11" t="str">
        <f>"01074783"</f>
        <v>01074783</v>
      </c>
    </row>
    <row r="30574" spans="1:2" x14ac:dyDescent="0.25">
      <c r="A30574" s="2">
        <v>30569</v>
      </c>
      <c r="B30574" s="11" t="str">
        <f>"01074786"</f>
        <v>01074786</v>
      </c>
    </row>
    <row r="30575" spans="1:2" x14ac:dyDescent="0.25">
      <c r="A30575" s="2">
        <v>30570</v>
      </c>
      <c r="B30575" s="11" t="str">
        <f>"01074787"</f>
        <v>01074787</v>
      </c>
    </row>
    <row r="30576" spans="1:2" x14ac:dyDescent="0.25">
      <c r="A30576" s="2">
        <v>30571</v>
      </c>
      <c r="B30576" s="11" t="str">
        <f>"01074788"</f>
        <v>01074788</v>
      </c>
    </row>
    <row r="30577" spans="1:2" x14ac:dyDescent="0.25">
      <c r="A30577" s="2">
        <v>30572</v>
      </c>
      <c r="B30577" s="11" t="str">
        <f>"01074796"</f>
        <v>01074796</v>
      </c>
    </row>
    <row r="30578" spans="1:2" x14ac:dyDescent="0.25">
      <c r="A30578" s="2">
        <v>30573</v>
      </c>
      <c r="B30578" s="11" t="str">
        <f>"01074797"</f>
        <v>01074797</v>
      </c>
    </row>
    <row r="30579" spans="1:2" x14ac:dyDescent="0.25">
      <c r="A30579" s="2">
        <v>30574</v>
      </c>
      <c r="B30579" s="11" t="str">
        <f>"01074801"</f>
        <v>01074801</v>
      </c>
    </row>
    <row r="30580" spans="1:2" x14ac:dyDescent="0.25">
      <c r="A30580" s="2">
        <v>30575</v>
      </c>
      <c r="B30580" s="11" t="str">
        <f>"01074802"</f>
        <v>01074802</v>
      </c>
    </row>
    <row r="30581" spans="1:2" x14ac:dyDescent="0.25">
      <c r="A30581" s="2">
        <v>30576</v>
      </c>
      <c r="B30581" s="11" t="str">
        <f>"01074803"</f>
        <v>01074803</v>
      </c>
    </row>
    <row r="30582" spans="1:2" x14ac:dyDescent="0.25">
      <c r="A30582" s="2">
        <v>30577</v>
      </c>
      <c r="B30582" s="11" t="str">
        <f>"01074805"</f>
        <v>01074805</v>
      </c>
    </row>
    <row r="30583" spans="1:2" x14ac:dyDescent="0.25">
      <c r="A30583" s="2">
        <v>30578</v>
      </c>
      <c r="B30583" s="11" t="str">
        <f>"01074806"</f>
        <v>01074806</v>
      </c>
    </row>
    <row r="30584" spans="1:2" x14ac:dyDescent="0.25">
      <c r="A30584" s="2">
        <v>30579</v>
      </c>
      <c r="B30584" s="11" t="str">
        <f>"01074808"</f>
        <v>01074808</v>
      </c>
    </row>
    <row r="30585" spans="1:2" x14ac:dyDescent="0.25">
      <c r="A30585" s="2">
        <v>30580</v>
      </c>
      <c r="B30585" s="11" t="str">
        <f>"01074810"</f>
        <v>01074810</v>
      </c>
    </row>
    <row r="30586" spans="1:2" x14ac:dyDescent="0.25">
      <c r="A30586" s="2">
        <v>30581</v>
      </c>
      <c r="B30586" s="11" t="str">
        <f>"01074814"</f>
        <v>01074814</v>
      </c>
    </row>
    <row r="30587" spans="1:2" x14ac:dyDescent="0.25">
      <c r="A30587" s="2">
        <v>30582</v>
      </c>
      <c r="B30587" s="11" t="str">
        <f>"01074817"</f>
        <v>01074817</v>
      </c>
    </row>
    <row r="30588" spans="1:2" x14ac:dyDescent="0.25">
      <c r="A30588" s="2">
        <v>30583</v>
      </c>
      <c r="B30588" s="11" t="str">
        <f>"01074819"</f>
        <v>01074819</v>
      </c>
    </row>
    <row r="30589" spans="1:2" x14ac:dyDescent="0.25">
      <c r="A30589" s="2">
        <v>30584</v>
      </c>
      <c r="B30589" s="11" t="str">
        <f>"01074825"</f>
        <v>01074825</v>
      </c>
    </row>
    <row r="30590" spans="1:2" x14ac:dyDescent="0.25">
      <c r="A30590" s="2">
        <v>30585</v>
      </c>
      <c r="B30590" s="11" t="str">
        <f>"01074833"</f>
        <v>01074833</v>
      </c>
    </row>
    <row r="30591" spans="1:2" x14ac:dyDescent="0.25">
      <c r="A30591" s="2">
        <v>30586</v>
      </c>
      <c r="B30591" s="11" t="str">
        <f>"01074835"</f>
        <v>01074835</v>
      </c>
    </row>
    <row r="30592" spans="1:2" x14ac:dyDescent="0.25">
      <c r="A30592" s="2">
        <v>30587</v>
      </c>
      <c r="B30592" s="11" t="str">
        <f>"01074836"</f>
        <v>01074836</v>
      </c>
    </row>
    <row r="30593" spans="1:2" x14ac:dyDescent="0.25">
      <c r="A30593" s="2">
        <v>30588</v>
      </c>
      <c r="B30593" s="11" t="str">
        <f>"01074840"</f>
        <v>01074840</v>
      </c>
    </row>
    <row r="30594" spans="1:2" x14ac:dyDescent="0.25">
      <c r="A30594" s="2">
        <v>30589</v>
      </c>
      <c r="B30594" s="11" t="str">
        <f>"01074841"</f>
        <v>01074841</v>
      </c>
    </row>
    <row r="30595" spans="1:2" x14ac:dyDescent="0.25">
      <c r="A30595" s="2">
        <v>30590</v>
      </c>
      <c r="B30595" s="11" t="str">
        <f>"01074843"</f>
        <v>01074843</v>
      </c>
    </row>
    <row r="30596" spans="1:2" x14ac:dyDescent="0.25">
      <c r="A30596" s="2">
        <v>30591</v>
      </c>
      <c r="B30596" s="11" t="str">
        <f>"01074845"</f>
        <v>01074845</v>
      </c>
    </row>
    <row r="30597" spans="1:2" x14ac:dyDescent="0.25">
      <c r="A30597" s="2">
        <v>30592</v>
      </c>
      <c r="B30597" s="11" t="str">
        <f>"01074846"</f>
        <v>01074846</v>
      </c>
    </row>
    <row r="30598" spans="1:2" x14ac:dyDescent="0.25">
      <c r="A30598" s="2">
        <v>30593</v>
      </c>
      <c r="B30598" s="11" t="str">
        <f>"01074849"</f>
        <v>01074849</v>
      </c>
    </row>
    <row r="30599" spans="1:2" x14ac:dyDescent="0.25">
      <c r="A30599" s="2">
        <v>30594</v>
      </c>
      <c r="B30599" s="11" t="str">
        <f>"01074850"</f>
        <v>01074850</v>
      </c>
    </row>
    <row r="30600" spans="1:2" x14ac:dyDescent="0.25">
      <c r="A30600" s="2">
        <v>30595</v>
      </c>
      <c r="B30600" s="11" t="str">
        <f>"01074851"</f>
        <v>01074851</v>
      </c>
    </row>
    <row r="30601" spans="1:2" x14ac:dyDescent="0.25">
      <c r="A30601" s="2">
        <v>30596</v>
      </c>
      <c r="B30601" s="11" t="str">
        <f>"01074854"</f>
        <v>01074854</v>
      </c>
    </row>
    <row r="30602" spans="1:2" x14ac:dyDescent="0.25">
      <c r="A30602" s="2">
        <v>30597</v>
      </c>
      <c r="B30602" s="11" t="str">
        <f>"01074858"</f>
        <v>01074858</v>
      </c>
    </row>
    <row r="30603" spans="1:2" x14ac:dyDescent="0.25">
      <c r="A30603" s="2">
        <v>30598</v>
      </c>
      <c r="B30603" s="11" t="str">
        <f>"01074863"</f>
        <v>01074863</v>
      </c>
    </row>
    <row r="30604" spans="1:2" x14ac:dyDescent="0.25">
      <c r="A30604" s="2">
        <v>30599</v>
      </c>
      <c r="B30604" s="11" t="str">
        <f>"01074865"</f>
        <v>01074865</v>
      </c>
    </row>
    <row r="30605" spans="1:2" x14ac:dyDescent="0.25">
      <c r="A30605" s="2">
        <v>30600</v>
      </c>
      <c r="B30605" s="11" t="str">
        <f>"01074867"</f>
        <v>01074867</v>
      </c>
    </row>
    <row r="30606" spans="1:2" x14ac:dyDescent="0.25">
      <c r="A30606" s="2">
        <v>30601</v>
      </c>
      <c r="B30606" s="11" t="str">
        <f>"01074870"</f>
        <v>01074870</v>
      </c>
    </row>
    <row r="30607" spans="1:2" x14ac:dyDescent="0.25">
      <c r="A30607" s="2">
        <v>30602</v>
      </c>
      <c r="B30607" s="11" t="str">
        <f>"01074871"</f>
        <v>01074871</v>
      </c>
    </row>
    <row r="30608" spans="1:2" x14ac:dyDescent="0.25">
      <c r="A30608" s="2">
        <v>30603</v>
      </c>
      <c r="B30608" s="11" t="str">
        <f>"01074872"</f>
        <v>01074872</v>
      </c>
    </row>
    <row r="30609" spans="1:2" x14ac:dyDescent="0.25">
      <c r="A30609" s="2">
        <v>30604</v>
      </c>
      <c r="B30609" s="11" t="str">
        <f>"01074873"</f>
        <v>01074873</v>
      </c>
    </row>
    <row r="30610" spans="1:2" x14ac:dyDescent="0.25">
      <c r="A30610" s="2">
        <v>30605</v>
      </c>
      <c r="B30610" s="11" t="str">
        <f>"01074875"</f>
        <v>01074875</v>
      </c>
    </row>
    <row r="30611" spans="1:2" x14ac:dyDescent="0.25">
      <c r="A30611" s="2">
        <v>30606</v>
      </c>
      <c r="B30611" s="11" t="str">
        <f>"01074878"</f>
        <v>01074878</v>
      </c>
    </row>
    <row r="30612" spans="1:2" x14ac:dyDescent="0.25">
      <c r="A30612" s="2">
        <v>30607</v>
      </c>
      <c r="B30612" s="11" t="str">
        <f>"01074882"</f>
        <v>01074882</v>
      </c>
    </row>
    <row r="30613" spans="1:2" x14ac:dyDescent="0.25">
      <c r="A30613" s="2">
        <v>30608</v>
      </c>
      <c r="B30613" s="11" t="str">
        <f>"01074883"</f>
        <v>01074883</v>
      </c>
    </row>
    <row r="30614" spans="1:2" x14ac:dyDescent="0.25">
      <c r="A30614" s="2">
        <v>30609</v>
      </c>
      <c r="B30614" s="11" t="str">
        <f>"01074886"</f>
        <v>01074886</v>
      </c>
    </row>
    <row r="30615" spans="1:2" x14ac:dyDescent="0.25">
      <c r="A30615" s="2">
        <v>30610</v>
      </c>
      <c r="B30615" s="11" t="str">
        <f>"01074888"</f>
        <v>01074888</v>
      </c>
    </row>
    <row r="30616" spans="1:2" x14ac:dyDescent="0.25">
      <c r="A30616" s="2">
        <v>30611</v>
      </c>
      <c r="B30616" s="11" t="str">
        <f>"01074890"</f>
        <v>01074890</v>
      </c>
    </row>
    <row r="30617" spans="1:2" x14ac:dyDescent="0.25">
      <c r="A30617" s="2">
        <v>30612</v>
      </c>
      <c r="B30617" s="11" t="str">
        <f>"01074891"</f>
        <v>01074891</v>
      </c>
    </row>
    <row r="30618" spans="1:2" x14ac:dyDescent="0.25">
      <c r="A30618" s="2">
        <v>30613</v>
      </c>
      <c r="B30618" s="11" t="str">
        <f>"01074893"</f>
        <v>01074893</v>
      </c>
    </row>
    <row r="30619" spans="1:2" x14ac:dyDescent="0.25">
      <c r="A30619" s="2">
        <v>30614</v>
      </c>
      <c r="B30619" s="11" t="str">
        <f>"01074907"</f>
        <v>01074907</v>
      </c>
    </row>
    <row r="30620" spans="1:2" x14ac:dyDescent="0.25">
      <c r="A30620" s="2">
        <v>30615</v>
      </c>
      <c r="B30620" s="11" t="str">
        <f>"01074908"</f>
        <v>01074908</v>
      </c>
    </row>
    <row r="30621" spans="1:2" x14ac:dyDescent="0.25">
      <c r="A30621" s="2">
        <v>30616</v>
      </c>
      <c r="B30621" s="11" t="str">
        <f>"01074910"</f>
        <v>01074910</v>
      </c>
    </row>
    <row r="30622" spans="1:2" x14ac:dyDescent="0.25">
      <c r="A30622" s="2">
        <v>30617</v>
      </c>
      <c r="B30622" s="11" t="str">
        <f>"01074912"</f>
        <v>01074912</v>
      </c>
    </row>
    <row r="30623" spans="1:2" x14ac:dyDescent="0.25">
      <c r="A30623" s="2">
        <v>30618</v>
      </c>
      <c r="B30623" s="11" t="str">
        <f>"01074914"</f>
        <v>01074914</v>
      </c>
    </row>
    <row r="30624" spans="1:2" x14ac:dyDescent="0.25">
      <c r="A30624" s="2">
        <v>30619</v>
      </c>
      <c r="B30624" s="11" t="str">
        <f>"01074918"</f>
        <v>01074918</v>
      </c>
    </row>
    <row r="30625" spans="1:2" x14ac:dyDescent="0.25">
      <c r="A30625" s="2">
        <v>30620</v>
      </c>
      <c r="B30625" s="11" t="str">
        <f>"01074921"</f>
        <v>01074921</v>
      </c>
    </row>
    <row r="30626" spans="1:2" x14ac:dyDescent="0.25">
      <c r="A30626" s="2">
        <v>30621</v>
      </c>
      <c r="B30626" s="11" t="str">
        <f>"01074928"</f>
        <v>01074928</v>
      </c>
    </row>
    <row r="30627" spans="1:2" x14ac:dyDescent="0.25">
      <c r="A30627" s="2">
        <v>30622</v>
      </c>
      <c r="B30627" s="11" t="str">
        <f>"01074931"</f>
        <v>01074931</v>
      </c>
    </row>
    <row r="30628" spans="1:2" x14ac:dyDescent="0.25">
      <c r="A30628" s="2">
        <v>30623</v>
      </c>
      <c r="B30628" s="11" t="str">
        <f>"01074933"</f>
        <v>01074933</v>
      </c>
    </row>
    <row r="30629" spans="1:2" x14ac:dyDescent="0.25">
      <c r="A30629" s="2">
        <v>30624</v>
      </c>
      <c r="B30629" s="11" t="str">
        <f>"01074936"</f>
        <v>01074936</v>
      </c>
    </row>
    <row r="30630" spans="1:2" x14ac:dyDescent="0.25">
      <c r="A30630" s="2">
        <v>30625</v>
      </c>
      <c r="B30630" s="11" t="str">
        <f>"01074937"</f>
        <v>01074937</v>
      </c>
    </row>
    <row r="30631" spans="1:2" x14ac:dyDescent="0.25">
      <c r="A30631" s="2">
        <v>30626</v>
      </c>
      <c r="B30631" s="11" t="str">
        <f>"01074949"</f>
        <v>01074949</v>
      </c>
    </row>
    <row r="30632" spans="1:2" x14ac:dyDescent="0.25">
      <c r="A30632" s="2">
        <v>30627</v>
      </c>
      <c r="B30632" s="11" t="str">
        <f>"01074954"</f>
        <v>01074954</v>
      </c>
    </row>
    <row r="30633" spans="1:2" x14ac:dyDescent="0.25">
      <c r="A30633" s="2">
        <v>30628</v>
      </c>
      <c r="B30633" s="11" t="str">
        <f>"01074964"</f>
        <v>01074964</v>
      </c>
    </row>
    <row r="30634" spans="1:2" x14ac:dyDescent="0.25">
      <c r="A30634" s="2">
        <v>30629</v>
      </c>
      <c r="B30634" s="11" t="str">
        <f>"01074969"</f>
        <v>01074969</v>
      </c>
    </row>
    <row r="30635" spans="1:2" x14ac:dyDescent="0.25">
      <c r="A30635" s="2">
        <v>30630</v>
      </c>
      <c r="B30635" s="11" t="str">
        <f>"01074971"</f>
        <v>01074971</v>
      </c>
    </row>
    <row r="30636" spans="1:2" x14ac:dyDescent="0.25">
      <c r="A30636" s="2">
        <v>30631</v>
      </c>
      <c r="B30636" s="11" t="str">
        <f>"01074972"</f>
        <v>01074972</v>
      </c>
    </row>
    <row r="30637" spans="1:2" x14ac:dyDescent="0.25">
      <c r="A30637" s="2">
        <v>30632</v>
      </c>
      <c r="B30637" s="11" t="str">
        <f>"01074980"</f>
        <v>01074980</v>
      </c>
    </row>
    <row r="30638" spans="1:2" x14ac:dyDescent="0.25">
      <c r="A30638" s="2">
        <v>30633</v>
      </c>
      <c r="B30638" s="11" t="str">
        <f>"01074982"</f>
        <v>01074982</v>
      </c>
    </row>
    <row r="30639" spans="1:2" x14ac:dyDescent="0.25">
      <c r="A30639" s="2">
        <v>30634</v>
      </c>
      <c r="B30639" s="11" t="str">
        <f>"01074989"</f>
        <v>01074989</v>
      </c>
    </row>
    <row r="30640" spans="1:2" x14ac:dyDescent="0.25">
      <c r="A30640" s="2">
        <v>30635</v>
      </c>
      <c r="B30640" s="11" t="str">
        <f>"01074990"</f>
        <v>01074990</v>
      </c>
    </row>
    <row r="30641" spans="1:2" x14ac:dyDescent="0.25">
      <c r="A30641" s="2">
        <v>30636</v>
      </c>
      <c r="B30641" s="11" t="str">
        <f>"01074999"</f>
        <v>01074999</v>
      </c>
    </row>
    <row r="30642" spans="1:2" x14ac:dyDescent="0.25">
      <c r="A30642" s="2">
        <v>30637</v>
      </c>
      <c r="B30642" s="11" t="str">
        <f>"01075000"</f>
        <v>01075000</v>
      </c>
    </row>
    <row r="30643" spans="1:2" x14ac:dyDescent="0.25">
      <c r="A30643" s="2">
        <v>30638</v>
      </c>
      <c r="B30643" s="11" t="str">
        <f>"01075004"</f>
        <v>01075004</v>
      </c>
    </row>
    <row r="30644" spans="1:2" x14ac:dyDescent="0.25">
      <c r="A30644" s="2">
        <v>30639</v>
      </c>
      <c r="B30644" s="11" t="str">
        <f>"01075007"</f>
        <v>01075007</v>
      </c>
    </row>
    <row r="30645" spans="1:2" x14ac:dyDescent="0.25">
      <c r="A30645" s="2">
        <v>30640</v>
      </c>
      <c r="B30645" s="11" t="str">
        <f>"01075008"</f>
        <v>01075008</v>
      </c>
    </row>
    <row r="30646" spans="1:2" x14ac:dyDescent="0.25">
      <c r="A30646" s="2">
        <v>30641</v>
      </c>
      <c r="B30646" s="11" t="str">
        <f>"01075013"</f>
        <v>01075013</v>
      </c>
    </row>
    <row r="30647" spans="1:2" x14ac:dyDescent="0.25">
      <c r="A30647" s="2">
        <v>30642</v>
      </c>
      <c r="B30647" s="11" t="str">
        <f>"01075014"</f>
        <v>01075014</v>
      </c>
    </row>
    <row r="30648" spans="1:2" x14ac:dyDescent="0.25">
      <c r="A30648" s="2">
        <v>30643</v>
      </c>
      <c r="B30648" s="11" t="str">
        <f>"01075016"</f>
        <v>01075016</v>
      </c>
    </row>
    <row r="30649" spans="1:2" x14ac:dyDescent="0.25">
      <c r="A30649" s="2">
        <v>30644</v>
      </c>
      <c r="B30649" s="11" t="str">
        <f>"01075024"</f>
        <v>01075024</v>
      </c>
    </row>
    <row r="30650" spans="1:2" x14ac:dyDescent="0.25">
      <c r="A30650" s="2">
        <v>30645</v>
      </c>
      <c r="B30650" s="11" t="str">
        <f>"01075026"</f>
        <v>01075026</v>
      </c>
    </row>
    <row r="30651" spans="1:2" x14ac:dyDescent="0.25">
      <c r="A30651" s="2">
        <v>30646</v>
      </c>
      <c r="B30651" s="11" t="str">
        <f>"01075029"</f>
        <v>01075029</v>
      </c>
    </row>
    <row r="30652" spans="1:2" x14ac:dyDescent="0.25">
      <c r="A30652" s="2">
        <v>30647</v>
      </c>
      <c r="B30652" s="11" t="str">
        <f>"01075032"</f>
        <v>01075032</v>
      </c>
    </row>
    <row r="30653" spans="1:2" x14ac:dyDescent="0.25">
      <c r="A30653" s="2">
        <v>30648</v>
      </c>
      <c r="B30653" s="11" t="str">
        <f>"01075037"</f>
        <v>01075037</v>
      </c>
    </row>
    <row r="30654" spans="1:2" x14ac:dyDescent="0.25">
      <c r="A30654" s="2">
        <v>30649</v>
      </c>
      <c r="B30654" s="11" t="str">
        <f>"01075038"</f>
        <v>01075038</v>
      </c>
    </row>
    <row r="30655" spans="1:2" x14ac:dyDescent="0.25">
      <c r="A30655" s="2">
        <v>30650</v>
      </c>
      <c r="B30655" s="11" t="str">
        <f>"01075039"</f>
        <v>01075039</v>
      </c>
    </row>
    <row r="30656" spans="1:2" x14ac:dyDescent="0.25">
      <c r="A30656" s="2">
        <v>30651</v>
      </c>
      <c r="B30656" s="11" t="str">
        <f>"01075046"</f>
        <v>01075046</v>
      </c>
    </row>
    <row r="30657" spans="1:2" x14ac:dyDescent="0.25">
      <c r="A30657" s="2">
        <v>30652</v>
      </c>
      <c r="B30657" s="11" t="str">
        <f>"01075047"</f>
        <v>01075047</v>
      </c>
    </row>
    <row r="30658" spans="1:2" x14ac:dyDescent="0.25">
      <c r="A30658" s="2">
        <v>30653</v>
      </c>
      <c r="B30658" s="11" t="str">
        <f>"01075054"</f>
        <v>01075054</v>
      </c>
    </row>
    <row r="30659" spans="1:2" x14ac:dyDescent="0.25">
      <c r="A30659" s="2">
        <v>30654</v>
      </c>
      <c r="B30659" s="11" t="str">
        <f>"01075055"</f>
        <v>01075055</v>
      </c>
    </row>
    <row r="30660" spans="1:2" x14ac:dyDescent="0.25">
      <c r="A30660" s="2">
        <v>30655</v>
      </c>
      <c r="B30660" s="11" t="str">
        <f>"01075057"</f>
        <v>01075057</v>
      </c>
    </row>
    <row r="30661" spans="1:2" x14ac:dyDescent="0.25">
      <c r="A30661" s="2">
        <v>30656</v>
      </c>
      <c r="B30661" s="11" t="str">
        <f>"01075058"</f>
        <v>01075058</v>
      </c>
    </row>
    <row r="30662" spans="1:2" x14ac:dyDescent="0.25">
      <c r="A30662" s="2">
        <v>30657</v>
      </c>
      <c r="B30662" s="11" t="str">
        <f>"01075060"</f>
        <v>01075060</v>
      </c>
    </row>
    <row r="30663" spans="1:2" x14ac:dyDescent="0.25">
      <c r="A30663" s="2">
        <v>30658</v>
      </c>
      <c r="B30663" s="11" t="str">
        <f>"01075064"</f>
        <v>01075064</v>
      </c>
    </row>
    <row r="30664" spans="1:2" x14ac:dyDescent="0.25">
      <c r="A30664" s="2">
        <v>30659</v>
      </c>
      <c r="B30664" s="11" t="str">
        <f>"01075065"</f>
        <v>01075065</v>
      </c>
    </row>
    <row r="30665" spans="1:2" x14ac:dyDescent="0.25">
      <c r="A30665" s="2">
        <v>30660</v>
      </c>
      <c r="B30665" s="11" t="str">
        <f>"01075066"</f>
        <v>01075066</v>
      </c>
    </row>
    <row r="30666" spans="1:2" x14ac:dyDescent="0.25">
      <c r="A30666" s="2">
        <v>30661</v>
      </c>
      <c r="B30666" s="11" t="str">
        <f>"01075067"</f>
        <v>01075067</v>
      </c>
    </row>
    <row r="30667" spans="1:2" x14ac:dyDescent="0.25">
      <c r="A30667" s="2">
        <v>30662</v>
      </c>
      <c r="B30667" s="11" t="str">
        <f>"01075074"</f>
        <v>01075074</v>
      </c>
    </row>
    <row r="30668" spans="1:2" x14ac:dyDescent="0.25">
      <c r="A30668" s="2">
        <v>30663</v>
      </c>
      <c r="B30668" s="11" t="str">
        <f>"01075077"</f>
        <v>01075077</v>
      </c>
    </row>
    <row r="30669" spans="1:2" x14ac:dyDescent="0.25">
      <c r="A30669" s="2">
        <v>30664</v>
      </c>
      <c r="B30669" s="11" t="str">
        <f>"01075079"</f>
        <v>01075079</v>
      </c>
    </row>
    <row r="30670" spans="1:2" x14ac:dyDescent="0.25">
      <c r="A30670" s="2">
        <v>30665</v>
      </c>
      <c r="B30670" s="11" t="str">
        <f>"01075083"</f>
        <v>01075083</v>
      </c>
    </row>
    <row r="30671" spans="1:2" x14ac:dyDescent="0.25">
      <c r="A30671" s="2">
        <v>30666</v>
      </c>
      <c r="B30671" s="11" t="str">
        <f>"01075086"</f>
        <v>01075086</v>
      </c>
    </row>
    <row r="30672" spans="1:2" x14ac:dyDescent="0.25">
      <c r="A30672" s="2">
        <v>30667</v>
      </c>
      <c r="B30672" s="11" t="str">
        <f>"01075087"</f>
        <v>01075087</v>
      </c>
    </row>
    <row r="30673" spans="1:2" x14ac:dyDescent="0.25">
      <c r="A30673" s="2">
        <v>30668</v>
      </c>
      <c r="B30673" s="11" t="str">
        <f>"01075088"</f>
        <v>01075088</v>
      </c>
    </row>
    <row r="30674" spans="1:2" x14ac:dyDescent="0.25">
      <c r="A30674" s="2">
        <v>30669</v>
      </c>
      <c r="B30674" s="11" t="str">
        <f>"01075090"</f>
        <v>01075090</v>
      </c>
    </row>
    <row r="30675" spans="1:2" x14ac:dyDescent="0.25">
      <c r="A30675" s="2">
        <v>30670</v>
      </c>
      <c r="B30675" s="11" t="str">
        <f>"01075091"</f>
        <v>01075091</v>
      </c>
    </row>
    <row r="30676" spans="1:2" x14ac:dyDescent="0.25">
      <c r="A30676" s="2">
        <v>30671</v>
      </c>
      <c r="B30676" s="11" t="str">
        <f>"01075093"</f>
        <v>01075093</v>
      </c>
    </row>
    <row r="30677" spans="1:2" x14ac:dyDescent="0.25">
      <c r="A30677" s="2">
        <v>30672</v>
      </c>
      <c r="B30677" s="11" t="str">
        <f>"01075098"</f>
        <v>01075098</v>
      </c>
    </row>
    <row r="30678" spans="1:2" x14ac:dyDescent="0.25">
      <c r="A30678" s="2">
        <v>30673</v>
      </c>
      <c r="B30678" s="11" t="str">
        <f>"01075099"</f>
        <v>01075099</v>
      </c>
    </row>
    <row r="30679" spans="1:2" x14ac:dyDescent="0.25">
      <c r="A30679" s="2">
        <v>30674</v>
      </c>
      <c r="B30679" s="11" t="str">
        <f>"01075104"</f>
        <v>01075104</v>
      </c>
    </row>
    <row r="30680" spans="1:2" x14ac:dyDescent="0.25">
      <c r="A30680" s="2">
        <v>30675</v>
      </c>
      <c r="B30680" s="11" t="str">
        <f>"01075105"</f>
        <v>01075105</v>
      </c>
    </row>
    <row r="30681" spans="1:2" x14ac:dyDescent="0.25">
      <c r="A30681" s="2">
        <v>30676</v>
      </c>
      <c r="B30681" s="11" t="str">
        <f>"01075107"</f>
        <v>01075107</v>
      </c>
    </row>
    <row r="30682" spans="1:2" x14ac:dyDescent="0.25">
      <c r="A30682" s="2">
        <v>30677</v>
      </c>
      <c r="B30682" s="11" t="str">
        <f>"01075109"</f>
        <v>01075109</v>
      </c>
    </row>
    <row r="30683" spans="1:2" x14ac:dyDescent="0.25">
      <c r="A30683" s="2">
        <v>30678</v>
      </c>
      <c r="B30683" s="11" t="str">
        <f>"01075113"</f>
        <v>01075113</v>
      </c>
    </row>
    <row r="30684" spans="1:2" x14ac:dyDescent="0.25">
      <c r="A30684" s="2">
        <v>30679</v>
      </c>
      <c r="B30684" s="11" t="str">
        <f>"01075116"</f>
        <v>01075116</v>
      </c>
    </row>
    <row r="30685" spans="1:2" x14ac:dyDescent="0.25">
      <c r="A30685" s="2">
        <v>30680</v>
      </c>
      <c r="B30685" s="11" t="str">
        <f>"01075118"</f>
        <v>01075118</v>
      </c>
    </row>
    <row r="30686" spans="1:2" x14ac:dyDescent="0.25">
      <c r="A30686" s="2">
        <v>30681</v>
      </c>
      <c r="B30686" s="11" t="str">
        <f>"01075122"</f>
        <v>01075122</v>
      </c>
    </row>
    <row r="30687" spans="1:2" x14ac:dyDescent="0.25">
      <c r="A30687" s="2">
        <v>30682</v>
      </c>
      <c r="B30687" s="11" t="str">
        <f>"01075124"</f>
        <v>01075124</v>
      </c>
    </row>
    <row r="30688" spans="1:2" x14ac:dyDescent="0.25">
      <c r="A30688" s="2">
        <v>30683</v>
      </c>
      <c r="B30688" s="11" t="str">
        <f>"01075128"</f>
        <v>01075128</v>
      </c>
    </row>
    <row r="30689" spans="1:2" x14ac:dyDescent="0.25">
      <c r="A30689" s="2">
        <v>30684</v>
      </c>
      <c r="B30689" s="11" t="str">
        <f>"01075129"</f>
        <v>01075129</v>
      </c>
    </row>
    <row r="30690" spans="1:2" x14ac:dyDescent="0.25">
      <c r="A30690" s="2">
        <v>30685</v>
      </c>
      <c r="B30690" s="11" t="str">
        <f>"01075130"</f>
        <v>01075130</v>
      </c>
    </row>
    <row r="30691" spans="1:2" x14ac:dyDescent="0.25">
      <c r="A30691" s="2">
        <v>30686</v>
      </c>
      <c r="B30691" s="11" t="str">
        <f>"01075140"</f>
        <v>01075140</v>
      </c>
    </row>
    <row r="30692" spans="1:2" x14ac:dyDescent="0.25">
      <c r="A30692" s="2">
        <v>30687</v>
      </c>
      <c r="B30692" s="11" t="str">
        <f>"01075147"</f>
        <v>01075147</v>
      </c>
    </row>
    <row r="30693" spans="1:2" x14ac:dyDescent="0.25">
      <c r="A30693" s="2">
        <v>30688</v>
      </c>
      <c r="B30693" s="11" t="str">
        <f>"01075149"</f>
        <v>01075149</v>
      </c>
    </row>
    <row r="30694" spans="1:2" x14ac:dyDescent="0.25">
      <c r="A30694" s="2">
        <v>30689</v>
      </c>
      <c r="B30694" s="11" t="str">
        <f>"01075150"</f>
        <v>01075150</v>
      </c>
    </row>
    <row r="30695" spans="1:2" x14ac:dyDescent="0.25">
      <c r="A30695" s="2">
        <v>30690</v>
      </c>
      <c r="B30695" s="11" t="str">
        <f>"01075152"</f>
        <v>01075152</v>
      </c>
    </row>
    <row r="30696" spans="1:2" x14ac:dyDescent="0.25">
      <c r="A30696" s="2">
        <v>30691</v>
      </c>
      <c r="B30696" s="11" t="str">
        <f>"01075153"</f>
        <v>01075153</v>
      </c>
    </row>
    <row r="30697" spans="1:2" x14ac:dyDescent="0.25">
      <c r="A30697" s="2">
        <v>30692</v>
      </c>
      <c r="B30697" s="11" t="str">
        <f>"01075164"</f>
        <v>01075164</v>
      </c>
    </row>
    <row r="30698" spans="1:2" x14ac:dyDescent="0.25">
      <c r="A30698" s="2">
        <v>30693</v>
      </c>
      <c r="B30698" s="11" t="str">
        <f>"01075165"</f>
        <v>01075165</v>
      </c>
    </row>
    <row r="30699" spans="1:2" x14ac:dyDescent="0.25">
      <c r="A30699" s="2">
        <v>30694</v>
      </c>
      <c r="B30699" s="11" t="str">
        <f>"01075170"</f>
        <v>01075170</v>
      </c>
    </row>
    <row r="30700" spans="1:2" x14ac:dyDescent="0.25">
      <c r="A30700" s="2">
        <v>30695</v>
      </c>
      <c r="B30700" s="11" t="str">
        <f>"01075173"</f>
        <v>01075173</v>
      </c>
    </row>
    <row r="30701" spans="1:2" x14ac:dyDescent="0.25">
      <c r="A30701" s="2">
        <v>30696</v>
      </c>
      <c r="B30701" s="11" t="str">
        <f>"01075176"</f>
        <v>01075176</v>
      </c>
    </row>
    <row r="30702" spans="1:2" x14ac:dyDescent="0.25">
      <c r="A30702" s="2">
        <v>30697</v>
      </c>
      <c r="B30702" s="11" t="str">
        <f>"01075191"</f>
        <v>01075191</v>
      </c>
    </row>
    <row r="30703" spans="1:2" x14ac:dyDescent="0.25">
      <c r="A30703" s="2">
        <v>30698</v>
      </c>
      <c r="B30703" s="11" t="str">
        <f>"01075192"</f>
        <v>01075192</v>
      </c>
    </row>
    <row r="30704" spans="1:2" x14ac:dyDescent="0.25">
      <c r="A30704" s="2">
        <v>30699</v>
      </c>
      <c r="B30704" s="11" t="str">
        <f>"01075193"</f>
        <v>01075193</v>
      </c>
    </row>
    <row r="30705" spans="1:2" x14ac:dyDescent="0.25">
      <c r="A30705" s="2">
        <v>30700</v>
      </c>
      <c r="B30705" s="11" t="str">
        <f>"01075196"</f>
        <v>01075196</v>
      </c>
    </row>
    <row r="30706" spans="1:2" x14ac:dyDescent="0.25">
      <c r="A30706" s="2">
        <v>30701</v>
      </c>
      <c r="B30706" s="11" t="str">
        <f>"01075199"</f>
        <v>01075199</v>
      </c>
    </row>
    <row r="30707" spans="1:2" x14ac:dyDescent="0.25">
      <c r="A30707" s="2">
        <v>30702</v>
      </c>
      <c r="B30707" s="11" t="str">
        <f>"01075200"</f>
        <v>01075200</v>
      </c>
    </row>
    <row r="30708" spans="1:2" x14ac:dyDescent="0.25">
      <c r="A30708" s="2">
        <v>30703</v>
      </c>
      <c r="B30708" s="11" t="str">
        <f>"01075203"</f>
        <v>01075203</v>
      </c>
    </row>
    <row r="30709" spans="1:2" x14ac:dyDescent="0.25">
      <c r="A30709" s="2">
        <v>30704</v>
      </c>
      <c r="B30709" s="11" t="str">
        <f>"01075212"</f>
        <v>01075212</v>
      </c>
    </row>
    <row r="30710" spans="1:2" x14ac:dyDescent="0.25">
      <c r="A30710" s="2">
        <v>30705</v>
      </c>
      <c r="B30710" s="11" t="str">
        <f>"01075213"</f>
        <v>01075213</v>
      </c>
    </row>
    <row r="30711" spans="1:2" x14ac:dyDescent="0.25">
      <c r="A30711" s="2">
        <v>30706</v>
      </c>
      <c r="B30711" s="11" t="str">
        <f>"01075214"</f>
        <v>01075214</v>
      </c>
    </row>
    <row r="30712" spans="1:2" x14ac:dyDescent="0.25">
      <c r="A30712" s="2">
        <v>30707</v>
      </c>
      <c r="B30712" s="11" t="str">
        <f>"01075217"</f>
        <v>01075217</v>
      </c>
    </row>
    <row r="30713" spans="1:2" x14ac:dyDescent="0.25">
      <c r="A30713" s="2">
        <v>30708</v>
      </c>
      <c r="B30713" s="11" t="str">
        <f>"01075219"</f>
        <v>01075219</v>
      </c>
    </row>
    <row r="30714" spans="1:2" x14ac:dyDescent="0.25">
      <c r="A30714" s="2">
        <v>30709</v>
      </c>
      <c r="B30714" s="11" t="str">
        <f>"01075221"</f>
        <v>01075221</v>
      </c>
    </row>
    <row r="30715" spans="1:2" x14ac:dyDescent="0.25">
      <c r="A30715" s="2">
        <v>30710</v>
      </c>
      <c r="B30715" s="11" t="str">
        <f>"01075228"</f>
        <v>01075228</v>
      </c>
    </row>
    <row r="30716" spans="1:2" x14ac:dyDescent="0.25">
      <c r="A30716" s="2">
        <v>30711</v>
      </c>
      <c r="B30716" s="11" t="str">
        <f>"01075231"</f>
        <v>01075231</v>
      </c>
    </row>
    <row r="30717" spans="1:2" x14ac:dyDescent="0.25">
      <c r="A30717" s="2">
        <v>30712</v>
      </c>
      <c r="B30717" s="11" t="str">
        <f>"01075232"</f>
        <v>01075232</v>
      </c>
    </row>
    <row r="30718" spans="1:2" x14ac:dyDescent="0.25">
      <c r="A30718" s="2">
        <v>30713</v>
      </c>
      <c r="B30718" s="11" t="str">
        <f>"01075237"</f>
        <v>01075237</v>
      </c>
    </row>
    <row r="30719" spans="1:2" x14ac:dyDescent="0.25">
      <c r="A30719" s="2">
        <v>30714</v>
      </c>
      <c r="B30719" s="11" t="str">
        <f>"01075239"</f>
        <v>01075239</v>
      </c>
    </row>
    <row r="30720" spans="1:2" x14ac:dyDescent="0.25">
      <c r="A30720" s="2">
        <v>30715</v>
      </c>
      <c r="B30720" s="11" t="str">
        <f>"01075240"</f>
        <v>01075240</v>
      </c>
    </row>
    <row r="30721" spans="1:2" x14ac:dyDescent="0.25">
      <c r="A30721" s="2">
        <v>30716</v>
      </c>
      <c r="B30721" s="11" t="str">
        <f>"01075242"</f>
        <v>01075242</v>
      </c>
    </row>
    <row r="30722" spans="1:2" x14ac:dyDescent="0.25">
      <c r="A30722" s="2">
        <v>30717</v>
      </c>
      <c r="B30722" s="11" t="str">
        <f>"01075249"</f>
        <v>01075249</v>
      </c>
    </row>
    <row r="30723" spans="1:2" x14ac:dyDescent="0.25">
      <c r="A30723" s="2">
        <v>30718</v>
      </c>
      <c r="B30723" s="11" t="str">
        <f>"01075255"</f>
        <v>01075255</v>
      </c>
    </row>
    <row r="30724" spans="1:2" x14ac:dyDescent="0.25">
      <c r="A30724" s="2">
        <v>30719</v>
      </c>
      <c r="B30724" s="11" t="str">
        <f>"01075259"</f>
        <v>01075259</v>
      </c>
    </row>
    <row r="30725" spans="1:2" x14ac:dyDescent="0.25">
      <c r="A30725" s="2">
        <v>30720</v>
      </c>
      <c r="B30725" s="11" t="str">
        <f>"01075261"</f>
        <v>01075261</v>
      </c>
    </row>
    <row r="30726" spans="1:2" x14ac:dyDescent="0.25">
      <c r="A30726" s="2">
        <v>30721</v>
      </c>
      <c r="B30726" s="11" t="str">
        <f>"01075265"</f>
        <v>01075265</v>
      </c>
    </row>
    <row r="30727" spans="1:2" x14ac:dyDescent="0.25">
      <c r="A30727" s="2">
        <v>30722</v>
      </c>
      <c r="B30727" s="11" t="str">
        <f>"01075273"</f>
        <v>01075273</v>
      </c>
    </row>
    <row r="30728" spans="1:2" x14ac:dyDescent="0.25">
      <c r="A30728" s="2">
        <v>30723</v>
      </c>
      <c r="B30728" s="11" t="str">
        <f>"01075276"</f>
        <v>01075276</v>
      </c>
    </row>
    <row r="30729" spans="1:2" x14ac:dyDescent="0.25">
      <c r="A30729" s="2">
        <v>30724</v>
      </c>
      <c r="B30729" s="11" t="str">
        <f>"01075278"</f>
        <v>01075278</v>
      </c>
    </row>
    <row r="30730" spans="1:2" x14ac:dyDescent="0.25">
      <c r="A30730" s="2">
        <v>30725</v>
      </c>
      <c r="B30730" s="11" t="str">
        <f>"01075283"</f>
        <v>01075283</v>
      </c>
    </row>
    <row r="30731" spans="1:2" x14ac:dyDescent="0.25">
      <c r="A30731" s="2">
        <v>30726</v>
      </c>
      <c r="B30731" s="11" t="str">
        <f>"01075286"</f>
        <v>01075286</v>
      </c>
    </row>
    <row r="30732" spans="1:2" x14ac:dyDescent="0.25">
      <c r="A30732" s="2">
        <v>30727</v>
      </c>
      <c r="B30732" s="11" t="str">
        <f>"01075290"</f>
        <v>01075290</v>
      </c>
    </row>
    <row r="30733" spans="1:2" x14ac:dyDescent="0.25">
      <c r="A30733" s="2">
        <v>30728</v>
      </c>
      <c r="B30733" s="11" t="str">
        <f>"01075291"</f>
        <v>01075291</v>
      </c>
    </row>
    <row r="30734" spans="1:2" x14ac:dyDescent="0.25">
      <c r="A30734" s="2">
        <v>30729</v>
      </c>
      <c r="B30734" s="11" t="str">
        <f>"01075295"</f>
        <v>01075295</v>
      </c>
    </row>
    <row r="30735" spans="1:2" x14ac:dyDescent="0.25">
      <c r="A30735" s="2">
        <v>30730</v>
      </c>
      <c r="B30735" s="11" t="str">
        <f>"01075298"</f>
        <v>01075298</v>
      </c>
    </row>
    <row r="30736" spans="1:2" x14ac:dyDescent="0.25">
      <c r="A30736" s="2">
        <v>30731</v>
      </c>
      <c r="B30736" s="11" t="str">
        <f>"01075302"</f>
        <v>01075302</v>
      </c>
    </row>
    <row r="30737" spans="1:2" x14ac:dyDescent="0.25">
      <c r="A30737" s="2">
        <v>30732</v>
      </c>
      <c r="B30737" s="11" t="str">
        <f>"01075306"</f>
        <v>01075306</v>
      </c>
    </row>
    <row r="30738" spans="1:2" x14ac:dyDescent="0.25">
      <c r="A30738" s="2">
        <v>30733</v>
      </c>
      <c r="B30738" s="11" t="str">
        <f>"01075307"</f>
        <v>01075307</v>
      </c>
    </row>
    <row r="30739" spans="1:2" x14ac:dyDescent="0.25">
      <c r="A30739" s="2">
        <v>30734</v>
      </c>
      <c r="B30739" s="11" t="str">
        <f>"01075308"</f>
        <v>01075308</v>
      </c>
    </row>
    <row r="30740" spans="1:2" x14ac:dyDescent="0.25">
      <c r="A30740" s="2">
        <v>30735</v>
      </c>
      <c r="B30740" s="11" t="str">
        <f>"01075311"</f>
        <v>01075311</v>
      </c>
    </row>
    <row r="30741" spans="1:2" x14ac:dyDescent="0.25">
      <c r="A30741" s="2">
        <v>30736</v>
      </c>
      <c r="B30741" s="11" t="str">
        <f>"01075316"</f>
        <v>01075316</v>
      </c>
    </row>
    <row r="30742" spans="1:2" x14ac:dyDescent="0.25">
      <c r="A30742" s="2">
        <v>30737</v>
      </c>
      <c r="B30742" s="11" t="str">
        <f>"01075317"</f>
        <v>01075317</v>
      </c>
    </row>
    <row r="30743" spans="1:2" x14ac:dyDescent="0.25">
      <c r="A30743" s="2">
        <v>30738</v>
      </c>
      <c r="B30743" s="11" t="str">
        <f>"01075318"</f>
        <v>01075318</v>
      </c>
    </row>
    <row r="30744" spans="1:2" x14ac:dyDescent="0.25">
      <c r="A30744" s="2">
        <v>30739</v>
      </c>
      <c r="B30744" s="11" t="str">
        <f>"01075324"</f>
        <v>01075324</v>
      </c>
    </row>
    <row r="30745" spans="1:2" x14ac:dyDescent="0.25">
      <c r="A30745" s="2">
        <v>30740</v>
      </c>
      <c r="B30745" s="11" t="str">
        <f>"01075327"</f>
        <v>01075327</v>
      </c>
    </row>
    <row r="30746" spans="1:2" x14ac:dyDescent="0.25">
      <c r="A30746" s="2">
        <v>30741</v>
      </c>
      <c r="B30746" s="11" t="str">
        <f>"01075332"</f>
        <v>01075332</v>
      </c>
    </row>
    <row r="30747" spans="1:2" x14ac:dyDescent="0.25">
      <c r="A30747" s="2">
        <v>30742</v>
      </c>
      <c r="B30747" s="11" t="str">
        <f>"01075337"</f>
        <v>01075337</v>
      </c>
    </row>
    <row r="30748" spans="1:2" x14ac:dyDescent="0.25">
      <c r="A30748" s="2">
        <v>30743</v>
      </c>
      <c r="B30748" s="11" t="str">
        <f>"01075344"</f>
        <v>01075344</v>
      </c>
    </row>
    <row r="30749" spans="1:2" x14ac:dyDescent="0.25">
      <c r="A30749" s="2">
        <v>30744</v>
      </c>
      <c r="B30749" s="11" t="str">
        <f>"01075346"</f>
        <v>01075346</v>
      </c>
    </row>
    <row r="30750" spans="1:2" x14ac:dyDescent="0.25">
      <c r="A30750" s="2">
        <v>30745</v>
      </c>
      <c r="B30750" s="11" t="str">
        <f>"01075348"</f>
        <v>01075348</v>
      </c>
    </row>
    <row r="30751" spans="1:2" x14ac:dyDescent="0.25">
      <c r="A30751" s="2">
        <v>30746</v>
      </c>
      <c r="B30751" s="11" t="str">
        <f>"01075351"</f>
        <v>01075351</v>
      </c>
    </row>
    <row r="30752" spans="1:2" x14ac:dyDescent="0.25">
      <c r="A30752" s="2">
        <v>30747</v>
      </c>
      <c r="B30752" s="11" t="str">
        <f>"01075352"</f>
        <v>01075352</v>
      </c>
    </row>
    <row r="30753" spans="1:2" x14ac:dyDescent="0.25">
      <c r="A30753" s="2">
        <v>30748</v>
      </c>
      <c r="B30753" s="11" t="str">
        <f>"01075355"</f>
        <v>01075355</v>
      </c>
    </row>
    <row r="30754" spans="1:2" x14ac:dyDescent="0.25">
      <c r="A30754" s="2">
        <v>30749</v>
      </c>
      <c r="B30754" s="11" t="str">
        <f>"01075367"</f>
        <v>01075367</v>
      </c>
    </row>
    <row r="30755" spans="1:2" x14ac:dyDescent="0.25">
      <c r="A30755" s="2">
        <v>30750</v>
      </c>
      <c r="B30755" s="11" t="str">
        <f>"01075370"</f>
        <v>01075370</v>
      </c>
    </row>
    <row r="30756" spans="1:2" x14ac:dyDescent="0.25">
      <c r="A30756" s="2">
        <v>30751</v>
      </c>
      <c r="B30756" s="11" t="str">
        <f>"01075373"</f>
        <v>01075373</v>
      </c>
    </row>
    <row r="30757" spans="1:2" x14ac:dyDescent="0.25">
      <c r="A30757" s="2">
        <v>30752</v>
      </c>
      <c r="B30757" s="11" t="str">
        <f>"01075376"</f>
        <v>01075376</v>
      </c>
    </row>
    <row r="30758" spans="1:2" x14ac:dyDescent="0.25">
      <c r="A30758" s="2">
        <v>30753</v>
      </c>
      <c r="B30758" s="11" t="str">
        <f>"01075386"</f>
        <v>01075386</v>
      </c>
    </row>
    <row r="30759" spans="1:2" x14ac:dyDescent="0.25">
      <c r="A30759" s="2">
        <v>30754</v>
      </c>
      <c r="B30759" s="11" t="str">
        <f>"01075388"</f>
        <v>01075388</v>
      </c>
    </row>
    <row r="30760" spans="1:2" x14ac:dyDescent="0.25">
      <c r="A30760" s="2">
        <v>30755</v>
      </c>
      <c r="B30760" s="11" t="str">
        <f>"01075390"</f>
        <v>01075390</v>
      </c>
    </row>
    <row r="30761" spans="1:2" x14ac:dyDescent="0.25">
      <c r="A30761" s="2">
        <v>30756</v>
      </c>
      <c r="B30761" s="11" t="str">
        <f>"01075391"</f>
        <v>01075391</v>
      </c>
    </row>
    <row r="30762" spans="1:2" x14ac:dyDescent="0.25">
      <c r="A30762" s="2">
        <v>30757</v>
      </c>
      <c r="B30762" s="11" t="str">
        <f>"01075392"</f>
        <v>01075392</v>
      </c>
    </row>
    <row r="30763" spans="1:2" x14ac:dyDescent="0.25">
      <c r="A30763" s="2">
        <v>30758</v>
      </c>
      <c r="B30763" s="11" t="str">
        <f>"01075393"</f>
        <v>01075393</v>
      </c>
    </row>
    <row r="30764" spans="1:2" x14ac:dyDescent="0.25">
      <c r="A30764" s="2">
        <v>30759</v>
      </c>
      <c r="B30764" s="11" t="str">
        <f>"01075394"</f>
        <v>01075394</v>
      </c>
    </row>
    <row r="30765" spans="1:2" x14ac:dyDescent="0.25">
      <c r="A30765" s="2">
        <v>30760</v>
      </c>
      <c r="B30765" s="11" t="str">
        <f>"01075398"</f>
        <v>01075398</v>
      </c>
    </row>
    <row r="30766" spans="1:2" x14ac:dyDescent="0.25">
      <c r="A30766" s="2">
        <v>30761</v>
      </c>
      <c r="B30766" s="11" t="str">
        <f>"01075399"</f>
        <v>01075399</v>
      </c>
    </row>
    <row r="30767" spans="1:2" x14ac:dyDescent="0.25">
      <c r="A30767" s="2">
        <v>30762</v>
      </c>
      <c r="B30767" s="11" t="str">
        <f>"01075400"</f>
        <v>01075400</v>
      </c>
    </row>
    <row r="30768" spans="1:2" x14ac:dyDescent="0.25">
      <c r="A30768" s="2">
        <v>30763</v>
      </c>
      <c r="B30768" s="11" t="str">
        <f>"01075410"</f>
        <v>01075410</v>
      </c>
    </row>
    <row r="30769" spans="1:2" x14ac:dyDescent="0.25">
      <c r="A30769" s="2">
        <v>30764</v>
      </c>
      <c r="B30769" s="11" t="str">
        <f>"01075412"</f>
        <v>01075412</v>
      </c>
    </row>
    <row r="30770" spans="1:2" x14ac:dyDescent="0.25">
      <c r="A30770" s="2">
        <v>30765</v>
      </c>
      <c r="B30770" s="11" t="str">
        <f>"01075415"</f>
        <v>01075415</v>
      </c>
    </row>
    <row r="30771" spans="1:2" x14ac:dyDescent="0.25">
      <c r="A30771" s="2">
        <v>30766</v>
      </c>
      <c r="B30771" s="11" t="str">
        <f>"01075417"</f>
        <v>01075417</v>
      </c>
    </row>
    <row r="30772" spans="1:2" x14ac:dyDescent="0.25">
      <c r="A30772" s="2">
        <v>30767</v>
      </c>
      <c r="B30772" s="11" t="str">
        <f>"01075421"</f>
        <v>01075421</v>
      </c>
    </row>
    <row r="30773" spans="1:2" x14ac:dyDescent="0.25">
      <c r="A30773" s="2">
        <v>30768</v>
      </c>
      <c r="B30773" s="11" t="str">
        <f>"01075434"</f>
        <v>01075434</v>
      </c>
    </row>
    <row r="30774" spans="1:2" x14ac:dyDescent="0.25">
      <c r="A30774" s="2">
        <v>30769</v>
      </c>
      <c r="B30774" s="11" t="str">
        <f>"01075435"</f>
        <v>01075435</v>
      </c>
    </row>
    <row r="30775" spans="1:2" x14ac:dyDescent="0.25">
      <c r="A30775" s="2">
        <v>30770</v>
      </c>
      <c r="B30775" s="11" t="str">
        <f>"01075438"</f>
        <v>01075438</v>
      </c>
    </row>
    <row r="30776" spans="1:2" x14ac:dyDescent="0.25">
      <c r="A30776" s="2">
        <v>30771</v>
      </c>
      <c r="B30776" s="11" t="str">
        <f>"01075443"</f>
        <v>01075443</v>
      </c>
    </row>
    <row r="30777" spans="1:2" x14ac:dyDescent="0.25">
      <c r="A30777" s="2">
        <v>30772</v>
      </c>
      <c r="B30777" s="11" t="str">
        <f>"01075450"</f>
        <v>01075450</v>
      </c>
    </row>
    <row r="30778" spans="1:2" x14ac:dyDescent="0.25">
      <c r="A30778" s="2">
        <v>30773</v>
      </c>
      <c r="B30778" s="11" t="str">
        <f>"01075451"</f>
        <v>01075451</v>
      </c>
    </row>
    <row r="30779" spans="1:2" x14ac:dyDescent="0.25">
      <c r="A30779" s="2">
        <v>30774</v>
      </c>
      <c r="B30779" s="11" t="str">
        <f>"01075452"</f>
        <v>01075452</v>
      </c>
    </row>
    <row r="30780" spans="1:2" x14ac:dyDescent="0.25">
      <c r="A30780" s="2">
        <v>30775</v>
      </c>
      <c r="B30780" s="11" t="str">
        <f>"01075456"</f>
        <v>01075456</v>
      </c>
    </row>
    <row r="30781" spans="1:2" x14ac:dyDescent="0.25">
      <c r="A30781" s="2">
        <v>30776</v>
      </c>
      <c r="B30781" s="11" t="str">
        <f>"01075458"</f>
        <v>01075458</v>
      </c>
    </row>
    <row r="30782" spans="1:2" x14ac:dyDescent="0.25">
      <c r="A30782" s="2">
        <v>30777</v>
      </c>
      <c r="B30782" s="11" t="str">
        <f>"01075460"</f>
        <v>01075460</v>
      </c>
    </row>
    <row r="30783" spans="1:2" x14ac:dyDescent="0.25">
      <c r="A30783" s="2">
        <v>30778</v>
      </c>
      <c r="B30783" s="11" t="str">
        <f>"01075461"</f>
        <v>01075461</v>
      </c>
    </row>
    <row r="30784" spans="1:2" x14ac:dyDescent="0.25">
      <c r="A30784" s="2">
        <v>30779</v>
      </c>
      <c r="B30784" s="11" t="str">
        <f>"01075465"</f>
        <v>01075465</v>
      </c>
    </row>
    <row r="30785" spans="1:2" x14ac:dyDescent="0.25">
      <c r="A30785" s="2">
        <v>30780</v>
      </c>
      <c r="B30785" s="11" t="str">
        <f>"01075472"</f>
        <v>01075472</v>
      </c>
    </row>
    <row r="30786" spans="1:2" x14ac:dyDescent="0.25">
      <c r="A30786" s="2">
        <v>30781</v>
      </c>
      <c r="B30786" s="11" t="str">
        <f>"01075475"</f>
        <v>01075475</v>
      </c>
    </row>
    <row r="30787" spans="1:2" x14ac:dyDescent="0.25">
      <c r="A30787" s="2">
        <v>30782</v>
      </c>
      <c r="B30787" s="11" t="str">
        <f>"01075488"</f>
        <v>01075488</v>
      </c>
    </row>
    <row r="30788" spans="1:2" x14ac:dyDescent="0.25">
      <c r="A30788" s="2">
        <v>30783</v>
      </c>
      <c r="B30788" s="11" t="str">
        <f>"01075489"</f>
        <v>01075489</v>
      </c>
    </row>
    <row r="30789" spans="1:2" x14ac:dyDescent="0.25">
      <c r="A30789" s="2">
        <v>30784</v>
      </c>
      <c r="B30789" s="11" t="str">
        <f>"01075500"</f>
        <v>01075500</v>
      </c>
    </row>
    <row r="30790" spans="1:2" x14ac:dyDescent="0.25">
      <c r="A30790" s="2">
        <v>30785</v>
      </c>
      <c r="B30790" s="11" t="str">
        <f>"01075502"</f>
        <v>01075502</v>
      </c>
    </row>
    <row r="30791" spans="1:2" x14ac:dyDescent="0.25">
      <c r="A30791" s="2">
        <v>30786</v>
      </c>
      <c r="B30791" s="11" t="str">
        <f>"01075504"</f>
        <v>01075504</v>
      </c>
    </row>
    <row r="30792" spans="1:2" x14ac:dyDescent="0.25">
      <c r="A30792" s="2">
        <v>30787</v>
      </c>
      <c r="B30792" s="11" t="str">
        <f>"01075512"</f>
        <v>01075512</v>
      </c>
    </row>
    <row r="30793" spans="1:2" x14ac:dyDescent="0.25">
      <c r="A30793" s="2">
        <v>30788</v>
      </c>
      <c r="B30793" s="11" t="str">
        <f>"01075516"</f>
        <v>01075516</v>
      </c>
    </row>
    <row r="30794" spans="1:2" x14ac:dyDescent="0.25">
      <c r="A30794" s="2">
        <v>30789</v>
      </c>
      <c r="B30794" s="11" t="str">
        <f>"01075518"</f>
        <v>01075518</v>
      </c>
    </row>
    <row r="30795" spans="1:2" x14ac:dyDescent="0.25">
      <c r="A30795" s="2">
        <v>30790</v>
      </c>
      <c r="B30795" s="11" t="str">
        <f>"01075524"</f>
        <v>01075524</v>
      </c>
    </row>
    <row r="30796" spans="1:2" x14ac:dyDescent="0.25">
      <c r="A30796" s="2">
        <v>30791</v>
      </c>
      <c r="B30796" s="11" t="str">
        <f>"01075545"</f>
        <v>01075545</v>
      </c>
    </row>
    <row r="30797" spans="1:2" x14ac:dyDescent="0.25">
      <c r="A30797" s="2">
        <v>30792</v>
      </c>
      <c r="B30797" s="11" t="str">
        <f>"01075546"</f>
        <v>01075546</v>
      </c>
    </row>
    <row r="30798" spans="1:2" x14ac:dyDescent="0.25">
      <c r="A30798" s="2">
        <v>30793</v>
      </c>
      <c r="B30798" s="11" t="str">
        <f>"01075550"</f>
        <v>01075550</v>
      </c>
    </row>
    <row r="30799" spans="1:2" x14ac:dyDescent="0.25">
      <c r="A30799" s="2">
        <v>30794</v>
      </c>
      <c r="B30799" s="11" t="str">
        <f>"01075558"</f>
        <v>01075558</v>
      </c>
    </row>
    <row r="30800" spans="1:2" x14ac:dyDescent="0.25">
      <c r="A30800" s="2">
        <v>30795</v>
      </c>
      <c r="B30800" s="11" t="str">
        <f>"01075565"</f>
        <v>01075565</v>
      </c>
    </row>
    <row r="30801" spans="1:2" x14ac:dyDescent="0.25">
      <c r="A30801" s="2">
        <v>30796</v>
      </c>
      <c r="B30801" s="11" t="str">
        <f>"01075566"</f>
        <v>01075566</v>
      </c>
    </row>
    <row r="30802" spans="1:2" x14ac:dyDescent="0.25">
      <c r="A30802" s="2">
        <v>30797</v>
      </c>
      <c r="B30802" s="11" t="str">
        <f>"01075569"</f>
        <v>01075569</v>
      </c>
    </row>
    <row r="30803" spans="1:2" x14ac:dyDescent="0.25">
      <c r="A30803" s="2">
        <v>30798</v>
      </c>
      <c r="B30803" s="11" t="str">
        <f>"01075570"</f>
        <v>01075570</v>
      </c>
    </row>
    <row r="30804" spans="1:2" x14ac:dyDescent="0.25">
      <c r="A30804" s="2">
        <v>30799</v>
      </c>
      <c r="B30804" s="11" t="str">
        <f>"01075571"</f>
        <v>01075571</v>
      </c>
    </row>
    <row r="30805" spans="1:2" x14ac:dyDescent="0.25">
      <c r="A30805" s="2">
        <v>30800</v>
      </c>
      <c r="B30805" s="11" t="str">
        <f>"01075580"</f>
        <v>01075580</v>
      </c>
    </row>
    <row r="30806" spans="1:2" x14ac:dyDescent="0.25">
      <c r="A30806" s="2">
        <v>30801</v>
      </c>
      <c r="B30806" s="11" t="str">
        <f>"01075582"</f>
        <v>01075582</v>
      </c>
    </row>
    <row r="30807" spans="1:2" x14ac:dyDescent="0.25">
      <c r="A30807" s="2">
        <v>30802</v>
      </c>
      <c r="B30807" s="11" t="str">
        <f>"01075586"</f>
        <v>01075586</v>
      </c>
    </row>
    <row r="30808" spans="1:2" x14ac:dyDescent="0.25">
      <c r="A30808" s="2">
        <v>30803</v>
      </c>
      <c r="B30808" s="11" t="str">
        <f>"01075589"</f>
        <v>01075589</v>
      </c>
    </row>
    <row r="30809" spans="1:2" x14ac:dyDescent="0.25">
      <c r="A30809" s="2">
        <v>30804</v>
      </c>
      <c r="B30809" s="11" t="str">
        <f>"01075590"</f>
        <v>01075590</v>
      </c>
    </row>
    <row r="30810" spans="1:2" x14ac:dyDescent="0.25">
      <c r="A30810" s="2">
        <v>30805</v>
      </c>
      <c r="B30810" s="11" t="str">
        <f>"01075595"</f>
        <v>01075595</v>
      </c>
    </row>
    <row r="30811" spans="1:2" x14ac:dyDescent="0.25">
      <c r="A30811" s="2">
        <v>30806</v>
      </c>
      <c r="B30811" s="11" t="str">
        <f>"01075596"</f>
        <v>01075596</v>
      </c>
    </row>
    <row r="30812" spans="1:2" x14ac:dyDescent="0.25">
      <c r="A30812" s="2">
        <v>30807</v>
      </c>
      <c r="B30812" s="11" t="str">
        <f>"01075598"</f>
        <v>01075598</v>
      </c>
    </row>
    <row r="30813" spans="1:2" x14ac:dyDescent="0.25">
      <c r="A30813" s="2">
        <v>30808</v>
      </c>
      <c r="B30813" s="11" t="str">
        <f>"01075599"</f>
        <v>01075599</v>
      </c>
    </row>
    <row r="30814" spans="1:2" x14ac:dyDescent="0.25">
      <c r="A30814" s="2">
        <v>30809</v>
      </c>
      <c r="B30814" s="11" t="str">
        <f>"01075600"</f>
        <v>01075600</v>
      </c>
    </row>
    <row r="30815" spans="1:2" x14ac:dyDescent="0.25">
      <c r="A30815" s="2">
        <v>30810</v>
      </c>
      <c r="B30815" s="11" t="str">
        <f>"01075603"</f>
        <v>01075603</v>
      </c>
    </row>
    <row r="30816" spans="1:2" x14ac:dyDescent="0.25">
      <c r="A30816" s="2">
        <v>30811</v>
      </c>
      <c r="B30816" s="11" t="str">
        <f>"01075605"</f>
        <v>01075605</v>
      </c>
    </row>
    <row r="30817" spans="1:2" x14ac:dyDescent="0.25">
      <c r="A30817" s="2">
        <v>30812</v>
      </c>
      <c r="B30817" s="11" t="str">
        <f>"01075609"</f>
        <v>01075609</v>
      </c>
    </row>
    <row r="30818" spans="1:2" x14ac:dyDescent="0.25">
      <c r="A30818" s="2">
        <v>30813</v>
      </c>
      <c r="B30818" s="11" t="str">
        <f>"01075611"</f>
        <v>01075611</v>
      </c>
    </row>
    <row r="30819" spans="1:2" x14ac:dyDescent="0.25">
      <c r="A30819" s="2">
        <v>30814</v>
      </c>
      <c r="B30819" s="11" t="str">
        <f>"01075612"</f>
        <v>01075612</v>
      </c>
    </row>
    <row r="30820" spans="1:2" x14ac:dyDescent="0.25">
      <c r="A30820" s="2">
        <v>30815</v>
      </c>
      <c r="B30820" s="11" t="str">
        <f>"01075616"</f>
        <v>01075616</v>
      </c>
    </row>
    <row r="30821" spans="1:2" x14ac:dyDescent="0.25">
      <c r="A30821" s="2">
        <v>30816</v>
      </c>
      <c r="B30821" s="11" t="str">
        <f>"01075618"</f>
        <v>01075618</v>
      </c>
    </row>
    <row r="30822" spans="1:2" x14ac:dyDescent="0.25">
      <c r="A30822" s="2">
        <v>30817</v>
      </c>
      <c r="B30822" s="11" t="str">
        <f>"01075619"</f>
        <v>01075619</v>
      </c>
    </row>
    <row r="30823" spans="1:2" x14ac:dyDescent="0.25">
      <c r="A30823" s="2">
        <v>30818</v>
      </c>
      <c r="B30823" s="11" t="str">
        <f>"01075621"</f>
        <v>01075621</v>
      </c>
    </row>
    <row r="30824" spans="1:2" x14ac:dyDescent="0.25">
      <c r="A30824" s="2">
        <v>30819</v>
      </c>
      <c r="B30824" s="11" t="str">
        <f>"01075623"</f>
        <v>01075623</v>
      </c>
    </row>
    <row r="30825" spans="1:2" x14ac:dyDescent="0.25">
      <c r="A30825" s="2">
        <v>30820</v>
      </c>
      <c r="B30825" s="11" t="str">
        <f>"01075626"</f>
        <v>01075626</v>
      </c>
    </row>
    <row r="30826" spans="1:2" x14ac:dyDescent="0.25">
      <c r="A30826" s="2">
        <v>30821</v>
      </c>
      <c r="B30826" s="11" t="str">
        <f>"01075632"</f>
        <v>01075632</v>
      </c>
    </row>
    <row r="30827" spans="1:2" x14ac:dyDescent="0.25">
      <c r="A30827" s="2">
        <v>30822</v>
      </c>
      <c r="B30827" s="11" t="str">
        <f>"01075638"</f>
        <v>01075638</v>
      </c>
    </row>
    <row r="30828" spans="1:2" x14ac:dyDescent="0.25">
      <c r="A30828" s="2">
        <v>30823</v>
      </c>
      <c r="B30828" s="11" t="str">
        <f>"01075643"</f>
        <v>01075643</v>
      </c>
    </row>
    <row r="30829" spans="1:2" x14ac:dyDescent="0.25">
      <c r="A30829" s="2">
        <v>30824</v>
      </c>
      <c r="B30829" s="11" t="str">
        <f>"01075645"</f>
        <v>01075645</v>
      </c>
    </row>
    <row r="30830" spans="1:2" x14ac:dyDescent="0.25">
      <c r="A30830" s="2">
        <v>30825</v>
      </c>
      <c r="B30830" s="11" t="str">
        <f>"01075650"</f>
        <v>01075650</v>
      </c>
    </row>
    <row r="30831" spans="1:2" x14ac:dyDescent="0.25">
      <c r="A30831" s="2">
        <v>30826</v>
      </c>
      <c r="B30831" s="11" t="str">
        <f>"01075654"</f>
        <v>01075654</v>
      </c>
    </row>
    <row r="30832" spans="1:2" x14ac:dyDescent="0.25">
      <c r="A30832" s="2">
        <v>30827</v>
      </c>
      <c r="B30832" s="11" t="str">
        <f>"01075659"</f>
        <v>01075659</v>
      </c>
    </row>
    <row r="30833" spans="1:2" x14ac:dyDescent="0.25">
      <c r="A30833" s="2">
        <v>30828</v>
      </c>
      <c r="B30833" s="11" t="str">
        <f>"01075660"</f>
        <v>01075660</v>
      </c>
    </row>
    <row r="30834" spans="1:2" x14ac:dyDescent="0.25">
      <c r="A30834" s="2">
        <v>30829</v>
      </c>
      <c r="B30834" s="11" t="str">
        <f>"01075661"</f>
        <v>01075661</v>
      </c>
    </row>
    <row r="30835" spans="1:2" x14ac:dyDescent="0.25">
      <c r="A30835" s="2">
        <v>30830</v>
      </c>
      <c r="B30835" s="11" t="str">
        <f>"01075662"</f>
        <v>01075662</v>
      </c>
    </row>
    <row r="30836" spans="1:2" x14ac:dyDescent="0.25">
      <c r="A30836" s="2">
        <v>30831</v>
      </c>
      <c r="B30836" s="11" t="str">
        <f>"01075676"</f>
        <v>01075676</v>
      </c>
    </row>
    <row r="30837" spans="1:2" x14ac:dyDescent="0.25">
      <c r="A30837" s="2">
        <v>30832</v>
      </c>
      <c r="B30837" s="11" t="str">
        <f>"01075681"</f>
        <v>01075681</v>
      </c>
    </row>
    <row r="30838" spans="1:2" x14ac:dyDescent="0.25">
      <c r="A30838" s="2">
        <v>30833</v>
      </c>
      <c r="B30838" s="11" t="str">
        <f>"01075683"</f>
        <v>01075683</v>
      </c>
    </row>
    <row r="30839" spans="1:2" x14ac:dyDescent="0.25">
      <c r="A30839" s="2">
        <v>30834</v>
      </c>
      <c r="B30839" s="11" t="str">
        <f>"01075688"</f>
        <v>01075688</v>
      </c>
    </row>
    <row r="30840" spans="1:2" x14ac:dyDescent="0.25">
      <c r="A30840" s="2">
        <v>30835</v>
      </c>
      <c r="B30840" s="11" t="str">
        <f>"01075695"</f>
        <v>01075695</v>
      </c>
    </row>
    <row r="30841" spans="1:2" x14ac:dyDescent="0.25">
      <c r="A30841" s="2">
        <v>30836</v>
      </c>
      <c r="B30841" s="11" t="str">
        <f>"01075698"</f>
        <v>01075698</v>
      </c>
    </row>
    <row r="30842" spans="1:2" x14ac:dyDescent="0.25">
      <c r="A30842" s="2">
        <v>30837</v>
      </c>
      <c r="B30842" s="11" t="str">
        <f>"01075702"</f>
        <v>01075702</v>
      </c>
    </row>
    <row r="30843" spans="1:2" x14ac:dyDescent="0.25">
      <c r="A30843" s="2">
        <v>30838</v>
      </c>
      <c r="B30843" s="11" t="str">
        <f>"01075703"</f>
        <v>01075703</v>
      </c>
    </row>
    <row r="30844" spans="1:2" x14ac:dyDescent="0.25">
      <c r="A30844" s="2">
        <v>30839</v>
      </c>
      <c r="B30844" s="11" t="str">
        <f>"01075707"</f>
        <v>01075707</v>
      </c>
    </row>
    <row r="30845" spans="1:2" x14ac:dyDescent="0.25">
      <c r="A30845" s="2">
        <v>30840</v>
      </c>
      <c r="B30845" s="11" t="str">
        <f>"01075708"</f>
        <v>01075708</v>
      </c>
    </row>
    <row r="30846" spans="1:2" x14ac:dyDescent="0.25">
      <c r="A30846" s="2">
        <v>30841</v>
      </c>
      <c r="B30846" s="11" t="str">
        <f>"01075718"</f>
        <v>01075718</v>
      </c>
    </row>
    <row r="30847" spans="1:2" x14ac:dyDescent="0.25">
      <c r="A30847" s="2">
        <v>30842</v>
      </c>
      <c r="B30847" s="11" t="str">
        <f>"01075721"</f>
        <v>01075721</v>
      </c>
    </row>
    <row r="30848" spans="1:2" x14ac:dyDescent="0.25">
      <c r="A30848" s="2">
        <v>30843</v>
      </c>
      <c r="B30848" s="11" t="str">
        <f>"01075728"</f>
        <v>01075728</v>
      </c>
    </row>
    <row r="30849" spans="1:2" x14ac:dyDescent="0.25">
      <c r="A30849" s="2">
        <v>30844</v>
      </c>
      <c r="B30849" s="11" t="str">
        <f>"01075732"</f>
        <v>01075732</v>
      </c>
    </row>
    <row r="30850" spans="1:2" x14ac:dyDescent="0.25">
      <c r="A30850" s="2">
        <v>30845</v>
      </c>
      <c r="B30850" s="11" t="str">
        <f>"01075734"</f>
        <v>01075734</v>
      </c>
    </row>
    <row r="30851" spans="1:2" x14ac:dyDescent="0.25">
      <c r="A30851" s="2">
        <v>30846</v>
      </c>
      <c r="B30851" s="11" t="str">
        <f>"01075736"</f>
        <v>01075736</v>
      </c>
    </row>
    <row r="30852" spans="1:2" x14ac:dyDescent="0.25">
      <c r="A30852" s="2">
        <v>30847</v>
      </c>
      <c r="B30852" s="11" t="str">
        <f>"01075737"</f>
        <v>01075737</v>
      </c>
    </row>
    <row r="30853" spans="1:2" x14ac:dyDescent="0.25">
      <c r="A30853" s="2">
        <v>30848</v>
      </c>
      <c r="B30853" s="11" t="str">
        <f>"01075738"</f>
        <v>01075738</v>
      </c>
    </row>
    <row r="30854" spans="1:2" x14ac:dyDescent="0.25">
      <c r="A30854" s="2">
        <v>30849</v>
      </c>
      <c r="B30854" s="11" t="str">
        <f>"01075742"</f>
        <v>01075742</v>
      </c>
    </row>
    <row r="30855" spans="1:2" x14ac:dyDescent="0.25">
      <c r="A30855" s="2">
        <v>30850</v>
      </c>
      <c r="B30855" s="11" t="str">
        <f>"01075749"</f>
        <v>01075749</v>
      </c>
    </row>
    <row r="30856" spans="1:2" x14ac:dyDescent="0.25">
      <c r="A30856" s="2">
        <v>30851</v>
      </c>
      <c r="B30856" s="11" t="str">
        <f>"01075750"</f>
        <v>01075750</v>
      </c>
    </row>
    <row r="30857" spans="1:2" x14ac:dyDescent="0.25">
      <c r="A30857" s="2">
        <v>30852</v>
      </c>
      <c r="B30857" s="11" t="str">
        <f>"01075752"</f>
        <v>01075752</v>
      </c>
    </row>
    <row r="30858" spans="1:2" x14ac:dyDescent="0.25">
      <c r="A30858" s="2">
        <v>30853</v>
      </c>
      <c r="B30858" s="11" t="str">
        <f>"01075754"</f>
        <v>01075754</v>
      </c>
    </row>
    <row r="30859" spans="1:2" x14ac:dyDescent="0.25">
      <c r="A30859" s="2">
        <v>30854</v>
      </c>
      <c r="B30859" s="11" t="str">
        <f>"01075759"</f>
        <v>01075759</v>
      </c>
    </row>
    <row r="30860" spans="1:2" x14ac:dyDescent="0.25">
      <c r="A30860" s="2">
        <v>30855</v>
      </c>
      <c r="B30860" s="11" t="str">
        <f>"01075761"</f>
        <v>01075761</v>
      </c>
    </row>
    <row r="30861" spans="1:2" x14ac:dyDescent="0.25">
      <c r="A30861" s="2">
        <v>30856</v>
      </c>
      <c r="B30861" s="11" t="str">
        <f>"01075764"</f>
        <v>01075764</v>
      </c>
    </row>
    <row r="30862" spans="1:2" x14ac:dyDescent="0.25">
      <c r="A30862" s="2">
        <v>30857</v>
      </c>
      <c r="B30862" s="11" t="str">
        <f>"01075766"</f>
        <v>01075766</v>
      </c>
    </row>
    <row r="30863" spans="1:2" x14ac:dyDescent="0.25">
      <c r="A30863" s="2">
        <v>30858</v>
      </c>
      <c r="B30863" s="11" t="str">
        <f>"01075771"</f>
        <v>01075771</v>
      </c>
    </row>
    <row r="30864" spans="1:2" x14ac:dyDescent="0.25">
      <c r="A30864" s="2">
        <v>30859</v>
      </c>
      <c r="B30864" s="11" t="str">
        <f>"01075772"</f>
        <v>01075772</v>
      </c>
    </row>
    <row r="30865" spans="1:2" x14ac:dyDescent="0.25">
      <c r="A30865" s="2">
        <v>30860</v>
      </c>
      <c r="B30865" s="11" t="str">
        <f>"01075778"</f>
        <v>01075778</v>
      </c>
    </row>
    <row r="30866" spans="1:2" x14ac:dyDescent="0.25">
      <c r="A30866" s="2">
        <v>30861</v>
      </c>
      <c r="B30866" s="11" t="str">
        <f>"01075780"</f>
        <v>01075780</v>
      </c>
    </row>
    <row r="30867" spans="1:2" x14ac:dyDescent="0.25">
      <c r="A30867" s="2">
        <v>30862</v>
      </c>
      <c r="B30867" s="11" t="str">
        <f>"01075781"</f>
        <v>01075781</v>
      </c>
    </row>
    <row r="30868" spans="1:2" x14ac:dyDescent="0.25">
      <c r="A30868" s="2">
        <v>30863</v>
      </c>
      <c r="B30868" s="11" t="str">
        <f>"01075790"</f>
        <v>01075790</v>
      </c>
    </row>
    <row r="30869" spans="1:2" x14ac:dyDescent="0.25">
      <c r="A30869" s="2">
        <v>30864</v>
      </c>
      <c r="B30869" s="11" t="str">
        <f>"01075791"</f>
        <v>01075791</v>
      </c>
    </row>
    <row r="30870" spans="1:2" x14ac:dyDescent="0.25">
      <c r="A30870" s="2">
        <v>30865</v>
      </c>
      <c r="B30870" s="11" t="str">
        <f>"01075795"</f>
        <v>01075795</v>
      </c>
    </row>
    <row r="30871" spans="1:2" x14ac:dyDescent="0.25">
      <c r="A30871" s="2">
        <v>30866</v>
      </c>
      <c r="B30871" s="11" t="str">
        <f>"01075799"</f>
        <v>01075799</v>
      </c>
    </row>
    <row r="30872" spans="1:2" x14ac:dyDescent="0.25">
      <c r="A30872" s="2">
        <v>30867</v>
      </c>
      <c r="B30872" s="11" t="str">
        <f>"01075802"</f>
        <v>01075802</v>
      </c>
    </row>
    <row r="30873" spans="1:2" x14ac:dyDescent="0.25">
      <c r="A30873" s="2">
        <v>30868</v>
      </c>
      <c r="B30873" s="11" t="str">
        <f>"01075806"</f>
        <v>01075806</v>
      </c>
    </row>
    <row r="30874" spans="1:2" x14ac:dyDescent="0.25">
      <c r="A30874" s="2">
        <v>30869</v>
      </c>
      <c r="B30874" s="11" t="str">
        <f>"01075809"</f>
        <v>01075809</v>
      </c>
    </row>
    <row r="30875" spans="1:2" x14ac:dyDescent="0.25">
      <c r="A30875" s="2">
        <v>30870</v>
      </c>
      <c r="B30875" s="11" t="str">
        <f>"01075811"</f>
        <v>01075811</v>
      </c>
    </row>
    <row r="30876" spans="1:2" x14ac:dyDescent="0.25">
      <c r="A30876" s="2">
        <v>30871</v>
      </c>
      <c r="B30876" s="11" t="str">
        <f>"01075813"</f>
        <v>01075813</v>
      </c>
    </row>
    <row r="30877" spans="1:2" x14ac:dyDescent="0.25">
      <c r="A30877" s="2">
        <v>30872</v>
      </c>
      <c r="B30877" s="11" t="str">
        <f>"01075814"</f>
        <v>01075814</v>
      </c>
    </row>
    <row r="30878" spans="1:2" x14ac:dyDescent="0.25">
      <c r="A30878" s="2">
        <v>30873</v>
      </c>
      <c r="B30878" s="11" t="str">
        <f>"01075816"</f>
        <v>01075816</v>
      </c>
    </row>
    <row r="30879" spans="1:2" x14ac:dyDescent="0.25">
      <c r="A30879" s="2">
        <v>30874</v>
      </c>
      <c r="B30879" s="11" t="str">
        <f>"01075825"</f>
        <v>01075825</v>
      </c>
    </row>
    <row r="30880" spans="1:2" x14ac:dyDescent="0.25">
      <c r="A30880" s="2">
        <v>30875</v>
      </c>
      <c r="B30880" s="11" t="str">
        <f>"01075829"</f>
        <v>01075829</v>
      </c>
    </row>
    <row r="30881" spans="1:2" x14ac:dyDescent="0.25">
      <c r="A30881" s="2">
        <v>30876</v>
      </c>
      <c r="B30881" s="11" t="str">
        <f>"01075830"</f>
        <v>01075830</v>
      </c>
    </row>
    <row r="30882" spans="1:2" x14ac:dyDescent="0.25">
      <c r="A30882" s="2">
        <v>30877</v>
      </c>
      <c r="B30882" s="11" t="str">
        <f>"01075836"</f>
        <v>01075836</v>
      </c>
    </row>
    <row r="30883" spans="1:2" x14ac:dyDescent="0.25">
      <c r="A30883" s="2">
        <v>30878</v>
      </c>
      <c r="B30883" s="11" t="str">
        <f>"01075838"</f>
        <v>01075838</v>
      </c>
    </row>
    <row r="30884" spans="1:2" x14ac:dyDescent="0.25">
      <c r="A30884" s="2">
        <v>30879</v>
      </c>
      <c r="B30884" s="11" t="str">
        <f>"01075840"</f>
        <v>01075840</v>
      </c>
    </row>
    <row r="30885" spans="1:2" x14ac:dyDescent="0.25">
      <c r="A30885" s="2">
        <v>30880</v>
      </c>
      <c r="B30885" s="11" t="str">
        <f>"01075843"</f>
        <v>01075843</v>
      </c>
    </row>
    <row r="30886" spans="1:2" x14ac:dyDescent="0.25">
      <c r="A30886" s="2">
        <v>30881</v>
      </c>
      <c r="B30886" s="11" t="str">
        <f>"01075846"</f>
        <v>01075846</v>
      </c>
    </row>
    <row r="30887" spans="1:2" x14ac:dyDescent="0.25">
      <c r="A30887" s="2">
        <v>30882</v>
      </c>
      <c r="B30887" s="11" t="str">
        <f>"01075851"</f>
        <v>01075851</v>
      </c>
    </row>
    <row r="30888" spans="1:2" x14ac:dyDescent="0.25">
      <c r="A30888" s="2">
        <v>30883</v>
      </c>
      <c r="B30888" s="11" t="str">
        <f>"01075855"</f>
        <v>01075855</v>
      </c>
    </row>
    <row r="30889" spans="1:2" x14ac:dyDescent="0.25">
      <c r="A30889" s="2">
        <v>30884</v>
      </c>
      <c r="B30889" s="11" t="str">
        <f>"01075865"</f>
        <v>01075865</v>
      </c>
    </row>
    <row r="30890" spans="1:2" x14ac:dyDescent="0.25">
      <c r="A30890" s="2">
        <v>30885</v>
      </c>
      <c r="B30890" s="11" t="str">
        <f>"01075868"</f>
        <v>01075868</v>
      </c>
    </row>
    <row r="30891" spans="1:2" x14ac:dyDescent="0.25">
      <c r="A30891" s="2">
        <v>30886</v>
      </c>
      <c r="B30891" s="11" t="str">
        <f>"01075869"</f>
        <v>01075869</v>
      </c>
    </row>
    <row r="30892" spans="1:2" x14ac:dyDescent="0.25">
      <c r="A30892" s="2">
        <v>30887</v>
      </c>
      <c r="B30892" s="11" t="str">
        <f>"01075871"</f>
        <v>01075871</v>
      </c>
    </row>
    <row r="30893" spans="1:2" x14ac:dyDescent="0.25">
      <c r="A30893" s="2">
        <v>30888</v>
      </c>
      <c r="B30893" s="11" t="str">
        <f>"01075875"</f>
        <v>01075875</v>
      </c>
    </row>
    <row r="30894" spans="1:2" x14ac:dyDescent="0.25">
      <c r="A30894" s="2">
        <v>30889</v>
      </c>
      <c r="B30894" s="11" t="str">
        <f>"01075885"</f>
        <v>01075885</v>
      </c>
    </row>
    <row r="30895" spans="1:2" x14ac:dyDescent="0.25">
      <c r="A30895" s="2">
        <v>30890</v>
      </c>
      <c r="B30895" s="11" t="str">
        <f>"01075887"</f>
        <v>01075887</v>
      </c>
    </row>
    <row r="30896" spans="1:2" x14ac:dyDescent="0.25">
      <c r="A30896" s="2">
        <v>30891</v>
      </c>
      <c r="B30896" s="11" t="str">
        <f>"01075892"</f>
        <v>01075892</v>
      </c>
    </row>
    <row r="30897" spans="1:2" x14ac:dyDescent="0.25">
      <c r="A30897" s="2">
        <v>30892</v>
      </c>
      <c r="B30897" s="11" t="str">
        <f>"01075893"</f>
        <v>01075893</v>
      </c>
    </row>
    <row r="30898" spans="1:2" x14ac:dyDescent="0.25">
      <c r="A30898" s="2">
        <v>30893</v>
      </c>
      <c r="B30898" s="11" t="str">
        <f>"01075895"</f>
        <v>01075895</v>
      </c>
    </row>
    <row r="30899" spans="1:2" x14ac:dyDescent="0.25">
      <c r="A30899" s="2">
        <v>30894</v>
      </c>
      <c r="B30899" s="11" t="str">
        <f>"01075896"</f>
        <v>01075896</v>
      </c>
    </row>
    <row r="30900" spans="1:2" x14ac:dyDescent="0.25">
      <c r="A30900" s="2">
        <v>30895</v>
      </c>
      <c r="B30900" s="11" t="str">
        <f>"01075897"</f>
        <v>01075897</v>
      </c>
    </row>
    <row r="30901" spans="1:2" x14ac:dyDescent="0.25">
      <c r="A30901" s="2">
        <v>30896</v>
      </c>
      <c r="B30901" s="11" t="str">
        <f>"01075903"</f>
        <v>01075903</v>
      </c>
    </row>
    <row r="30902" spans="1:2" x14ac:dyDescent="0.25">
      <c r="A30902" s="2">
        <v>30897</v>
      </c>
      <c r="B30902" s="11" t="str">
        <f>"01075912"</f>
        <v>01075912</v>
      </c>
    </row>
    <row r="30903" spans="1:2" x14ac:dyDescent="0.25">
      <c r="A30903" s="2">
        <v>30898</v>
      </c>
      <c r="B30903" s="11" t="str">
        <f>"01075914"</f>
        <v>01075914</v>
      </c>
    </row>
    <row r="30904" spans="1:2" x14ac:dyDescent="0.25">
      <c r="A30904" s="2">
        <v>30899</v>
      </c>
      <c r="B30904" s="11" t="str">
        <f>"01075921"</f>
        <v>01075921</v>
      </c>
    </row>
    <row r="30905" spans="1:2" x14ac:dyDescent="0.25">
      <c r="A30905" s="2">
        <v>30900</v>
      </c>
      <c r="B30905" s="11" t="str">
        <f>"01075928"</f>
        <v>01075928</v>
      </c>
    </row>
    <row r="30906" spans="1:2" x14ac:dyDescent="0.25">
      <c r="A30906" s="2">
        <v>30901</v>
      </c>
      <c r="B30906" s="11" t="str">
        <f>"01075931"</f>
        <v>01075931</v>
      </c>
    </row>
    <row r="30907" spans="1:2" x14ac:dyDescent="0.25">
      <c r="A30907" s="2">
        <v>30902</v>
      </c>
      <c r="B30907" s="11" t="str">
        <f>"01075932"</f>
        <v>01075932</v>
      </c>
    </row>
    <row r="30908" spans="1:2" x14ac:dyDescent="0.25">
      <c r="A30908" s="2">
        <v>30903</v>
      </c>
      <c r="B30908" s="11" t="str">
        <f>"01075935"</f>
        <v>01075935</v>
      </c>
    </row>
    <row r="30909" spans="1:2" x14ac:dyDescent="0.25">
      <c r="A30909" s="2">
        <v>30904</v>
      </c>
      <c r="B30909" s="11" t="str">
        <f>"01075936"</f>
        <v>01075936</v>
      </c>
    </row>
    <row r="30910" spans="1:2" x14ac:dyDescent="0.25">
      <c r="A30910" s="2">
        <v>30905</v>
      </c>
      <c r="B30910" s="11" t="str">
        <f>"01075942"</f>
        <v>01075942</v>
      </c>
    </row>
    <row r="30911" spans="1:2" x14ac:dyDescent="0.25">
      <c r="A30911" s="2">
        <v>30906</v>
      </c>
      <c r="B30911" s="11" t="str">
        <f>"01075944"</f>
        <v>01075944</v>
      </c>
    </row>
    <row r="30912" spans="1:2" x14ac:dyDescent="0.25">
      <c r="A30912" s="2">
        <v>30907</v>
      </c>
      <c r="B30912" s="11" t="str">
        <f>"01075946"</f>
        <v>01075946</v>
      </c>
    </row>
    <row r="30913" spans="1:2" x14ac:dyDescent="0.25">
      <c r="A30913" s="2">
        <v>30908</v>
      </c>
      <c r="B30913" s="11" t="str">
        <f>"01075947"</f>
        <v>01075947</v>
      </c>
    </row>
    <row r="30914" spans="1:2" x14ac:dyDescent="0.25">
      <c r="A30914" s="2">
        <v>30909</v>
      </c>
      <c r="B30914" s="11" t="str">
        <f>"01075950"</f>
        <v>01075950</v>
      </c>
    </row>
    <row r="30915" spans="1:2" x14ac:dyDescent="0.25">
      <c r="A30915" s="2">
        <v>30910</v>
      </c>
      <c r="B30915" s="11" t="str">
        <f>"01075952"</f>
        <v>01075952</v>
      </c>
    </row>
    <row r="30916" spans="1:2" x14ac:dyDescent="0.25">
      <c r="A30916" s="2">
        <v>30911</v>
      </c>
      <c r="B30916" s="11" t="str">
        <f>"01075960"</f>
        <v>01075960</v>
      </c>
    </row>
    <row r="30917" spans="1:2" x14ac:dyDescent="0.25">
      <c r="A30917" s="2">
        <v>30912</v>
      </c>
      <c r="B30917" s="11" t="str">
        <f>"01075961"</f>
        <v>01075961</v>
      </c>
    </row>
    <row r="30918" spans="1:2" x14ac:dyDescent="0.25">
      <c r="A30918" s="2">
        <v>30913</v>
      </c>
      <c r="B30918" s="11" t="str">
        <f>"01075966"</f>
        <v>01075966</v>
      </c>
    </row>
    <row r="30919" spans="1:2" x14ac:dyDescent="0.25">
      <c r="A30919" s="2">
        <v>30914</v>
      </c>
      <c r="B30919" s="11" t="str">
        <f>"01075968"</f>
        <v>01075968</v>
      </c>
    </row>
    <row r="30920" spans="1:2" x14ac:dyDescent="0.25">
      <c r="A30920" s="2">
        <v>30915</v>
      </c>
      <c r="B30920" s="11" t="str">
        <f>"01075970"</f>
        <v>01075970</v>
      </c>
    </row>
    <row r="30921" spans="1:2" x14ac:dyDescent="0.25">
      <c r="A30921" s="2">
        <v>30916</v>
      </c>
      <c r="B30921" s="11" t="str">
        <f>"01075976"</f>
        <v>01075976</v>
      </c>
    </row>
    <row r="30922" spans="1:2" x14ac:dyDescent="0.25">
      <c r="A30922" s="2">
        <v>30917</v>
      </c>
      <c r="B30922" s="11" t="str">
        <f>"01075981"</f>
        <v>01075981</v>
      </c>
    </row>
    <row r="30923" spans="1:2" x14ac:dyDescent="0.25">
      <c r="A30923" s="2">
        <v>30918</v>
      </c>
      <c r="B30923" s="11" t="str">
        <f>"01075983"</f>
        <v>01075983</v>
      </c>
    </row>
    <row r="30924" spans="1:2" x14ac:dyDescent="0.25">
      <c r="A30924" s="2">
        <v>30919</v>
      </c>
      <c r="B30924" s="11" t="str">
        <f>"01075986"</f>
        <v>01075986</v>
      </c>
    </row>
    <row r="30925" spans="1:2" x14ac:dyDescent="0.25">
      <c r="A30925" s="2">
        <v>30920</v>
      </c>
      <c r="B30925" s="11" t="str">
        <f>"01075987"</f>
        <v>01075987</v>
      </c>
    </row>
    <row r="30926" spans="1:2" x14ac:dyDescent="0.25">
      <c r="A30926" s="2">
        <v>30921</v>
      </c>
      <c r="B30926" s="11" t="str">
        <f>"01075989"</f>
        <v>01075989</v>
      </c>
    </row>
    <row r="30927" spans="1:2" x14ac:dyDescent="0.25">
      <c r="A30927" s="2">
        <v>30922</v>
      </c>
      <c r="B30927" s="11" t="str">
        <f>"01075992"</f>
        <v>01075992</v>
      </c>
    </row>
    <row r="30928" spans="1:2" x14ac:dyDescent="0.25">
      <c r="A30928" s="2">
        <v>30923</v>
      </c>
      <c r="B30928" s="11" t="str">
        <f>"01076002"</f>
        <v>01076002</v>
      </c>
    </row>
    <row r="30929" spans="1:2" x14ac:dyDescent="0.25">
      <c r="A30929" s="2">
        <v>30924</v>
      </c>
      <c r="B30929" s="11" t="str">
        <f>"01076008"</f>
        <v>01076008</v>
      </c>
    </row>
    <row r="30930" spans="1:2" x14ac:dyDescent="0.25">
      <c r="A30930" s="2">
        <v>30925</v>
      </c>
      <c r="B30930" s="11" t="str">
        <f>"01076009"</f>
        <v>01076009</v>
      </c>
    </row>
    <row r="30931" spans="1:2" x14ac:dyDescent="0.25">
      <c r="A30931" s="2">
        <v>30926</v>
      </c>
      <c r="B30931" s="11" t="str">
        <f>"01076010"</f>
        <v>01076010</v>
      </c>
    </row>
    <row r="30932" spans="1:2" x14ac:dyDescent="0.25">
      <c r="A30932" s="2">
        <v>30927</v>
      </c>
      <c r="B30932" s="11" t="str">
        <f>"01076014"</f>
        <v>01076014</v>
      </c>
    </row>
    <row r="30933" spans="1:2" x14ac:dyDescent="0.25">
      <c r="A30933" s="2">
        <v>30928</v>
      </c>
      <c r="B30933" s="11" t="str">
        <f>"01076015"</f>
        <v>01076015</v>
      </c>
    </row>
    <row r="30934" spans="1:2" x14ac:dyDescent="0.25">
      <c r="A30934" s="2">
        <v>30929</v>
      </c>
      <c r="B30934" s="11" t="str">
        <f>"01076022"</f>
        <v>01076022</v>
      </c>
    </row>
    <row r="30935" spans="1:2" x14ac:dyDescent="0.25">
      <c r="A30935" s="2">
        <v>30930</v>
      </c>
      <c r="B30935" s="11" t="str">
        <f>"01076023"</f>
        <v>01076023</v>
      </c>
    </row>
    <row r="30936" spans="1:2" x14ac:dyDescent="0.25">
      <c r="A30936" s="2">
        <v>30931</v>
      </c>
      <c r="B30936" s="11" t="str">
        <f>"01076028"</f>
        <v>01076028</v>
      </c>
    </row>
    <row r="30937" spans="1:2" x14ac:dyDescent="0.25">
      <c r="A30937" s="2">
        <v>30932</v>
      </c>
      <c r="B30937" s="11" t="str">
        <f>"01076029"</f>
        <v>01076029</v>
      </c>
    </row>
    <row r="30938" spans="1:2" x14ac:dyDescent="0.25">
      <c r="A30938" s="2">
        <v>30933</v>
      </c>
      <c r="B30938" s="11" t="str">
        <f>"01076030"</f>
        <v>01076030</v>
      </c>
    </row>
    <row r="30939" spans="1:2" x14ac:dyDescent="0.25">
      <c r="A30939" s="2">
        <v>30934</v>
      </c>
      <c r="B30939" s="11" t="str">
        <f>"01076037"</f>
        <v>01076037</v>
      </c>
    </row>
    <row r="30940" spans="1:2" x14ac:dyDescent="0.25">
      <c r="A30940" s="2">
        <v>30935</v>
      </c>
      <c r="B30940" s="11" t="str">
        <f>"01076040"</f>
        <v>01076040</v>
      </c>
    </row>
    <row r="30941" spans="1:2" x14ac:dyDescent="0.25">
      <c r="A30941" s="2">
        <v>30936</v>
      </c>
      <c r="B30941" s="11" t="str">
        <f>"01076042"</f>
        <v>01076042</v>
      </c>
    </row>
    <row r="30942" spans="1:2" x14ac:dyDescent="0.25">
      <c r="A30942" s="2">
        <v>30937</v>
      </c>
      <c r="B30942" s="11" t="str">
        <f>"01076043"</f>
        <v>01076043</v>
      </c>
    </row>
    <row r="30943" spans="1:2" x14ac:dyDescent="0.25">
      <c r="A30943" s="2">
        <v>30938</v>
      </c>
      <c r="B30943" s="11" t="str">
        <f>"01076046"</f>
        <v>01076046</v>
      </c>
    </row>
    <row r="30944" spans="1:2" x14ac:dyDescent="0.25">
      <c r="A30944" s="2">
        <v>30939</v>
      </c>
      <c r="B30944" s="11" t="str">
        <f>"01076047"</f>
        <v>01076047</v>
      </c>
    </row>
    <row r="30945" spans="1:2" x14ac:dyDescent="0.25">
      <c r="A30945" s="2">
        <v>30940</v>
      </c>
      <c r="B30945" s="11" t="str">
        <f>"01076049"</f>
        <v>01076049</v>
      </c>
    </row>
    <row r="30946" spans="1:2" x14ac:dyDescent="0.25">
      <c r="A30946" s="2">
        <v>30941</v>
      </c>
      <c r="B30946" s="11" t="str">
        <f>"01076058"</f>
        <v>01076058</v>
      </c>
    </row>
    <row r="30947" spans="1:2" x14ac:dyDescent="0.25">
      <c r="A30947" s="2">
        <v>30942</v>
      </c>
      <c r="B30947" s="11" t="str">
        <f>"01076059"</f>
        <v>01076059</v>
      </c>
    </row>
    <row r="30948" spans="1:2" x14ac:dyDescent="0.25">
      <c r="A30948" s="2">
        <v>30943</v>
      </c>
      <c r="B30948" s="11" t="str">
        <f>"01076062"</f>
        <v>01076062</v>
      </c>
    </row>
    <row r="30949" spans="1:2" x14ac:dyDescent="0.25">
      <c r="A30949" s="2">
        <v>30944</v>
      </c>
      <c r="B30949" s="11" t="str">
        <f>"01076063"</f>
        <v>01076063</v>
      </c>
    </row>
    <row r="30950" spans="1:2" x14ac:dyDescent="0.25">
      <c r="A30950" s="2">
        <v>30945</v>
      </c>
      <c r="B30950" s="11" t="str">
        <f>"01076064"</f>
        <v>01076064</v>
      </c>
    </row>
    <row r="30951" spans="1:2" x14ac:dyDescent="0.25">
      <c r="A30951" s="2">
        <v>30946</v>
      </c>
      <c r="B30951" s="11" t="str">
        <f>"01076068"</f>
        <v>01076068</v>
      </c>
    </row>
    <row r="30952" spans="1:2" x14ac:dyDescent="0.25">
      <c r="A30952" s="2">
        <v>30947</v>
      </c>
      <c r="B30952" s="11" t="str">
        <f>"01076071"</f>
        <v>01076071</v>
      </c>
    </row>
    <row r="30953" spans="1:2" x14ac:dyDescent="0.25">
      <c r="A30953" s="2">
        <v>30948</v>
      </c>
      <c r="B30953" s="11" t="str">
        <f>"01076076"</f>
        <v>01076076</v>
      </c>
    </row>
    <row r="30954" spans="1:2" x14ac:dyDescent="0.25">
      <c r="A30954" s="2">
        <v>30949</v>
      </c>
      <c r="B30954" s="11" t="str">
        <f>"01076077"</f>
        <v>01076077</v>
      </c>
    </row>
    <row r="30955" spans="1:2" x14ac:dyDescent="0.25">
      <c r="A30955" s="2">
        <v>30950</v>
      </c>
      <c r="B30955" s="11" t="str">
        <f>"01076078"</f>
        <v>01076078</v>
      </c>
    </row>
    <row r="30956" spans="1:2" x14ac:dyDescent="0.25">
      <c r="A30956" s="2">
        <v>30951</v>
      </c>
      <c r="B30956" s="11" t="str">
        <f>"01076079"</f>
        <v>01076079</v>
      </c>
    </row>
    <row r="30957" spans="1:2" x14ac:dyDescent="0.25">
      <c r="A30957" s="2">
        <v>30952</v>
      </c>
      <c r="B30957" s="11" t="str">
        <f>"01076081"</f>
        <v>01076081</v>
      </c>
    </row>
    <row r="30958" spans="1:2" x14ac:dyDescent="0.25">
      <c r="A30958" s="2">
        <v>30953</v>
      </c>
      <c r="B30958" s="11" t="str">
        <f>"01076082"</f>
        <v>01076082</v>
      </c>
    </row>
    <row r="30959" spans="1:2" x14ac:dyDescent="0.25">
      <c r="A30959" s="2">
        <v>30954</v>
      </c>
      <c r="B30959" s="11" t="str">
        <f>"01076084"</f>
        <v>01076084</v>
      </c>
    </row>
    <row r="30960" spans="1:2" x14ac:dyDescent="0.25">
      <c r="A30960" s="2">
        <v>30955</v>
      </c>
      <c r="B30960" s="11" t="str">
        <f>"01076089"</f>
        <v>01076089</v>
      </c>
    </row>
    <row r="30961" spans="1:2" x14ac:dyDescent="0.25">
      <c r="A30961" s="2">
        <v>30956</v>
      </c>
      <c r="B30961" s="11" t="str">
        <f>"01076090"</f>
        <v>01076090</v>
      </c>
    </row>
    <row r="30962" spans="1:2" x14ac:dyDescent="0.25">
      <c r="A30962" s="2">
        <v>30957</v>
      </c>
      <c r="B30962" s="11" t="str">
        <f>"01076092"</f>
        <v>01076092</v>
      </c>
    </row>
    <row r="30963" spans="1:2" x14ac:dyDescent="0.25">
      <c r="A30963" s="2">
        <v>30958</v>
      </c>
      <c r="B30963" s="11" t="str">
        <f>"01076093"</f>
        <v>01076093</v>
      </c>
    </row>
    <row r="30964" spans="1:2" x14ac:dyDescent="0.25">
      <c r="A30964" s="2">
        <v>30959</v>
      </c>
      <c r="B30964" s="11" t="str">
        <f>"01076096"</f>
        <v>01076096</v>
      </c>
    </row>
    <row r="30965" spans="1:2" x14ac:dyDescent="0.25">
      <c r="A30965" s="2">
        <v>30960</v>
      </c>
      <c r="B30965" s="11" t="str">
        <f>"01076099"</f>
        <v>01076099</v>
      </c>
    </row>
    <row r="30966" spans="1:2" x14ac:dyDescent="0.25">
      <c r="A30966" s="2">
        <v>30961</v>
      </c>
      <c r="B30966" s="11" t="str">
        <f>"01076104"</f>
        <v>01076104</v>
      </c>
    </row>
    <row r="30967" spans="1:2" x14ac:dyDescent="0.25">
      <c r="A30967" s="2">
        <v>30962</v>
      </c>
      <c r="B30967" s="11" t="str">
        <f>"01076105"</f>
        <v>01076105</v>
      </c>
    </row>
    <row r="30968" spans="1:2" x14ac:dyDescent="0.25">
      <c r="A30968" s="2">
        <v>30963</v>
      </c>
      <c r="B30968" s="11" t="str">
        <f>"01076116"</f>
        <v>01076116</v>
      </c>
    </row>
    <row r="30969" spans="1:2" x14ac:dyDescent="0.25">
      <c r="A30969" s="2">
        <v>30964</v>
      </c>
      <c r="B30969" s="11" t="str">
        <f>"01076125"</f>
        <v>01076125</v>
      </c>
    </row>
    <row r="30970" spans="1:2" x14ac:dyDescent="0.25">
      <c r="A30970" s="2">
        <v>30965</v>
      </c>
      <c r="B30970" s="11" t="str">
        <f>"01076129"</f>
        <v>01076129</v>
      </c>
    </row>
    <row r="30971" spans="1:2" x14ac:dyDescent="0.25">
      <c r="A30971" s="2">
        <v>30966</v>
      </c>
      <c r="B30971" s="11" t="str">
        <f>"01076132"</f>
        <v>01076132</v>
      </c>
    </row>
    <row r="30972" spans="1:2" x14ac:dyDescent="0.25">
      <c r="A30972" s="2">
        <v>30967</v>
      </c>
      <c r="B30972" s="11" t="str">
        <f>"01076134"</f>
        <v>01076134</v>
      </c>
    </row>
    <row r="30973" spans="1:2" x14ac:dyDescent="0.25">
      <c r="A30973" s="2">
        <v>30968</v>
      </c>
      <c r="B30973" s="11" t="str">
        <f>"01076135"</f>
        <v>01076135</v>
      </c>
    </row>
    <row r="30974" spans="1:2" x14ac:dyDescent="0.25">
      <c r="A30974" s="2">
        <v>30969</v>
      </c>
      <c r="B30974" s="11" t="str">
        <f>"01076136"</f>
        <v>01076136</v>
      </c>
    </row>
    <row r="30975" spans="1:2" x14ac:dyDescent="0.25">
      <c r="A30975" s="2">
        <v>30970</v>
      </c>
      <c r="B30975" s="11" t="str">
        <f>"01076137"</f>
        <v>01076137</v>
      </c>
    </row>
    <row r="30976" spans="1:2" x14ac:dyDescent="0.25">
      <c r="A30976" s="2">
        <v>30971</v>
      </c>
      <c r="B30976" s="11" t="str">
        <f>"01076145"</f>
        <v>01076145</v>
      </c>
    </row>
    <row r="30977" spans="1:2" x14ac:dyDescent="0.25">
      <c r="A30977" s="2">
        <v>30972</v>
      </c>
      <c r="B30977" s="11" t="str">
        <f>"01076148"</f>
        <v>01076148</v>
      </c>
    </row>
    <row r="30978" spans="1:2" x14ac:dyDescent="0.25">
      <c r="A30978" s="2">
        <v>30973</v>
      </c>
      <c r="B30978" s="11" t="str">
        <f>"01076150"</f>
        <v>01076150</v>
      </c>
    </row>
    <row r="30979" spans="1:2" x14ac:dyDescent="0.25">
      <c r="A30979" s="2">
        <v>30974</v>
      </c>
      <c r="B30979" s="11" t="str">
        <f>"01076159"</f>
        <v>01076159</v>
      </c>
    </row>
    <row r="30980" spans="1:2" x14ac:dyDescent="0.25">
      <c r="A30980" s="2">
        <v>30975</v>
      </c>
      <c r="B30980" s="11" t="str">
        <f>"01076162"</f>
        <v>01076162</v>
      </c>
    </row>
    <row r="30981" spans="1:2" x14ac:dyDescent="0.25">
      <c r="A30981" s="2">
        <v>30976</v>
      </c>
      <c r="B30981" s="11" t="str">
        <f>"01076164"</f>
        <v>01076164</v>
      </c>
    </row>
    <row r="30982" spans="1:2" x14ac:dyDescent="0.25">
      <c r="A30982" s="2">
        <v>30977</v>
      </c>
      <c r="B30982" s="11" t="str">
        <f>"01076165"</f>
        <v>01076165</v>
      </c>
    </row>
    <row r="30983" spans="1:2" x14ac:dyDescent="0.25">
      <c r="A30983" s="2">
        <v>30978</v>
      </c>
      <c r="B30983" s="11" t="str">
        <f>"01076168"</f>
        <v>01076168</v>
      </c>
    </row>
    <row r="30984" spans="1:2" x14ac:dyDescent="0.25">
      <c r="A30984" s="2">
        <v>30979</v>
      </c>
      <c r="B30984" s="11" t="str">
        <f>"01076170"</f>
        <v>01076170</v>
      </c>
    </row>
    <row r="30985" spans="1:2" x14ac:dyDescent="0.25">
      <c r="A30985" s="2">
        <v>30980</v>
      </c>
      <c r="B30985" s="11" t="str">
        <f>"01076173"</f>
        <v>01076173</v>
      </c>
    </row>
    <row r="30986" spans="1:2" x14ac:dyDescent="0.25">
      <c r="A30986" s="2">
        <v>30981</v>
      </c>
      <c r="B30986" s="11" t="str">
        <f>"01076176"</f>
        <v>01076176</v>
      </c>
    </row>
    <row r="30987" spans="1:2" x14ac:dyDescent="0.25">
      <c r="A30987" s="2">
        <v>30982</v>
      </c>
      <c r="B30987" s="11" t="str">
        <f>"01076177"</f>
        <v>01076177</v>
      </c>
    </row>
    <row r="30988" spans="1:2" x14ac:dyDescent="0.25">
      <c r="A30988" s="2">
        <v>30983</v>
      </c>
      <c r="B30988" s="11" t="str">
        <f>"01076180"</f>
        <v>01076180</v>
      </c>
    </row>
    <row r="30989" spans="1:2" x14ac:dyDescent="0.25">
      <c r="A30989" s="2">
        <v>30984</v>
      </c>
      <c r="B30989" s="11" t="str">
        <f>"01076182"</f>
        <v>01076182</v>
      </c>
    </row>
    <row r="30990" spans="1:2" x14ac:dyDescent="0.25">
      <c r="A30990" s="2">
        <v>30985</v>
      </c>
      <c r="B30990" s="11" t="str">
        <f>"01076187"</f>
        <v>01076187</v>
      </c>
    </row>
    <row r="30991" spans="1:2" x14ac:dyDescent="0.25">
      <c r="A30991" s="2">
        <v>30986</v>
      </c>
      <c r="B30991" s="11" t="str">
        <f>"01076194"</f>
        <v>01076194</v>
      </c>
    </row>
    <row r="30992" spans="1:2" x14ac:dyDescent="0.25">
      <c r="A30992" s="2">
        <v>30987</v>
      </c>
      <c r="B30992" s="11" t="str">
        <f>"01076198"</f>
        <v>01076198</v>
      </c>
    </row>
    <row r="30993" spans="1:2" x14ac:dyDescent="0.25">
      <c r="A30993" s="2">
        <v>30988</v>
      </c>
      <c r="B30993" s="11" t="str">
        <f>"01076199"</f>
        <v>01076199</v>
      </c>
    </row>
    <row r="30994" spans="1:2" x14ac:dyDescent="0.25">
      <c r="A30994" s="2">
        <v>30989</v>
      </c>
      <c r="B30994" s="11" t="str">
        <f>"01076201"</f>
        <v>01076201</v>
      </c>
    </row>
    <row r="30995" spans="1:2" x14ac:dyDescent="0.25">
      <c r="A30995" s="2">
        <v>30990</v>
      </c>
      <c r="B30995" s="11" t="str">
        <f>"01076207"</f>
        <v>01076207</v>
      </c>
    </row>
    <row r="30996" spans="1:2" x14ac:dyDescent="0.25">
      <c r="A30996" s="2">
        <v>30991</v>
      </c>
      <c r="B30996" s="11" t="str">
        <f>"01076210"</f>
        <v>01076210</v>
      </c>
    </row>
    <row r="30997" spans="1:2" x14ac:dyDescent="0.25">
      <c r="A30997" s="2">
        <v>30992</v>
      </c>
      <c r="B30997" s="11" t="str">
        <f>"01076213"</f>
        <v>01076213</v>
      </c>
    </row>
    <row r="30998" spans="1:2" x14ac:dyDescent="0.25">
      <c r="A30998" s="2">
        <v>30993</v>
      </c>
      <c r="B30998" s="11" t="str">
        <f>"01076219"</f>
        <v>01076219</v>
      </c>
    </row>
    <row r="30999" spans="1:2" x14ac:dyDescent="0.25">
      <c r="A30999" s="2">
        <v>30994</v>
      </c>
      <c r="B30999" s="11" t="str">
        <f>"01076221"</f>
        <v>01076221</v>
      </c>
    </row>
    <row r="31000" spans="1:2" x14ac:dyDescent="0.25">
      <c r="A31000" s="2">
        <v>30995</v>
      </c>
      <c r="B31000" s="11" t="str">
        <f>"01076223"</f>
        <v>01076223</v>
      </c>
    </row>
    <row r="31001" spans="1:2" x14ac:dyDescent="0.25">
      <c r="A31001" s="2">
        <v>30996</v>
      </c>
      <c r="B31001" s="11" t="str">
        <f>"01076224"</f>
        <v>01076224</v>
      </c>
    </row>
    <row r="31002" spans="1:2" x14ac:dyDescent="0.25">
      <c r="A31002" s="2">
        <v>30997</v>
      </c>
      <c r="B31002" s="11" t="str">
        <f>"01076226"</f>
        <v>01076226</v>
      </c>
    </row>
    <row r="31003" spans="1:2" x14ac:dyDescent="0.25">
      <c r="A31003" s="2">
        <v>30998</v>
      </c>
      <c r="B31003" s="11" t="str">
        <f>"01076228"</f>
        <v>01076228</v>
      </c>
    </row>
    <row r="31004" spans="1:2" x14ac:dyDescent="0.25">
      <c r="A31004" s="2">
        <v>30999</v>
      </c>
      <c r="B31004" s="11" t="str">
        <f>"01076230"</f>
        <v>01076230</v>
      </c>
    </row>
    <row r="31005" spans="1:2" x14ac:dyDescent="0.25">
      <c r="A31005" s="2">
        <v>31000</v>
      </c>
      <c r="B31005" s="11" t="str">
        <f>"01076233"</f>
        <v>01076233</v>
      </c>
    </row>
    <row r="31006" spans="1:2" x14ac:dyDescent="0.25">
      <c r="A31006" s="2">
        <v>31001</v>
      </c>
      <c r="B31006" s="11" t="str">
        <f>"01076237"</f>
        <v>01076237</v>
      </c>
    </row>
    <row r="31007" spans="1:2" x14ac:dyDescent="0.25">
      <c r="A31007" s="2">
        <v>31002</v>
      </c>
      <c r="B31007" s="11" t="str">
        <f>"01076238"</f>
        <v>01076238</v>
      </c>
    </row>
    <row r="31008" spans="1:2" x14ac:dyDescent="0.25">
      <c r="A31008" s="2">
        <v>31003</v>
      </c>
      <c r="B31008" s="11" t="str">
        <f>"01076246"</f>
        <v>01076246</v>
      </c>
    </row>
    <row r="31009" spans="1:2" x14ac:dyDescent="0.25">
      <c r="A31009" s="2">
        <v>31004</v>
      </c>
      <c r="B31009" s="11" t="str">
        <f>"01076248"</f>
        <v>01076248</v>
      </c>
    </row>
    <row r="31010" spans="1:2" x14ac:dyDescent="0.25">
      <c r="A31010" s="2">
        <v>31005</v>
      </c>
      <c r="B31010" s="11" t="str">
        <f>"01076249"</f>
        <v>01076249</v>
      </c>
    </row>
    <row r="31011" spans="1:2" x14ac:dyDescent="0.25">
      <c r="A31011" s="2">
        <v>31006</v>
      </c>
      <c r="B31011" s="11" t="str">
        <f>"01076254"</f>
        <v>01076254</v>
      </c>
    </row>
    <row r="31012" spans="1:2" x14ac:dyDescent="0.25">
      <c r="A31012" s="2">
        <v>31007</v>
      </c>
      <c r="B31012" s="11" t="str">
        <f>"01076255"</f>
        <v>01076255</v>
      </c>
    </row>
    <row r="31013" spans="1:2" x14ac:dyDescent="0.25">
      <c r="A31013" s="2">
        <v>31008</v>
      </c>
      <c r="B31013" s="11" t="str">
        <f>"01076260"</f>
        <v>01076260</v>
      </c>
    </row>
    <row r="31014" spans="1:2" x14ac:dyDescent="0.25">
      <c r="A31014" s="2">
        <v>31009</v>
      </c>
      <c r="B31014" s="11" t="str">
        <f>"01076261"</f>
        <v>01076261</v>
      </c>
    </row>
    <row r="31015" spans="1:2" x14ac:dyDescent="0.25">
      <c r="A31015" s="2">
        <v>31010</v>
      </c>
      <c r="B31015" s="11" t="str">
        <f>"01076263"</f>
        <v>01076263</v>
      </c>
    </row>
    <row r="31016" spans="1:2" x14ac:dyDescent="0.25">
      <c r="A31016" s="2">
        <v>31011</v>
      </c>
      <c r="B31016" s="11" t="str">
        <f>"01076274"</f>
        <v>01076274</v>
      </c>
    </row>
    <row r="31017" spans="1:2" x14ac:dyDescent="0.25">
      <c r="A31017" s="2">
        <v>31012</v>
      </c>
      <c r="B31017" s="11" t="str">
        <f>"01076283"</f>
        <v>01076283</v>
      </c>
    </row>
    <row r="31018" spans="1:2" x14ac:dyDescent="0.25">
      <c r="A31018" s="2">
        <v>31013</v>
      </c>
      <c r="B31018" s="11" t="str">
        <f>"01076284"</f>
        <v>01076284</v>
      </c>
    </row>
    <row r="31019" spans="1:2" x14ac:dyDescent="0.25">
      <c r="A31019" s="2">
        <v>31014</v>
      </c>
      <c r="B31019" s="11" t="str">
        <f>"01076286"</f>
        <v>01076286</v>
      </c>
    </row>
    <row r="31020" spans="1:2" x14ac:dyDescent="0.25">
      <c r="A31020" s="2">
        <v>31015</v>
      </c>
      <c r="B31020" s="11" t="str">
        <f>"01076287"</f>
        <v>01076287</v>
      </c>
    </row>
    <row r="31021" spans="1:2" x14ac:dyDescent="0.25">
      <c r="A31021" s="2">
        <v>31016</v>
      </c>
      <c r="B31021" s="11" t="str">
        <f>"01076293"</f>
        <v>01076293</v>
      </c>
    </row>
    <row r="31022" spans="1:2" x14ac:dyDescent="0.25">
      <c r="A31022" s="2">
        <v>31017</v>
      </c>
      <c r="B31022" s="11" t="str">
        <f>"01076302"</f>
        <v>01076302</v>
      </c>
    </row>
    <row r="31023" spans="1:2" x14ac:dyDescent="0.25">
      <c r="A31023" s="2">
        <v>31018</v>
      </c>
      <c r="B31023" s="11" t="str">
        <f>"01076303"</f>
        <v>01076303</v>
      </c>
    </row>
    <row r="31024" spans="1:2" x14ac:dyDescent="0.25">
      <c r="A31024" s="2">
        <v>31019</v>
      </c>
      <c r="B31024" s="11" t="str">
        <f>"01076306"</f>
        <v>01076306</v>
      </c>
    </row>
    <row r="31025" spans="1:2" x14ac:dyDescent="0.25">
      <c r="A31025" s="2">
        <v>31020</v>
      </c>
      <c r="B31025" s="11" t="str">
        <f>"01076315"</f>
        <v>01076315</v>
      </c>
    </row>
    <row r="31026" spans="1:2" x14ac:dyDescent="0.25">
      <c r="A31026" s="2">
        <v>31021</v>
      </c>
      <c r="B31026" s="11" t="str">
        <f>"01076317"</f>
        <v>01076317</v>
      </c>
    </row>
    <row r="31027" spans="1:2" x14ac:dyDescent="0.25">
      <c r="A31027" s="2">
        <v>31022</v>
      </c>
      <c r="B31027" s="11" t="str">
        <f>"01076319"</f>
        <v>01076319</v>
      </c>
    </row>
    <row r="31028" spans="1:2" x14ac:dyDescent="0.25">
      <c r="A31028" s="2">
        <v>31023</v>
      </c>
      <c r="B31028" s="11" t="str">
        <f>"01076320"</f>
        <v>01076320</v>
      </c>
    </row>
    <row r="31029" spans="1:2" x14ac:dyDescent="0.25">
      <c r="A31029" s="2">
        <v>31024</v>
      </c>
      <c r="B31029" s="11" t="str">
        <f>"01076326"</f>
        <v>01076326</v>
      </c>
    </row>
    <row r="31030" spans="1:2" x14ac:dyDescent="0.25">
      <c r="A31030" s="2">
        <v>31025</v>
      </c>
      <c r="B31030" s="11" t="str">
        <f>"01076333"</f>
        <v>01076333</v>
      </c>
    </row>
    <row r="31031" spans="1:2" x14ac:dyDescent="0.25">
      <c r="A31031" s="2">
        <v>31026</v>
      </c>
      <c r="B31031" s="11" t="str">
        <f>"01076334"</f>
        <v>01076334</v>
      </c>
    </row>
    <row r="31032" spans="1:2" x14ac:dyDescent="0.25">
      <c r="A31032" s="2">
        <v>31027</v>
      </c>
      <c r="B31032" s="11" t="str">
        <f>"01076335"</f>
        <v>01076335</v>
      </c>
    </row>
    <row r="31033" spans="1:2" x14ac:dyDescent="0.25">
      <c r="A31033" s="2">
        <v>31028</v>
      </c>
      <c r="B31033" s="11" t="str">
        <f>"01076336"</f>
        <v>01076336</v>
      </c>
    </row>
    <row r="31034" spans="1:2" x14ac:dyDescent="0.25">
      <c r="A31034" s="2">
        <v>31029</v>
      </c>
      <c r="B31034" s="11" t="str">
        <f>"01076337"</f>
        <v>01076337</v>
      </c>
    </row>
    <row r="31035" spans="1:2" x14ac:dyDescent="0.25">
      <c r="A31035" s="2">
        <v>31030</v>
      </c>
      <c r="B31035" s="11" t="str">
        <f>"01076342"</f>
        <v>01076342</v>
      </c>
    </row>
    <row r="31036" spans="1:2" x14ac:dyDescent="0.25">
      <c r="A31036" s="2">
        <v>31031</v>
      </c>
      <c r="B31036" s="11" t="str">
        <f>"01076347"</f>
        <v>01076347</v>
      </c>
    </row>
    <row r="31037" spans="1:2" x14ac:dyDescent="0.25">
      <c r="A31037" s="2">
        <v>31032</v>
      </c>
      <c r="B31037" s="11" t="str">
        <f>"01076355"</f>
        <v>01076355</v>
      </c>
    </row>
    <row r="31038" spans="1:2" x14ac:dyDescent="0.25">
      <c r="A31038" s="2">
        <v>31033</v>
      </c>
      <c r="B31038" s="11" t="str">
        <f>"01076357"</f>
        <v>01076357</v>
      </c>
    </row>
    <row r="31039" spans="1:2" x14ac:dyDescent="0.25">
      <c r="A31039" s="2">
        <v>31034</v>
      </c>
      <c r="B31039" s="11" t="str">
        <f>"01076359"</f>
        <v>01076359</v>
      </c>
    </row>
    <row r="31040" spans="1:2" x14ac:dyDescent="0.25">
      <c r="A31040" s="2">
        <v>31035</v>
      </c>
      <c r="B31040" s="11" t="str">
        <f>"01076365"</f>
        <v>01076365</v>
      </c>
    </row>
    <row r="31041" spans="1:2" x14ac:dyDescent="0.25">
      <c r="A31041" s="2">
        <v>31036</v>
      </c>
      <c r="B31041" s="11" t="str">
        <f>"01076374"</f>
        <v>01076374</v>
      </c>
    </row>
    <row r="31042" spans="1:2" x14ac:dyDescent="0.25">
      <c r="A31042" s="2">
        <v>31037</v>
      </c>
      <c r="B31042" s="11" t="str">
        <f>"01076376"</f>
        <v>01076376</v>
      </c>
    </row>
    <row r="31043" spans="1:2" x14ac:dyDescent="0.25">
      <c r="A31043" s="2">
        <v>31038</v>
      </c>
      <c r="B31043" s="11" t="str">
        <f>"01076379"</f>
        <v>01076379</v>
      </c>
    </row>
    <row r="31044" spans="1:2" x14ac:dyDescent="0.25">
      <c r="A31044" s="2">
        <v>31039</v>
      </c>
      <c r="B31044" s="11" t="str">
        <f>"01076390"</f>
        <v>01076390</v>
      </c>
    </row>
    <row r="31045" spans="1:2" x14ac:dyDescent="0.25">
      <c r="A31045" s="2">
        <v>31040</v>
      </c>
      <c r="B31045" s="11" t="str">
        <f>"01076402"</f>
        <v>01076402</v>
      </c>
    </row>
    <row r="31046" spans="1:2" x14ac:dyDescent="0.25">
      <c r="A31046" s="2">
        <v>31041</v>
      </c>
      <c r="B31046" s="11" t="str">
        <f>"01076404"</f>
        <v>01076404</v>
      </c>
    </row>
    <row r="31047" spans="1:2" x14ac:dyDescent="0.25">
      <c r="A31047" s="2">
        <v>31042</v>
      </c>
      <c r="B31047" s="11" t="str">
        <f>"01076410"</f>
        <v>01076410</v>
      </c>
    </row>
    <row r="31048" spans="1:2" x14ac:dyDescent="0.25">
      <c r="A31048" s="2">
        <v>31043</v>
      </c>
      <c r="B31048" s="11" t="str">
        <f>"01076412"</f>
        <v>01076412</v>
      </c>
    </row>
    <row r="31049" spans="1:2" x14ac:dyDescent="0.25">
      <c r="A31049" s="2">
        <v>31044</v>
      </c>
      <c r="B31049" s="11" t="str">
        <f>"01076414"</f>
        <v>01076414</v>
      </c>
    </row>
    <row r="31050" spans="1:2" x14ac:dyDescent="0.25">
      <c r="A31050" s="2">
        <v>31045</v>
      </c>
      <c r="B31050" s="11" t="str">
        <f>"01076415"</f>
        <v>01076415</v>
      </c>
    </row>
    <row r="31051" spans="1:2" x14ac:dyDescent="0.25">
      <c r="A31051" s="2">
        <v>31046</v>
      </c>
      <c r="B31051" s="11" t="str">
        <f>"01076424"</f>
        <v>01076424</v>
      </c>
    </row>
    <row r="31052" spans="1:2" x14ac:dyDescent="0.25">
      <c r="A31052" s="2">
        <v>31047</v>
      </c>
      <c r="B31052" s="11" t="str">
        <f>"01076433"</f>
        <v>01076433</v>
      </c>
    </row>
    <row r="31053" spans="1:2" x14ac:dyDescent="0.25">
      <c r="A31053" s="2">
        <v>31048</v>
      </c>
      <c r="B31053" s="11" t="str">
        <f>"01076438"</f>
        <v>01076438</v>
      </c>
    </row>
    <row r="31054" spans="1:2" x14ac:dyDescent="0.25">
      <c r="A31054" s="2">
        <v>31049</v>
      </c>
      <c r="B31054" s="11" t="str">
        <f>"01076442"</f>
        <v>01076442</v>
      </c>
    </row>
    <row r="31055" spans="1:2" x14ac:dyDescent="0.25">
      <c r="A31055" s="2">
        <v>31050</v>
      </c>
      <c r="B31055" s="11" t="str">
        <f>"01076454"</f>
        <v>01076454</v>
      </c>
    </row>
    <row r="31056" spans="1:2" x14ac:dyDescent="0.25">
      <c r="A31056" s="2">
        <v>31051</v>
      </c>
      <c r="B31056" s="11" t="str">
        <f>"01076457"</f>
        <v>01076457</v>
      </c>
    </row>
    <row r="31057" spans="1:2" x14ac:dyDescent="0.25">
      <c r="A31057" s="2">
        <v>31052</v>
      </c>
      <c r="B31057" s="11" t="str">
        <f>"01076459"</f>
        <v>01076459</v>
      </c>
    </row>
    <row r="31058" spans="1:2" x14ac:dyDescent="0.25">
      <c r="A31058" s="2">
        <v>31053</v>
      </c>
      <c r="B31058" s="11" t="str">
        <f>"01076460"</f>
        <v>01076460</v>
      </c>
    </row>
    <row r="31059" spans="1:2" x14ac:dyDescent="0.25">
      <c r="A31059" s="2">
        <v>31054</v>
      </c>
      <c r="B31059" s="11" t="str">
        <f>"01076470"</f>
        <v>01076470</v>
      </c>
    </row>
    <row r="31060" spans="1:2" x14ac:dyDescent="0.25">
      <c r="A31060" s="2">
        <v>31055</v>
      </c>
      <c r="B31060" s="11" t="str">
        <f>"01076474"</f>
        <v>01076474</v>
      </c>
    </row>
    <row r="31061" spans="1:2" x14ac:dyDescent="0.25">
      <c r="A31061" s="2">
        <v>31056</v>
      </c>
      <c r="B31061" s="11" t="str">
        <f>"01076483"</f>
        <v>01076483</v>
      </c>
    </row>
    <row r="31062" spans="1:2" x14ac:dyDescent="0.25">
      <c r="A31062" s="2">
        <v>31057</v>
      </c>
      <c r="B31062" s="11" t="str">
        <f>"01076486"</f>
        <v>01076486</v>
      </c>
    </row>
    <row r="31063" spans="1:2" x14ac:dyDescent="0.25">
      <c r="A31063" s="2">
        <v>31058</v>
      </c>
      <c r="B31063" s="11" t="str">
        <f>"01076487"</f>
        <v>01076487</v>
      </c>
    </row>
    <row r="31064" spans="1:2" x14ac:dyDescent="0.25">
      <c r="A31064" s="2">
        <v>31059</v>
      </c>
      <c r="B31064" s="11" t="str">
        <f>"01076489"</f>
        <v>01076489</v>
      </c>
    </row>
    <row r="31065" spans="1:2" x14ac:dyDescent="0.25">
      <c r="A31065" s="2">
        <v>31060</v>
      </c>
      <c r="B31065" s="11" t="str">
        <f>"01076490"</f>
        <v>01076490</v>
      </c>
    </row>
    <row r="31066" spans="1:2" x14ac:dyDescent="0.25">
      <c r="A31066" s="2">
        <v>31061</v>
      </c>
      <c r="B31066" s="11" t="str">
        <f>"01076494"</f>
        <v>01076494</v>
      </c>
    </row>
    <row r="31067" spans="1:2" x14ac:dyDescent="0.25">
      <c r="A31067" s="2">
        <v>31062</v>
      </c>
      <c r="B31067" s="11" t="str">
        <f>"01076503"</f>
        <v>01076503</v>
      </c>
    </row>
    <row r="31068" spans="1:2" x14ac:dyDescent="0.25">
      <c r="A31068" s="2">
        <v>31063</v>
      </c>
      <c r="B31068" s="11" t="str">
        <f>"01076513"</f>
        <v>01076513</v>
      </c>
    </row>
    <row r="31069" spans="1:2" x14ac:dyDescent="0.25">
      <c r="A31069" s="2">
        <v>31064</v>
      </c>
      <c r="B31069" s="11" t="str">
        <f>"01076515"</f>
        <v>01076515</v>
      </c>
    </row>
    <row r="31070" spans="1:2" x14ac:dyDescent="0.25">
      <c r="A31070" s="2">
        <v>31065</v>
      </c>
      <c r="B31070" s="11" t="str">
        <f>"01076517"</f>
        <v>01076517</v>
      </c>
    </row>
    <row r="31071" spans="1:2" x14ac:dyDescent="0.25">
      <c r="A31071" s="2">
        <v>31066</v>
      </c>
      <c r="B31071" s="11" t="str">
        <f>"01076518"</f>
        <v>01076518</v>
      </c>
    </row>
    <row r="31072" spans="1:2" x14ac:dyDescent="0.25">
      <c r="A31072" s="2">
        <v>31067</v>
      </c>
      <c r="B31072" s="11" t="str">
        <f>"01076520"</f>
        <v>01076520</v>
      </c>
    </row>
    <row r="31073" spans="1:2" x14ac:dyDescent="0.25">
      <c r="A31073" s="2">
        <v>31068</v>
      </c>
      <c r="B31073" s="11" t="str">
        <f>"01076522"</f>
        <v>01076522</v>
      </c>
    </row>
    <row r="31074" spans="1:2" x14ac:dyDescent="0.25">
      <c r="A31074" s="2">
        <v>31069</v>
      </c>
      <c r="B31074" s="11" t="str">
        <f>"01076523"</f>
        <v>01076523</v>
      </c>
    </row>
    <row r="31075" spans="1:2" x14ac:dyDescent="0.25">
      <c r="A31075" s="2">
        <v>31070</v>
      </c>
      <c r="B31075" s="11" t="str">
        <f>"01076526"</f>
        <v>01076526</v>
      </c>
    </row>
    <row r="31076" spans="1:2" x14ac:dyDescent="0.25">
      <c r="A31076" s="2">
        <v>31071</v>
      </c>
      <c r="B31076" s="11" t="str">
        <f>"01076532"</f>
        <v>01076532</v>
      </c>
    </row>
    <row r="31077" spans="1:2" x14ac:dyDescent="0.25">
      <c r="A31077" s="2">
        <v>31072</v>
      </c>
      <c r="B31077" s="11" t="str">
        <f>"01076538"</f>
        <v>01076538</v>
      </c>
    </row>
    <row r="31078" spans="1:2" x14ac:dyDescent="0.25">
      <c r="A31078" s="2">
        <v>31073</v>
      </c>
      <c r="B31078" s="11" t="str">
        <f>"01076539"</f>
        <v>01076539</v>
      </c>
    </row>
    <row r="31079" spans="1:2" x14ac:dyDescent="0.25">
      <c r="A31079" s="2">
        <v>31074</v>
      </c>
      <c r="B31079" s="11" t="str">
        <f>"01076544"</f>
        <v>01076544</v>
      </c>
    </row>
    <row r="31080" spans="1:2" x14ac:dyDescent="0.25">
      <c r="A31080" s="2">
        <v>31075</v>
      </c>
      <c r="B31080" s="11" t="str">
        <f>"01076549"</f>
        <v>01076549</v>
      </c>
    </row>
    <row r="31081" spans="1:2" x14ac:dyDescent="0.25">
      <c r="A31081" s="2">
        <v>31076</v>
      </c>
      <c r="B31081" s="11" t="str">
        <f>"01076552"</f>
        <v>01076552</v>
      </c>
    </row>
    <row r="31082" spans="1:2" x14ac:dyDescent="0.25">
      <c r="A31082" s="2">
        <v>31077</v>
      </c>
      <c r="B31082" s="11" t="str">
        <f>"01076557"</f>
        <v>01076557</v>
      </c>
    </row>
    <row r="31083" spans="1:2" x14ac:dyDescent="0.25">
      <c r="A31083" s="2">
        <v>31078</v>
      </c>
      <c r="B31083" s="11" t="str">
        <f>"01076558"</f>
        <v>01076558</v>
      </c>
    </row>
    <row r="31084" spans="1:2" x14ac:dyDescent="0.25">
      <c r="A31084" s="2">
        <v>31079</v>
      </c>
      <c r="B31084" s="11" t="str">
        <f>"01076561"</f>
        <v>01076561</v>
      </c>
    </row>
    <row r="31085" spans="1:2" x14ac:dyDescent="0.25">
      <c r="A31085" s="2">
        <v>31080</v>
      </c>
      <c r="B31085" s="11" t="str">
        <f>"01076564"</f>
        <v>01076564</v>
      </c>
    </row>
    <row r="31086" spans="1:2" x14ac:dyDescent="0.25">
      <c r="A31086" s="2">
        <v>31081</v>
      </c>
      <c r="B31086" s="11" t="str">
        <f>"01076566"</f>
        <v>01076566</v>
      </c>
    </row>
    <row r="31087" spans="1:2" x14ac:dyDescent="0.25">
      <c r="A31087" s="2">
        <v>31082</v>
      </c>
      <c r="B31087" s="11" t="str">
        <f>"01076569"</f>
        <v>01076569</v>
      </c>
    </row>
    <row r="31088" spans="1:2" x14ac:dyDescent="0.25">
      <c r="A31088" s="2">
        <v>31083</v>
      </c>
      <c r="B31088" s="11" t="str">
        <f>"01076572"</f>
        <v>01076572</v>
      </c>
    </row>
    <row r="31089" spans="1:2" x14ac:dyDescent="0.25">
      <c r="A31089" s="2">
        <v>31084</v>
      </c>
      <c r="B31089" s="11" t="str">
        <f>"01076575"</f>
        <v>01076575</v>
      </c>
    </row>
    <row r="31090" spans="1:2" x14ac:dyDescent="0.25">
      <c r="A31090" s="2">
        <v>31085</v>
      </c>
      <c r="B31090" s="11" t="str">
        <f>"01076585"</f>
        <v>01076585</v>
      </c>
    </row>
    <row r="31091" spans="1:2" x14ac:dyDescent="0.25">
      <c r="A31091" s="2">
        <v>31086</v>
      </c>
      <c r="B31091" s="11" t="str">
        <f>"01076587"</f>
        <v>01076587</v>
      </c>
    </row>
    <row r="31092" spans="1:2" x14ac:dyDescent="0.25">
      <c r="A31092" s="2">
        <v>31087</v>
      </c>
      <c r="B31092" s="11" t="str">
        <f>"01076589"</f>
        <v>01076589</v>
      </c>
    </row>
    <row r="31093" spans="1:2" x14ac:dyDescent="0.25">
      <c r="A31093" s="2">
        <v>31088</v>
      </c>
      <c r="B31093" s="11" t="str">
        <f>"01076592"</f>
        <v>01076592</v>
      </c>
    </row>
    <row r="31094" spans="1:2" x14ac:dyDescent="0.25">
      <c r="A31094" s="2">
        <v>31089</v>
      </c>
      <c r="B31094" s="11" t="str">
        <f>"01076596"</f>
        <v>01076596</v>
      </c>
    </row>
    <row r="31095" spans="1:2" x14ac:dyDescent="0.25">
      <c r="A31095" s="2">
        <v>31090</v>
      </c>
      <c r="B31095" s="11" t="str">
        <f>"01076600"</f>
        <v>01076600</v>
      </c>
    </row>
    <row r="31096" spans="1:2" x14ac:dyDescent="0.25">
      <c r="A31096" s="2">
        <v>31091</v>
      </c>
      <c r="B31096" s="11" t="str">
        <f>"01076605"</f>
        <v>01076605</v>
      </c>
    </row>
    <row r="31097" spans="1:2" x14ac:dyDescent="0.25">
      <c r="A31097" s="2">
        <v>31092</v>
      </c>
      <c r="B31097" s="11" t="str">
        <f>"01076611"</f>
        <v>01076611</v>
      </c>
    </row>
    <row r="31098" spans="1:2" x14ac:dyDescent="0.25">
      <c r="A31098" s="2">
        <v>31093</v>
      </c>
      <c r="B31098" s="11" t="str">
        <f>"01076612"</f>
        <v>01076612</v>
      </c>
    </row>
    <row r="31099" spans="1:2" x14ac:dyDescent="0.25">
      <c r="A31099" s="2">
        <v>31094</v>
      </c>
      <c r="B31099" s="11" t="str">
        <f>"01076615"</f>
        <v>01076615</v>
      </c>
    </row>
    <row r="31100" spans="1:2" x14ac:dyDescent="0.25">
      <c r="A31100" s="2">
        <v>31095</v>
      </c>
      <c r="B31100" s="11" t="str">
        <f>"01076618"</f>
        <v>01076618</v>
      </c>
    </row>
    <row r="31101" spans="1:2" x14ac:dyDescent="0.25">
      <c r="A31101" s="2">
        <v>31096</v>
      </c>
      <c r="B31101" s="11" t="str">
        <f>"01076622"</f>
        <v>01076622</v>
      </c>
    </row>
    <row r="31102" spans="1:2" x14ac:dyDescent="0.25">
      <c r="A31102" s="2">
        <v>31097</v>
      </c>
      <c r="B31102" s="11" t="str">
        <f>"01076625"</f>
        <v>01076625</v>
      </c>
    </row>
    <row r="31103" spans="1:2" x14ac:dyDescent="0.25">
      <c r="A31103" s="2">
        <v>31098</v>
      </c>
      <c r="B31103" s="11" t="str">
        <f>"01076627"</f>
        <v>01076627</v>
      </c>
    </row>
    <row r="31104" spans="1:2" x14ac:dyDescent="0.25">
      <c r="A31104" s="2">
        <v>31099</v>
      </c>
      <c r="B31104" s="11" t="str">
        <f>"01076628"</f>
        <v>01076628</v>
      </c>
    </row>
    <row r="31105" spans="1:2" x14ac:dyDescent="0.25">
      <c r="A31105" s="2">
        <v>31100</v>
      </c>
      <c r="B31105" s="11" t="str">
        <f>"01076633"</f>
        <v>01076633</v>
      </c>
    </row>
    <row r="31106" spans="1:2" x14ac:dyDescent="0.25">
      <c r="A31106" s="2">
        <v>31101</v>
      </c>
      <c r="B31106" s="11" t="str">
        <f>"01076636"</f>
        <v>01076636</v>
      </c>
    </row>
    <row r="31107" spans="1:2" x14ac:dyDescent="0.25">
      <c r="A31107" s="2">
        <v>31102</v>
      </c>
      <c r="B31107" s="11" t="str">
        <f>"01076649"</f>
        <v>01076649</v>
      </c>
    </row>
    <row r="31108" spans="1:2" x14ac:dyDescent="0.25">
      <c r="A31108" s="2">
        <v>31103</v>
      </c>
      <c r="B31108" s="11" t="str">
        <f>"01076651"</f>
        <v>01076651</v>
      </c>
    </row>
    <row r="31109" spans="1:2" x14ac:dyDescent="0.25">
      <c r="A31109" s="2">
        <v>31104</v>
      </c>
      <c r="B31109" s="11" t="str">
        <f>"01076653"</f>
        <v>01076653</v>
      </c>
    </row>
    <row r="31110" spans="1:2" x14ac:dyDescent="0.25">
      <c r="A31110" s="2">
        <v>31105</v>
      </c>
      <c r="B31110" s="11" t="str">
        <f>"01076655"</f>
        <v>01076655</v>
      </c>
    </row>
    <row r="31111" spans="1:2" x14ac:dyDescent="0.25">
      <c r="A31111" s="2">
        <v>31106</v>
      </c>
      <c r="B31111" s="11" t="str">
        <f>"01076662"</f>
        <v>01076662</v>
      </c>
    </row>
    <row r="31112" spans="1:2" x14ac:dyDescent="0.25">
      <c r="A31112" s="2">
        <v>31107</v>
      </c>
      <c r="B31112" s="11" t="str">
        <f>"01076663"</f>
        <v>01076663</v>
      </c>
    </row>
    <row r="31113" spans="1:2" x14ac:dyDescent="0.25">
      <c r="A31113" s="2">
        <v>31108</v>
      </c>
      <c r="B31113" s="11" t="str">
        <f>"01076664"</f>
        <v>01076664</v>
      </c>
    </row>
    <row r="31114" spans="1:2" x14ac:dyDescent="0.25">
      <c r="A31114" s="2">
        <v>31109</v>
      </c>
      <c r="B31114" s="11" t="str">
        <f>"01076673"</f>
        <v>01076673</v>
      </c>
    </row>
    <row r="31115" spans="1:2" x14ac:dyDescent="0.25">
      <c r="A31115" s="2">
        <v>31110</v>
      </c>
      <c r="B31115" s="11" t="str">
        <f>"01076674"</f>
        <v>01076674</v>
      </c>
    </row>
    <row r="31116" spans="1:2" x14ac:dyDescent="0.25">
      <c r="A31116" s="2">
        <v>31111</v>
      </c>
      <c r="B31116" s="11" t="str">
        <f>"01076675"</f>
        <v>01076675</v>
      </c>
    </row>
    <row r="31117" spans="1:2" x14ac:dyDescent="0.25">
      <c r="A31117" s="2">
        <v>31112</v>
      </c>
      <c r="B31117" s="11" t="str">
        <f>"01076683"</f>
        <v>01076683</v>
      </c>
    </row>
    <row r="31118" spans="1:2" x14ac:dyDescent="0.25">
      <c r="A31118" s="2">
        <v>31113</v>
      </c>
      <c r="B31118" s="11" t="str">
        <f>"01076684"</f>
        <v>01076684</v>
      </c>
    </row>
    <row r="31119" spans="1:2" x14ac:dyDescent="0.25">
      <c r="A31119" s="2">
        <v>31114</v>
      </c>
      <c r="B31119" s="11" t="str">
        <f>"01076686"</f>
        <v>01076686</v>
      </c>
    </row>
    <row r="31120" spans="1:2" x14ac:dyDescent="0.25">
      <c r="A31120" s="2">
        <v>31115</v>
      </c>
      <c r="B31120" s="11" t="str">
        <f>"01076695"</f>
        <v>01076695</v>
      </c>
    </row>
    <row r="31121" spans="1:2" x14ac:dyDescent="0.25">
      <c r="A31121" s="2">
        <v>31116</v>
      </c>
      <c r="B31121" s="11" t="str">
        <f>"01076696"</f>
        <v>01076696</v>
      </c>
    </row>
    <row r="31122" spans="1:2" x14ac:dyDescent="0.25">
      <c r="A31122" s="2">
        <v>31117</v>
      </c>
      <c r="B31122" s="11" t="str">
        <f>"01076697"</f>
        <v>01076697</v>
      </c>
    </row>
    <row r="31123" spans="1:2" x14ac:dyDescent="0.25">
      <c r="A31123" s="2">
        <v>31118</v>
      </c>
      <c r="B31123" s="11" t="str">
        <f>"01076698"</f>
        <v>01076698</v>
      </c>
    </row>
    <row r="31124" spans="1:2" x14ac:dyDescent="0.25">
      <c r="A31124" s="2">
        <v>31119</v>
      </c>
      <c r="B31124" s="11" t="str">
        <f>"01076699"</f>
        <v>01076699</v>
      </c>
    </row>
    <row r="31125" spans="1:2" x14ac:dyDescent="0.25">
      <c r="A31125" s="2">
        <v>31120</v>
      </c>
      <c r="B31125" s="11" t="str">
        <f>"01076701"</f>
        <v>01076701</v>
      </c>
    </row>
    <row r="31126" spans="1:2" x14ac:dyDescent="0.25">
      <c r="A31126" s="2">
        <v>31121</v>
      </c>
      <c r="B31126" s="11" t="str">
        <f>"01076702"</f>
        <v>01076702</v>
      </c>
    </row>
    <row r="31127" spans="1:2" x14ac:dyDescent="0.25">
      <c r="A31127" s="2">
        <v>31122</v>
      </c>
      <c r="B31127" s="11" t="str">
        <f>"01076703"</f>
        <v>01076703</v>
      </c>
    </row>
    <row r="31128" spans="1:2" x14ac:dyDescent="0.25">
      <c r="A31128" s="2">
        <v>31123</v>
      </c>
      <c r="B31128" s="11" t="str">
        <f>"01076709"</f>
        <v>01076709</v>
      </c>
    </row>
    <row r="31129" spans="1:2" x14ac:dyDescent="0.25">
      <c r="A31129" s="2">
        <v>31124</v>
      </c>
      <c r="B31129" s="11" t="str">
        <f>"01076710"</f>
        <v>01076710</v>
      </c>
    </row>
    <row r="31130" spans="1:2" x14ac:dyDescent="0.25">
      <c r="A31130" s="2">
        <v>31125</v>
      </c>
      <c r="B31130" s="11" t="str">
        <f>"01076711"</f>
        <v>01076711</v>
      </c>
    </row>
    <row r="31131" spans="1:2" x14ac:dyDescent="0.25">
      <c r="A31131" s="2">
        <v>31126</v>
      </c>
      <c r="B31131" s="11" t="str">
        <f>"01076721"</f>
        <v>01076721</v>
      </c>
    </row>
    <row r="31132" spans="1:2" x14ac:dyDescent="0.25">
      <c r="A31132" s="2">
        <v>31127</v>
      </c>
      <c r="B31132" s="11" t="str">
        <f>"01076723"</f>
        <v>01076723</v>
      </c>
    </row>
    <row r="31133" spans="1:2" x14ac:dyDescent="0.25">
      <c r="A31133" s="2">
        <v>31128</v>
      </c>
      <c r="B31133" s="11" t="str">
        <f>"01076729"</f>
        <v>01076729</v>
      </c>
    </row>
    <row r="31134" spans="1:2" x14ac:dyDescent="0.25">
      <c r="A31134" s="2">
        <v>31129</v>
      </c>
      <c r="B31134" s="11" t="str">
        <f>"01076730"</f>
        <v>01076730</v>
      </c>
    </row>
    <row r="31135" spans="1:2" x14ac:dyDescent="0.25">
      <c r="A31135" s="2">
        <v>31130</v>
      </c>
      <c r="B31135" s="11" t="str">
        <f>"01076735"</f>
        <v>01076735</v>
      </c>
    </row>
    <row r="31136" spans="1:2" x14ac:dyDescent="0.25">
      <c r="A31136" s="2">
        <v>31131</v>
      </c>
      <c r="B31136" s="11" t="str">
        <f>"01076736"</f>
        <v>01076736</v>
      </c>
    </row>
    <row r="31137" spans="1:2" x14ac:dyDescent="0.25">
      <c r="A31137" s="2">
        <v>31132</v>
      </c>
      <c r="B31137" s="11" t="str">
        <f>"01076739"</f>
        <v>01076739</v>
      </c>
    </row>
    <row r="31138" spans="1:2" x14ac:dyDescent="0.25">
      <c r="A31138" s="2">
        <v>31133</v>
      </c>
      <c r="B31138" s="11" t="str">
        <f>"01076742"</f>
        <v>01076742</v>
      </c>
    </row>
    <row r="31139" spans="1:2" x14ac:dyDescent="0.25">
      <c r="A31139" s="2">
        <v>31134</v>
      </c>
      <c r="B31139" s="11" t="str">
        <f>"01076745"</f>
        <v>01076745</v>
      </c>
    </row>
    <row r="31140" spans="1:2" x14ac:dyDescent="0.25">
      <c r="A31140" s="2">
        <v>31135</v>
      </c>
      <c r="B31140" s="11" t="str">
        <f>"01076746"</f>
        <v>01076746</v>
      </c>
    </row>
    <row r="31141" spans="1:2" x14ac:dyDescent="0.25">
      <c r="A31141" s="2">
        <v>31136</v>
      </c>
      <c r="B31141" s="11" t="str">
        <f>"01076748"</f>
        <v>01076748</v>
      </c>
    </row>
    <row r="31142" spans="1:2" x14ac:dyDescent="0.25">
      <c r="A31142" s="2">
        <v>31137</v>
      </c>
      <c r="B31142" s="11" t="str">
        <f>"01076751"</f>
        <v>01076751</v>
      </c>
    </row>
    <row r="31143" spans="1:2" x14ac:dyDescent="0.25">
      <c r="A31143" s="2">
        <v>31138</v>
      </c>
      <c r="B31143" s="11" t="str">
        <f>"01076757"</f>
        <v>01076757</v>
      </c>
    </row>
    <row r="31144" spans="1:2" x14ac:dyDescent="0.25">
      <c r="A31144" s="2">
        <v>31139</v>
      </c>
      <c r="B31144" s="11" t="str">
        <f>"01076758"</f>
        <v>01076758</v>
      </c>
    </row>
    <row r="31145" spans="1:2" x14ac:dyDescent="0.25">
      <c r="A31145" s="2">
        <v>31140</v>
      </c>
      <c r="B31145" s="11" t="str">
        <f>"01076763"</f>
        <v>01076763</v>
      </c>
    </row>
    <row r="31146" spans="1:2" x14ac:dyDescent="0.25">
      <c r="A31146" s="2">
        <v>31141</v>
      </c>
      <c r="B31146" s="11" t="str">
        <f>"01076766"</f>
        <v>01076766</v>
      </c>
    </row>
    <row r="31147" spans="1:2" x14ac:dyDescent="0.25">
      <c r="A31147" s="2">
        <v>31142</v>
      </c>
      <c r="B31147" s="11" t="str">
        <f>"01076768"</f>
        <v>01076768</v>
      </c>
    </row>
    <row r="31148" spans="1:2" x14ac:dyDescent="0.25">
      <c r="A31148" s="2">
        <v>31143</v>
      </c>
      <c r="B31148" s="11" t="str">
        <f>"01076769"</f>
        <v>01076769</v>
      </c>
    </row>
    <row r="31149" spans="1:2" x14ac:dyDescent="0.25">
      <c r="A31149" s="2">
        <v>31144</v>
      </c>
      <c r="B31149" s="11" t="str">
        <f>"01076770"</f>
        <v>01076770</v>
      </c>
    </row>
    <row r="31150" spans="1:2" x14ac:dyDescent="0.25">
      <c r="A31150" s="2">
        <v>31145</v>
      </c>
      <c r="B31150" s="11" t="str">
        <f>"01076778"</f>
        <v>01076778</v>
      </c>
    </row>
    <row r="31151" spans="1:2" x14ac:dyDescent="0.25">
      <c r="A31151" s="2">
        <v>31146</v>
      </c>
      <c r="B31151" s="11" t="str">
        <f>"01076779"</f>
        <v>01076779</v>
      </c>
    </row>
    <row r="31152" spans="1:2" x14ac:dyDescent="0.25">
      <c r="A31152" s="2">
        <v>31147</v>
      </c>
      <c r="B31152" s="11" t="str">
        <f>"01076780"</f>
        <v>01076780</v>
      </c>
    </row>
    <row r="31153" spans="1:2" x14ac:dyDescent="0.25">
      <c r="A31153" s="2">
        <v>31148</v>
      </c>
      <c r="B31153" s="11" t="str">
        <f>"01076784"</f>
        <v>01076784</v>
      </c>
    </row>
    <row r="31154" spans="1:2" x14ac:dyDescent="0.25">
      <c r="A31154" s="2">
        <v>31149</v>
      </c>
      <c r="B31154" s="11" t="str">
        <f>"01076789"</f>
        <v>01076789</v>
      </c>
    </row>
    <row r="31155" spans="1:2" x14ac:dyDescent="0.25">
      <c r="A31155" s="2">
        <v>31150</v>
      </c>
      <c r="B31155" s="11" t="str">
        <f>"01076792"</f>
        <v>01076792</v>
      </c>
    </row>
    <row r="31156" spans="1:2" x14ac:dyDescent="0.25">
      <c r="A31156" s="2">
        <v>31151</v>
      </c>
      <c r="B31156" s="11" t="str">
        <f>"01076795"</f>
        <v>01076795</v>
      </c>
    </row>
    <row r="31157" spans="1:2" x14ac:dyDescent="0.25">
      <c r="A31157" s="2">
        <v>31152</v>
      </c>
      <c r="B31157" s="11" t="str">
        <f>"01076797"</f>
        <v>01076797</v>
      </c>
    </row>
    <row r="31158" spans="1:2" x14ac:dyDescent="0.25">
      <c r="A31158" s="2">
        <v>31153</v>
      </c>
      <c r="B31158" s="11" t="str">
        <f>"01076800"</f>
        <v>01076800</v>
      </c>
    </row>
    <row r="31159" spans="1:2" x14ac:dyDescent="0.25">
      <c r="A31159" s="2">
        <v>31154</v>
      </c>
      <c r="B31159" s="11" t="str">
        <f>"01076803"</f>
        <v>01076803</v>
      </c>
    </row>
    <row r="31160" spans="1:2" x14ac:dyDescent="0.25">
      <c r="A31160" s="2">
        <v>31155</v>
      </c>
      <c r="B31160" s="11" t="str">
        <f>"01076809"</f>
        <v>01076809</v>
      </c>
    </row>
    <row r="31161" spans="1:2" x14ac:dyDescent="0.25">
      <c r="A31161" s="2">
        <v>31156</v>
      </c>
      <c r="B31161" s="11" t="str">
        <f>"01076811"</f>
        <v>01076811</v>
      </c>
    </row>
    <row r="31162" spans="1:2" x14ac:dyDescent="0.25">
      <c r="A31162" s="2">
        <v>31157</v>
      </c>
      <c r="B31162" s="11" t="str">
        <f>"01076814"</f>
        <v>01076814</v>
      </c>
    </row>
    <row r="31163" spans="1:2" x14ac:dyDescent="0.25">
      <c r="A31163" s="2">
        <v>31158</v>
      </c>
      <c r="B31163" s="11" t="str">
        <f>"01076819"</f>
        <v>01076819</v>
      </c>
    </row>
    <row r="31164" spans="1:2" x14ac:dyDescent="0.25">
      <c r="A31164" s="2">
        <v>31159</v>
      </c>
      <c r="B31164" s="11" t="str">
        <f>"01076824"</f>
        <v>01076824</v>
      </c>
    </row>
    <row r="31165" spans="1:2" x14ac:dyDescent="0.25">
      <c r="A31165" s="2">
        <v>31160</v>
      </c>
      <c r="B31165" s="11" t="str">
        <f>"01076826"</f>
        <v>01076826</v>
      </c>
    </row>
    <row r="31166" spans="1:2" x14ac:dyDescent="0.25">
      <c r="A31166" s="2">
        <v>31161</v>
      </c>
      <c r="B31166" s="11" t="str">
        <f>"01076832"</f>
        <v>01076832</v>
      </c>
    </row>
    <row r="31167" spans="1:2" x14ac:dyDescent="0.25">
      <c r="A31167" s="2">
        <v>31162</v>
      </c>
      <c r="B31167" s="11" t="str">
        <f>"01076833"</f>
        <v>01076833</v>
      </c>
    </row>
    <row r="31168" spans="1:2" x14ac:dyDescent="0.25">
      <c r="A31168" s="2">
        <v>31163</v>
      </c>
      <c r="B31168" s="11" t="str">
        <f>"01076840"</f>
        <v>01076840</v>
      </c>
    </row>
    <row r="31169" spans="1:2" x14ac:dyDescent="0.25">
      <c r="A31169" s="2">
        <v>31164</v>
      </c>
      <c r="B31169" s="11" t="str">
        <f>"01076843"</f>
        <v>01076843</v>
      </c>
    </row>
    <row r="31170" spans="1:2" x14ac:dyDescent="0.25">
      <c r="A31170" s="2">
        <v>31165</v>
      </c>
      <c r="B31170" s="11" t="str">
        <f>"01076844"</f>
        <v>01076844</v>
      </c>
    </row>
    <row r="31171" spans="1:2" x14ac:dyDescent="0.25">
      <c r="A31171" s="2">
        <v>31166</v>
      </c>
      <c r="B31171" s="11" t="str">
        <f>"01076858"</f>
        <v>01076858</v>
      </c>
    </row>
    <row r="31172" spans="1:2" x14ac:dyDescent="0.25">
      <c r="A31172" s="2">
        <v>31167</v>
      </c>
      <c r="B31172" s="11" t="str">
        <f>"01076859"</f>
        <v>01076859</v>
      </c>
    </row>
    <row r="31173" spans="1:2" x14ac:dyDescent="0.25">
      <c r="A31173" s="2">
        <v>31168</v>
      </c>
      <c r="B31173" s="11" t="str">
        <f>"01076861"</f>
        <v>01076861</v>
      </c>
    </row>
    <row r="31174" spans="1:2" x14ac:dyDescent="0.25">
      <c r="A31174" s="2">
        <v>31169</v>
      </c>
      <c r="B31174" s="11" t="str">
        <f>"01076863"</f>
        <v>01076863</v>
      </c>
    </row>
    <row r="31175" spans="1:2" x14ac:dyDescent="0.25">
      <c r="A31175" s="2">
        <v>31170</v>
      </c>
      <c r="B31175" s="11" t="str">
        <f>"01076866"</f>
        <v>01076866</v>
      </c>
    </row>
    <row r="31176" spans="1:2" x14ac:dyDescent="0.25">
      <c r="A31176" s="2">
        <v>31171</v>
      </c>
      <c r="B31176" s="11" t="str">
        <f>"01076873"</f>
        <v>01076873</v>
      </c>
    </row>
    <row r="31177" spans="1:2" x14ac:dyDescent="0.25">
      <c r="A31177" s="2">
        <v>31172</v>
      </c>
      <c r="B31177" s="11" t="str">
        <f>"01076874"</f>
        <v>01076874</v>
      </c>
    </row>
    <row r="31178" spans="1:2" x14ac:dyDescent="0.25">
      <c r="A31178" s="2">
        <v>31173</v>
      </c>
      <c r="B31178" s="11" t="str">
        <f>"01076889"</f>
        <v>01076889</v>
      </c>
    </row>
    <row r="31179" spans="1:2" x14ac:dyDescent="0.25">
      <c r="A31179" s="2">
        <v>31174</v>
      </c>
      <c r="B31179" s="11" t="str">
        <f>"01076890"</f>
        <v>01076890</v>
      </c>
    </row>
    <row r="31180" spans="1:2" x14ac:dyDescent="0.25">
      <c r="A31180" s="2">
        <v>31175</v>
      </c>
      <c r="B31180" s="11" t="str">
        <f>"01076895"</f>
        <v>01076895</v>
      </c>
    </row>
    <row r="31181" spans="1:2" x14ac:dyDescent="0.25">
      <c r="A31181" s="2">
        <v>31176</v>
      </c>
      <c r="B31181" s="11" t="str">
        <f>"01076900"</f>
        <v>01076900</v>
      </c>
    </row>
    <row r="31182" spans="1:2" x14ac:dyDescent="0.25">
      <c r="A31182" s="2">
        <v>31177</v>
      </c>
      <c r="B31182" s="11" t="str">
        <f>"01076901"</f>
        <v>01076901</v>
      </c>
    </row>
    <row r="31183" spans="1:2" x14ac:dyDescent="0.25">
      <c r="A31183" s="2">
        <v>31178</v>
      </c>
      <c r="B31183" s="11" t="str">
        <f>"01076903"</f>
        <v>01076903</v>
      </c>
    </row>
    <row r="31184" spans="1:2" x14ac:dyDescent="0.25">
      <c r="A31184" s="2">
        <v>31179</v>
      </c>
      <c r="B31184" s="11" t="str">
        <f>"01076909"</f>
        <v>01076909</v>
      </c>
    </row>
    <row r="31185" spans="1:2" x14ac:dyDescent="0.25">
      <c r="A31185" s="2">
        <v>31180</v>
      </c>
      <c r="B31185" s="11" t="str">
        <f>"01076910"</f>
        <v>01076910</v>
      </c>
    </row>
    <row r="31186" spans="1:2" x14ac:dyDescent="0.25">
      <c r="A31186" s="2">
        <v>31181</v>
      </c>
      <c r="B31186" s="11" t="str">
        <f>"01076913"</f>
        <v>01076913</v>
      </c>
    </row>
    <row r="31187" spans="1:2" x14ac:dyDescent="0.25">
      <c r="A31187" s="2">
        <v>31182</v>
      </c>
      <c r="B31187" s="11" t="str">
        <f>"01076915"</f>
        <v>01076915</v>
      </c>
    </row>
    <row r="31188" spans="1:2" x14ac:dyDescent="0.25">
      <c r="A31188" s="2">
        <v>31183</v>
      </c>
      <c r="B31188" s="11" t="str">
        <f>"01076916"</f>
        <v>01076916</v>
      </c>
    </row>
    <row r="31189" spans="1:2" x14ac:dyDescent="0.25">
      <c r="A31189" s="2">
        <v>31184</v>
      </c>
      <c r="B31189" s="11" t="str">
        <f>"01076920"</f>
        <v>01076920</v>
      </c>
    </row>
    <row r="31190" spans="1:2" x14ac:dyDescent="0.25">
      <c r="A31190" s="2">
        <v>31185</v>
      </c>
      <c r="B31190" s="11" t="str">
        <f>"01076922"</f>
        <v>01076922</v>
      </c>
    </row>
    <row r="31191" spans="1:2" x14ac:dyDescent="0.25">
      <c r="A31191" s="2">
        <v>31186</v>
      </c>
      <c r="B31191" s="11" t="str">
        <f>"01076923"</f>
        <v>01076923</v>
      </c>
    </row>
    <row r="31192" spans="1:2" x14ac:dyDescent="0.25">
      <c r="A31192" s="2">
        <v>31187</v>
      </c>
      <c r="B31192" s="11" t="str">
        <f>"01076933"</f>
        <v>01076933</v>
      </c>
    </row>
    <row r="31193" spans="1:2" x14ac:dyDescent="0.25">
      <c r="A31193" s="2">
        <v>31188</v>
      </c>
      <c r="B31193" s="11" t="str">
        <f>"01076934"</f>
        <v>01076934</v>
      </c>
    </row>
    <row r="31194" spans="1:2" x14ac:dyDescent="0.25">
      <c r="A31194" s="2">
        <v>31189</v>
      </c>
      <c r="B31194" s="11" t="str">
        <f>"01076935"</f>
        <v>01076935</v>
      </c>
    </row>
    <row r="31195" spans="1:2" x14ac:dyDescent="0.25">
      <c r="A31195" s="2">
        <v>31190</v>
      </c>
      <c r="B31195" s="11" t="str">
        <f>"01076942"</f>
        <v>01076942</v>
      </c>
    </row>
    <row r="31196" spans="1:2" x14ac:dyDescent="0.25">
      <c r="A31196" s="2">
        <v>31191</v>
      </c>
      <c r="B31196" s="11" t="str">
        <f>"01076945"</f>
        <v>01076945</v>
      </c>
    </row>
    <row r="31197" spans="1:2" x14ac:dyDescent="0.25">
      <c r="A31197" s="2">
        <v>31192</v>
      </c>
      <c r="B31197" s="11" t="str">
        <f>"01076960"</f>
        <v>01076960</v>
      </c>
    </row>
    <row r="31198" spans="1:2" x14ac:dyDescent="0.25">
      <c r="A31198" s="2">
        <v>31193</v>
      </c>
      <c r="B31198" s="11" t="str">
        <f>"01076961"</f>
        <v>01076961</v>
      </c>
    </row>
    <row r="31199" spans="1:2" x14ac:dyDescent="0.25">
      <c r="A31199" s="2">
        <v>31194</v>
      </c>
      <c r="B31199" s="11" t="str">
        <f>"01076962"</f>
        <v>01076962</v>
      </c>
    </row>
    <row r="31200" spans="1:2" x14ac:dyDescent="0.25">
      <c r="A31200" s="2">
        <v>31195</v>
      </c>
      <c r="B31200" s="11" t="str">
        <f>"01076963"</f>
        <v>01076963</v>
      </c>
    </row>
    <row r="31201" spans="1:2" x14ac:dyDescent="0.25">
      <c r="A31201" s="2">
        <v>31196</v>
      </c>
      <c r="B31201" s="11" t="str">
        <f>"01076968"</f>
        <v>01076968</v>
      </c>
    </row>
    <row r="31202" spans="1:2" x14ac:dyDescent="0.25">
      <c r="A31202" s="2">
        <v>31197</v>
      </c>
      <c r="B31202" s="11" t="str">
        <f>"01076970"</f>
        <v>01076970</v>
      </c>
    </row>
    <row r="31203" spans="1:2" x14ac:dyDescent="0.25">
      <c r="A31203" s="2">
        <v>31198</v>
      </c>
      <c r="B31203" s="11" t="str">
        <f>"01076972"</f>
        <v>01076972</v>
      </c>
    </row>
    <row r="31204" spans="1:2" x14ac:dyDescent="0.25">
      <c r="A31204" s="2">
        <v>31199</v>
      </c>
      <c r="B31204" s="11" t="str">
        <f>"01076973"</f>
        <v>01076973</v>
      </c>
    </row>
    <row r="31205" spans="1:2" x14ac:dyDescent="0.25">
      <c r="A31205" s="2">
        <v>31200</v>
      </c>
      <c r="B31205" s="11" t="str">
        <f>"01076975"</f>
        <v>01076975</v>
      </c>
    </row>
    <row r="31206" spans="1:2" x14ac:dyDescent="0.25">
      <c r="A31206" s="2">
        <v>31201</v>
      </c>
      <c r="B31206" s="11" t="str">
        <f>"01076978"</f>
        <v>01076978</v>
      </c>
    </row>
    <row r="31207" spans="1:2" x14ac:dyDescent="0.25">
      <c r="A31207" s="2">
        <v>31202</v>
      </c>
      <c r="B31207" s="11" t="str">
        <f>"01076979"</f>
        <v>01076979</v>
      </c>
    </row>
    <row r="31208" spans="1:2" x14ac:dyDescent="0.25">
      <c r="A31208" s="2">
        <v>31203</v>
      </c>
      <c r="B31208" s="11" t="str">
        <f>"01076981"</f>
        <v>01076981</v>
      </c>
    </row>
    <row r="31209" spans="1:2" x14ac:dyDescent="0.25">
      <c r="A31209" s="2">
        <v>31204</v>
      </c>
      <c r="B31209" s="11" t="str">
        <f>"01076986"</f>
        <v>01076986</v>
      </c>
    </row>
    <row r="31210" spans="1:2" x14ac:dyDescent="0.25">
      <c r="A31210" s="2">
        <v>31205</v>
      </c>
      <c r="B31210" s="11" t="str">
        <f>"01076989"</f>
        <v>01076989</v>
      </c>
    </row>
    <row r="31211" spans="1:2" x14ac:dyDescent="0.25">
      <c r="A31211" s="2">
        <v>31206</v>
      </c>
      <c r="B31211" s="11" t="str">
        <f>"01076995"</f>
        <v>01076995</v>
      </c>
    </row>
    <row r="31212" spans="1:2" x14ac:dyDescent="0.25">
      <c r="A31212" s="2">
        <v>31207</v>
      </c>
      <c r="B31212" s="11" t="str">
        <f>"01076996"</f>
        <v>01076996</v>
      </c>
    </row>
    <row r="31213" spans="1:2" x14ac:dyDescent="0.25">
      <c r="A31213" s="2">
        <v>31208</v>
      </c>
      <c r="B31213" s="11" t="str">
        <f>"01076997"</f>
        <v>01076997</v>
      </c>
    </row>
    <row r="31214" spans="1:2" x14ac:dyDescent="0.25">
      <c r="A31214" s="2">
        <v>31209</v>
      </c>
      <c r="B31214" s="11" t="str">
        <f>"01076998"</f>
        <v>01076998</v>
      </c>
    </row>
    <row r="31215" spans="1:2" x14ac:dyDescent="0.25">
      <c r="A31215" s="2">
        <v>31210</v>
      </c>
      <c r="B31215" s="11" t="str">
        <f>"01077007"</f>
        <v>01077007</v>
      </c>
    </row>
    <row r="31216" spans="1:2" x14ac:dyDescent="0.25">
      <c r="A31216" s="2">
        <v>31211</v>
      </c>
      <c r="B31216" s="11" t="str">
        <f>"01077008"</f>
        <v>01077008</v>
      </c>
    </row>
    <row r="31217" spans="1:2" x14ac:dyDescent="0.25">
      <c r="A31217" s="2">
        <v>31212</v>
      </c>
      <c r="B31217" s="11" t="str">
        <f>"01077013"</f>
        <v>01077013</v>
      </c>
    </row>
    <row r="31218" spans="1:2" x14ac:dyDescent="0.25">
      <c r="A31218" s="2">
        <v>31213</v>
      </c>
      <c r="B31218" s="11" t="str">
        <f>"01077015"</f>
        <v>01077015</v>
      </c>
    </row>
    <row r="31219" spans="1:2" x14ac:dyDescent="0.25">
      <c r="A31219" s="2">
        <v>31214</v>
      </c>
      <c r="B31219" s="11" t="str">
        <f>"01077017"</f>
        <v>01077017</v>
      </c>
    </row>
    <row r="31220" spans="1:2" x14ac:dyDescent="0.25">
      <c r="A31220" s="2">
        <v>31215</v>
      </c>
      <c r="B31220" s="11" t="str">
        <f>"01077021"</f>
        <v>01077021</v>
      </c>
    </row>
    <row r="31221" spans="1:2" x14ac:dyDescent="0.25">
      <c r="A31221" s="2">
        <v>31216</v>
      </c>
      <c r="B31221" s="11" t="str">
        <f>"01077024"</f>
        <v>01077024</v>
      </c>
    </row>
    <row r="31222" spans="1:2" x14ac:dyDescent="0.25">
      <c r="A31222" s="2">
        <v>31217</v>
      </c>
      <c r="B31222" s="11" t="str">
        <f>"01077025"</f>
        <v>01077025</v>
      </c>
    </row>
    <row r="31223" spans="1:2" x14ac:dyDescent="0.25">
      <c r="A31223" s="2">
        <v>31218</v>
      </c>
      <c r="B31223" s="11" t="str">
        <f>"01077028"</f>
        <v>01077028</v>
      </c>
    </row>
    <row r="31224" spans="1:2" x14ac:dyDescent="0.25">
      <c r="A31224" s="2">
        <v>31219</v>
      </c>
      <c r="B31224" s="11" t="str">
        <f>"01077032"</f>
        <v>01077032</v>
      </c>
    </row>
    <row r="31225" spans="1:2" x14ac:dyDescent="0.25">
      <c r="A31225" s="2">
        <v>31220</v>
      </c>
      <c r="B31225" s="11" t="str">
        <f>"01077036"</f>
        <v>01077036</v>
      </c>
    </row>
    <row r="31226" spans="1:2" x14ac:dyDescent="0.25">
      <c r="A31226" s="2">
        <v>31221</v>
      </c>
      <c r="B31226" s="11" t="str">
        <f>"01077038"</f>
        <v>01077038</v>
      </c>
    </row>
    <row r="31227" spans="1:2" x14ac:dyDescent="0.25">
      <c r="A31227" s="2">
        <v>31222</v>
      </c>
      <c r="B31227" s="11" t="str">
        <f>"01077041"</f>
        <v>01077041</v>
      </c>
    </row>
    <row r="31228" spans="1:2" x14ac:dyDescent="0.25">
      <c r="A31228" s="2">
        <v>31223</v>
      </c>
      <c r="B31228" s="11" t="str">
        <f>"01077044"</f>
        <v>01077044</v>
      </c>
    </row>
    <row r="31229" spans="1:2" x14ac:dyDescent="0.25">
      <c r="A31229" s="2">
        <v>31224</v>
      </c>
      <c r="B31229" s="11" t="str">
        <f>"01077047"</f>
        <v>01077047</v>
      </c>
    </row>
    <row r="31230" spans="1:2" x14ac:dyDescent="0.25">
      <c r="A31230" s="2">
        <v>31225</v>
      </c>
      <c r="B31230" s="11" t="str">
        <f>"01077048"</f>
        <v>01077048</v>
      </c>
    </row>
    <row r="31231" spans="1:2" x14ac:dyDescent="0.25">
      <c r="A31231" s="2">
        <v>31226</v>
      </c>
      <c r="B31231" s="11" t="str">
        <f>"01077053"</f>
        <v>01077053</v>
      </c>
    </row>
    <row r="31232" spans="1:2" x14ac:dyDescent="0.25">
      <c r="A31232" s="2">
        <v>31227</v>
      </c>
      <c r="B31232" s="11" t="str">
        <f>"01077057"</f>
        <v>01077057</v>
      </c>
    </row>
    <row r="31233" spans="1:2" x14ac:dyDescent="0.25">
      <c r="A31233" s="2">
        <v>31228</v>
      </c>
      <c r="B31233" s="11" t="str">
        <f>"01077067"</f>
        <v>01077067</v>
      </c>
    </row>
    <row r="31234" spans="1:2" x14ac:dyDescent="0.25">
      <c r="A31234" s="2">
        <v>31229</v>
      </c>
      <c r="B31234" s="11" t="str">
        <f>"01077068"</f>
        <v>01077068</v>
      </c>
    </row>
    <row r="31235" spans="1:2" x14ac:dyDescent="0.25">
      <c r="A31235" s="2">
        <v>31230</v>
      </c>
      <c r="B31235" s="11" t="str">
        <f>"01077070"</f>
        <v>01077070</v>
      </c>
    </row>
    <row r="31236" spans="1:2" x14ac:dyDescent="0.25">
      <c r="A31236" s="2">
        <v>31231</v>
      </c>
      <c r="B31236" s="11" t="str">
        <f>"01077071"</f>
        <v>01077071</v>
      </c>
    </row>
    <row r="31237" spans="1:2" x14ac:dyDescent="0.25">
      <c r="A31237" s="2">
        <v>31232</v>
      </c>
      <c r="B31237" s="11" t="str">
        <f>"01077081"</f>
        <v>01077081</v>
      </c>
    </row>
    <row r="31238" spans="1:2" x14ac:dyDescent="0.25">
      <c r="A31238" s="2">
        <v>31233</v>
      </c>
      <c r="B31238" s="11" t="str">
        <f>"01077087"</f>
        <v>01077087</v>
      </c>
    </row>
    <row r="31239" spans="1:2" x14ac:dyDescent="0.25">
      <c r="A31239" s="2">
        <v>31234</v>
      </c>
      <c r="B31239" s="11" t="str">
        <f>"01077090"</f>
        <v>01077090</v>
      </c>
    </row>
    <row r="31240" spans="1:2" x14ac:dyDescent="0.25">
      <c r="A31240" s="2">
        <v>31235</v>
      </c>
      <c r="B31240" s="11" t="str">
        <f>"01077091"</f>
        <v>01077091</v>
      </c>
    </row>
    <row r="31241" spans="1:2" x14ac:dyDescent="0.25">
      <c r="A31241" s="2">
        <v>31236</v>
      </c>
      <c r="B31241" s="11" t="str">
        <f>"01077094"</f>
        <v>01077094</v>
      </c>
    </row>
    <row r="31242" spans="1:2" x14ac:dyDescent="0.25">
      <c r="A31242" s="2">
        <v>31237</v>
      </c>
      <c r="B31242" s="11" t="str">
        <f>"01077095"</f>
        <v>01077095</v>
      </c>
    </row>
    <row r="31243" spans="1:2" x14ac:dyDescent="0.25">
      <c r="A31243" s="2">
        <v>31238</v>
      </c>
      <c r="B31243" s="11" t="str">
        <f>"01077098"</f>
        <v>01077098</v>
      </c>
    </row>
    <row r="31244" spans="1:2" x14ac:dyDescent="0.25">
      <c r="A31244" s="2">
        <v>31239</v>
      </c>
      <c r="B31244" s="11" t="str">
        <f>"01077100"</f>
        <v>01077100</v>
      </c>
    </row>
    <row r="31245" spans="1:2" x14ac:dyDescent="0.25">
      <c r="A31245" s="2">
        <v>31240</v>
      </c>
      <c r="B31245" s="11" t="str">
        <f>"01077102"</f>
        <v>01077102</v>
      </c>
    </row>
    <row r="31246" spans="1:2" x14ac:dyDescent="0.25">
      <c r="A31246" s="2">
        <v>31241</v>
      </c>
      <c r="B31246" s="11" t="str">
        <f>"01077106"</f>
        <v>01077106</v>
      </c>
    </row>
    <row r="31247" spans="1:2" x14ac:dyDescent="0.25">
      <c r="A31247" s="2">
        <v>31242</v>
      </c>
      <c r="B31247" s="11" t="str">
        <f>"01077116"</f>
        <v>01077116</v>
      </c>
    </row>
    <row r="31248" spans="1:2" x14ac:dyDescent="0.25">
      <c r="A31248" s="2">
        <v>31243</v>
      </c>
      <c r="B31248" s="11" t="str">
        <f>"01077117"</f>
        <v>01077117</v>
      </c>
    </row>
    <row r="31249" spans="1:2" x14ac:dyDescent="0.25">
      <c r="A31249" s="2">
        <v>31244</v>
      </c>
      <c r="B31249" s="11" t="str">
        <f>"01077119"</f>
        <v>01077119</v>
      </c>
    </row>
    <row r="31250" spans="1:2" x14ac:dyDescent="0.25">
      <c r="A31250" s="2">
        <v>31245</v>
      </c>
      <c r="B31250" s="11" t="str">
        <f>"01077121"</f>
        <v>01077121</v>
      </c>
    </row>
    <row r="31251" spans="1:2" x14ac:dyDescent="0.25">
      <c r="A31251" s="2">
        <v>31246</v>
      </c>
      <c r="B31251" s="11" t="str">
        <f>"01077123"</f>
        <v>01077123</v>
      </c>
    </row>
    <row r="31252" spans="1:2" x14ac:dyDescent="0.25">
      <c r="A31252" s="2">
        <v>31247</v>
      </c>
      <c r="B31252" s="11" t="str">
        <f>"01077124"</f>
        <v>01077124</v>
      </c>
    </row>
    <row r="31253" spans="1:2" x14ac:dyDescent="0.25">
      <c r="A31253" s="2">
        <v>31248</v>
      </c>
      <c r="B31253" s="11" t="str">
        <f>"01077126"</f>
        <v>01077126</v>
      </c>
    </row>
    <row r="31254" spans="1:2" x14ac:dyDescent="0.25">
      <c r="A31254" s="2">
        <v>31249</v>
      </c>
      <c r="B31254" s="11" t="str">
        <f>"01077129"</f>
        <v>01077129</v>
      </c>
    </row>
    <row r="31255" spans="1:2" x14ac:dyDescent="0.25">
      <c r="A31255" s="2">
        <v>31250</v>
      </c>
      <c r="B31255" s="11" t="str">
        <f>"01077130"</f>
        <v>01077130</v>
      </c>
    </row>
    <row r="31256" spans="1:2" x14ac:dyDescent="0.25">
      <c r="A31256" s="2">
        <v>31251</v>
      </c>
      <c r="B31256" s="11" t="str">
        <f>"01077134"</f>
        <v>01077134</v>
      </c>
    </row>
    <row r="31257" spans="1:2" x14ac:dyDescent="0.25">
      <c r="A31257" s="2">
        <v>31252</v>
      </c>
      <c r="B31257" s="11" t="str">
        <f>"01077136"</f>
        <v>01077136</v>
      </c>
    </row>
    <row r="31258" spans="1:2" x14ac:dyDescent="0.25">
      <c r="A31258" s="2">
        <v>31253</v>
      </c>
      <c r="B31258" s="11" t="str">
        <f>"01077141"</f>
        <v>01077141</v>
      </c>
    </row>
    <row r="31259" spans="1:2" x14ac:dyDescent="0.25">
      <c r="A31259" s="2">
        <v>31254</v>
      </c>
      <c r="B31259" s="11" t="str">
        <f>"01077145"</f>
        <v>01077145</v>
      </c>
    </row>
    <row r="31260" spans="1:2" x14ac:dyDescent="0.25">
      <c r="A31260" s="2">
        <v>31255</v>
      </c>
      <c r="B31260" s="11" t="str">
        <f>"01077148"</f>
        <v>01077148</v>
      </c>
    </row>
    <row r="31261" spans="1:2" x14ac:dyDescent="0.25">
      <c r="A31261" s="2">
        <v>31256</v>
      </c>
      <c r="B31261" s="11" t="str">
        <f>"01077149"</f>
        <v>01077149</v>
      </c>
    </row>
    <row r="31262" spans="1:2" x14ac:dyDescent="0.25">
      <c r="A31262" s="2">
        <v>31257</v>
      </c>
      <c r="B31262" s="11" t="str">
        <f>"01077150"</f>
        <v>01077150</v>
      </c>
    </row>
    <row r="31263" spans="1:2" x14ac:dyDescent="0.25">
      <c r="A31263" s="2">
        <v>31258</v>
      </c>
      <c r="B31263" s="11" t="str">
        <f>"01077152"</f>
        <v>01077152</v>
      </c>
    </row>
    <row r="31264" spans="1:2" x14ac:dyDescent="0.25">
      <c r="A31264" s="2">
        <v>31259</v>
      </c>
      <c r="B31264" s="11" t="str">
        <f>"01077153"</f>
        <v>01077153</v>
      </c>
    </row>
    <row r="31265" spans="1:2" x14ac:dyDescent="0.25">
      <c r="A31265" s="2">
        <v>31260</v>
      </c>
      <c r="B31265" s="11" t="str">
        <f>"01077154"</f>
        <v>01077154</v>
      </c>
    </row>
    <row r="31266" spans="1:2" x14ac:dyDescent="0.25">
      <c r="A31266" s="2">
        <v>31261</v>
      </c>
      <c r="B31266" s="11" t="str">
        <f>"01077157"</f>
        <v>01077157</v>
      </c>
    </row>
    <row r="31267" spans="1:2" x14ac:dyDescent="0.25">
      <c r="A31267" s="2">
        <v>31262</v>
      </c>
      <c r="B31267" s="11" t="str">
        <f>"01077164"</f>
        <v>01077164</v>
      </c>
    </row>
    <row r="31268" spans="1:2" x14ac:dyDescent="0.25">
      <c r="A31268" s="2">
        <v>31263</v>
      </c>
      <c r="B31268" s="11" t="str">
        <f>"01077166"</f>
        <v>01077166</v>
      </c>
    </row>
    <row r="31269" spans="1:2" x14ac:dyDescent="0.25">
      <c r="A31269" s="2">
        <v>31264</v>
      </c>
      <c r="B31269" s="11" t="str">
        <f>"01077168"</f>
        <v>01077168</v>
      </c>
    </row>
    <row r="31270" spans="1:2" x14ac:dyDescent="0.25">
      <c r="A31270" s="2">
        <v>31265</v>
      </c>
      <c r="B31270" s="11" t="str">
        <f>"01077173"</f>
        <v>01077173</v>
      </c>
    </row>
    <row r="31271" spans="1:2" x14ac:dyDescent="0.25">
      <c r="A31271" s="2">
        <v>31266</v>
      </c>
      <c r="B31271" s="11" t="str">
        <f>"01077178"</f>
        <v>01077178</v>
      </c>
    </row>
    <row r="31272" spans="1:2" x14ac:dyDescent="0.25">
      <c r="A31272" s="2">
        <v>31267</v>
      </c>
      <c r="B31272" s="11" t="str">
        <f>"01077179"</f>
        <v>01077179</v>
      </c>
    </row>
    <row r="31273" spans="1:2" x14ac:dyDescent="0.25">
      <c r="A31273" s="2">
        <v>31268</v>
      </c>
      <c r="B31273" s="11" t="str">
        <f>"01077180"</f>
        <v>01077180</v>
      </c>
    </row>
    <row r="31274" spans="1:2" x14ac:dyDescent="0.25">
      <c r="A31274" s="2">
        <v>31269</v>
      </c>
      <c r="B31274" s="11" t="str">
        <f>"01077181"</f>
        <v>01077181</v>
      </c>
    </row>
    <row r="31275" spans="1:2" x14ac:dyDescent="0.25">
      <c r="A31275" s="2">
        <v>31270</v>
      </c>
      <c r="B31275" s="11" t="str">
        <f>"01077184"</f>
        <v>01077184</v>
      </c>
    </row>
    <row r="31276" spans="1:2" x14ac:dyDescent="0.25">
      <c r="A31276" s="2">
        <v>31271</v>
      </c>
      <c r="B31276" s="11" t="str">
        <f>"01077187"</f>
        <v>01077187</v>
      </c>
    </row>
    <row r="31277" spans="1:2" x14ac:dyDescent="0.25">
      <c r="A31277" s="2">
        <v>31272</v>
      </c>
      <c r="B31277" s="11" t="str">
        <f>"01077190"</f>
        <v>01077190</v>
      </c>
    </row>
    <row r="31278" spans="1:2" x14ac:dyDescent="0.25">
      <c r="A31278" s="2">
        <v>31273</v>
      </c>
      <c r="B31278" s="11" t="str">
        <f>"01077191"</f>
        <v>01077191</v>
      </c>
    </row>
    <row r="31279" spans="1:2" x14ac:dyDescent="0.25">
      <c r="A31279" s="2">
        <v>31274</v>
      </c>
      <c r="B31279" s="11" t="str">
        <f>"01077197"</f>
        <v>01077197</v>
      </c>
    </row>
    <row r="31280" spans="1:2" x14ac:dyDescent="0.25">
      <c r="A31280" s="2">
        <v>31275</v>
      </c>
      <c r="B31280" s="11" t="str">
        <f>"01077200"</f>
        <v>01077200</v>
      </c>
    </row>
    <row r="31281" spans="1:2" x14ac:dyDescent="0.25">
      <c r="A31281" s="2">
        <v>31276</v>
      </c>
      <c r="B31281" s="11" t="str">
        <f>"01077202"</f>
        <v>01077202</v>
      </c>
    </row>
    <row r="31282" spans="1:2" x14ac:dyDescent="0.25">
      <c r="A31282" s="2">
        <v>31277</v>
      </c>
      <c r="B31282" s="11" t="str">
        <f>"01077205"</f>
        <v>01077205</v>
      </c>
    </row>
    <row r="31283" spans="1:2" x14ac:dyDescent="0.25">
      <c r="A31283" s="2">
        <v>31278</v>
      </c>
      <c r="B31283" s="11" t="str">
        <f>"01077209"</f>
        <v>01077209</v>
      </c>
    </row>
    <row r="31284" spans="1:2" x14ac:dyDescent="0.25">
      <c r="A31284" s="2">
        <v>31279</v>
      </c>
      <c r="B31284" s="11" t="str">
        <f>"01077213"</f>
        <v>01077213</v>
      </c>
    </row>
    <row r="31285" spans="1:2" x14ac:dyDescent="0.25">
      <c r="A31285" s="2">
        <v>31280</v>
      </c>
      <c r="B31285" s="11" t="str">
        <f>"01077215"</f>
        <v>01077215</v>
      </c>
    </row>
    <row r="31286" spans="1:2" x14ac:dyDescent="0.25">
      <c r="A31286" s="2">
        <v>31281</v>
      </c>
      <c r="B31286" s="11" t="str">
        <f>"01077216"</f>
        <v>01077216</v>
      </c>
    </row>
    <row r="31287" spans="1:2" x14ac:dyDescent="0.25">
      <c r="A31287" s="2">
        <v>31282</v>
      </c>
      <c r="B31287" s="11" t="str">
        <f>"01077218"</f>
        <v>01077218</v>
      </c>
    </row>
    <row r="31288" spans="1:2" x14ac:dyDescent="0.25">
      <c r="A31288" s="2">
        <v>31283</v>
      </c>
      <c r="B31288" s="11" t="str">
        <f>"01077220"</f>
        <v>01077220</v>
      </c>
    </row>
    <row r="31289" spans="1:2" x14ac:dyDescent="0.25">
      <c r="A31289" s="2">
        <v>31284</v>
      </c>
      <c r="B31289" s="11" t="str">
        <f>"01077221"</f>
        <v>01077221</v>
      </c>
    </row>
    <row r="31290" spans="1:2" x14ac:dyDescent="0.25">
      <c r="A31290" s="2">
        <v>31285</v>
      </c>
      <c r="B31290" s="11" t="str">
        <f>"01077222"</f>
        <v>01077222</v>
      </c>
    </row>
    <row r="31291" spans="1:2" x14ac:dyDescent="0.25">
      <c r="A31291" s="2">
        <v>31286</v>
      </c>
      <c r="B31291" s="11" t="str">
        <f>"01077228"</f>
        <v>01077228</v>
      </c>
    </row>
    <row r="31292" spans="1:2" x14ac:dyDescent="0.25">
      <c r="A31292" s="2">
        <v>31287</v>
      </c>
      <c r="B31292" s="11" t="str">
        <f>"01077231"</f>
        <v>01077231</v>
      </c>
    </row>
    <row r="31293" spans="1:2" x14ac:dyDescent="0.25">
      <c r="A31293" s="2">
        <v>31288</v>
      </c>
      <c r="B31293" s="11" t="str">
        <f>"01077232"</f>
        <v>01077232</v>
      </c>
    </row>
    <row r="31294" spans="1:2" x14ac:dyDescent="0.25">
      <c r="A31294" s="2">
        <v>31289</v>
      </c>
      <c r="B31294" s="11" t="str">
        <f>"01077233"</f>
        <v>01077233</v>
      </c>
    </row>
    <row r="31295" spans="1:2" x14ac:dyDescent="0.25">
      <c r="A31295" s="2">
        <v>31290</v>
      </c>
      <c r="B31295" s="11" t="str">
        <f>"01077236"</f>
        <v>01077236</v>
      </c>
    </row>
    <row r="31296" spans="1:2" x14ac:dyDescent="0.25">
      <c r="A31296" s="2">
        <v>31291</v>
      </c>
      <c r="B31296" s="11" t="str">
        <f>"01077241"</f>
        <v>01077241</v>
      </c>
    </row>
    <row r="31297" spans="1:2" x14ac:dyDescent="0.25">
      <c r="A31297" s="2">
        <v>31292</v>
      </c>
      <c r="B31297" s="11" t="str">
        <f>"01077242"</f>
        <v>01077242</v>
      </c>
    </row>
    <row r="31298" spans="1:2" x14ac:dyDescent="0.25">
      <c r="A31298" s="2">
        <v>31293</v>
      </c>
      <c r="B31298" s="11" t="str">
        <f>"01077248"</f>
        <v>01077248</v>
      </c>
    </row>
    <row r="31299" spans="1:2" x14ac:dyDescent="0.25">
      <c r="A31299" s="2">
        <v>31294</v>
      </c>
      <c r="B31299" s="11" t="str">
        <f>"01077252"</f>
        <v>01077252</v>
      </c>
    </row>
    <row r="31300" spans="1:2" x14ac:dyDescent="0.25">
      <c r="A31300" s="2">
        <v>31295</v>
      </c>
      <c r="B31300" s="11" t="str">
        <f>"01077253"</f>
        <v>01077253</v>
      </c>
    </row>
    <row r="31301" spans="1:2" x14ac:dyDescent="0.25">
      <c r="A31301" s="2">
        <v>31296</v>
      </c>
      <c r="B31301" s="11" t="str">
        <f>"01077257"</f>
        <v>01077257</v>
      </c>
    </row>
    <row r="31302" spans="1:2" x14ac:dyDescent="0.25">
      <c r="A31302" s="2">
        <v>31297</v>
      </c>
      <c r="B31302" s="11" t="str">
        <f>"01077266"</f>
        <v>01077266</v>
      </c>
    </row>
    <row r="31303" spans="1:2" x14ac:dyDescent="0.25">
      <c r="A31303" s="2">
        <v>31298</v>
      </c>
      <c r="B31303" s="11" t="str">
        <f>"01077270"</f>
        <v>01077270</v>
      </c>
    </row>
    <row r="31304" spans="1:2" x14ac:dyDescent="0.25">
      <c r="A31304" s="2">
        <v>31299</v>
      </c>
      <c r="B31304" s="11" t="str">
        <f>"01077271"</f>
        <v>01077271</v>
      </c>
    </row>
    <row r="31305" spans="1:2" x14ac:dyDescent="0.25">
      <c r="A31305" s="2">
        <v>31300</v>
      </c>
      <c r="B31305" s="11" t="str">
        <f>"01077273"</f>
        <v>01077273</v>
      </c>
    </row>
    <row r="31306" spans="1:2" x14ac:dyDescent="0.25">
      <c r="A31306" s="2">
        <v>31301</v>
      </c>
      <c r="B31306" s="11" t="str">
        <f>"01077278"</f>
        <v>01077278</v>
      </c>
    </row>
    <row r="31307" spans="1:2" x14ac:dyDescent="0.25">
      <c r="A31307" s="2">
        <v>31302</v>
      </c>
      <c r="B31307" s="11" t="str">
        <f>"01077280"</f>
        <v>01077280</v>
      </c>
    </row>
    <row r="31308" spans="1:2" x14ac:dyDescent="0.25">
      <c r="A31308" s="2">
        <v>31303</v>
      </c>
      <c r="B31308" s="11" t="str">
        <f>"01077285"</f>
        <v>01077285</v>
      </c>
    </row>
    <row r="31309" spans="1:2" x14ac:dyDescent="0.25">
      <c r="A31309" s="2">
        <v>31304</v>
      </c>
      <c r="B31309" s="11" t="str">
        <f>"01077287"</f>
        <v>01077287</v>
      </c>
    </row>
    <row r="31310" spans="1:2" x14ac:dyDescent="0.25">
      <c r="A31310" s="2">
        <v>31305</v>
      </c>
      <c r="B31310" s="11" t="str">
        <f>"01077303"</f>
        <v>01077303</v>
      </c>
    </row>
    <row r="31311" spans="1:2" x14ac:dyDescent="0.25">
      <c r="A31311" s="2">
        <v>31306</v>
      </c>
      <c r="B31311" s="11" t="str">
        <f>"01077304"</f>
        <v>01077304</v>
      </c>
    </row>
    <row r="31312" spans="1:2" x14ac:dyDescent="0.25">
      <c r="A31312" s="2">
        <v>31307</v>
      </c>
      <c r="B31312" s="11" t="str">
        <f>"01077307"</f>
        <v>01077307</v>
      </c>
    </row>
    <row r="31313" spans="1:2" x14ac:dyDescent="0.25">
      <c r="A31313" s="2">
        <v>31308</v>
      </c>
      <c r="B31313" s="11" t="str">
        <f>"01077310"</f>
        <v>01077310</v>
      </c>
    </row>
    <row r="31314" spans="1:2" x14ac:dyDescent="0.25">
      <c r="A31314" s="2">
        <v>31309</v>
      </c>
      <c r="B31314" s="11" t="str">
        <f>"01077315"</f>
        <v>01077315</v>
      </c>
    </row>
    <row r="31315" spans="1:2" x14ac:dyDescent="0.25">
      <c r="A31315" s="2">
        <v>31310</v>
      </c>
      <c r="B31315" s="11" t="str">
        <f>"01077317"</f>
        <v>01077317</v>
      </c>
    </row>
    <row r="31316" spans="1:2" x14ac:dyDescent="0.25">
      <c r="A31316" s="2">
        <v>31311</v>
      </c>
      <c r="B31316" s="11" t="str">
        <f>"01077318"</f>
        <v>01077318</v>
      </c>
    </row>
    <row r="31317" spans="1:2" x14ac:dyDescent="0.25">
      <c r="A31317" s="2">
        <v>31312</v>
      </c>
      <c r="B31317" s="11" t="str">
        <f>"01077319"</f>
        <v>01077319</v>
      </c>
    </row>
    <row r="31318" spans="1:2" x14ac:dyDescent="0.25">
      <c r="A31318" s="2">
        <v>31313</v>
      </c>
      <c r="B31318" s="11" t="str">
        <f>"01077320"</f>
        <v>01077320</v>
      </c>
    </row>
    <row r="31319" spans="1:2" x14ac:dyDescent="0.25">
      <c r="A31319" s="2">
        <v>31314</v>
      </c>
      <c r="B31319" s="11" t="str">
        <f>"01077321"</f>
        <v>01077321</v>
      </c>
    </row>
    <row r="31320" spans="1:2" x14ac:dyDescent="0.25">
      <c r="A31320" s="2">
        <v>31315</v>
      </c>
      <c r="B31320" s="11" t="str">
        <f>"01077324"</f>
        <v>01077324</v>
      </c>
    </row>
    <row r="31321" spans="1:2" x14ac:dyDescent="0.25">
      <c r="A31321" s="2">
        <v>31316</v>
      </c>
      <c r="B31321" s="11" t="str">
        <f>"01077325"</f>
        <v>01077325</v>
      </c>
    </row>
    <row r="31322" spans="1:2" x14ac:dyDescent="0.25">
      <c r="A31322" s="2">
        <v>31317</v>
      </c>
      <c r="B31322" s="11" t="str">
        <f>"01077330"</f>
        <v>01077330</v>
      </c>
    </row>
    <row r="31323" spans="1:2" x14ac:dyDescent="0.25">
      <c r="A31323" s="2">
        <v>31318</v>
      </c>
      <c r="B31323" s="11" t="str">
        <f>"01077335"</f>
        <v>01077335</v>
      </c>
    </row>
    <row r="31324" spans="1:2" x14ac:dyDescent="0.25">
      <c r="A31324" s="2">
        <v>31319</v>
      </c>
      <c r="B31324" s="11" t="str">
        <f>"01077347"</f>
        <v>01077347</v>
      </c>
    </row>
    <row r="31325" spans="1:2" x14ac:dyDescent="0.25">
      <c r="A31325" s="2">
        <v>31320</v>
      </c>
      <c r="B31325" s="11" t="str">
        <f>"01077348"</f>
        <v>01077348</v>
      </c>
    </row>
    <row r="31326" spans="1:2" x14ac:dyDescent="0.25">
      <c r="A31326" s="2">
        <v>31321</v>
      </c>
      <c r="B31326" s="11" t="str">
        <f>"01077350"</f>
        <v>01077350</v>
      </c>
    </row>
    <row r="31327" spans="1:2" x14ac:dyDescent="0.25">
      <c r="A31327" s="2">
        <v>31322</v>
      </c>
      <c r="B31327" s="11" t="str">
        <f>"01077352"</f>
        <v>01077352</v>
      </c>
    </row>
    <row r="31328" spans="1:2" x14ac:dyDescent="0.25">
      <c r="A31328" s="2">
        <v>31323</v>
      </c>
      <c r="B31328" s="11" t="str">
        <f>"01077353"</f>
        <v>01077353</v>
      </c>
    </row>
    <row r="31329" spans="1:2" x14ac:dyDescent="0.25">
      <c r="A31329" s="2">
        <v>31324</v>
      </c>
      <c r="B31329" s="11" t="str">
        <f>"01077354"</f>
        <v>01077354</v>
      </c>
    </row>
    <row r="31330" spans="1:2" x14ac:dyDescent="0.25">
      <c r="A31330" s="2">
        <v>31325</v>
      </c>
      <c r="B31330" s="11" t="str">
        <f>"01077355"</f>
        <v>01077355</v>
      </c>
    </row>
    <row r="31331" spans="1:2" x14ac:dyDescent="0.25">
      <c r="A31331" s="2">
        <v>31326</v>
      </c>
      <c r="B31331" s="11" t="str">
        <f>"01077360"</f>
        <v>01077360</v>
      </c>
    </row>
    <row r="31332" spans="1:2" x14ac:dyDescent="0.25">
      <c r="A31332" s="2">
        <v>31327</v>
      </c>
      <c r="B31332" s="11" t="str">
        <f>"01077366"</f>
        <v>01077366</v>
      </c>
    </row>
    <row r="31333" spans="1:2" x14ac:dyDescent="0.25">
      <c r="A31333" s="2">
        <v>31328</v>
      </c>
      <c r="B31333" s="11" t="str">
        <f>"01077367"</f>
        <v>01077367</v>
      </c>
    </row>
    <row r="31334" spans="1:2" x14ac:dyDescent="0.25">
      <c r="A31334" s="2">
        <v>31329</v>
      </c>
      <c r="B31334" s="11" t="str">
        <f>"01077373"</f>
        <v>01077373</v>
      </c>
    </row>
    <row r="31335" spans="1:2" x14ac:dyDescent="0.25">
      <c r="A31335" s="2">
        <v>31330</v>
      </c>
      <c r="B31335" s="11" t="str">
        <f>"01077376"</f>
        <v>01077376</v>
      </c>
    </row>
    <row r="31336" spans="1:2" x14ac:dyDescent="0.25">
      <c r="A31336" s="2">
        <v>31331</v>
      </c>
      <c r="B31336" s="11" t="str">
        <f>"01077377"</f>
        <v>01077377</v>
      </c>
    </row>
    <row r="31337" spans="1:2" x14ac:dyDescent="0.25">
      <c r="A31337" s="2">
        <v>31332</v>
      </c>
      <c r="B31337" s="11" t="str">
        <f>"01077379"</f>
        <v>01077379</v>
      </c>
    </row>
    <row r="31338" spans="1:2" x14ac:dyDescent="0.25">
      <c r="A31338" s="2">
        <v>31333</v>
      </c>
      <c r="B31338" s="11" t="str">
        <f>"01077384"</f>
        <v>01077384</v>
      </c>
    </row>
    <row r="31339" spans="1:2" x14ac:dyDescent="0.25">
      <c r="A31339" s="2">
        <v>31334</v>
      </c>
      <c r="B31339" s="11" t="str">
        <f>"01077389"</f>
        <v>01077389</v>
      </c>
    </row>
    <row r="31340" spans="1:2" x14ac:dyDescent="0.25">
      <c r="A31340" s="2">
        <v>31335</v>
      </c>
      <c r="B31340" s="11" t="str">
        <f>"01077390"</f>
        <v>01077390</v>
      </c>
    </row>
    <row r="31341" spans="1:2" x14ac:dyDescent="0.25">
      <c r="A31341" s="2">
        <v>31336</v>
      </c>
      <c r="B31341" s="11" t="str">
        <f>"01077391"</f>
        <v>01077391</v>
      </c>
    </row>
    <row r="31342" spans="1:2" x14ac:dyDescent="0.25">
      <c r="A31342" s="2">
        <v>31337</v>
      </c>
      <c r="B31342" s="11" t="str">
        <f>"01077392"</f>
        <v>01077392</v>
      </c>
    </row>
    <row r="31343" spans="1:2" x14ac:dyDescent="0.25">
      <c r="A31343" s="2">
        <v>31338</v>
      </c>
      <c r="B31343" s="11" t="str">
        <f>"01077399"</f>
        <v>01077399</v>
      </c>
    </row>
    <row r="31344" spans="1:2" x14ac:dyDescent="0.25">
      <c r="A31344" s="2">
        <v>31339</v>
      </c>
      <c r="B31344" s="11" t="str">
        <f>"01077407"</f>
        <v>01077407</v>
      </c>
    </row>
    <row r="31345" spans="1:2" x14ac:dyDescent="0.25">
      <c r="A31345" s="2">
        <v>31340</v>
      </c>
      <c r="B31345" s="11" t="str">
        <f>"01077420"</f>
        <v>01077420</v>
      </c>
    </row>
    <row r="31346" spans="1:2" x14ac:dyDescent="0.25">
      <c r="A31346" s="2">
        <v>31341</v>
      </c>
      <c r="B31346" s="11" t="str">
        <f>"01077421"</f>
        <v>01077421</v>
      </c>
    </row>
    <row r="31347" spans="1:2" x14ac:dyDescent="0.25">
      <c r="A31347" s="2">
        <v>31342</v>
      </c>
      <c r="B31347" s="11" t="str">
        <f>"01077422"</f>
        <v>01077422</v>
      </c>
    </row>
    <row r="31348" spans="1:2" x14ac:dyDescent="0.25">
      <c r="A31348" s="2">
        <v>31343</v>
      </c>
      <c r="B31348" s="11" t="str">
        <f>"01077424"</f>
        <v>01077424</v>
      </c>
    </row>
    <row r="31349" spans="1:2" x14ac:dyDescent="0.25">
      <c r="A31349" s="2">
        <v>31344</v>
      </c>
      <c r="B31349" s="11" t="str">
        <f>"01077428"</f>
        <v>01077428</v>
      </c>
    </row>
    <row r="31350" spans="1:2" x14ac:dyDescent="0.25">
      <c r="A31350" s="2">
        <v>31345</v>
      </c>
      <c r="B31350" s="11" t="str">
        <f>"01077434"</f>
        <v>01077434</v>
      </c>
    </row>
    <row r="31351" spans="1:2" x14ac:dyDescent="0.25">
      <c r="A31351" s="2">
        <v>31346</v>
      </c>
      <c r="B31351" s="11" t="str">
        <f>"01077437"</f>
        <v>01077437</v>
      </c>
    </row>
    <row r="31352" spans="1:2" x14ac:dyDescent="0.25">
      <c r="A31352" s="2">
        <v>31347</v>
      </c>
      <c r="B31352" s="11" t="str">
        <f>"01077438"</f>
        <v>01077438</v>
      </c>
    </row>
    <row r="31353" spans="1:2" x14ac:dyDescent="0.25">
      <c r="A31353" s="2">
        <v>31348</v>
      </c>
      <c r="B31353" s="11" t="str">
        <f>"01077440"</f>
        <v>01077440</v>
      </c>
    </row>
    <row r="31354" spans="1:2" x14ac:dyDescent="0.25">
      <c r="A31354" s="2">
        <v>31349</v>
      </c>
      <c r="B31354" s="11" t="str">
        <f>"01077443"</f>
        <v>01077443</v>
      </c>
    </row>
    <row r="31355" spans="1:2" x14ac:dyDescent="0.25">
      <c r="A31355" s="2">
        <v>31350</v>
      </c>
      <c r="B31355" s="11" t="str">
        <f>"01077444"</f>
        <v>01077444</v>
      </c>
    </row>
    <row r="31356" spans="1:2" x14ac:dyDescent="0.25">
      <c r="A31356" s="2">
        <v>31351</v>
      </c>
      <c r="B31356" s="11" t="str">
        <f>"01077447"</f>
        <v>01077447</v>
      </c>
    </row>
    <row r="31357" spans="1:2" x14ac:dyDescent="0.25">
      <c r="A31357" s="2">
        <v>31352</v>
      </c>
      <c r="B31357" s="11" t="str">
        <f>"01077449"</f>
        <v>01077449</v>
      </c>
    </row>
    <row r="31358" spans="1:2" x14ac:dyDescent="0.25">
      <c r="A31358" s="2">
        <v>31353</v>
      </c>
      <c r="B31358" s="11" t="str">
        <f>"01077451"</f>
        <v>01077451</v>
      </c>
    </row>
    <row r="31359" spans="1:2" x14ac:dyDescent="0.25">
      <c r="A31359" s="2">
        <v>31354</v>
      </c>
      <c r="B31359" s="11" t="str">
        <f>"01077453"</f>
        <v>01077453</v>
      </c>
    </row>
    <row r="31360" spans="1:2" x14ac:dyDescent="0.25">
      <c r="A31360" s="2">
        <v>31355</v>
      </c>
      <c r="B31360" s="11" t="str">
        <f>"01077456"</f>
        <v>01077456</v>
      </c>
    </row>
    <row r="31361" spans="1:2" x14ac:dyDescent="0.25">
      <c r="A31361" s="2">
        <v>31356</v>
      </c>
      <c r="B31361" s="11" t="str">
        <f>"01077463"</f>
        <v>01077463</v>
      </c>
    </row>
    <row r="31362" spans="1:2" x14ac:dyDescent="0.25">
      <c r="A31362" s="2">
        <v>31357</v>
      </c>
      <c r="B31362" s="11" t="str">
        <f>"01077464"</f>
        <v>01077464</v>
      </c>
    </row>
    <row r="31363" spans="1:2" x14ac:dyDescent="0.25">
      <c r="A31363" s="2">
        <v>31358</v>
      </c>
      <c r="B31363" s="11" t="str">
        <f>"01077465"</f>
        <v>01077465</v>
      </c>
    </row>
    <row r="31364" spans="1:2" x14ac:dyDescent="0.25">
      <c r="A31364" s="2">
        <v>31359</v>
      </c>
      <c r="B31364" s="11" t="str">
        <f>"01077467"</f>
        <v>01077467</v>
      </c>
    </row>
    <row r="31365" spans="1:2" x14ac:dyDescent="0.25">
      <c r="A31365" s="2">
        <v>31360</v>
      </c>
      <c r="B31365" s="11" t="str">
        <f>"01077470"</f>
        <v>01077470</v>
      </c>
    </row>
    <row r="31366" spans="1:2" x14ac:dyDescent="0.25">
      <c r="A31366" s="2">
        <v>31361</v>
      </c>
      <c r="B31366" s="11" t="str">
        <f>"01077472"</f>
        <v>01077472</v>
      </c>
    </row>
    <row r="31367" spans="1:2" x14ac:dyDescent="0.25">
      <c r="A31367" s="2">
        <v>31362</v>
      </c>
      <c r="B31367" s="11" t="str">
        <f>"01077474"</f>
        <v>01077474</v>
      </c>
    </row>
    <row r="31368" spans="1:2" x14ac:dyDescent="0.25">
      <c r="A31368" s="2">
        <v>31363</v>
      </c>
      <c r="B31368" s="11" t="str">
        <f>"01077476"</f>
        <v>01077476</v>
      </c>
    </row>
    <row r="31369" spans="1:2" x14ac:dyDescent="0.25">
      <c r="A31369" s="2">
        <v>31364</v>
      </c>
      <c r="B31369" s="11" t="str">
        <f>"01077487"</f>
        <v>01077487</v>
      </c>
    </row>
    <row r="31370" spans="1:2" x14ac:dyDescent="0.25">
      <c r="A31370" s="2">
        <v>31365</v>
      </c>
      <c r="B31370" s="11" t="str">
        <f>"01077488"</f>
        <v>01077488</v>
      </c>
    </row>
    <row r="31371" spans="1:2" x14ac:dyDescent="0.25">
      <c r="A31371" s="2">
        <v>31366</v>
      </c>
      <c r="B31371" s="11" t="str">
        <f>"01077491"</f>
        <v>01077491</v>
      </c>
    </row>
    <row r="31372" spans="1:2" x14ac:dyDescent="0.25">
      <c r="A31372" s="2">
        <v>31367</v>
      </c>
      <c r="B31372" s="11" t="str">
        <f>"01077493"</f>
        <v>01077493</v>
      </c>
    </row>
    <row r="31373" spans="1:2" x14ac:dyDescent="0.25">
      <c r="A31373" s="2">
        <v>31368</v>
      </c>
      <c r="B31373" s="11" t="str">
        <f>"01077499"</f>
        <v>01077499</v>
      </c>
    </row>
    <row r="31374" spans="1:2" x14ac:dyDescent="0.25">
      <c r="A31374" s="2">
        <v>31369</v>
      </c>
      <c r="B31374" s="11" t="str">
        <f>"01077508"</f>
        <v>01077508</v>
      </c>
    </row>
    <row r="31375" spans="1:2" x14ac:dyDescent="0.25">
      <c r="A31375" s="2">
        <v>31370</v>
      </c>
      <c r="B31375" s="11" t="str">
        <f>"01077510"</f>
        <v>01077510</v>
      </c>
    </row>
    <row r="31376" spans="1:2" x14ac:dyDescent="0.25">
      <c r="A31376" s="2">
        <v>31371</v>
      </c>
      <c r="B31376" s="11" t="str">
        <f>"01077518"</f>
        <v>01077518</v>
      </c>
    </row>
    <row r="31377" spans="1:2" x14ac:dyDescent="0.25">
      <c r="A31377" s="2">
        <v>31372</v>
      </c>
      <c r="B31377" s="11" t="str">
        <f>"01077520"</f>
        <v>01077520</v>
      </c>
    </row>
    <row r="31378" spans="1:2" x14ac:dyDescent="0.25">
      <c r="A31378" s="2">
        <v>31373</v>
      </c>
      <c r="B31378" s="11" t="str">
        <f>"01077522"</f>
        <v>01077522</v>
      </c>
    </row>
    <row r="31379" spans="1:2" x14ac:dyDescent="0.25">
      <c r="A31379" s="2">
        <v>31374</v>
      </c>
      <c r="B31379" s="11" t="str">
        <f>"01077523"</f>
        <v>01077523</v>
      </c>
    </row>
    <row r="31380" spans="1:2" x14ac:dyDescent="0.25">
      <c r="A31380" s="2">
        <v>31375</v>
      </c>
      <c r="B31380" s="11" t="str">
        <f>"01077525"</f>
        <v>01077525</v>
      </c>
    </row>
    <row r="31381" spans="1:2" x14ac:dyDescent="0.25">
      <c r="A31381" s="2">
        <v>31376</v>
      </c>
      <c r="B31381" s="11" t="str">
        <f>"01077527"</f>
        <v>01077527</v>
      </c>
    </row>
    <row r="31382" spans="1:2" x14ac:dyDescent="0.25">
      <c r="A31382" s="2">
        <v>31377</v>
      </c>
      <c r="B31382" s="11" t="str">
        <f>"01077534"</f>
        <v>01077534</v>
      </c>
    </row>
    <row r="31383" spans="1:2" x14ac:dyDescent="0.25">
      <c r="A31383" s="2">
        <v>31378</v>
      </c>
      <c r="B31383" s="11" t="str">
        <f>"01077536"</f>
        <v>01077536</v>
      </c>
    </row>
    <row r="31384" spans="1:2" x14ac:dyDescent="0.25">
      <c r="A31384" s="2">
        <v>31379</v>
      </c>
      <c r="B31384" s="11" t="str">
        <f>"01077543"</f>
        <v>01077543</v>
      </c>
    </row>
    <row r="31385" spans="1:2" x14ac:dyDescent="0.25">
      <c r="A31385" s="2">
        <v>31380</v>
      </c>
      <c r="B31385" s="11" t="str">
        <f>"01077551"</f>
        <v>01077551</v>
      </c>
    </row>
    <row r="31386" spans="1:2" x14ac:dyDescent="0.25">
      <c r="A31386" s="2">
        <v>31381</v>
      </c>
      <c r="B31386" s="11" t="str">
        <f>"01077555"</f>
        <v>01077555</v>
      </c>
    </row>
    <row r="31387" spans="1:2" x14ac:dyDescent="0.25">
      <c r="A31387" s="2">
        <v>31382</v>
      </c>
      <c r="B31387" s="11" t="str">
        <f>"01077556"</f>
        <v>01077556</v>
      </c>
    </row>
    <row r="31388" spans="1:2" x14ac:dyDescent="0.25">
      <c r="A31388" s="2">
        <v>31383</v>
      </c>
      <c r="B31388" s="11" t="str">
        <f>"01077557"</f>
        <v>01077557</v>
      </c>
    </row>
    <row r="31389" spans="1:2" x14ac:dyDescent="0.25">
      <c r="A31389" s="2">
        <v>31384</v>
      </c>
      <c r="B31389" s="11" t="str">
        <f>"01077561"</f>
        <v>01077561</v>
      </c>
    </row>
    <row r="31390" spans="1:2" x14ac:dyDescent="0.25">
      <c r="A31390" s="2">
        <v>31385</v>
      </c>
      <c r="B31390" s="11" t="str">
        <f>"01077563"</f>
        <v>01077563</v>
      </c>
    </row>
    <row r="31391" spans="1:2" x14ac:dyDescent="0.25">
      <c r="A31391" s="2">
        <v>31386</v>
      </c>
      <c r="B31391" s="11" t="str">
        <f>"01077567"</f>
        <v>01077567</v>
      </c>
    </row>
    <row r="31392" spans="1:2" x14ac:dyDescent="0.25">
      <c r="A31392" s="2">
        <v>31387</v>
      </c>
      <c r="B31392" s="11" t="str">
        <f>"01077572"</f>
        <v>01077572</v>
      </c>
    </row>
    <row r="31393" spans="1:2" x14ac:dyDescent="0.25">
      <c r="A31393" s="2">
        <v>31388</v>
      </c>
      <c r="B31393" s="11" t="str">
        <f>"01077574"</f>
        <v>01077574</v>
      </c>
    </row>
    <row r="31394" spans="1:2" x14ac:dyDescent="0.25">
      <c r="A31394" s="2">
        <v>31389</v>
      </c>
      <c r="B31394" s="11" t="str">
        <f>"01077579"</f>
        <v>01077579</v>
      </c>
    </row>
    <row r="31395" spans="1:2" x14ac:dyDescent="0.25">
      <c r="A31395" s="2">
        <v>31390</v>
      </c>
      <c r="B31395" s="11" t="str">
        <f>"01077586"</f>
        <v>01077586</v>
      </c>
    </row>
    <row r="31396" spans="1:2" x14ac:dyDescent="0.25">
      <c r="A31396" s="2">
        <v>31391</v>
      </c>
      <c r="B31396" s="11" t="str">
        <f>"01077587"</f>
        <v>01077587</v>
      </c>
    </row>
    <row r="31397" spans="1:2" x14ac:dyDescent="0.25">
      <c r="A31397" s="2">
        <v>31392</v>
      </c>
      <c r="B31397" s="11" t="str">
        <f>"01077588"</f>
        <v>01077588</v>
      </c>
    </row>
    <row r="31398" spans="1:2" x14ac:dyDescent="0.25">
      <c r="A31398" s="2">
        <v>31393</v>
      </c>
      <c r="B31398" s="11" t="str">
        <f>"01077594"</f>
        <v>01077594</v>
      </c>
    </row>
    <row r="31399" spans="1:2" x14ac:dyDescent="0.25">
      <c r="A31399" s="2">
        <v>31394</v>
      </c>
      <c r="B31399" s="11" t="str">
        <f>"01077595"</f>
        <v>01077595</v>
      </c>
    </row>
    <row r="31400" spans="1:2" x14ac:dyDescent="0.25">
      <c r="A31400" s="2">
        <v>31395</v>
      </c>
      <c r="B31400" s="11" t="str">
        <f>"01077601"</f>
        <v>01077601</v>
      </c>
    </row>
    <row r="31401" spans="1:2" x14ac:dyDescent="0.25">
      <c r="A31401" s="2">
        <v>31396</v>
      </c>
      <c r="B31401" s="11" t="str">
        <f>"01077604"</f>
        <v>01077604</v>
      </c>
    </row>
    <row r="31402" spans="1:2" x14ac:dyDescent="0.25">
      <c r="A31402" s="2">
        <v>31397</v>
      </c>
      <c r="B31402" s="11" t="str">
        <f>"01077607"</f>
        <v>01077607</v>
      </c>
    </row>
    <row r="31403" spans="1:2" x14ac:dyDescent="0.25">
      <c r="A31403" s="2">
        <v>31398</v>
      </c>
      <c r="B31403" s="11" t="str">
        <f>"01077608"</f>
        <v>01077608</v>
      </c>
    </row>
    <row r="31404" spans="1:2" x14ac:dyDescent="0.25">
      <c r="A31404" s="2">
        <v>31399</v>
      </c>
      <c r="B31404" s="11" t="str">
        <f>"01077609"</f>
        <v>01077609</v>
      </c>
    </row>
    <row r="31405" spans="1:2" x14ac:dyDescent="0.25">
      <c r="A31405" s="2">
        <v>31400</v>
      </c>
      <c r="B31405" s="11" t="str">
        <f>"01077613"</f>
        <v>01077613</v>
      </c>
    </row>
    <row r="31406" spans="1:2" x14ac:dyDescent="0.25">
      <c r="A31406" s="2">
        <v>31401</v>
      </c>
      <c r="B31406" s="11" t="str">
        <f>"01077619"</f>
        <v>01077619</v>
      </c>
    </row>
    <row r="31407" spans="1:2" x14ac:dyDescent="0.25">
      <c r="A31407" s="2">
        <v>31402</v>
      </c>
      <c r="B31407" s="11" t="str">
        <f>"01077621"</f>
        <v>01077621</v>
      </c>
    </row>
    <row r="31408" spans="1:2" x14ac:dyDescent="0.25">
      <c r="A31408" s="2">
        <v>31403</v>
      </c>
      <c r="B31408" s="11" t="str">
        <f>"01077623"</f>
        <v>01077623</v>
      </c>
    </row>
    <row r="31409" spans="1:2" x14ac:dyDescent="0.25">
      <c r="A31409" s="2">
        <v>31404</v>
      </c>
      <c r="B31409" s="11" t="str">
        <f>"01077632"</f>
        <v>01077632</v>
      </c>
    </row>
    <row r="31410" spans="1:2" x14ac:dyDescent="0.25">
      <c r="A31410" s="2">
        <v>31405</v>
      </c>
      <c r="B31410" s="11" t="str">
        <f>"01077636"</f>
        <v>01077636</v>
      </c>
    </row>
    <row r="31411" spans="1:2" x14ac:dyDescent="0.25">
      <c r="A31411" s="2">
        <v>31406</v>
      </c>
      <c r="B31411" s="11" t="str">
        <f>"01077637"</f>
        <v>01077637</v>
      </c>
    </row>
    <row r="31412" spans="1:2" x14ac:dyDescent="0.25">
      <c r="A31412" s="2">
        <v>31407</v>
      </c>
      <c r="B31412" s="11" t="str">
        <f>"01077638"</f>
        <v>01077638</v>
      </c>
    </row>
    <row r="31413" spans="1:2" x14ac:dyDescent="0.25">
      <c r="A31413" s="2">
        <v>31408</v>
      </c>
      <c r="B31413" s="11" t="str">
        <f>"01077642"</f>
        <v>01077642</v>
      </c>
    </row>
    <row r="31414" spans="1:2" x14ac:dyDescent="0.25">
      <c r="A31414" s="2">
        <v>31409</v>
      </c>
      <c r="B31414" s="11" t="str">
        <f>"01077644"</f>
        <v>01077644</v>
      </c>
    </row>
    <row r="31415" spans="1:2" x14ac:dyDescent="0.25">
      <c r="A31415" s="2">
        <v>31410</v>
      </c>
      <c r="B31415" s="11" t="str">
        <f>"01077647"</f>
        <v>01077647</v>
      </c>
    </row>
    <row r="31416" spans="1:2" x14ac:dyDescent="0.25">
      <c r="A31416" s="2">
        <v>31411</v>
      </c>
      <c r="B31416" s="11" t="str">
        <f>"01077649"</f>
        <v>01077649</v>
      </c>
    </row>
    <row r="31417" spans="1:2" x14ac:dyDescent="0.25">
      <c r="A31417" s="2">
        <v>31412</v>
      </c>
      <c r="B31417" s="11" t="str">
        <f>"01077650"</f>
        <v>01077650</v>
      </c>
    </row>
    <row r="31418" spans="1:2" x14ac:dyDescent="0.25">
      <c r="A31418" s="2">
        <v>31413</v>
      </c>
      <c r="B31418" s="11" t="str">
        <f>"01077654"</f>
        <v>01077654</v>
      </c>
    </row>
    <row r="31419" spans="1:2" x14ac:dyDescent="0.25">
      <c r="A31419" s="2">
        <v>31414</v>
      </c>
      <c r="B31419" s="11" t="str">
        <f>"01077655"</f>
        <v>01077655</v>
      </c>
    </row>
    <row r="31420" spans="1:2" x14ac:dyDescent="0.25">
      <c r="A31420" s="2">
        <v>31415</v>
      </c>
      <c r="B31420" s="11" t="str">
        <f>"01077658"</f>
        <v>01077658</v>
      </c>
    </row>
    <row r="31421" spans="1:2" x14ac:dyDescent="0.25">
      <c r="A31421" s="2">
        <v>31416</v>
      </c>
      <c r="B31421" s="11" t="str">
        <f>"01077661"</f>
        <v>01077661</v>
      </c>
    </row>
    <row r="31422" spans="1:2" x14ac:dyDescent="0.25">
      <c r="A31422" s="2">
        <v>31417</v>
      </c>
      <c r="B31422" s="11" t="str">
        <f>"01077663"</f>
        <v>01077663</v>
      </c>
    </row>
    <row r="31423" spans="1:2" x14ac:dyDescent="0.25">
      <c r="A31423" s="2">
        <v>31418</v>
      </c>
      <c r="B31423" s="11" t="str">
        <f>"01077671"</f>
        <v>01077671</v>
      </c>
    </row>
    <row r="31424" spans="1:2" x14ac:dyDescent="0.25">
      <c r="A31424" s="2">
        <v>31419</v>
      </c>
      <c r="B31424" s="11" t="str">
        <f>"01077677"</f>
        <v>01077677</v>
      </c>
    </row>
    <row r="31425" spans="1:2" x14ac:dyDescent="0.25">
      <c r="A31425" s="2">
        <v>31420</v>
      </c>
      <c r="B31425" s="11" t="str">
        <f>"01077680"</f>
        <v>01077680</v>
      </c>
    </row>
    <row r="31426" spans="1:2" x14ac:dyDescent="0.25">
      <c r="A31426" s="2">
        <v>31421</v>
      </c>
      <c r="B31426" s="11" t="str">
        <f>"01077682"</f>
        <v>01077682</v>
      </c>
    </row>
    <row r="31427" spans="1:2" x14ac:dyDescent="0.25">
      <c r="A31427" s="2">
        <v>31422</v>
      </c>
      <c r="B31427" s="11" t="str">
        <f>"01077685"</f>
        <v>01077685</v>
      </c>
    </row>
    <row r="31428" spans="1:2" x14ac:dyDescent="0.25">
      <c r="A31428" s="2">
        <v>31423</v>
      </c>
      <c r="B31428" s="11" t="str">
        <f>"01077691"</f>
        <v>01077691</v>
      </c>
    </row>
    <row r="31429" spans="1:2" x14ac:dyDescent="0.25">
      <c r="A31429" s="2">
        <v>31424</v>
      </c>
      <c r="B31429" s="11" t="str">
        <f>"01077693"</f>
        <v>01077693</v>
      </c>
    </row>
    <row r="31430" spans="1:2" x14ac:dyDescent="0.25">
      <c r="A31430" s="2">
        <v>31425</v>
      </c>
      <c r="B31430" s="11" t="str">
        <f>"01077701"</f>
        <v>01077701</v>
      </c>
    </row>
    <row r="31431" spans="1:2" x14ac:dyDescent="0.25">
      <c r="A31431" s="2">
        <v>31426</v>
      </c>
      <c r="B31431" s="11" t="str">
        <f>"01077705"</f>
        <v>01077705</v>
      </c>
    </row>
    <row r="31432" spans="1:2" x14ac:dyDescent="0.25">
      <c r="A31432" s="2">
        <v>31427</v>
      </c>
      <c r="B31432" s="11" t="str">
        <f>"01077706"</f>
        <v>01077706</v>
      </c>
    </row>
    <row r="31433" spans="1:2" x14ac:dyDescent="0.25">
      <c r="A31433" s="2">
        <v>31428</v>
      </c>
      <c r="B31433" s="11" t="str">
        <f>"01077712"</f>
        <v>01077712</v>
      </c>
    </row>
    <row r="31434" spans="1:2" x14ac:dyDescent="0.25">
      <c r="A31434" s="2">
        <v>31429</v>
      </c>
      <c r="B31434" s="11" t="str">
        <f>"01077714"</f>
        <v>01077714</v>
      </c>
    </row>
    <row r="31435" spans="1:2" x14ac:dyDescent="0.25">
      <c r="A31435" s="2">
        <v>31430</v>
      </c>
      <c r="B31435" s="11" t="str">
        <f>"01077726"</f>
        <v>01077726</v>
      </c>
    </row>
    <row r="31436" spans="1:2" x14ac:dyDescent="0.25">
      <c r="A31436" s="2">
        <v>31431</v>
      </c>
      <c r="B31436" s="11" t="str">
        <f>"01077735"</f>
        <v>01077735</v>
      </c>
    </row>
    <row r="31437" spans="1:2" x14ac:dyDescent="0.25">
      <c r="A31437" s="2">
        <v>31432</v>
      </c>
      <c r="B31437" s="11" t="str">
        <f>"01077749"</f>
        <v>01077749</v>
      </c>
    </row>
    <row r="31438" spans="1:2" x14ac:dyDescent="0.25">
      <c r="A31438" s="2">
        <v>31433</v>
      </c>
      <c r="B31438" s="11" t="str">
        <f>"01077760"</f>
        <v>01077760</v>
      </c>
    </row>
    <row r="31439" spans="1:2" x14ac:dyDescent="0.25">
      <c r="A31439" s="2">
        <v>31434</v>
      </c>
      <c r="B31439" s="11" t="str">
        <f>"01077761"</f>
        <v>01077761</v>
      </c>
    </row>
    <row r="31440" spans="1:2" x14ac:dyDescent="0.25">
      <c r="A31440" s="2">
        <v>31435</v>
      </c>
      <c r="B31440" s="11" t="str">
        <f>"01077766"</f>
        <v>01077766</v>
      </c>
    </row>
    <row r="31441" spans="1:2" x14ac:dyDescent="0.25">
      <c r="A31441" s="2">
        <v>31436</v>
      </c>
      <c r="B31441" s="11" t="str">
        <f>"01077771"</f>
        <v>01077771</v>
      </c>
    </row>
    <row r="31442" spans="1:2" x14ac:dyDescent="0.25">
      <c r="A31442" s="2">
        <v>31437</v>
      </c>
      <c r="B31442" s="11" t="str">
        <f>"01077775"</f>
        <v>01077775</v>
      </c>
    </row>
    <row r="31443" spans="1:2" x14ac:dyDescent="0.25">
      <c r="A31443" s="2">
        <v>31438</v>
      </c>
      <c r="B31443" s="11" t="str">
        <f>"01077776"</f>
        <v>01077776</v>
      </c>
    </row>
    <row r="31444" spans="1:2" x14ac:dyDescent="0.25">
      <c r="A31444" s="2">
        <v>31439</v>
      </c>
      <c r="B31444" s="11" t="str">
        <f>"01077778"</f>
        <v>01077778</v>
      </c>
    </row>
    <row r="31445" spans="1:2" x14ac:dyDescent="0.25">
      <c r="A31445" s="2">
        <v>31440</v>
      </c>
      <c r="B31445" s="11" t="str">
        <f>"01077786"</f>
        <v>01077786</v>
      </c>
    </row>
    <row r="31446" spans="1:2" x14ac:dyDescent="0.25">
      <c r="A31446" s="2">
        <v>31441</v>
      </c>
      <c r="B31446" s="11" t="str">
        <f>"01077787"</f>
        <v>01077787</v>
      </c>
    </row>
    <row r="31447" spans="1:2" x14ac:dyDescent="0.25">
      <c r="A31447" s="2">
        <v>31442</v>
      </c>
      <c r="B31447" s="11" t="str">
        <f>"01077792"</f>
        <v>01077792</v>
      </c>
    </row>
    <row r="31448" spans="1:2" x14ac:dyDescent="0.25">
      <c r="A31448" s="2">
        <v>31443</v>
      </c>
      <c r="B31448" s="11" t="str">
        <f>"01077793"</f>
        <v>01077793</v>
      </c>
    </row>
    <row r="31449" spans="1:2" x14ac:dyDescent="0.25">
      <c r="A31449" s="2">
        <v>31444</v>
      </c>
      <c r="B31449" s="11" t="str">
        <f>"01077801"</f>
        <v>01077801</v>
      </c>
    </row>
    <row r="31450" spans="1:2" x14ac:dyDescent="0.25">
      <c r="A31450" s="2">
        <v>31445</v>
      </c>
      <c r="B31450" s="11" t="str">
        <f>"01077805"</f>
        <v>01077805</v>
      </c>
    </row>
    <row r="31451" spans="1:2" x14ac:dyDescent="0.25">
      <c r="A31451" s="2">
        <v>31446</v>
      </c>
      <c r="B31451" s="11" t="str">
        <f>"01077812"</f>
        <v>01077812</v>
      </c>
    </row>
    <row r="31452" spans="1:2" x14ac:dyDescent="0.25">
      <c r="A31452" s="2">
        <v>31447</v>
      </c>
      <c r="B31452" s="11" t="str">
        <f>"01077817"</f>
        <v>01077817</v>
      </c>
    </row>
    <row r="31453" spans="1:2" x14ac:dyDescent="0.25">
      <c r="A31453" s="2">
        <v>31448</v>
      </c>
      <c r="B31453" s="11" t="str">
        <f>"01077824"</f>
        <v>01077824</v>
      </c>
    </row>
    <row r="31454" spans="1:2" x14ac:dyDescent="0.25">
      <c r="A31454" s="2">
        <v>31449</v>
      </c>
      <c r="B31454" s="11" t="str">
        <f>"01077830"</f>
        <v>01077830</v>
      </c>
    </row>
    <row r="31455" spans="1:2" x14ac:dyDescent="0.25">
      <c r="A31455" s="2">
        <v>31450</v>
      </c>
      <c r="B31455" s="11" t="str">
        <f>"01077832"</f>
        <v>01077832</v>
      </c>
    </row>
    <row r="31456" spans="1:2" x14ac:dyDescent="0.25">
      <c r="A31456" s="2">
        <v>31451</v>
      </c>
      <c r="B31456" s="11" t="str">
        <f>"01077839"</f>
        <v>01077839</v>
      </c>
    </row>
    <row r="31457" spans="1:2" x14ac:dyDescent="0.25">
      <c r="A31457" s="2">
        <v>31452</v>
      </c>
      <c r="B31457" s="11" t="str">
        <f>"01077841"</f>
        <v>01077841</v>
      </c>
    </row>
    <row r="31458" spans="1:2" x14ac:dyDescent="0.25">
      <c r="A31458" s="2">
        <v>31453</v>
      </c>
      <c r="B31458" s="11" t="str">
        <f>"01077845"</f>
        <v>01077845</v>
      </c>
    </row>
    <row r="31459" spans="1:2" x14ac:dyDescent="0.25">
      <c r="A31459" s="2">
        <v>31454</v>
      </c>
      <c r="B31459" s="11" t="str">
        <f>"01077846"</f>
        <v>01077846</v>
      </c>
    </row>
    <row r="31460" spans="1:2" x14ac:dyDescent="0.25">
      <c r="A31460" s="2">
        <v>31455</v>
      </c>
      <c r="B31460" s="11" t="str">
        <f>"01077847"</f>
        <v>01077847</v>
      </c>
    </row>
    <row r="31461" spans="1:2" x14ac:dyDescent="0.25">
      <c r="A31461" s="2">
        <v>31456</v>
      </c>
      <c r="B31461" s="11" t="str">
        <f>"01077848"</f>
        <v>01077848</v>
      </c>
    </row>
    <row r="31462" spans="1:2" x14ac:dyDescent="0.25">
      <c r="A31462" s="2">
        <v>31457</v>
      </c>
      <c r="B31462" s="11" t="str">
        <f>"01077850"</f>
        <v>01077850</v>
      </c>
    </row>
    <row r="31463" spans="1:2" x14ac:dyDescent="0.25">
      <c r="A31463" s="2">
        <v>31458</v>
      </c>
      <c r="B31463" s="11" t="str">
        <f>"01077853"</f>
        <v>01077853</v>
      </c>
    </row>
    <row r="31464" spans="1:2" x14ac:dyDescent="0.25">
      <c r="A31464" s="2">
        <v>31459</v>
      </c>
      <c r="B31464" s="11" t="str">
        <f>"01077858"</f>
        <v>01077858</v>
      </c>
    </row>
    <row r="31465" spans="1:2" x14ac:dyDescent="0.25">
      <c r="A31465" s="2">
        <v>31460</v>
      </c>
      <c r="B31465" s="11" t="str">
        <f>"01077859"</f>
        <v>01077859</v>
      </c>
    </row>
    <row r="31466" spans="1:2" x14ac:dyDescent="0.25">
      <c r="A31466" s="2">
        <v>31461</v>
      </c>
      <c r="B31466" s="11" t="str">
        <f>"01077863"</f>
        <v>01077863</v>
      </c>
    </row>
    <row r="31467" spans="1:2" x14ac:dyDescent="0.25">
      <c r="A31467" s="2">
        <v>31462</v>
      </c>
      <c r="B31467" s="11" t="str">
        <f>"01077864"</f>
        <v>01077864</v>
      </c>
    </row>
    <row r="31468" spans="1:2" x14ac:dyDescent="0.25">
      <c r="A31468" s="2">
        <v>31463</v>
      </c>
      <c r="B31468" s="11" t="str">
        <f>"01077865"</f>
        <v>01077865</v>
      </c>
    </row>
    <row r="31469" spans="1:2" x14ac:dyDescent="0.25">
      <c r="A31469" s="2">
        <v>31464</v>
      </c>
      <c r="B31469" s="11" t="str">
        <f>"01077866"</f>
        <v>01077866</v>
      </c>
    </row>
    <row r="31470" spans="1:2" x14ac:dyDescent="0.25">
      <c r="A31470" s="2">
        <v>31465</v>
      </c>
      <c r="B31470" s="11" t="str">
        <f>"01077867"</f>
        <v>01077867</v>
      </c>
    </row>
    <row r="31471" spans="1:2" x14ac:dyDescent="0.25">
      <c r="A31471" s="2">
        <v>31466</v>
      </c>
      <c r="B31471" s="11" t="str">
        <f>"01077876"</f>
        <v>01077876</v>
      </c>
    </row>
    <row r="31472" spans="1:2" x14ac:dyDescent="0.25">
      <c r="A31472" s="2">
        <v>31467</v>
      </c>
      <c r="B31472" s="11" t="str">
        <f>"01077879"</f>
        <v>01077879</v>
      </c>
    </row>
    <row r="31473" spans="1:2" x14ac:dyDescent="0.25">
      <c r="A31473" s="2">
        <v>31468</v>
      </c>
      <c r="B31473" s="11" t="str">
        <f>"01077880"</f>
        <v>01077880</v>
      </c>
    </row>
    <row r="31474" spans="1:2" x14ac:dyDescent="0.25">
      <c r="A31474" s="2">
        <v>31469</v>
      </c>
      <c r="B31474" s="11" t="str">
        <f>"01077891"</f>
        <v>01077891</v>
      </c>
    </row>
    <row r="31475" spans="1:2" x14ac:dyDescent="0.25">
      <c r="A31475" s="2">
        <v>31470</v>
      </c>
      <c r="B31475" s="11" t="str">
        <f>"01077893"</f>
        <v>01077893</v>
      </c>
    </row>
    <row r="31476" spans="1:2" x14ac:dyDescent="0.25">
      <c r="A31476" s="2">
        <v>31471</v>
      </c>
      <c r="B31476" s="11" t="str">
        <f>"01077899"</f>
        <v>01077899</v>
      </c>
    </row>
    <row r="31477" spans="1:2" x14ac:dyDescent="0.25">
      <c r="A31477" s="2">
        <v>31472</v>
      </c>
      <c r="B31477" s="11" t="str">
        <f>"01077904"</f>
        <v>01077904</v>
      </c>
    </row>
    <row r="31478" spans="1:2" x14ac:dyDescent="0.25">
      <c r="A31478" s="2">
        <v>31473</v>
      </c>
      <c r="B31478" s="11" t="str">
        <f>"01077906"</f>
        <v>01077906</v>
      </c>
    </row>
    <row r="31479" spans="1:2" x14ac:dyDescent="0.25">
      <c r="A31479" s="2">
        <v>31474</v>
      </c>
      <c r="B31479" s="11" t="str">
        <f>"01077908"</f>
        <v>01077908</v>
      </c>
    </row>
    <row r="31480" spans="1:2" x14ac:dyDescent="0.25">
      <c r="A31480" s="2">
        <v>31475</v>
      </c>
      <c r="B31480" s="11" t="str">
        <f>"01077913"</f>
        <v>01077913</v>
      </c>
    </row>
    <row r="31481" spans="1:2" x14ac:dyDescent="0.25">
      <c r="A31481" s="2">
        <v>31476</v>
      </c>
      <c r="B31481" s="11" t="str">
        <f>"01077918"</f>
        <v>01077918</v>
      </c>
    </row>
    <row r="31482" spans="1:2" x14ac:dyDescent="0.25">
      <c r="A31482" s="2">
        <v>31477</v>
      </c>
      <c r="B31482" s="11" t="str">
        <f>"01077919"</f>
        <v>01077919</v>
      </c>
    </row>
    <row r="31483" spans="1:2" x14ac:dyDescent="0.25">
      <c r="A31483" s="2">
        <v>31478</v>
      </c>
      <c r="B31483" s="11" t="str">
        <f>"01077921"</f>
        <v>01077921</v>
      </c>
    </row>
    <row r="31484" spans="1:2" x14ac:dyDescent="0.25">
      <c r="A31484" s="2">
        <v>31479</v>
      </c>
      <c r="B31484" s="11" t="str">
        <f>"01077926"</f>
        <v>01077926</v>
      </c>
    </row>
    <row r="31485" spans="1:2" x14ac:dyDescent="0.25">
      <c r="A31485" s="2">
        <v>31480</v>
      </c>
      <c r="B31485" s="11" t="str">
        <f>"01077927"</f>
        <v>01077927</v>
      </c>
    </row>
    <row r="31486" spans="1:2" x14ac:dyDescent="0.25">
      <c r="A31486" s="2">
        <v>31481</v>
      </c>
      <c r="B31486" s="11" t="str">
        <f>"01077928"</f>
        <v>01077928</v>
      </c>
    </row>
    <row r="31487" spans="1:2" x14ac:dyDescent="0.25">
      <c r="A31487" s="2">
        <v>31482</v>
      </c>
      <c r="B31487" s="11" t="str">
        <f>"01077931"</f>
        <v>01077931</v>
      </c>
    </row>
    <row r="31488" spans="1:2" x14ac:dyDescent="0.25">
      <c r="A31488" s="2">
        <v>31483</v>
      </c>
      <c r="B31488" s="11" t="str">
        <f>"01077933"</f>
        <v>01077933</v>
      </c>
    </row>
    <row r="31489" spans="1:2" x14ac:dyDescent="0.25">
      <c r="A31489" s="2">
        <v>31484</v>
      </c>
      <c r="B31489" s="11" t="str">
        <f>"01077934"</f>
        <v>01077934</v>
      </c>
    </row>
    <row r="31490" spans="1:2" x14ac:dyDescent="0.25">
      <c r="A31490" s="2">
        <v>31485</v>
      </c>
      <c r="B31490" s="11" t="str">
        <f>"01077937"</f>
        <v>01077937</v>
      </c>
    </row>
    <row r="31491" spans="1:2" x14ac:dyDescent="0.25">
      <c r="A31491" s="2">
        <v>31486</v>
      </c>
      <c r="B31491" s="11" t="str">
        <f>"01077941"</f>
        <v>01077941</v>
      </c>
    </row>
    <row r="31492" spans="1:2" x14ac:dyDescent="0.25">
      <c r="A31492" s="2">
        <v>31487</v>
      </c>
      <c r="B31492" s="11" t="str">
        <f>"01077943"</f>
        <v>01077943</v>
      </c>
    </row>
    <row r="31493" spans="1:2" x14ac:dyDescent="0.25">
      <c r="A31493" s="2">
        <v>31488</v>
      </c>
      <c r="B31493" s="11" t="str">
        <f>"01077945"</f>
        <v>01077945</v>
      </c>
    </row>
    <row r="31494" spans="1:2" x14ac:dyDescent="0.25">
      <c r="A31494" s="2">
        <v>31489</v>
      </c>
      <c r="B31494" s="11" t="str">
        <f>"01077947"</f>
        <v>01077947</v>
      </c>
    </row>
    <row r="31495" spans="1:2" x14ac:dyDescent="0.25">
      <c r="A31495" s="2">
        <v>31490</v>
      </c>
      <c r="B31495" s="11" t="str">
        <f>"01077949"</f>
        <v>01077949</v>
      </c>
    </row>
    <row r="31496" spans="1:2" x14ac:dyDescent="0.25">
      <c r="A31496" s="2">
        <v>31491</v>
      </c>
      <c r="B31496" s="11" t="str">
        <f>"01077953"</f>
        <v>01077953</v>
      </c>
    </row>
    <row r="31497" spans="1:2" x14ac:dyDescent="0.25">
      <c r="A31497" s="2">
        <v>31492</v>
      </c>
      <c r="B31497" s="11" t="str">
        <f>"01077955"</f>
        <v>01077955</v>
      </c>
    </row>
    <row r="31498" spans="1:2" x14ac:dyDescent="0.25">
      <c r="A31498" s="2">
        <v>31493</v>
      </c>
      <c r="B31498" s="11" t="str">
        <f>"01077959"</f>
        <v>01077959</v>
      </c>
    </row>
    <row r="31499" spans="1:2" x14ac:dyDescent="0.25">
      <c r="A31499" s="2">
        <v>31494</v>
      </c>
      <c r="B31499" s="11" t="str">
        <f>"01077962"</f>
        <v>01077962</v>
      </c>
    </row>
    <row r="31500" spans="1:2" x14ac:dyDescent="0.25">
      <c r="A31500" s="2">
        <v>31495</v>
      </c>
      <c r="B31500" s="11" t="str">
        <f>"01077963"</f>
        <v>01077963</v>
      </c>
    </row>
    <row r="31501" spans="1:2" x14ac:dyDescent="0.25">
      <c r="A31501" s="2">
        <v>31496</v>
      </c>
      <c r="B31501" s="11" t="str">
        <f>"01077965"</f>
        <v>01077965</v>
      </c>
    </row>
    <row r="31502" spans="1:2" x14ac:dyDescent="0.25">
      <c r="A31502" s="2">
        <v>31497</v>
      </c>
      <c r="B31502" s="11" t="str">
        <f>"01077968"</f>
        <v>01077968</v>
      </c>
    </row>
    <row r="31503" spans="1:2" x14ac:dyDescent="0.25">
      <c r="A31503" s="2">
        <v>31498</v>
      </c>
      <c r="B31503" s="11" t="str">
        <f>"01077969"</f>
        <v>01077969</v>
      </c>
    </row>
    <row r="31504" spans="1:2" x14ac:dyDescent="0.25">
      <c r="A31504" s="2">
        <v>31499</v>
      </c>
      <c r="B31504" s="11" t="str">
        <f>"01077970"</f>
        <v>01077970</v>
      </c>
    </row>
    <row r="31505" spans="1:2" x14ac:dyDescent="0.25">
      <c r="A31505" s="2">
        <v>31500</v>
      </c>
      <c r="B31505" s="11" t="str">
        <f>"01077971"</f>
        <v>01077971</v>
      </c>
    </row>
    <row r="31506" spans="1:2" x14ac:dyDescent="0.25">
      <c r="A31506" s="2">
        <v>31501</v>
      </c>
      <c r="B31506" s="11" t="str">
        <f>"01077972"</f>
        <v>01077972</v>
      </c>
    </row>
    <row r="31507" spans="1:2" x14ac:dyDescent="0.25">
      <c r="A31507" s="2">
        <v>31502</v>
      </c>
      <c r="B31507" s="11" t="str">
        <f>"01077973"</f>
        <v>01077973</v>
      </c>
    </row>
    <row r="31508" spans="1:2" x14ac:dyDescent="0.25">
      <c r="A31508" s="2">
        <v>31503</v>
      </c>
      <c r="B31508" s="11" t="str">
        <f>"01077974"</f>
        <v>01077974</v>
      </c>
    </row>
    <row r="31509" spans="1:2" x14ac:dyDescent="0.25">
      <c r="A31509" s="2">
        <v>31504</v>
      </c>
      <c r="B31509" s="11" t="str">
        <f>"01077975"</f>
        <v>01077975</v>
      </c>
    </row>
    <row r="31510" spans="1:2" x14ac:dyDescent="0.25">
      <c r="A31510" s="2">
        <v>31505</v>
      </c>
      <c r="B31510" s="11" t="str">
        <f>"01077979"</f>
        <v>01077979</v>
      </c>
    </row>
    <row r="31511" spans="1:2" x14ac:dyDescent="0.25">
      <c r="A31511" s="2">
        <v>31506</v>
      </c>
      <c r="B31511" s="11" t="str">
        <f>"01077982"</f>
        <v>01077982</v>
      </c>
    </row>
    <row r="31512" spans="1:2" x14ac:dyDescent="0.25">
      <c r="A31512" s="2">
        <v>31507</v>
      </c>
      <c r="B31512" s="11" t="str">
        <f>"01077989"</f>
        <v>01077989</v>
      </c>
    </row>
    <row r="31513" spans="1:2" x14ac:dyDescent="0.25">
      <c r="A31513" s="2">
        <v>31508</v>
      </c>
      <c r="B31513" s="11" t="str">
        <f>"01077990"</f>
        <v>01077990</v>
      </c>
    </row>
    <row r="31514" spans="1:2" x14ac:dyDescent="0.25">
      <c r="A31514" s="2">
        <v>31509</v>
      </c>
      <c r="B31514" s="11" t="str">
        <f>"01077996"</f>
        <v>01077996</v>
      </c>
    </row>
    <row r="31515" spans="1:2" x14ac:dyDescent="0.25">
      <c r="A31515" s="2">
        <v>31510</v>
      </c>
      <c r="B31515" s="11" t="str">
        <f>"01077998"</f>
        <v>01077998</v>
      </c>
    </row>
    <row r="31516" spans="1:2" x14ac:dyDescent="0.25">
      <c r="A31516" s="2">
        <v>31511</v>
      </c>
      <c r="B31516" s="11" t="str">
        <f>"01078000"</f>
        <v>01078000</v>
      </c>
    </row>
    <row r="31517" spans="1:2" x14ac:dyDescent="0.25">
      <c r="A31517" s="2">
        <v>31512</v>
      </c>
      <c r="B31517" s="11" t="str">
        <f>"01078003"</f>
        <v>01078003</v>
      </c>
    </row>
    <row r="31518" spans="1:2" x14ac:dyDescent="0.25">
      <c r="A31518" s="2">
        <v>31513</v>
      </c>
      <c r="B31518" s="11" t="str">
        <f>"01078006"</f>
        <v>01078006</v>
      </c>
    </row>
    <row r="31519" spans="1:2" x14ac:dyDescent="0.25">
      <c r="A31519" s="2">
        <v>31514</v>
      </c>
      <c r="B31519" s="11" t="str">
        <f>"01078008"</f>
        <v>01078008</v>
      </c>
    </row>
    <row r="31520" spans="1:2" x14ac:dyDescent="0.25">
      <c r="A31520" s="2">
        <v>31515</v>
      </c>
      <c r="B31520" s="11" t="str">
        <f>"01078009"</f>
        <v>01078009</v>
      </c>
    </row>
    <row r="31521" spans="1:2" x14ac:dyDescent="0.25">
      <c r="A31521" s="2">
        <v>31516</v>
      </c>
      <c r="B31521" s="11" t="str">
        <f>"01078012"</f>
        <v>01078012</v>
      </c>
    </row>
    <row r="31522" spans="1:2" x14ac:dyDescent="0.25">
      <c r="A31522" s="2">
        <v>31517</v>
      </c>
      <c r="B31522" s="11" t="str">
        <f>"01078016"</f>
        <v>01078016</v>
      </c>
    </row>
    <row r="31523" spans="1:2" x14ac:dyDescent="0.25">
      <c r="A31523" s="2">
        <v>31518</v>
      </c>
      <c r="B31523" s="11" t="str">
        <f>"01078019"</f>
        <v>01078019</v>
      </c>
    </row>
    <row r="31524" spans="1:2" x14ac:dyDescent="0.25">
      <c r="A31524" s="2">
        <v>31519</v>
      </c>
      <c r="B31524" s="11" t="str">
        <f>"01078030"</f>
        <v>01078030</v>
      </c>
    </row>
    <row r="31525" spans="1:2" x14ac:dyDescent="0.25">
      <c r="A31525" s="2">
        <v>31520</v>
      </c>
      <c r="B31525" s="11" t="str">
        <f>"01078031"</f>
        <v>01078031</v>
      </c>
    </row>
    <row r="31526" spans="1:2" x14ac:dyDescent="0.25">
      <c r="A31526" s="2">
        <v>31521</v>
      </c>
      <c r="B31526" s="11" t="str">
        <f>"01078032"</f>
        <v>01078032</v>
      </c>
    </row>
    <row r="31527" spans="1:2" x14ac:dyDescent="0.25">
      <c r="A31527" s="2">
        <v>31522</v>
      </c>
      <c r="B31527" s="11" t="str">
        <f>"01078041"</f>
        <v>01078041</v>
      </c>
    </row>
    <row r="31528" spans="1:2" x14ac:dyDescent="0.25">
      <c r="A31528" s="2">
        <v>31523</v>
      </c>
      <c r="B31528" s="11" t="str">
        <f>"01078043"</f>
        <v>01078043</v>
      </c>
    </row>
    <row r="31529" spans="1:2" x14ac:dyDescent="0.25">
      <c r="A31529" s="2">
        <v>31524</v>
      </c>
      <c r="B31529" s="11" t="str">
        <f>"01078044"</f>
        <v>01078044</v>
      </c>
    </row>
    <row r="31530" spans="1:2" x14ac:dyDescent="0.25">
      <c r="A31530" s="2">
        <v>31525</v>
      </c>
      <c r="B31530" s="11" t="str">
        <f>"01078054"</f>
        <v>01078054</v>
      </c>
    </row>
    <row r="31531" spans="1:2" x14ac:dyDescent="0.25">
      <c r="A31531" s="2">
        <v>31526</v>
      </c>
      <c r="B31531" s="11" t="str">
        <f>"01078059"</f>
        <v>01078059</v>
      </c>
    </row>
    <row r="31532" spans="1:2" x14ac:dyDescent="0.25">
      <c r="A31532" s="2">
        <v>31527</v>
      </c>
      <c r="B31532" s="11" t="str">
        <f>"01078061"</f>
        <v>01078061</v>
      </c>
    </row>
    <row r="31533" spans="1:2" x14ac:dyDescent="0.25">
      <c r="A31533" s="2">
        <v>31528</v>
      </c>
      <c r="B31533" s="11" t="str">
        <f>"01078062"</f>
        <v>01078062</v>
      </c>
    </row>
    <row r="31534" spans="1:2" x14ac:dyDescent="0.25">
      <c r="A31534" s="2">
        <v>31529</v>
      </c>
      <c r="B31534" s="11" t="str">
        <f>"01078064"</f>
        <v>01078064</v>
      </c>
    </row>
    <row r="31535" spans="1:2" x14ac:dyDescent="0.25">
      <c r="A31535" s="2">
        <v>31530</v>
      </c>
      <c r="B31535" s="11" t="str">
        <f>"01078067"</f>
        <v>01078067</v>
      </c>
    </row>
    <row r="31536" spans="1:2" x14ac:dyDescent="0.25">
      <c r="A31536" s="2">
        <v>31531</v>
      </c>
      <c r="B31536" s="11" t="str">
        <f>"01078068"</f>
        <v>01078068</v>
      </c>
    </row>
    <row r="31537" spans="1:2" x14ac:dyDescent="0.25">
      <c r="A31537" s="2">
        <v>31532</v>
      </c>
      <c r="B31537" s="11" t="str">
        <f>"01078069"</f>
        <v>01078069</v>
      </c>
    </row>
    <row r="31538" spans="1:2" x14ac:dyDescent="0.25">
      <c r="A31538" s="2">
        <v>31533</v>
      </c>
      <c r="B31538" s="11" t="str">
        <f>"01078075"</f>
        <v>01078075</v>
      </c>
    </row>
    <row r="31539" spans="1:2" x14ac:dyDescent="0.25">
      <c r="A31539" s="2">
        <v>31534</v>
      </c>
      <c r="B31539" s="11" t="str">
        <f>"01078080"</f>
        <v>01078080</v>
      </c>
    </row>
    <row r="31540" spans="1:2" x14ac:dyDescent="0.25">
      <c r="A31540" s="2">
        <v>31535</v>
      </c>
      <c r="B31540" s="11" t="str">
        <f>"01078088"</f>
        <v>01078088</v>
      </c>
    </row>
    <row r="31541" spans="1:2" x14ac:dyDescent="0.25">
      <c r="A31541" s="2">
        <v>31536</v>
      </c>
      <c r="B31541" s="11" t="str">
        <f>"01078090"</f>
        <v>01078090</v>
      </c>
    </row>
    <row r="31542" spans="1:2" x14ac:dyDescent="0.25">
      <c r="A31542" s="2">
        <v>31537</v>
      </c>
      <c r="B31542" s="11" t="str">
        <f>"01078091"</f>
        <v>01078091</v>
      </c>
    </row>
    <row r="31543" spans="1:2" x14ac:dyDescent="0.25">
      <c r="A31543" s="2">
        <v>31538</v>
      </c>
      <c r="B31543" s="11" t="str">
        <f>"01078101"</f>
        <v>01078101</v>
      </c>
    </row>
    <row r="31544" spans="1:2" x14ac:dyDescent="0.25">
      <c r="A31544" s="2">
        <v>31539</v>
      </c>
      <c r="B31544" s="11" t="str">
        <f>"01078104"</f>
        <v>01078104</v>
      </c>
    </row>
    <row r="31545" spans="1:2" x14ac:dyDescent="0.25">
      <c r="A31545" s="2">
        <v>31540</v>
      </c>
      <c r="B31545" s="11" t="str">
        <f>"01078108"</f>
        <v>01078108</v>
      </c>
    </row>
    <row r="31546" spans="1:2" x14ac:dyDescent="0.25">
      <c r="A31546" s="2">
        <v>31541</v>
      </c>
      <c r="B31546" s="11" t="str">
        <f>"01078110"</f>
        <v>01078110</v>
      </c>
    </row>
    <row r="31547" spans="1:2" x14ac:dyDescent="0.25">
      <c r="A31547" s="2">
        <v>31542</v>
      </c>
      <c r="B31547" s="11" t="str">
        <f>"01078113"</f>
        <v>01078113</v>
      </c>
    </row>
    <row r="31548" spans="1:2" x14ac:dyDescent="0.25">
      <c r="A31548" s="2">
        <v>31543</v>
      </c>
      <c r="B31548" s="11" t="str">
        <f>"01078114"</f>
        <v>01078114</v>
      </c>
    </row>
    <row r="31549" spans="1:2" x14ac:dyDescent="0.25">
      <c r="A31549" s="2">
        <v>31544</v>
      </c>
      <c r="B31549" s="11" t="str">
        <f>"01078115"</f>
        <v>01078115</v>
      </c>
    </row>
    <row r="31550" spans="1:2" x14ac:dyDescent="0.25">
      <c r="A31550" s="2">
        <v>31545</v>
      </c>
      <c r="B31550" s="11" t="str">
        <f>"01078116"</f>
        <v>01078116</v>
      </c>
    </row>
    <row r="31551" spans="1:2" x14ac:dyDescent="0.25">
      <c r="A31551" s="2">
        <v>31546</v>
      </c>
      <c r="B31551" s="11" t="str">
        <f>"01078119"</f>
        <v>01078119</v>
      </c>
    </row>
    <row r="31552" spans="1:2" x14ac:dyDescent="0.25">
      <c r="A31552" s="2">
        <v>31547</v>
      </c>
      <c r="B31552" s="11" t="str">
        <f>"01078121"</f>
        <v>01078121</v>
      </c>
    </row>
    <row r="31553" spans="1:2" x14ac:dyDescent="0.25">
      <c r="A31553" s="2">
        <v>31548</v>
      </c>
      <c r="B31553" s="11" t="str">
        <f>"01078124"</f>
        <v>01078124</v>
      </c>
    </row>
    <row r="31554" spans="1:2" x14ac:dyDescent="0.25">
      <c r="A31554" s="2">
        <v>31549</v>
      </c>
      <c r="B31554" s="11" t="str">
        <f>"01078126"</f>
        <v>01078126</v>
      </c>
    </row>
    <row r="31555" spans="1:2" x14ac:dyDescent="0.25">
      <c r="A31555" s="2">
        <v>31550</v>
      </c>
      <c r="B31555" s="11" t="str">
        <f>"01078129"</f>
        <v>01078129</v>
      </c>
    </row>
    <row r="31556" spans="1:2" x14ac:dyDescent="0.25">
      <c r="A31556" s="2">
        <v>31551</v>
      </c>
      <c r="B31556" s="11" t="str">
        <f>"01078133"</f>
        <v>01078133</v>
      </c>
    </row>
    <row r="31557" spans="1:2" x14ac:dyDescent="0.25">
      <c r="A31557" s="2">
        <v>31552</v>
      </c>
      <c r="B31557" s="11" t="str">
        <f>"01078134"</f>
        <v>01078134</v>
      </c>
    </row>
    <row r="31558" spans="1:2" x14ac:dyDescent="0.25">
      <c r="A31558" s="2">
        <v>31553</v>
      </c>
      <c r="B31558" s="11" t="str">
        <f>"01078136"</f>
        <v>01078136</v>
      </c>
    </row>
    <row r="31559" spans="1:2" x14ac:dyDescent="0.25">
      <c r="A31559" s="2">
        <v>31554</v>
      </c>
      <c r="B31559" s="11" t="str">
        <f>"01078137"</f>
        <v>01078137</v>
      </c>
    </row>
    <row r="31560" spans="1:2" x14ac:dyDescent="0.25">
      <c r="A31560" s="2">
        <v>31555</v>
      </c>
      <c r="B31560" s="11" t="str">
        <f>"01078145"</f>
        <v>01078145</v>
      </c>
    </row>
    <row r="31561" spans="1:2" x14ac:dyDescent="0.25">
      <c r="A31561" s="2">
        <v>31556</v>
      </c>
      <c r="B31561" s="11" t="str">
        <f>"01078146"</f>
        <v>01078146</v>
      </c>
    </row>
    <row r="31562" spans="1:2" x14ac:dyDescent="0.25">
      <c r="A31562" s="2">
        <v>31557</v>
      </c>
      <c r="B31562" s="11" t="str">
        <f>"01078147"</f>
        <v>01078147</v>
      </c>
    </row>
    <row r="31563" spans="1:2" x14ac:dyDescent="0.25">
      <c r="A31563" s="2">
        <v>31558</v>
      </c>
      <c r="B31563" s="11" t="str">
        <f>"01078149"</f>
        <v>01078149</v>
      </c>
    </row>
    <row r="31564" spans="1:2" x14ac:dyDescent="0.25">
      <c r="A31564" s="2">
        <v>31559</v>
      </c>
      <c r="B31564" s="11" t="str">
        <f>"01078150"</f>
        <v>01078150</v>
      </c>
    </row>
    <row r="31565" spans="1:2" x14ac:dyDescent="0.25">
      <c r="A31565" s="2">
        <v>31560</v>
      </c>
      <c r="B31565" s="11" t="str">
        <f>"01078152"</f>
        <v>01078152</v>
      </c>
    </row>
    <row r="31566" spans="1:2" x14ac:dyDescent="0.25">
      <c r="A31566" s="2">
        <v>31561</v>
      </c>
      <c r="B31566" s="11" t="str">
        <f>"01078153"</f>
        <v>01078153</v>
      </c>
    </row>
    <row r="31567" spans="1:2" x14ac:dyDescent="0.25">
      <c r="A31567" s="2">
        <v>31562</v>
      </c>
      <c r="B31567" s="11" t="str">
        <f>"01078155"</f>
        <v>01078155</v>
      </c>
    </row>
    <row r="31568" spans="1:2" x14ac:dyDescent="0.25">
      <c r="A31568" s="2">
        <v>31563</v>
      </c>
      <c r="B31568" s="11" t="str">
        <f>"01078159"</f>
        <v>01078159</v>
      </c>
    </row>
    <row r="31569" spans="1:2" x14ac:dyDescent="0.25">
      <c r="A31569" s="2">
        <v>31564</v>
      </c>
      <c r="B31569" s="11" t="str">
        <f>"01078160"</f>
        <v>01078160</v>
      </c>
    </row>
    <row r="31570" spans="1:2" x14ac:dyDescent="0.25">
      <c r="A31570" s="2">
        <v>31565</v>
      </c>
      <c r="B31570" s="11" t="str">
        <f>"01078161"</f>
        <v>01078161</v>
      </c>
    </row>
    <row r="31571" spans="1:2" x14ac:dyDescent="0.25">
      <c r="A31571" s="2">
        <v>31566</v>
      </c>
      <c r="B31571" s="11" t="str">
        <f>"01078165"</f>
        <v>01078165</v>
      </c>
    </row>
    <row r="31572" spans="1:2" x14ac:dyDescent="0.25">
      <c r="A31572" s="2">
        <v>31567</v>
      </c>
      <c r="B31572" s="11" t="str">
        <f>"01078166"</f>
        <v>01078166</v>
      </c>
    </row>
    <row r="31573" spans="1:2" x14ac:dyDescent="0.25">
      <c r="A31573" s="2">
        <v>31568</v>
      </c>
      <c r="B31573" s="11" t="str">
        <f>"01078167"</f>
        <v>01078167</v>
      </c>
    </row>
    <row r="31574" spans="1:2" x14ac:dyDescent="0.25">
      <c r="A31574" s="2">
        <v>31569</v>
      </c>
      <c r="B31574" s="11" t="str">
        <f>"01078168"</f>
        <v>01078168</v>
      </c>
    </row>
    <row r="31575" spans="1:2" x14ac:dyDescent="0.25">
      <c r="A31575" s="2">
        <v>31570</v>
      </c>
      <c r="B31575" s="11" t="str">
        <f>"01078170"</f>
        <v>01078170</v>
      </c>
    </row>
    <row r="31576" spans="1:2" x14ac:dyDescent="0.25">
      <c r="A31576" s="2">
        <v>31571</v>
      </c>
      <c r="B31576" s="11" t="str">
        <f>"01078173"</f>
        <v>01078173</v>
      </c>
    </row>
    <row r="31577" spans="1:2" x14ac:dyDescent="0.25">
      <c r="A31577" s="2">
        <v>31572</v>
      </c>
      <c r="B31577" s="11" t="str">
        <f>"01078174"</f>
        <v>01078174</v>
      </c>
    </row>
    <row r="31578" spans="1:2" x14ac:dyDescent="0.25">
      <c r="A31578" s="2">
        <v>31573</v>
      </c>
      <c r="B31578" s="11" t="str">
        <f>"01078177"</f>
        <v>01078177</v>
      </c>
    </row>
    <row r="31579" spans="1:2" x14ac:dyDescent="0.25">
      <c r="A31579" s="2">
        <v>31574</v>
      </c>
      <c r="B31579" s="11" t="str">
        <f>"01078184"</f>
        <v>01078184</v>
      </c>
    </row>
    <row r="31580" spans="1:2" x14ac:dyDescent="0.25">
      <c r="A31580" s="2">
        <v>31575</v>
      </c>
      <c r="B31580" s="11" t="str">
        <f>"01078187"</f>
        <v>01078187</v>
      </c>
    </row>
    <row r="31581" spans="1:2" x14ac:dyDescent="0.25">
      <c r="A31581" s="2">
        <v>31576</v>
      </c>
      <c r="B31581" s="11" t="str">
        <f>"01078191"</f>
        <v>01078191</v>
      </c>
    </row>
    <row r="31582" spans="1:2" x14ac:dyDescent="0.25">
      <c r="A31582" s="2">
        <v>31577</v>
      </c>
      <c r="B31582" s="11" t="str">
        <f>"01078194"</f>
        <v>01078194</v>
      </c>
    </row>
    <row r="31583" spans="1:2" x14ac:dyDescent="0.25">
      <c r="A31583" s="2">
        <v>31578</v>
      </c>
      <c r="B31583" s="11" t="str">
        <f>"01078195"</f>
        <v>01078195</v>
      </c>
    </row>
    <row r="31584" spans="1:2" x14ac:dyDescent="0.25">
      <c r="A31584" s="2">
        <v>31579</v>
      </c>
      <c r="B31584" s="11" t="str">
        <f>"01078197"</f>
        <v>01078197</v>
      </c>
    </row>
    <row r="31585" spans="1:2" x14ac:dyDescent="0.25">
      <c r="A31585" s="2">
        <v>31580</v>
      </c>
      <c r="B31585" s="11" t="str">
        <f>"01078199"</f>
        <v>01078199</v>
      </c>
    </row>
    <row r="31586" spans="1:2" x14ac:dyDescent="0.25">
      <c r="A31586" s="2">
        <v>31581</v>
      </c>
      <c r="B31586" s="11" t="str">
        <f>"01078203"</f>
        <v>01078203</v>
      </c>
    </row>
    <row r="31587" spans="1:2" x14ac:dyDescent="0.25">
      <c r="A31587" s="2">
        <v>31582</v>
      </c>
      <c r="B31587" s="11" t="str">
        <f>"01078205"</f>
        <v>01078205</v>
      </c>
    </row>
    <row r="31588" spans="1:2" x14ac:dyDescent="0.25">
      <c r="A31588" s="2">
        <v>31583</v>
      </c>
      <c r="B31588" s="11" t="str">
        <f>"01078206"</f>
        <v>01078206</v>
      </c>
    </row>
    <row r="31589" spans="1:2" x14ac:dyDescent="0.25">
      <c r="A31589" s="2">
        <v>31584</v>
      </c>
      <c r="B31589" s="11" t="str">
        <f>"01078216"</f>
        <v>01078216</v>
      </c>
    </row>
    <row r="31590" spans="1:2" x14ac:dyDescent="0.25">
      <c r="A31590" s="2">
        <v>31585</v>
      </c>
      <c r="B31590" s="11" t="str">
        <f>"01078220"</f>
        <v>01078220</v>
      </c>
    </row>
    <row r="31591" spans="1:2" x14ac:dyDescent="0.25">
      <c r="A31591" s="2">
        <v>31586</v>
      </c>
      <c r="B31591" s="11" t="str">
        <f>"01078221"</f>
        <v>01078221</v>
      </c>
    </row>
    <row r="31592" spans="1:2" x14ac:dyDescent="0.25">
      <c r="A31592" s="2">
        <v>31587</v>
      </c>
      <c r="B31592" s="11" t="str">
        <f>"01078222"</f>
        <v>01078222</v>
      </c>
    </row>
    <row r="31593" spans="1:2" x14ac:dyDescent="0.25">
      <c r="A31593" s="2">
        <v>31588</v>
      </c>
      <c r="B31593" s="11" t="str">
        <f>"01078227"</f>
        <v>01078227</v>
      </c>
    </row>
    <row r="31594" spans="1:2" x14ac:dyDescent="0.25">
      <c r="A31594" s="2">
        <v>31589</v>
      </c>
      <c r="B31594" s="11" t="str">
        <f>"01078236"</f>
        <v>01078236</v>
      </c>
    </row>
    <row r="31595" spans="1:2" x14ac:dyDescent="0.25">
      <c r="A31595" s="2">
        <v>31590</v>
      </c>
      <c r="B31595" s="11" t="str">
        <f>"01078237"</f>
        <v>01078237</v>
      </c>
    </row>
    <row r="31596" spans="1:2" x14ac:dyDescent="0.25">
      <c r="A31596" s="2">
        <v>31591</v>
      </c>
      <c r="B31596" s="11" t="str">
        <f>"01078239"</f>
        <v>01078239</v>
      </c>
    </row>
    <row r="31597" spans="1:2" x14ac:dyDescent="0.25">
      <c r="A31597" s="2">
        <v>31592</v>
      </c>
      <c r="B31597" s="11" t="str">
        <f>"01078240"</f>
        <v>01078240</v>
      </c>
    </row>
    <row r="31598" spans="1:2" x14ac:dyDescent="0.25">
      <c r="A31598" s="2">
        <v>31593</v>
      </c>
      <c r="B31598" s="11" t="str">
        <f>"01078242"</f>
        <v>01078242</v>
      </c>
    </row>
    <row r="31599" spans="1:2" x14ac:dyDescent="0.25">
      <c r="A31599" s="2">
        <v>31594</v>
      </c>
      <c r="B31599" s="11" t="str">
        <f>"01078244"</f>
        <v>01078244</v>
      </c>
    </row>
    <row r="31600" spans="1:2" x14ac:dyDescent="0.25">
      <c r="A31600" s="2">
        <v>31595</v>
      </c>
      <c r="B31600" s="11" t="str">
        <f>"01078252"</f>
        <v>01078252</v>
      </c>
    </row>
    <row r="31601" spans="1:2" x14ac:dyDescent="0.25">
      <c r="A31601" s="2">
        <v>31596</v>
      </c>
      <c r="B31601" s="11" t="str">
        <f>"01078255"</f>
        <v>01078255</v>
      </c>
    </row>
    <row r="31602" spans="1:2" x14ac:dyDescent="0.25">
      <c r="A31602" s="2">
        <v>31597</v>
      </c>
      <c r="B31602" s="11" t="str">
        <f>"01078260"</f>
        <v>01078260</v>
      </c>
    </row>
    <row r="31603" spans="1:2" x14ac:dyDescent="0.25">
      <c r="A31603" s="2">
        <v>31598</v>
      </c>
      <c r="B31603" s="11" t="str">
        <f>"01078263"</f>
        <v>01078263</v>
      </c>
    </row>
    <row r="31604" spans="1:2" x14ac:dyDescent="0.25">
      <c r="A31604" s="2">
        <v>31599</v>
      </c>
      <c r="B31604" s="11" t="str">
        <f>"01078270"</f>
        <v>01078270</v>
      </c>
    </row>
    <row r="31605" spans="1:2" x14ac:dyDescent="0.25">
      <c r="A31605" s="2">
        <v>31600</v>
      </c>
      <c r="B31605" s="11" t="str">
        <f>"01078271"</f>
        <v>01078271</v>
      </c>
    </row>
    <row r="31606" spans="1:2" x14ac:dyDescent="0.25">
      <c r="A31606" s="2">
        <v>31601</v>
      </c>
      <c r="B31606" s="11" t="str">
        <f>"01078274"</f>
        <v>01078274</v>
      </c>
    </row>
    <row r="31607" spans="1:2" x14ac:dyDescent="0.25">
      <c r="A31607" s="2">
        <v>31602</v>
      </c>
      <c r="B31607" s="11" t="str">
        <f>"01078295"</f>
        <v>01078295</v>
      </c>
    </row>
    <row r="31608" spans="1:2" x14ac:dyDescent="0.25">
      <c r="A31608" s="2">
        <v>31603</v>
      </c>
      <c r="B31608" s="11" t="str">
        <f>"01078298"</f>
        <v>01078298</v>
      </c>
    </row>
    <row r="31609" spans="1:2" x14ac:dyDescent="0.25">
      <c r="A31609" s="2">
        <v>31604</v>
      </c>
      <c r="B31609" s="11" t="str">
        <f>"01078304"</f>
        <v>01078304</v>
      </c>
    </row>
    <row r="31610" spans="1:2" x14ac:dyDescent="0.25">
      <c r="A31610" s="2">
        <v>31605</v>
      </c>
      <c r="B31610" s="11" t="str">
        <f>"01078318"</f>
        <v>01078318</v>
      </c>
    </row>
    <row r="31611" spans="1:2" x14ac:dyDescent="0.25">
      <c r="A31611" s="2">
        <v>31606</v>
      </c>
      <c r="B31611" s="11" t="str">
        <f>"01078321"</f>
        <v>01078321</v>
      </c>
    </row>
    <row r="31612" spans="1:2" x14ac:dyDescent="0.25">
      <c r="A31612" s="2">
        <v>31607</v>
      </c>
      <c r="B31612" s="11" t="str">
        <f>"01078327"</f>
        <v>01078327</v>
      </c>
    </row>
    <row r="31613" spans="1:2" x14ac:dyDescent="0.25">
      <c r="A31613" s="2">
        <v>31608</v>
      </c>
      <c r="B31613" s="11" t="str">
        <f>"01078334"</f>
        <v>01078334</v>
      </c>
    </row>
    <row r="31614" spans="1:2" x14ac:dyDescent="0.25">
      <c r="A31614" s="2">
        <v>31609</v>
      </c>
      <c r="B31614" s="11" t="str">
        <f>"01078335"</f>
        <v>01078335</v>
      </c>
    </row>
    <row r="31615" spans="1:2" x14ac:dyDescent="0.25">
      <c r="A31615" s="2">
        <v>31610</v>
      </c>
      <c r="B31615" s="11" t="str">
        <f>"01078336"</f>
        <v>01078336</v>
      </c>
    </row>
    <row r="31616" spans="1:2" x14ac:dyDescent="0.25">
      <c r="A31616" s="2">
        <v>31611</v>
      </c>
      <c r="B31616" s="11" t="str">
        <f>"01078342"</f>
        <v>01078342</v>
      </c>
    </row>
    <row r="31617" spans="1:2" x14ac:dyDescent="0.25">
      <c r="A31617" s="2">
        <v>31612</v>
      </c>
      <c r="B31617" s="11" t="str">
        <f>"01078343"</f>
        <v>01078343</v>
      </c>
    </row>
    <row r="31618" spans="1:2" x14ac:dyDescent="0.25">
      <c r="A31618" s="2">
        <v>31613</v>
      </c>
      <c r="B31618" s="11" t="str">
        <f>"01078348"</f>
        <v>01078348</v>
      </c>
    </row>
    <row r="31619" spans="1:2" x14ac:dyDescent="0.25">
      <c r="A31619" s="2">
        <v>31614</v>
      </c>
      <c r="B31619" s="11" t="str">
        <f>"01078349"</f>
        <v>01078349</v>
      </c>
    </row>
    <row r="31620" spans="1:2" x14ac:dyDescent="0.25">
      <c r="A31620" s="2">
        <v>31615</v>
      </c>
      <c r="B31620" s="11" t="str">
        <f>"01078353"</f>
        <v>01078353</v>
      </c>
    </row>
    <row r="31621" spans="1:2" x14ac:dyDescent="0.25">
      <c r="A31621" s="2">
        <v>31616</v>
      </c>
      <c r="B31621" s="11" t="str">
        <f>"01078354"</f>
        <v>01078354</v>
      </c>
    </row>
    <row r="31622" spans="1:2" x14ac:dyDescent="0.25">
      <c r="A31622" s="2">
        <v>31617</v>
      </c>
      <c r="B31622" s="11" t="str">
        <f>"01078356"</f>
        <v>01078356</v>
      </c>
    </row>
    <row r="31623" spans="1:2" x14ac:dyDescent="0.25">
      <c r="A31623" s="2">
        <v>31618</v>
      </c>
      <c r="B31623" s="11" t="str">
        <f>"01078360"</f>
        <v>01078360</v>
      </c>
    </row>
    <row r="31624" spans="1:2" x14ac:dyDescent="0.25">
      <c r="A31624" s="2">
        <v>31619</v>
      </c>
      <c r="B31624" s="11" t="str">
        <f>"01078361"</f>
        <v>01078361</v>
      </c>
    </row>
    <row r="31625" spans="1:2" x14ac:dyDescent="0.25">
      <c r="A31625" s="2">
        <v>31620</v>
      </c>
      <c r="B31625" s="11" t="str">
        <f>"01078366"</f>
        <v>01078366</v>
      </c>
    </row>
    <row r="31626" spans="1:2" x14ac:dyDescent="0.25">
      <c r="A31626" s="2">
        <v>31621</v>
      </c>
      <c r="B31626" s="11" t="str">
        <f>"01078368"</f>
        <v>01078368</v>
      </c>
    </row>
    <row r="31627" spans="1:2" x14ac:dyDescent="0.25">
      <c r="A31627" s="2">
        <v>31622</v>
      </c>
      <c r="B31627" s="11" t="str">
        <f>"01078371"</f>
        <v>01078371</v>
      </c>
    </row>
    <row r="31628" spans="1:2" x14ac:dyDescent="0.25">
      <c r="A31628" s="2">
        <v>31623</v>
      </c>
      <c r="B31628" s="11" t="str">
        <f>"01078378"</f>
        <v>01078378</v>
      </c>
    </row>
    <row r="31629" spans="1:2" x14ac:dyDescent="0.25">
      <c r="A31629" s="2">
        <v>31624</v>
      </c>
      <c r="B31629" s="11" t="str">
        <f>"01078383"</f>
        <v>01078383</v>
      </c>
    </row>
    <row r="31630" spans="1:2" x14ac:dyDescent="0.25">
      <c r="A31630" s="2">
        <v>31625</v>
      </c>
      <c r="B31630" s="11" t="str">
        <f>"01078386"</f>
        <v>01078386</v>
      </c>
    </row>
    <row r="31631" spans="1:2" x14ac:dyDescent="0.25">
      <c r="A31631" s="2">
        <v>31626</v>
      </c>
      <c r="B31631" s="11" t="str">
        <f>"01078387"</f>
        <v>01078387</v>
      </c>
    </row>
    <row r="31632" spans="1:2" x14ac:dyDescent="0.25">
      <c r="A31632" s="2">
        <v>31627</v>
      </c>
      <c r="B31632" s="11" t="str">
        <f>"01078393"</f>
        <v>01078393</v>
      </c>
    </row>
    <row r="31633" spans="1:2" x14ac:dyDescent="0.25">
      <c r="A31633" s="2">
        <v>31628</v>
      </c>
      <c r="B31633" s="11" t="str">
        <f>"01078401"</f>
        <v>01078401</v>
      </c>
    </row>
    <row r="31634" spans="1:2" x14ac:dyDescent="0.25">
      <c r="A31634" s="2">
        <v>31629</v>
      </c>
      <c r="B31634" s="11" t="str">
        <f>"01078403"</f>
        <v>01078403</v>
      </c>
    </row>
    <row r="31635" spans="1:2" x14ac:dyDescent="0.25">
      <c r="A31635" s="2">
        <v>31630</v>
      </c>
      <c r="B31635" s="11" t="str">
        <f>"01078405"</f>
        <v>01078405</v>
      </c>
    </row>
    <row r="31636" spans="1:2" x14ac:dyDescent="0.25">
      <c r="A31636" s="2">
        <v>31631</v>
      </c>
      <c r="B31636" s="11" t="str">
        <f>"01078406"</f>
        <v>01078406</v>
      </c>
    </row>
    <row r="31637" spans="1:2" x14ac:dyDescent="0.25">
      <c r="A31637" s="2">
        <v>31632</v>
      </c>
      <c r="B31637" s="11" t="str">
        <f>"01078407"</f>
        <v>01078407</v>
      </c>
    </row>
    <row r="31638" spans="1:2" x14ac:dyDescent="0.25">
      <c r="A31638" s="2">
        <v>31633</v>
      </c>
      <c r="B31638" s="11" t="str">
        <f>"01078410"</f>
        <v>01078410</v>
      </c>
    </row>
    <row r="31639" spans="1:2" x14ac:dyDescent="0.25">
      <c r="A31639" s="2">
        <v>31634</v>
      </c>
      <c r="B31639" s="11" t="str">
        <f>"01078411"</f>
        <v>01078411</v>
      </c>
    </row>
    <row r="31640" spans="1:2" x14ac:dyDescent="0.25">
      <c r="A31640" s="2">
        <v>31635</v>
      </c>
      <c r="B31640" s="11" t="str">
        <f>"01078413"</f>
        <v>01078413</v>
      </c>
    </row>
    <row r="31641" spans="1:2" x14ac:dyDescent="0.25">
      <c r="A31641" s="2">
        <v>31636</v>
      </c>
      <c r="B31641" s="11" t="str">
        <f>"01078414"</f>
        <v>01078414</v>
      </c>
    </row>
    <row r="31642" spans="1:2" x14ac:dyDescent="0.25">
      <c r="A31642" s="2">
        <v>31637</v>
      </c>
      <c r="B31642" s="11" t="str">
        <f>"01078422"</f>
        <v>01078422</v>
      </c>
    </row>
    <row r="31643" spans="1:2" x14ac:dyDescent="0.25">
      <c r="A31643" s="2">
        <v>31638</v>
      </c>
      <c r="B31643" s="11" t="str">
        <f>"01078426"</f>
        <v>01078426</v>
      </c>
    </row>
    <row r="31644" spans="1:2" x14ac:dyDescent="0.25">
      <c r="A31644" s="2">
        <v>31639</v>
      </c>
      <c r="B31644" s="11" t="str">
        <f>"01078440"</f>
        <v>01078440</v>
      </c>
    </row>
    <row r="31645" spans="1:2" x14ac:dyDescent="0.25">
      <c r="A31645" s="2">
        <v>31640</v>
      </c>
      <c r="B31645" s="11" t="str">
        <f>"01078444"</f>
        <v>01078444</v>
      </c>
    </row>
    <row r="31646" spans="1:2" x14ac:dyDescent="0.25">
      <c r="A31646" s="2">
        <v>31641</v>
      </c>
      <c r="B31646" s="11" t="str">
        <f>"01078446"</f>
        <v>01078446</v>
      </c>
    </row>
    <row r="31647" spans="1:2" x14ac:dyDescent="0.25">
      <c r="A31647" s="2">
        <v>31642</v>
      </c>
      <c r="B31647" s="11" t="str">
        <f>"01078449"</f>
        <v>01078449</v>
      </c>
    </row>
    <row r="31648" spans="1:2" x14ac:dyDescent="0.25">
      <c r="A31648" s="2">
        <v>31643</v>
      </c>
      <c r="B31648" s="11" t="str">
        <f>"01078450"</f>
        <v>01078450</v>
      </c>
    </row>
    <row r="31649" spans="1:2" x14ac:dyDescent="0.25">
      <c r="A31649" s="2">
        <v>31644</v>
      </c>
      <c r="B31649" s="11" t="str">
        <f>"01078455"</f>
        <v>01078455</v>
      </c>
    </row>
    <row r="31650" spans="1:2" x14ac:dyDescent="0.25">
      <c r="A31650" s="2">
        <v>31645</v>
      </c>
      <c r="B31650" s="11" t="str">
        <f>"01078459"</f>
        <v>01078459</v>
      </c>
    </row>
    <row r="31651" spans="1:2" x14ac:dyDescent="0.25">
      <c r="A31651" s="2">
        <v>31646</v>
      </c>
      <c r="B31651" s="11" t="str">
        <f>"01078463"</f>
        <v>01078463</v>
      </c>
    </row>
    <row r="31652" spans="1:2" x14ac:dyDescent="0.25">
      <c r="A31652" s="2">
        <v>31647</v>
      </c>
      <c r="B31652" s="11" t="str">
        <f>"01078464"</f>
        <v>01078464</v>
      </c>
    </row>
    <row r="31653" spans="1:2" x14ac:dyDescent="0.25">
      <c r="A31653" s="2">
        <v>31648</v>
      </c>
      <c r="B31653" s="11" t="str">
        <f>"01078476"</f>
        <v>01078476</v>
      </c>
    </row>
    <row r="31654" spans="1:2" x14ac:dyDescent="0.25">
      <c r="A31654" s="2">
        <v>31649</v>
      </c>
      <c r="B31654" s="11" t="str">
        <f>"01078477"</f>
        <v>01078477</v>
      </c>
    </row>
    <row r="31655" spans="1:2" x14ac:dyDescent="0.25">
      <c r="A31655" s="2">
        <v>31650</v>
      </c>
      <c r="B31655" s="11" t="str">
        <f>"01078481"</f>
        <v>01078481</v>
      </c>
    </row>
    <row r="31656" spans="1:2" x14ac:dyDescent="0.25">
      <c r="A31656" s="2">
        <v>31651</v>
      </c>
      <c r="B31656" s="11" t="str">
        <f>"01078482"</f>
        <v>01078482</v>
      </c>
    </row>
    <row r="31657" spans="1:2" x14ac:dyDescent="0.25">
      <c r="A31657" s="2">
        <v>31652</v>
      </c>
      <c r="B31657" s="11" t="str">
        <f>"01078502"</f>
        <v>01078502</v>
      </c>
    </row>
    <row r="31658" spans="1:2" x14ac:dyDescent="0.25">
      <c r="A31658" s="2">
        <v>31653</v>
      </c>
      <c r="B31658" s="11" t="str">
        <f>"01078508"</f>
        <v>01078508</v>
      </c>
    </row>
    <row r="31659" spans="1:2" x14ac:dyDescent="0.25">
      <c r="A31659" s="2">
        <v>31654</v>
      </c>
      <c r="B31659" s="11" t="str">
        <f>"01078512"</f>
        <v>01078512</v>
      </c>
    </row>
    <row r="31660" spans="1:2" x14ac:dyDescent="0.25">
      <c r="A31660" s="2">
        <v>31655</v>
      </c>
      <c r="B31660" s="11" t="str">
        <f>"01078513"</f>
        <v>01078513</v>
      </c>
    </row>
    <row r="31661" spans="1:2" x14ac:dyDescent="0.25">
      <c r="A31661" s="2">
        <v>31656</v>
      </c>
      <c r="B31661" s="11" t="str">
        <f>"01078517"</f>
        <v>01078517</v>
      </c>
    </row>
    <row r="31662" spans="1:2" x14ac:dyDescent="0.25">
      <c r="A31662" s="2">
        <v>31657</v>
      </c>
      <c r="B31662" s="11" t="str">
        <f>"01078519"</f>
        <v>01078519</v>
      </c>
    </row>
    <row r="31663" spans="1:2" x14ac:dyDescent="0.25">
      <c r="A31663" s="2">
        <v>31658</v>
      </c>
      <c r="B31663" s="11" t="str">
        <f>"01078522"</f>
        <v>01078522</v>
      </c>
    </row>
    <row r="31664" spans="1:2" x14ac:dyDescent="0.25">
      <c r="A31664" s="2">
        <v>31659</v>
      </c>
      <c r="B31664" s="11" t="str">
        <f>"01078524"</f>
        <v>01078524</v>
      </c>
    </row>
    <row r="31665" spans="1:2" x14ac:dyDescent="0.25">
      <c r="A31665" s="2">
        <v>31660</v>
      </c>
      <c r="B31665" s="11" t="str">
        <f>"01078526"</f>
        <v>01078526</v>
      </c>
    </row>
    <row r="31666" spans="1:2" x14ac:dyDescent="0.25">
      <c r="A31666" s="2">
        <v>31661</v>
      </c>
      <c r="B31666" s="11" t="str">
        <f>"01078529"</f>
        <v>01078529</v>
      </c>
    </row>
    <row r="31667" spans="1:2" x14ac:dyDescent="0.25">
      <c r="A31667" s="2">
        <v>31662</v>
      </c>
      <c r="B31667" s="11" t="str">
        <f>"01078533"</f>
        <v>01078533</v>
      </c>
    </row>
    <row r="31668" spans="1:2" x14ac:dyDescent="0.25">
      <c r="A31668" s="2">
        <v>31663</v>
      </c>
      <c r="B31668" s="11" t="str">
        <f>"01078535"</f>
        <v>01078535</v>
      </c>
    </row>
    <row r="31669" spans="1:2" x14ac:dyDescent="0.25">
      <c r="A31669" s="2">
        <v>31664</v>
      </c>
      <c r="B31669" s="11" t="str">
        <f>"01078538"</f>
        <v>01078538</v>
      </c>
    </row>
    <row r="31670" spans="1:2" x14ac:dyDescent="0.25">
      <c r="A31670" s="2">
        <v>31665</v>
      </c>
      <c r="B31670" s="11" t="str">
        <f>"01078541"</f>
        <v>01078541</v>
      </c>
    </row>
    <row r="31671" spans="1:2" x14ac:dyDescent="0.25">
      <c r="A31671" s="2">
        <v>31666</v>
      </c>
      <c r="B31671" s="11" t="str">
        <f>"01078544"</f>
        <v>01078544</v>
      </c>
    </row>
    <row r="31672" spans="1:2" x14ac:dyDescent="0.25">
      <c r="A31672" s="2">
        <v>31667</v>
      </c>
      <c r="B31672" s="11" t="str">
        <f>"01078546"</f>
        <v>01078546</v>
      </c>
    </row>
    <row r="31673" spans="1:2" x14ac:dyDescent="0.25">
      <c r="A31673" s="2">
        <v>31668</v>
      </c>
      <c r="B31673" s="11" t="str">
        <f>"01078549"</f>
        <v>01078549</v>
      </c>
    </row>
    <row r="31674" spans="1:2" x14ac:dyDescent="0.25">
      <c r="A31674" s="2">
        <v>31669</v>
      </c>
      <c r="B31674" s="11" t="str">
        <f>"01078551"</f>
        <v>01078551</v>
      </c>
    </row>
    <row r="31675" spans="1:2" x14ac:dyDescent="0.25">
      <c r="A31675" s="2">
        <v>31670</v>
      </c>
      <c r="B31675" s="11" t="str">
        <f>"01078558"</f>
        <v>01078558</v>
      </c>
    </row>
    <row r="31676" spans="1:2" x14ac:dyDescent="0.25">
      <c r="A31676" s="2">
        <v>31671</v>
      </c>
      <c r="B31676" s="11" t="str">
        <f>"01078560"</f>
        <v>01078560</v>
      </c>
    </row>
    <row r="31677" spans="1:2" x14ac:dyDescent="0.25">
      <c r="A31677" s="2">
        <v>31672</v>
      </c>
      <c r="B31677" s="11" t="str">
        <f>"01078561"</f>
        <v>01078561</v>
      </c>
    </row>
    <row r="31678" spans="1:2" x14ac:dyDescent="0.25">
      <c r="A31678" s="2">
        <v>31673</v>
      </c>
      <c r="B31678" s="11" t="str">
        <f>"01078571"</f>
        <v>01078571</v>
      </c>
    </row>
    <row r="31679" spans="1:2" x14ac:dyDescent="0.25">
      <c r="A31679" s="2">
        <v>31674</v>
      </c>
      <c r="B31679" s="11" t="str">
        <f>"01078579"</f>
        <v>01078579</v>
      </c>
    </row>
    <row r="31680" spans="1:2" x14ac:dyDescent="0.25">
      <c r="A31680" s="2">
        <v>31675</v>
      </c>
      <c r="B31680" s="11" t="str">
        <f>"01078580"</f>
        <v>01078580</v>
      </c>
    </row>
    <row r="31681" spans="1:2" x14ac:dyDescent="0.25">
      <c r="A31681" s="2">
        <v>31676</v>
      </c>
      <c r="B31681" s="11" t="str">
        <f>"01078581"</f>
        <v>01078581</v>
      </c>
    </row>
    <row r="31682" spans="1:2" x14ac:dyDescent="0.25">
      <c r="A31682" s="2">
        <v>31677</v>
      </c>
      <c r="B31682" s="11" t="str">
        <f>"01078582"</f>
        <v>01078582</v>
      </c>
    </row>
    <row r="31683" spans="1:2" x14ac:dyDescent="0.25">
      <c r="A31683" s="2">
        <v>31678</v>
      </c>
      <c r="B31683" s="11" t="str">
        <f>"01078585"</f>
        <v>01078585</v>
      </c>
    </row>
    <row r="31684" spans="1:2" x14ac:dyDescent="0.25">
      <c r="A31684" s="2">
        <v>31679</v>
      </c>
      <c r="B31684" s="11" t="str">
        <f>"01078597"</f>
        <v>01078597</v>
      </c>
    </row>
    <row r="31685" spans="1:2" x14ac:dyDescent="0.25">
      <c r="A31685" s="2">
        <v>31680</v>
      </c>
      <c r="B31685" s="11" t="str">
        <f>"01078606"</f>
        <v>01078606</v>
      </c>
    </row>
    <row r="31686" spans="1:2" x14ac:dyDescent="0.25">
      <c r="A31686" s="2">
        <v>31681</v>
      </c>
      <c r="B31686" s="11" t="str">
        <f>"01078613"</f>
        <v>01078613</v>
      </c>
    </row>
    <row r="31687" spans="1:2" x14ac:dyDescent="0.25">
      <c r="A31687" s="2">
        <v>31682</v>
      </c>
      <c r="B31687" s="11" t="str">
        <f>"01078614"</f>
        <v>01078614</v>
      </c>
    </row>
    <row r="31688" spans="1:2" x14ac:dyDescent="0.25">
      <c r="A31688" s="2">
        <v>31683</v>
      </c>
      <c r="B31688" s="11" t="str">
        <f>"01078615"</f>
        <v>01078615</v>
      </c>
    </row>
    <row r="31689" spans="1:2" x14ac:dyDescent="0.25">
      <c r="A31689" s="2">
        <v>31684</v>
      </c>
      <c r="B31689" s="11" t="str">
        <f>"01078624"</f>
        <v>01078624</v>
      </c>
    </row>
    <row r="31690" spans="1:2" x14ac:dyDescent="0.25">
      <c r="A31690" s="2">
        <v>31685</v>
      </c>
      <c r="B31690" s="11" t="str">
        <f>"01078626"</f>
        <v>01078626</v>
      </c>
    </row>
    <row r="31691" spans="1:2" x14ac:dyDescent="0.25">
      <c r="A31691" s="2">
        <v>31686</v>
      </c>
      <c r="B31691" s="11" t="str">
        <f>"01078640"</f>
        <v>01078640</v>
      </c>
    </row>
    <row r="31692" spans="1:2" x14ac:dyDescent="0.25">
      <c r="A31692" s="2">
        <v>31687</v>
      </c>
      <c r="B31692" s="11" t="str">
        <f>"01078642"</f>
        <v>01078642</v>
      </c>
    </row>
    <row r="31693" spans="1:2" x14ac:dyDescent="0.25">
      <c r="A31693" s="2">
        <v>31688</v>
      </c>
      <c r="B31693" s="11" t="str">
        <f>"01078645"</f>
        <v>01078645</v>
      </c>
    </row>
    <row r="31694" spans="1:2" x14ac:dyDescent="0.25">
      <c r="A31694" s="2">
        <v>31689</v>
      </c>
      <c r="B31694" s="11" t="str">
        <f>"01078646"</f>
        <v>01078646</v>
      </c>
    </row>
    <row r="31695" spans="1:2" x14ac:dyDescent="0.25">
      <c r="A31695" s="2">
        <v>31690</v>
      </c>
      <c r="B31695" s="11" t="str">
        <f>"01078653"</f>
        <v>01078653</v>
      </c>
    </row>
    <row r="31696" spans="1:2" x14ac:dyDescent="0.25">
      <c r="A31696" s="2">
        <v>31691</v>
      </c>
      <c r="B31696" s="11" t="str">
        <f>"01078654"</f>
        <v>01078654</v>
      </c>
    </row>
    <row r="31697" spans="1:2" x14ac:dyDescent="0.25">
      <c r="A31697" s="2">
        <v>31692</v>
      </c>
      <c r="B31697" s="11" t="str">
        <f>"01078656"</f>
        <v>01078656</v>
      </c>
    </row>
    <row r="31698" spans="1:2" x14ac:dyDescent="0.25">
      <c r="A31698" s="2">
        <v>31693</v>
      </c>
      <c r="B31698" s="11" t="str">
        <f>"01078657"</f>
        <v>01078657</v>
      </c>
    </row>
    <row r="31699" spans="1:2" x14ac:dyDescent="0.25">
      <c r="A31699" s="2">
        <v>31694</v>
      </c>
      <c r="B31699" s="11" t="str">
        <f>"01078659"</f>
        <v>01078659</v>
      </c>
    </row>
    <row r="31700" spans="1:2" x14ac:dyDescent="0.25">
      <c r="A31700" s="2">
        <v>31695</v>
      </c>
      <c r="B31700" s="11" t="str">
        <f>"01078660"</f>
        <v>01078660</v>
      </c>
    </row>
    <row r="31701" spans="1:2" x14ac:dyDescent="0.25">
      <c r="A31701" s="2">
        <v>31696</v>
      </c>
      <c r="B31701" s="11" t="str">
        <f>"01078662"</f>
        <v>01078662</v>
      </c>
    </row>
    <row r="31702" spans="1:2" x14ac:dyDescent="0.25">
      <c r="A31702" s="2">
        <v>31697</v>
      </c>
      <c r="B31702" s="11" t="str">
        <f>"01078663"</f>
        <v>01078663</v>
      </c>
    </row>
    <row r="31703" spans="1:2" x14ac:dyDescent="0.25">
      <c r="A31703" s="2">
        <v>31698</v>
      </c>
      <c r="B31703" s="11" t="str">
        <f>"01078666"</f>
        <v>01078666</v>
      </c>
    </row>
    <row r="31704" spans="1:2" x14ac:dyDescent="0.25">
      <c r="A31704" s="2">
        <v>31699</v>
      </c>
      <c r="B31704" s="11" t="str">
        <f>"01078668"</f>
        <v>01078668</v>
      </c>
    </row>
    <row r="31705" spans="1:2" x14ac:dyDescent="0.25">
      <c r="A31705" s="2">
        <v>31700</v>
      </c>
      <c r="B31705" s="11" t="str">
        <f>"01078675"</f>
        <v>01078675</v>
      </c>
    </row>
    <row r="31706" spans="1:2" x14ac:dyDescent="0.25">
      <c r="A31706" s="2">
        <v>31701</v>
      </c>
      <c r="B31706" s="11" t="str">
        <f>"01078677"</f>
        <v>01078677</v>
      </c>
    </row>
    <row r="31707" spans="1:2" x14ac:dyDescent="0.25">
      <c r="A31707" s="2">
        <v>31702</v>
      </c>
      <c r="B31707" s="11" t="str">
        <f>"01078680"</f>
        <v>01078680</v>
      </c>
    </row>
    <row r="31708" spans="1:2" x14ac:dyDescent="0.25">
      <c r="A31708" s="2">
        <v>31703</v>
      </c>
      <c r="B31708" s="11" t="str">
        <f>"01078682"</f>
        <v>01078682</v>
      </c>
    </row>
    <row r="31709" spans="1:2" x14ac:dyDescent="0.25">
      <c r="A31709" s="2">
        <v>31704</v>
      </c>
      <c r="B31709" s="11" t="str">
        <f>"01078684"</f>
        <v>01078684</v>
      </c>
    </row>
    <row r="31710" spans="1:2" x14ac:dyDescent="0.25">
      <c r="A31710" s="2">
        <v>31705</v>
      </c>
      <c r="B31710" s="11" t="str">
        <f>"01078685"</f>
        <v>01078685</v>
      </c>
    </row>
    <row r="31711" spans="1:2" x14ac:dyDescent="0.25">
      <c r="A31711" s="2">
        <v>31706</v>
      </c>
      <c r="B31711" s="11" t="str">
        <f>"01078687"</f>
        <v>01078687</v>
      </c>
    </row>
    <row r="31712" spans="1:2" x14ac:dyDescent="0.25">
      <c r="A31712" s="2">
        <v>31707</v>
      </c>
      <c r="B31712" s="11" t="str">
        <f>"01078694"</f>
        <v>01078694</v>
      </c>
    </row>
    <row r="31713" spans="1:2" x14ac:dyDescent="0.25">
      <c r="A31713" s="2">
        <v>31708</v>
      </c>
      <c r="B31713" s="11" t="str">
        <f>"01078706"</f>
        <v>01078706</v>
      </c>
    </row>
    <row r="31714" spans="1:2" x14ac:dyDescent="0.25">
      <c r="A31714" s="2">
        <v>31709</v>
      </c>
      <c r="B31714" s="11" t="str">
        <f>"01078709"</f>
        <v>01078709</v>
      </c>
    </row>
    <row r="31715" spans="1:2" x14ac:dyDescent="0.25">
      <c r="A31715" s="2">
        <v>31710</v>
      </c>
      <c r="B31715" s="11" t="str">
        <f>"01078714"</f>
        <v>01078714</v>
      </c>
    </row>
    <row r="31716" spans="1:2" x14ac:dyDescent="0.25">
      <c r="A31716" s="2">
        <v>31711</v>
      </c>
      <c r="B31716" s="11" t="str">
        <f>"01078716"</f>
        <v>01078716</v>
      </c>
    </row>
    <row r="31717" spans="1:2" x14ac:dyDescent="0.25">
      <c r="A31717" s="2">
        <v>31712</v>
      </c>
      <c r="B31717" s="11" t="str">
        <f>"01078721"</f>
        <v>01078721</v>
      </c>
    </row>
    <row r="31718" spans="1:2" x14ac:dyDescent="0.25">
      <c r="A31718" s="2">
        <v>31713</v>
      </c>
      <c r="B31718" s="11" t="str">
        <f>"01078722"</f>
        <v>01078722</v>
      </c>
    </row>
    <row r="31719" spans="1:2" x14ac:dyDescent="0.25">
      <c r="A31719" s="2">
        <v>31714</v>
      </c>
      <c r="B31719" s="11" t="str">
        <f>"01078723"</f>
        <v>01078723</v>
      </c>
    </row>
    <row r="31720" spans="1:2" x14ac:dyDescent="0.25">
      <c r="A31720" s="2">
        <v>31715</v>
      </c>
      <c r="B31720" s="11" t="str">
        <f>"01078727"</f>
        <v>01078727</v>
      </c>
    </row>
    <row r="31721" spans="1:2" x14ac:dyDescent="0.25">
      <c r="A31721" s="2">
        <v>31716</v>
      </c>
      <c r="B31721" s="11" t="str">
        <f>"01078731"</f>
        <v>01078731</v>
      </c>
    </row>
    <row r="31722" spans="1:2" x14ac:dyDescent="0.25">
      <c r="A31722" s="2">
        <v>31717</v>
      </c>
      <c r="B31722" s="11" t="str">
        <f>"01078736"</f>
        <v>01078736</v>
      </c>
    </row>
    <row r="31723" spans="1:2" x14ac:dyDescent="0.25">
      <c r="A31723" s="2">
        <v>31718</v>
      </c>
      <c r="B31723" s="11" t="str">
        <f>"01078742"</f>
        <v>01078742</v>
      </c>
    </row>
    <row r="31724" spans="1:2" x14ac:dyDescent="0.25">
      <c r="A31724" s="2">
        <v>31719</v>
      </c>
      <c r="B31724" s="11" t="str">
        <f>"01078744"</f>
        <v>01078744</v>
      </c>
    </row>
    <row r="31725" spans="1:2" x14ac:dyDescent="0.25">
      <c r="A31725" s="2">
        <v>31720</v>
      </c>
      <c r="B31725" s="11" t="str">
        <f>"01078755"</f>
        <v>01078755</v>
      </c>
    </row>
    <row r="31726" spans="1:2" x14ac:dyDescent="0.25">
      <c r="A31726" s="2">
        <v>31721</v>
      </c>
      <c r="B31726" s="11" t="str">
        <f>"01078758"</f>
        <v>01078758</v>
      </c>
    </row>
    <row r="31727" spans="1:2" x14ac:dyDescent="0.25">
      <c r="A31727" s="2">
        <v>31722</v>
      </c>
      <c r="B31727" s="11" t="str">
        <f>"01078761"</f>
        <v>01078761</v>
      </c>
    </row>
    <row r="31728" spans="1:2" x14ac:dyDescent="0.25">
      <c r="A31728" s="2">
        <v>31723</v>
      </c>
      <c r="B31728" s="11" t="str">
        <f>"01078769"</f>
        <v>01078769</v>
      </c>
    </row>
    <row r="31729" spans="1:2" x14ac:dyDescent="0.25">
      <c r="A31729" s="2">
        <v>31724</v>
      </c>
      <c r="B31729" s="11" t="str">
        <f>"01078771"</f>
        <v>01078771</v>
      </c>
    </row>
    <row r="31730" spans="1:2" x14ac:dyDescent="0.25">
      <c r="A31730" s="2">
        <v>31725</v>
      </c>
      <c r="B31730" s="11" t="str">
        <f>"01078778"</f>
        <v>01078778</v>
      </c>
    </row>
    <row r="31731" spans="1:2" x14ac:dyDescent="0.25">
      <c r="A31731" s="2">
        <v>31726</v>
      </c>
      <c r="B31731" s="11" t="str">
        <f>"01078783"</f>
        <v>01078783</v>
      </c>
    </row>
    <row r="31732" spans="1:2" x14ac:dyDescent="0.25">
      <c r="A31732" s="2">
        <v>31727</v>
      </c>
      <c r="B31732" s="11" t="str">
        <f>"01078784"</f>
        <v>01078784</v>
      </c>
    </row>
    <row r="31733" spans="1:2" x14ac:dyDescent="0.25">
      <c r="A31733" s="2">
        <v>31728</v>
      </c>
      <c r="B31733" s="11" t="str">
        <f>"01078790"</f>
        <v>01078790</v>
      </c>
    </row>
    <row r="31734" spans="1:2" x14ac:dyDescent="0.25">
      <c r="A31734" s="2">
        <v>31729</v>
      </c>
      <c r="B31734" s="11" t="str">
        <f>"01078791"</f>
        <v>01078791</v>
      </c>
    </row>
    <row r="31735" spans="1:2" x14ac:dyDescent="0.25">
      <c r="A31735" s="2">
        <v>31730</v>
      </c>
      <c r="B31735" s="11" t="str">
        <f>"01078793"</f>
        <v>01078793</v>
      </c>
    </row>
    <row r="31736" spans="1:2" x14ac:dyDescent="0.25">
      <c r="A31736" s="2">
        <v>31731</v>
      </c>
      <c r="B31736" s="11" t="str">
        <f>"01078796"</f>
        <v>01078796</v>
      </c>
    </row>
    <row r="31737" spans="1:2" x14ac:dyDescent="0.25">
      <c r="A31737" s="2">
        <v>31732</v>
      </c>
      <c r="B31737" s="11" t="str">
        <f>"01078800"</f>
        <v>01078800</v>
      </c>
    </row>
    <row r="31738" spans="1:2" x14ac:dyDescent="0.25">
      <c r="A31738" s="2">
        <v>31733</v>
      </c>
      <c r="B31738" s="11" t="str">
        <f>"01078801"</f>
        <v>01078801</v>
      </c>
    </row>
    <row r="31739" spans="1:2" x14ac:dyDescent="0.25">
      <c r="A31739" s="2">
        <v>31734</v>
      </c>
      <c r="B31739" s="11" t="str">
        <f>"01078805"</f>
        <v>01078805</v>
      </c>
    </row>
    <row r="31740" spans="1:2" x14ac:dyDescent="0.25">
      <c r="A31740" s="2">
        <v>31735</v>
      </c>
      <c r="B31740" s="11" t="str">
        <f>"01078812"</f>
        <v>01078812</v>
      </c>
    </row>
    <row r="31741" spans="1:2" x14ac:dyDescent="0.25">
      <c r="A31741" s="2">
        <v>31736</v>
      </c>
      <c r="B31741" s="11" t="str">
        <f>"01078815"</f>
        <v>01078815</v>
      </c>
    </row>
    <row r="31742" spans="1:2" x14ac:dyDescent="0.25">
      <c r="A31742" s="2">
        <v>31737</v>
      </c>
      <c r="B31742" s="11" t="str">
        <f>"01078816"</f>
        <v>01078816</v>
      </c>
    </row>
    <row r="31743" spans="1:2" x14ac:dyDescent="0.25">
      <c r="A31743" s="2">
        <v>31738</v>
      </c>
      <c r="B31743" s="11" t="str">
        <f>"01078817"</f>
        <v>01078817</v>
      </c>
    </row>
    <row r="31744" spans="1:2" x14ac:dyDescent="0.25">
      <c r="A31744" s="2">
        <v>31739</v>
      </c>
      <c r="B31744" s="11" t="str">
        <f>"01078818"</f>
        <v>01078818</v>
      </c>
    </row>
    <row r="31745" spans="1:2" x14ac:dyDescent="0.25">
      <c r="A31745" s="2">
        <v>31740</v>
      </c>
      <c r="B31745" s="11" t="str">
        <f>"01078819"</f>
        <v>01078819</v>
      </c>
    </row>
    <row r="31746" spans="1:2" x14ac:dyDescent="0.25">
      <c r="A31746" s="2">
        <v>31741</v>
      </c>
      <c r="B31746" s="11" t="str">
        <f>"01078821"</f>
        <v>01078821</v>
      </c>
    </row>
    <row r="31747" spans="1:2" x14ac:dyDescent="0.25">
      <c r="A31747" s="2">
        <v>31742</v>
      </c>
      <c r="B31747" s="11" t="str">
        <f>"01078829"</f>
        <v>01078829</v>
      </c>
    </row>
    <row r="31748" spans="1:2" x14ac:dyDescent="0.25">
      <c r="A31748" s="2">
        <v>31743</v>
      </c>
      <c r="B31748" s="11" t="str">
        <f>"01078830"</f>
        <v>01078830</v>
      </c>
    </row>
    <row r="31749" spans="1:2" x14ac:dyDescent="0.25">
      <c r="A31749" s="2">
        <v>31744</v>
      </c>
      <c r="B31749" s="11" t="str">
        <f>"01078833"</f>
        <v>01078833</v>
      </c>
    </row>
    <row r="31750" spans="1:2" x14ac:dyDescent="0.25">
      <c r="A31750" s="2">
        <v>31745</v>
      </c>
      <c r="B31750" s="11" t="str">
        <f>"01078836"</f>
        <v>01078836</v>
      </c>
    </row>
    <row r="31751" spans="1:2" x14ac:dyDescent="0.25">
      <c r="A31751" s="2">
        <v>31746</v>
      </c>
      <c r="B31751" s="11" t="str">
        <f>"01078840"</f>
        <v>01078840</v>
      </c>
    </row>
    <row r="31752" spans="1:2" x14ac:dyDescent="0.25">
      <c r="A31752" s="2">
        <v>31747</v>
      </c>
      <c r="B31752" s="11" t="str">
        <f>"01078842"</f>
        <v>01078842</v>
      </c>
    </row>
    <row r="31753" spans="1:2" x14ac:dyDescent="0.25">
      <c r="A31753" s="2">
        <v>31748</v>
      </c>
      <c r="B31753" s="11" t="str">
        <f>"01078843"</f>
        <v>01078843</v>
      </c>
    </row>
    <row r="31754" spans="1:2" x14ac:dyDescent="0.25">
      <c r="A31754" s="2">
        <v>31749</v>
      </c>
      <c r="B31754" s="11" t="str">
        <f>"01078848"</f>
        <v>01078848</v>
      </c>
    </row>
    <row r="31755" spans="1:2" x14ac:dyDescent="0.25">
      <c r="A31755" s="2">
        <v>31750</v>
      </c>
      <c r="B31755" s="11" t="str">
        <f>"01078851"</f>
        <v>01078851</v>
      </c>
    </row>
    <row r="31756" spans="1:2" x14ac:dyDescent="0.25">
      <c r="A31756" s="2">
        <v>31751</v>
      </c>
      <c r="B31756" s="11" t="str">
        <f>"01078854"</f>
        <v>01078854</v>
      </c>
    </row>
    <row r="31757" spans="1:2" x14ac:dyDescent="0.25">
      <c r="A31757" s="2">
        <v>31752</v>
      </c>
      <c r="B31757" s="11" t="str">
        <f>"01078859"</f>
        <v>01078859</v>
      </c>
    </row>
    <row r="31758" spans="1:2" x14ac:dyDescent="0.25">
      <c r="A31758" s="2">
        <v>31753</v>
      </c>
      <c r="B31758" s="11" t="str">
        <f>"01078861"</f>
        <v>01078861</v>
      </c>
    </row>
    <row r="31759" spans="1:2" x14ac:dyDescent="0.25">
      <c r="A31759" s="2">
        <v>31754</v>
      </c>
      <c r="B31759" s="11" t="str">
        <f>"01078862"</f>
        <v>01078862</v>
      </c>
    </row>
    <row r="31760" spans="1:2" x14ac:dyDescent="0.25">
      <c r="A31760" s="2">
        <v>31755</v>
      </c>
      <c r="B31760" s="11" t="str">
        <f>"01078863"</f>
        <v>01078863</v>
      </c>
    </row>
    <row r="31761" spans="1:2" x14ac:dyDescent="0.25">
      <c r="A31761" s="2">
        <v>31756</v>
      </c>
      <c r="B31761" s="11" t="str">
        <f>"01078865"</f>
        <v>01078865</v>
      </c>
    </row>
    <row r="31762" spans="1:2" x14ac:dyDescent="0.25">
      <c r="A31762" s="2">
        <v>31757</v>
      </c>
      <c r="B31762" s="11" t="str">
        <f>"01078866"</f>
        <v>01078866</v>
      </c>
    </row>
    <row r="31763" spans="1:2" x14ac:dyDescent="0.25">
      <c r="A31763" s="2">
        <v>31758</v>
      </c>
      <c r="B31763" s="11" t="str">
        <f>"01078869"</f>
        <v>01078869</v>
      </c>
    </row>
    <row r="31764" spans="1:2" x14ac:dyDescent="0.25">
      <c r="A31764" s="2">
        <v>31759</v>
      </c>
      <c r="B31764" s="11" t="str">
        <f>"01078870"</f>
        <v>01078870</v>
      </c>
    </row>
    <row r="31765" spans="1:2" x14ac:dyDescent="0.25">
      <c r="A31765" s="2">
        <v>31760</v>
      </c>
      <c r="B31765" s="11" t="str">
        <f>"01078871"</f>
        <v>01078871</v>
      </c>
    </row>
    <row r="31766" spans="1:2" x14ac:dyDescent="0.25">
      <c r="A31766" s="2">
        <v>31761</v>
      </c>
      <c r="B31766" s="11" t="str">
        <f>"01078874"</f>
        <v>01078874</v>
      </c>
    </row>
    <row r="31767" spans="1:2" x14ac:dyDescent="0.25">
      <c r="A31767" s="2">
        <v>31762</v>
      </c>
      <c r="B31767" s="11" t="str">
        <f>"01078875"</f>
        <v>01078875</v>
      </c>
    </row>
    <row r="31768" spans="1:2" x14ac:dyDescent="0.25">
      <c r="A31768" s="2">
        <v>31763</v>
      </c>
      <c r="B31768" s="11" t="str">
        <f>"01078880"</f>
        <v>01078880</v>
      </c>
    </row>
    <row r="31769" spans="1:2" x14ac:dyDescent="0.25">
      <c r="A31769" s="2">
        <v>31764</v>
      </c>
      <c r="B31769" s="11" t="str">
        <f>"01078882"</f>
        <v>01078882</v>
      </c>
    </row>
    <row r="31770" spans="1:2" x14ac:dyDescent="0.25">
      <c r="A31770" s="2">
        <v>31765</v>
      </c>
      <c r="B31770" s="11" t="str">
        <f>"01078889"</f>
        <v>01078889</v>
      </c>
    </row>
    <row r="31771" spans="1:2" x14ac:dyDescent="0.25">
      <c r="A31771" s="2">
        <v>31766</v>
      </c>
      <c r="B31771" s="11" t="str">
        <f>"01078896"</f>
        <v>01078896</v>
      </c>
    </row>
    <row r="31772" spans="1:2" x14ac:dyDescent="0.25">
      <c r="A31772" s="2">
        <v>31767</v>
      </c>
      <c r="B31772" s="11" t="str">
        <f>"01078897"</f>
        <v>01078897</v>
      </c>
    </row>
    <row r="31773" spans="1:2" x14ac:dyDescent="0.25">
      <c r="A31773" s="2">
        <v>31768</v>
      </c>
      <c r="B31773" s="11" t="str">
        <f>"01078899"</f>
        <v>01078899</v>
      </c>
    </row>
    <row r="31774" spans="1:2" x14ac:dyDescent="0.25">
      <c r="A31774" s="2">
        <v>31769</v>
      </c>
      <c r="B31774" s="11" t="str">
        <f>"01078901"</f>
        <v>01078901</v>
      </c>
    </row>
    <row r="31775" spans="1:2" x14ac:dyDescent="0.25">
      <c r="A31775" s="2">
        <v>31770</v>
      </c>
      <c r="B31775" s="11" t="str">
        <f>"01078908"</f>
        <v>01078908</v>
      </c>
    </row>
    <row r="31776" spans="1:2" x14ac:dyDescent="0.25">
      <c r="A31776" s="2">
        <v>31771</v>
      </c>
      <c r="B31776" s="11" t="str">
        <f>"01078911"</f>
        <v>01078911</v>
      </c>
    </row>
    <row r="31777" spans="1:2" x14ac:dyDescent="0.25">
      <c r="A31777" s="2">
        <v>31772</v>
      </c>
      <c r="B31777" s="11" t="str">
        <f>"01078913"</f>
        <v>01078913</v>
      </c>
    </row>
    <row r="31778" spans="1:2" x14ac:dyDescent="0.25">
      <c r="A31778" s="2">
        <v>31773</v>
      </c>
      <c r="B31778" s="11" t="str">
        <f>"01078919"</f>
        <v>01078919</v>
      </c>
    </row>
    <row r="31779" spans="1:2" x14ac:dyDescent="0.25">
      <c r="A31779" s="2">
        <v>31774</v>
      </c>
      <c r="B31779" s="11" t="str">
        <f>"01078920"</f>
        <v>01078920</v>
      </c>
    </row>
    <row r="31780" spans="1:2" x14ac:dyDescent="0.25">
      <c r="A31780" s="2">
        <v>31775</v>
      </c>
      <c r="B31780" s="11" t="str">
        <f>"01078922"</f>
        <v>01078922</v>
      </c>
    </row>
    <row r="31781" spans="1:2" x14ac:dyDescent="0.25">
      <c r="A31781" s="2">
        <v>31776</v>
      </c>
      <c r="B31781" s="11" t="str">
        <f>"01078925"</f>
        <v>01078925</v>
      </c>
    </row>
    <row r="31782" spans="1:2" x14ac:dyDescent="0.25">
      <c r="A31782" s="2">
        <v>31777</v>
      </c>
      <c r="B31782" s="11" t="str">
        <f>"01078927"</f>
        <v>01078927</v>
      </c>
    </row>
    <row r="31783" spans="1:2" x14ac:dyDescent="0.25">
      <c r="A31783" s="2">
        <v>31778</v>
      </c>
      <c r="B31783" s="11" t="str">
        <f>"01078929"</f>
        <v>01078929</v>
      </c>
    </row>
    <row r="31784" spans="1:2" x14ac:dyDescent="0.25">
      <c r="A31784" s="2">
        <v>31779</v>
      </c>
      <c r="B31784" s="11" t="str">
        <f>"01078940"</f>
        <v>01078940</v>
      </c>
    </row>
    <row r="31785" spans="1:2" x14ac:dyDescent="0.25">
      <c r="A31785" s="2">
        <v>31780</v>
      </c>
      <c r="B31785" s="11" t="str">
        <f>"01078942"</f>
        <v>01078942</v>
      </c>
    </row>
    <row r="31786" spans="1:2" x14ac:dyDescent="0.25">
      <c r="A31786" s="2">
        <v>31781</v>
      </c>
      <c r="B31786" s="11" t="str">
        <f>"01078944"</f>
        <v>01078944</v>
      </c>
    </row>
    <row r="31787" spans="1:2" x14ac:dyDescent="0.25">
      <c r="A31787" s="2">
        <v>31782</v>
      </c>
      <c r="B31787" s="11" t="str">
        <f>"01078945"</f>
        <v>01078945</v>
      </c>
    </row>
    <row r="31788" spans="1:2" x14ac:dyDescent="0.25">
      <c r="A31788" s="2">
        <v>31783</v>
      </c>
      <c r="B31788" s="11" t="str">
        <f>"01078946"</f>
        <v>01078946</v>
      </c>
    </row>
    <row r="31789" spans="1:2" x14ac:dyDescent="0.25">
      <c r="A31789" s="2">
        <v>31784</v>
      </c>
      <c r="B31789" s="11" t="str">
        <f>"01078951"</f>
        <v>01078951</v>
      </c>
    </row>
    <row r="31790" spans="1:2" x14ac:dyDescent="0.25">
      <c r="A31790" s="2">
        <v>31785</v>
      </c>
      <c r="B31790" s="11" t="str">
        <f>"01078955"</f>
        <v>01078955</v>
      </c>
    </row>
    <row r="31791" spans="1:2" x14ac:dyDescent="0.25">
      <c r="A31791" s="2">
        <v>31786</v>
      </c>
      <c r="B31791" s="11" t="str">
        <f>"01078966"</f>
        <v>01078966</v>
      </c>
    </row>
    <row r="31792" spans="1:2" x14ac:dyDescent="0.25">
      <c r="A31792" s="2">
        <v>31787</v>
      </c>
      <c r="B31792" s="11" t="str">
        <f>"01078968"</f>
        <v>01078968</v>
      </c>
    </row>
    <row r="31793" spans="1:2" x14ac:dyDescent="0.25">
      <c r="A31793" s="2">
        <v>31788</v>
      </c>
      <c r="B31793" s="11" t="str">
        <f>"01078972"</f>
        <v>01078972</v>
      </c>
    </row>
    <row r="31794" spans="1:2" x14ac:dyDescent="0.25">
      <c r="A31794" s="2">
        <v>31789</v>
      </c>
      <c r="B31794" s="11" t="str">
        <f>"01078975"</f>
        <v>01078975</v>
      </c>
    </row>
    <row r="31795" spans="1:2" x14ac:dyDescent="0.25">
      <c r="A31795" s="2">
        <v>31790</v>
      </c>
      <c r="B31795" s="11" t="str">
        <f>"01078981"</f>
        <v>01078981</v>
      </c>
    </row>
    <row r="31796" spans="1:2" x14ac:dyDescent="0.25">
      <c r="A31796" s="2">
        <v>31791</v>
      </c>
      <c r="B31796" s="11" t="str">
        <f>"01078984"</f>
        <v>01078984</v>
      </c>
    </row>
    <row r="31797" spans="1:2" x14ac:dyDescent="0.25">
      <c r="A31797" s="2">
        <v>31792</v>
      </c>
      <c r="B31797" s="11" t="str">
        <f>"01078985"</f>
        <v>01078985</v>
      </c>
    </row>
    <row r="31798" spans="1:2" x14ac:dyDescent="0.25">
      <c r="A31798" s="2">
        <v>31793</v>
      </c>
      <c r="B31798" s="11" t="str">
        <f>"01078994"</f>
        <v>01078994</v>
      </c>
    </row>
    <row r="31799" spans="1:2" x14ac:dyDescent="0.25">
      <c r="A31799" s="2">
        <v>31794</v>
      </c>
      <c r="B31799" s="11" t="str">
        <f>"01079002"</f>
        <v>01079002</v>
      </c>
    </row>
    <row r="31800" spans="1:2" x14ac:dyDescent="0.25">
      <c r="A31800" s="2">
        <v>31795</v>
      </c>
      <c r="B31800" s="11" t="str">
        <f>"01079012"</f>
        <v>01079012</v>
      </c>
    </row>
    <row r="31801" spans="1:2" x14ac:dyDescent="0.25">
      <c r="A31801" s="2">
        <v>31796</v>
      </c>
      <c r="B31801" s="11" t="str">
        <f>"01079016"</f>
        <v>01079016</v>
      </c>
    </row>
    <row r="31802" spans="1:2" x14ac:dyDescent="0.25">
      <c r="A31802" s="2">
        <v>31797</v>
      </c>
      <c r="B31802" s="11" t="str">
        <f>"01079017"</f>
        <v>01079017</v>
      </c>
    </row>
    <row r="31803" spans="1:2" x14ac:dyDescent="0.25">
      <c r="A31803" s="2">
        <v>31798</v>
      </c>
      <c r="B31803" s="11" t="str">
        <f>"01079020"</f>
        <v>01079020</v>
      </c>
    </row>
    <row r="31804" spans="1:2" x14ac:dyDescent="0.25">
      <c r="A31804" s="2">
        <v>31799</v>
      </c>
      <c r="B31804" s="11" t="str">
        <f>"01079026"</f>
        <v>01079026</v>
      </c>
    </row>
    <row r="31805" spans="1:2" x14ac:dyDescent="0.25">
      <c r="A31805" s="2">
        <v>31800</v>
      </c>
      <c r="B31805" s="11" t="str">
        <f>"01079027"</f>
        <v>01079027</v>
      </c>
    </row>
    <row r="31806" spans="1:2" x14ac:dyDescent="0.25">
      <c r="A31806" s="2">
        <v>31801</v>
      </c>
      <c r="B31806" s="11" t="str">
        <f>"01079032"</f>
        <v>01079032</v>
      </c>
    </row>
    <row r="31807" spans="1:2" x14ac:dyDescent="0.25">
      <c r="A31807" s="2">
        <v>31802</v>
      </c>
      <c r="B31807" s="11" t="str">
        <f>"01079038"</f>
        <v>01079038</v>
      </c>
    </row>
    <row r="31808" spans="1:2" x14ac:dyDescent="0.25">
      <c r="A31808" s="2">
        <v>31803</v>
      </c>
      <c r="B31808" s="11" t="str">
        <f>"01079039"</f>
        <v>01079039</v>
      </c>
    </row>
    <row r="31809" spans="1:2" x14ac:dyDescent="0.25">
      <c r="A31809" s="2">
        <v>31804</v>
      </c>
      <c r="B31809" s="11" t="str">
        <f>"01079043"</f>
        <v>01079043</v>
      </c>
    </row>
    <row r="31810" spans="1:2" x14ac:dyDescent="0.25">
      <c r="A31810" s="2">
        <v>31805</v>
      </c>
      <c r="B31810" s="11" t="str">
        <f>"01079049"</f>
        <v>01079049</v>
      </c>
    </row>
    <row r="31811" spans="1:2" x14ac:dyDescent="0.25">
      <c r="A31811" s="2">
        <v>31806</v>
      </c>
      <c r="B31811" s="11" t="str">
        <f>"01079054"</f>
        <v>01079054</v>
      </c>
    </row>
    <row r="31812" spans="1:2" x14ac:dyDescent="0.25">
      <c r="A31812" s="2">
        <v>31807</v>
      </c>
      <c r="B31812" s="11" t="str">
        <f>"01079058"</f>
        <v>01079058</v>
      </c>
    </row>
    <row r="31813" spans="1:2" x14ac:dyDescent="0.25">
      <c r="A31813" s="2">
        <v>31808</v>
      </c>
      <c r="B31813" s="11" t="str">
        <f>"01079060"</f>
        <v>01079060</v>
      </c>
    </row>
    <row r="31814" spans="1:2" x14ac:dyDescent="0.25">
      <c r="A31814" s="2">
        <v>31809</v>
      </c>
      <c r="B31814" s="11" t="str">
        <f>"01079085"</f>
        <v>01079085</v>
      </c>
    </row>
    <row r="31815" spans="1:2" x14ac:dyDescent="0.25">
      <c r="A31815" s="2">
        <v>31810</v>
      </c>
      <c r="B31815" s="11" t="str">
        <f>"01079086"</f>
        <v>01079086</v>
      </c>
    </row>
    <row r="31816" spans="1:2" x14ac:dyDescent="0.25">
      <c r="A31816" s="2">
        <v>31811</v>
      </c>
      <c r="B31816" s="11" t="str">
        <f>"01079087"</f>
        <v>01079087</v>
      </c>
    </row>
    <row r="31817" spans="1:2" x14ac:dyDescent="0.25">
      <c r="A31817" s="2">
        <v>31812</v>
      </c>
      <c r="B31817" s="11" t="str">
        <f>"01079089"</f>
        <v>01079089</v>
      </c>
    </row>
    <row r="31818" spans="1:2" x14ac:dyDescent="0.25">
      <c r="A31818" s="2">
        <v>31813</v>
      </c>
      <c r="B31818" s="11" t="str">
        <f>"01079092"</f>
        <v>01079092</v>
      </c>
    </row>
    <row r="31819" spans="1:2" x14ac:dyDescent="0.25">
      <c r="A31819" s="2">
        <v>31814</v>
      </c>
      <c r="B31819" s="11" t="str">
        <f>"01079094"</f>
        <v>01079094</v>
      </c>
    </row>
    <row r="31820" spans="1:2" x14ac:dyDescent="0.25">
      <c r="A31820" s="2">
        <v>31815</v>
      </c>
      <c r="B31820" s="11" t="str">
        <f>"01079096"</f>
        <v>01079096</v>
      </c>
    </row>
    <row r="31821" spans="1:2" x14ac:dyDescent="0.25">
      <c r="A31821" s="2">
        <v>31816</v>
      </c>
      <c r="B31821" s="11" t="str">
        <f>"01079102"</f>
        <v>01079102</v>
      </c>
    </row>
    <row r="31822" spans="1:2" x14ac:dyDescent="0.25">
      <c r="A31822" s="2">
        <v>31817</v>
      </c>
      <c r="B31822" s="11" t="str">
        <f>"01079105"</f>
        <v>01079105</v>
      </c>
    </row>
    <row r="31823" spans="1:2" x14ac:dyDescent="0.25">
      <c r="A31823" s="2">
        <v>31818</v>
      </c>
      <c r="B31823" s="11" t="str">
        <f>"01079106"</f>
        <v>01079106</v>
      </c>
    </row>
    <row r="31824" spans="1:2" x14ac:dyDescent="0.25">
      <c r="A31824" s="2">
        <v>31819</v>
      </c>
      <c r="B31824" s="11" t="str">
        <f>"01079114"</f>
        <v>01079114</v>
      </c>
    </row>
    <row r="31825" spans="1:2" x14ac:dyDescent="0.25">
      <c r="A31825" s="2">
        <v>31820</v>
      </c>
      <c r="B31825" s="11" t="str">
        <f>"01079115"</f>
        <v>01079115</v>
      </c>
    </row>
    <row r="31826" spans="1:2" x14ac:dyDescent="0.25">
      <c r="A31826" s="2">
        <v>31821</v>
      </c>
      <c r="B31826" s="11" t="str">
        <f>"01079117"</f>
        <v>01079117</v>
      </c>
    </row>
    <row r="31827" spans="1:2" x14ac:dyDescent="0.25">
      <c r="A31827" s="2">
        <v>31822</v>
      </c>
      <c r="B31827" s="11" t="str">
        <f>"01079120"</f>
        <v>01079120</v>
      </c>
    </row>
    <row r="31828" spans="1:2" x14ac:dyDescent="0.25">
      <c r="A31828" s="2">
        <v>31823</v>
      </c>
      <c r="B31828" s="11" t="str">
        <f>"01079124"</f>
        <v>01079124</v>
      </c>
    </row>
    <row r="31829" spans="1:2" x14ac:dyDescent="0.25">
      <c r="A31829" s="2">
        <v>31824</v>
      </c>
      <c r="B31829" s="11" t="str">
        <f>"01079125"</f>
        <v>01079125</v>
      </c>
    </row>
    <row r="31830" spans="1:2" x14ac:dyDescent="0.25">
      <c r="A31830" s="2">
        <v>31825</v>
      </c>
      <c r="B31830" s="11" t="str">
        <f>"01079127"</f>
        <v>01079127</v>
      </c>
    </row>
    <row r="31831" spans="1:2" x14ac:dyDescent="0.25">
      <c r="A31831" s="2">
        <v>31826</v>
      </c>
      <c r="B31831" s="11" t="str">
        <f>"01079135"</f>
        <v>01079135</v>
      </c>
    </row>
    <row r="31832" spans="1:2" x14ac:dyDescent="0.25">
      <c r="A31832" s="2">
        <v>31827</v>
      </c>
      <c r="B31832" s="11" t="str">
        <f>"01079136"</f>
        <v>01079136</v>
      </c>
    </row>
    <row r="31833" spans="1:2" x14ac:dyDescent="0.25">
      <c r="A31833" s="2">
        <v>31828</v>
      </c>
      <c r="B31833" s="11" t="str">
        <f>"01079145"</f>
        <v>01079145</v>
      </c>
    </row>
    <row r="31834" spans="1:2" x14ac:dyDescent="0.25">
      <c r="A31834" s="2">
        <v>31829</v>
      </c>
      <c r="B31834" s="11" t="str">
        <f>"01079148"</f>
        <v>01079148</v>
      </c>
    </row>
    <row r="31835" spans="1:2" x14ac:dyDescent="0.25">
      <c r="A31835" s="2">
        <v>31830</v>
      </c>
      <c r="B31835" s="11" t="str">
        <f>"01079150"</f>
        <v>01079150</v>
      </c>
    </row>
    <row r="31836" spans="1:2" x14ac:dyDescent="0.25">
      <c r="A31836" s="2">
        <v>31831</v>
      </c>
      <c r="B31836" s="11" t="str">
        <f>"01079152"</f>
        <v>01079152</v>
      </c>
    </row>
    <row r="31837" spans="1:2" x14ac:dyDescent="0.25">
      <c r="A31837" s="2">
        <v>31832</v>
      </c>
      <c r="B31837" s="11" t="str">
        <f>"01079153"</f>
        <v>01079153</v>
      </c>
    </row>
    <row r="31838" spans="1:2" x14ac:dyDescent="0.25">
      <c r="A31838" s="2">
        <v>31833</v>
      </c>
      <c r="B31838" s="11" t="str">
        <f>"01079162"</f>
        <v>01079162</v>
      </c>
    </row>
    <row r="31839" spans="1:2" x14ac:dyDescent="0.25">
      <c r="A31839" s="2">
        <v>31834</v>
      </c>
      <c r="B31839" s="11" t="str">
        <f>"01079164"</f>
        <v>01079164</v>
      </c>
    </row>
    <row r="31840" spans="1:2" x14ac:dyDescent="0.25">
      <c r="A31840" s="2">
        <v>31835</v>
      </c>
      <c r="B31840" s="11" t="str">
        <f>"01079173"</f>
        <v>01079173</v>
      </c>
    </row>
    <row r="31841" spans="1:2" x14ac:dyDescent="0.25">
      <c r="A31841" s="2">
        <v>31836</v>
      </c>
      <c r="B31841" s="11" t="str">
        <f>"01079190"</f>
        <v>01079190</v>
      </c>
    </row>
    <row r="31842" spans="1:2" x14ac:dyDescent="0.25">
      <c r="A31842" s="2">
        <v>31837</v>
      </c>
      <c r="B31842" s="11" t="str">
        <f>"01079195"</f>
        <v>01079195</v>
      </c>
    </row>
    <row r="31843" spans="1:2" x14ac:dyDescent="0.25">
      <c r="A31843" s="2">
        <v>31838</v>
      </c>
      <c r="B31843" s="11" t="str">
        <f>"01079199"</f>
        <v>01079199</v>
      </c>
    </row>
    <row r="31844" spans="1:2" x14ac:dyDescent="0.25">
      <c r="A31844" s="2">
        <v>31839</v>
      </c>
      <c r="B31844" s="11" t="str">
        <f>"01079202"</f>
        <v>01079202</v>
      </c>
    </row>
    <row r="31845" spans="1:2" x14ac:dyDescent="0.25">
      <c r="A31845" s="2">
        <v>31840</v>
      </c>
      <c r="B31845" s="11" t="str">
        <f>"01079206"</f>
        <v>01079206</v>
      </c>
    </row>
    <row r="31846" spans="1:2" x14ac:dyDescent="0.25">
      <c r="A31846" s="2">
        <v>31841</v>
      </c>
      <c r="B31846" s="11" t="str">
        <f>"01079207"</f>
        <v>01079207</v>
      </c>
    </row>
    <row r="31847" spans="1:2" x14ac:dyDescent="0.25">
      <c r="A31847" s="2">
        <v>31842</v>
      </c>
      <c r="B31847" s="11" t="str">
        <f>"01079208"</f>
        <v>01079208</v>
      </c>
    </row>
    <row r="31848" spans="1:2" x14ac:dyDescent="0.25">
      <c r="A31848" s="2">
        <v>31843</v>
      </c>
      <c r="B31848" s="11" t="str">
        <f>"01079209"</f>
        <v>01079209</v>
      </c>
    </row>
    <row r="31849" spans="1:2" x14ac:dyDescent="0.25">
      <c r="A31849" s="2">
        <v>31844</v>
      </c>
      <c r="B31849" s="11" t="str">
        <f>"01079222"</f>
        <v>01079222</v>
      </c>
    </row>
    <row r="31850" spans="1:2" x14ac:dyDescent="0.25">
      <c r="A31850" s="2">
        <v>31845</v>
      </c>
      <c r="B31850" s="11" t="str">
        <f>"01079233"</f>
        <v>01079233</v>
      </c>
    </row>
    <row r="31851" spans="1:2" x14ac:dyDescent="0.25">
      <c r="A31851" s="2">
        <v>31846</v>
      </c>
      <c r="B31851" s="11" t="str">
        <f>"01079234"</f>
        <v>01079234</v>
      </c>
    </row>
    <row r="31852" spans="1:2" x14ac:dyDescent="0.25">
      <c r="A31852" s="2">
        <v>31847</v>
      </c>
      <c r="B31852" s="11" t="str">
        <f>"01079238"</f>
        <v>01079238</v>
      </c>
    </row>
    <row r="31853" spans="1:2" x14ac:dyDescent="0.25">
      <c r="A31853" s="2">
        <v>31848</v>
      </c>
      <c r="B31853" s="11" t="str">
        <f>"01079239"</f>
        <v>01079239</v>
      </c>
    </row>
    <row r="31854" spans="1:2" x14ac:dyDescent="0.25">
      <c r="A31854" s="2">
        <v>31849</v>
      </c>
      <c r="B31854" s="11" t="str">
        <f>"01079240"</f>
        <v>01079240</v>
      </c>
    </row>
    <row r="31855" spans="1:2" x14ac:dyDescent="0.25">
      <c r="A31855" s="2">
        <v>31850</v>
      </c>
      <c r="B31855" s="11" t="str">
        <f>"01079241"</f>
        <v>01079241</v>
      </c>
    </row>
    <row r="31856" spans="1:2" x14ac:dyDescent="0.25">
      <c r="A31856" s="2">
        <v>31851</v>
      </c>
      <c r="B31856" s="11" t="str">
        <f>"01079254"</f>
        <v>01079254</v>
      </c>
    </row>
    <row r="31857" spans="1:2" x14ac:dyDescent="0.25">
      <c r="A31857" s="2">
        <v>31852</v>
      </c>
      <c r="B31857" s="11" t="str">
        <f>"01079257"</f>
        <v>01079257</v>
      </c>
    </row>
    <row r="31858" spans="1:2" x14ac:dyDescent="0.25">
      <c r="A31858" s="2">
        <v>31853</v>
      </c>
      <c r="B31858" s="11" t="str">
        <f>"01079261"</f>
        <v>01079261</v>
      </c>
    </row>
    <row r="31859" spans="1:2" x14ac:dyDescent="0.25">
      <c r="A31859" s="2">
        <v>31854</v>
      </c>
      <c r="B31859" s="11" t="str">
        <f>"01079262"</f>
        <v>01079262</v>
      </c>
    </row>
    <row r="31860" spans="1:2" x14ac:dyDescent="0.25">
      <c r="A31860" s="2">
        <v>31855</v>
      </c>
      <c r="B31860" s="11" t="str">
        <f>"01079263"</f>
        <v>01079263</v>
      </c>
    </row>
    <row r="31861" spans="1:2" x14ac:dyDescent="0.25">
      <c r="A31861" s="2">
        <v>31856</v>
      </c>
      <c r="B31861" s="11" t="str">
        <f>"01079266"</f>
        <v>01079266</v>
      </c>
    </row>
    <row r="31862" spans="1:2" x14ac:dyDescent="0.25">
      <c r="A31862" s="2">
        <v>31857</v>
      </c>
      <c r="B31862" s="11" t="str">
        <f>"01079272"</f>
        <v>01079272</v>
      </c>
    </row>
    <row r="31863" spans="1:2" x14ac:dyDescent="0.25">
      <c r="A31863" s="2">
        <v>31858</v>
      </c>
      <c r="B31863" s="11" t="str">
        <f>"01079273"</f>
        <v>01079273</v>
      </c>
    </row>
    <row r="31864" spans="1:2" x14ac:dyDescent="0.25">
      <c r="A31864" s="2">
        <v>31859</v>
      </c>
      <c r="B31864" s="11" t="str">
        <f>"01079274"</f>
        <v>01079274</v>
      </c>
    </row>
    <row r="31865" spans="1:2" x14ac:dyDescent="0.25">
      <c r="A31865" s="2">
        <v>31860</v>
      </c>
      <c r="B31865" s="11" t="str">
        <f>"01079276"</f>
        <v>01079276</v>
      </c>
    </row>
    <row r="31866" spans="1:2" x14ac:dyDescent="0.25">
      <c r="A31866" s="2">
        <v>31861</v>
      </c>
      <c r="B31866" s="11" t="str">
        <f>"01079279"</f>
        <v>01079279</v>
      </c>
    </row>
    <row r="31867" spans="1:2" x14ac:dyDescent="0.25">
      <c r="A31867" s="2">
        <v>31862</v>
      </c>
      <c r="B31867" s="11" t="str">
        <f>"01079284"</f>
        <v>01079284</v>
      </c>
    </row>
    <row r="31868" spans="1:2" x14ac:dyDescent="0.25">
      <c r="A31868" s="2">
        <v>31863</v>
      </c>
      <c r="B31868" s="11" t="str">
        <f>"01079291"</f>
        <v>01079291</v>
      </c>
    </row>
    <row r="31869" spans="1:2" x14ac:dyDescent="0.25">
      <c r="A31869" s="2">
        <v>31864</v>
      </c>
      <c r="B31869" s="11" t="str">
        <f>"01079293"</f>
        <v>01079293</v>
      </c>
    </row>
    <row r="31870" spans="1:2" x14ac:dyDescent="0.25">
      <c r="A31870" s="2">
        <v>31865</v>
      </c>
      <c r="B31870" s="11" t="str">
        <f>"01079295"</f>
        <v>01079295</v>
      </c>
    </row>
    <row r="31871" spans="1:2" x14ac:dyDescent="0.25">
      <c r="A31871" s="2">
        <v>31866</v>
      </c>
      <c r="B31871" s="11" t="str">
        <f>"01079297"</f>
        <v>01079297</v>
      </c>
    </row>
    <row r="31872" spans="1:2" x14ac:dyDescent="0.25">
      <c r="A31872" s="2">
        <v>31867</v>
      </c>
      <c r="B31872" s="11" t="str">
        <f>"01079299"</f>
        <v>01079299</v>
      </c>
    </row>
    <row r="31873" spans="1:2" x14ac:dyDescent="0.25">
      <c r="A31873" s="2">
        <v>31868</v>
      </c>
      <c r="B31873" s="11" t="str">
        <f>"01079300"</f>
        <v>01079300</v>
      </c>
    </row>
    <row r="31874" spans="1:2" x14ac:dyDescent="0.25">
      <c r="A31874" s="2">
        <v>31869</v>
      </c>
      <c r="B31874" s="11" t="str">
        <f>"01079303"</f>
        <v>01079303</v>
      </c>
    </row>
    <row r="31875" spans="1:2" x14ac:dyDescent="0.25">
      <c r="A31875" s="2">
        <v>31870</v>
      </c>
      <c r="B31875" s="11" t="str">
        <f>"01079304"</f>
        <v>01079304</v>
      </c>
    </row>
    <row r="31876" spans="1:2" x14ac:dyDescent="0.25">
      <c r="A31876" s="2">
        <v>31871</v>
      </c>
      <c r="B31876" s="11" t="str">
        <f>"01079306"</f>
        <v>01079306</v>
      </c>
    </row>
    <row r="31877" spans="1:2" x14ac:dyDescent="0.25">
      <c r="A31877" s="2">
        <v>31872</v>
      </c>
      <c r="B31877" s="11" t="str">
        <f>"01079308"</f>
        <v>01079308</v>
      </c>
    </row>
    <row r="31878" spans="1:2" x14ac:dyDescent="0.25">
      <c r="A31878" s="2">
        <v>31873</v>
      </c>
      <c r="B31878" s="11" t="str">
        <f>"01079312"</f>
        <v>01079312</v>
      </c>
    </row>
    <row r="31879" spans="1:2" x14ac:dyDescent="0.25">
      <c r="A31879" s="2">
        <v>31874</v>
      </c>
      <c r="B31879" s="11" t="str">
        <f>"01079316"</f>
        <v>01079316</v>
      </c>
    </row>
    <row r="31880" spans="1:2" x14ac:dyDescent="0.25">
      <c r="A31880" s="2">
        <v>31875</v>
      </c>
      <c r="B31880" s="11" t="str">
        <f>"01079325"</f>
        <v>01079325</v>
      </c>
    </row>
    <row r="31881" spans="1:2" x14ac:dyDescent="0.25">
      <c r="A31881" s="2">
        <v>31876</v>
      </c>
      <c r="B31881" s="11" t="str">
        <f>"01079331"</f>
        <v>01079331</v>
      </c>
    </row>
    <row r="31882" spans="1:2" x14ac:dyDescent="0.25">
      <c r="A31882" s="2">
        <v>31877</v>
      </c>
      <c r="B31882" s="11" t="str">
        <f>"01079343"</f>
        <v>01079343</v>
      </c>
    </row>
    <row r="31883" spans="1:2" x14ac:dyDescent="0.25">
      <c r="A31883" s="2">
        <v>31878</v>
      </c>
      <c r="B31883" s="11" t="str">
        <f>"01079356"</f>
        <v>01079356</v>
      </c>
    </row>
    <row r="31884" spans="1:2" x14ac:dyDescent="0.25">
      <c r="A31884" s="2">
        <v>31879</v>
      </c>
      <c r="B31884" s="11" t="str">
        <f>"01079359"</f>
        <v>01079359</v>
      </c>
    </row>
    <row r="31885" spans="1:2" x14ac:dyDescent="0.25">
      <c r="A31885" s="2">
        <v>31880</v>
      </c>
      <c r="B31885" s="11" t="str">
        <f>"01079360"</f>
        <v>01079360</v>
      </c>
    </row>
    <row r="31886" spans="1:2" x14ac:dyDescent="0.25">
      <c r="A31886" s="2">
        <v>31881</v>
      </c>
      <c r="B31886" s="11" t="str">
        <f>"01079362"</f>
        <v>01079362</v>
      </c>
    </row>
    <row r="31887" spans="1:2" x14ac:dyDescent="0.25">
      <c r="A31887" s="2">
        <v>31882</v>
      </c>
      <c r="B31887" s="11" t="str">
        <f>"01079381"</f>
        <v>01079381</v>
      </c>
    </row>
    <row r="31888" spans="1:2" x14ac:dyDescent="0.25">
      <c r="A31888" s="2">
        <v>31883</v>
      </c>
      <c r="B31888" s="11" t="str">
        <f>"01079384"</f>
        <v>01079384</v>
      </c>
    </row>
    <row r="31889" spans="1:2" x14ac:dyDescent="0.25">
      <c r="A31889" s="2">
        <v>31884</v>
      </c>
      <c r="B31889" s="11" t="str">
        <f>"01079385"</f>
        <v>01079385</v>
      </c>
    </row>
    <row r="31890" spans="1:2" x14ac:dyDescent="0.25">
      <c r="A31890" s="2">
        <v>31885</v>
      </c>
      <c r="B31890" s="11" t="str">
        <f>"01079397"</f>
        <v>01079397</v>
      </c>
    </row>
    <row r="31891" spans="1:2" x14ac:dyDescent="0.25">
      <c r="A31891" s="2">
        <v>31886</v>
      </c>
      <c r="B31891" s="11" t="str">
        <f>"01079398"</f>
        <v>01079398</v>
      </c>
    </row>
    <row r="31892" spans="1:2" x14ac:dyDescent="0.25">
      <c r="A31892" s="2">
        <v>31887</v>
      </c>
      <c r="B31892" s="11" t="str">
        <f>"01079401"</f>
        <v>01079401</v>
      </c>
    </row>
    <row r="31893" spans="1:2" x14ac:dyDescent="0.25">
      <c r="A31893" s="2">
        <v>31888</v>
      </c>
      <c r="B31893" s="11" t="str">
        <f>"01079402"</f>
        <v>01079402</v>
      </c>
    </row>
    <row r="31894" spans="1:2" x14ac:dyDescent="0.25">
      <c r="A31894" s="2">
        <v>31889</v>
      </c>
      <c r="B31894" s="11" t="str">
        <f>"01079403"</f>
        <v>01079403</v>
      </c>
    </row>
    <row r="31895" spans="1:2" x14ac:dyDescent="0.25">
      <c r="A31895" s="2">
        <v>31890</v>
      </c>
      <c r="B31895" s="11" t="str">
        <f>"01079407"</f>
        <v>01079407</v>
      </c>
    </row>
    <row r="31896" spans="1:2" x14ac:dyDescent="0.25">
      <c r="A31896" s="2">
        <v>31891</v>
      </c>
      <c r="B31896" s="11" t="str">
        <f>"01079409"</f>
        <v>01079409</v>
      </c>
    </row>
    <row r="31897" spans="1:2" x14ac:dyDescent="0.25">
      <c r="A31897" s="2">
        <v>31892</v>
      </c>
      <c r="B31897" s="11" t="str">
        <f>"01079411"</f>
        <v>01079411</v>
      </c>
    </row>
    <row r="31898" spans="1:2" x14ac:dyDescent="0.25">
      <c r="A31898" s="2">
        <v>31893</v>
      </c>
      <c r="B31898" s="11" t="str">
        <f>"01079419"</f>
        <v>01079419</v>
      </c>
    </row>
    <row r="31899" spans="1:2" x14ac:dyDescent="0.25">
      <c r="A31899" s="2">
        <v>31894</v>
      </c>
      <c r="B31899" s="11" t="str">
        <f>"01079420"</f>
        <v>01079420</v>
      </c>
    </row>
    <row r="31900" spans="1:2" x14ac:dyDescent="0.25">
      <c r="A31900" s="2">
        <v>31895</v>
      </c>
      <c r="B31900" s="11" t="str">
        <f>"01079421"</f>
        <v>01079421</v>
      </c>
    </row>
    <row r="31901" spans="1:2" x14ac:dyDescent="0.25">
      <c r="A31901" s="2">
        <v>31896</v>
      </c>
      <c r="B31901" s="11" t="str">
        <f>"01079426"</f>
        <v>01079426</v>
      </c>
    </row>
    <row r="31902" spans="1:2" x14ac:dyDescent="0.25">
      <c r="A31902" s="2">
        <v>31897</v>
      </c>
      <c r="B31902" s="11" t="str">
        <f>"01079430"</f>
        <v>01079430</v>
      </c>
    </row>
    <row r="31903" spans="1:2" x14ac:dyDescent="0.25">
      <c r="A31903" s="2">
        <v>31898</v>
      </c>
      <c r="B31903" s="11" t="str">
        <f>"01079431"</f>
        <v>01079431</v>
      </c>
    </row>
    <row r="31904" spans="1:2" x14ac:dyDescent="0.25">
      <c r="A31904" s="2">
        <v>31899</v>
      </c>
      <c r="B31904" s="11" t="str">
        <f>"01079432"</f>
        <v>01079432</v>
      </c>
    </row>
    <row r="31905" spans="1:2" x14ac:dyDescent="0.25">
      <c r="A31905" s="2">
        <v>31900</v>
      </c>
      <c r="B31905" s="11" t="str">
        <f>"01079437"</f>
        <v>01079437</v>
      </c>
    </row>
    <row r="31906" spans="1:2" x14ac:dyDescent="0.25">
      <c r="A31906" s="2">
        <v>31901</v>
      </c>
      <c r="B31906" s="11" t="str">
        <f>"01079441"</f>
        <v>01079441</v>
      </c>
    </row>
    <row r="31907" spans="1:2" x14ac:dyDescent="0.25">
      <c r="A31907" s="2">
        <v>31902</v>
      </c>
      <c r="B31907" s="11" t="str">
        <f>"01079442"</f>
        <v>01079442</v>
      </c>
    </row>
    <row r="31908" spans="1:2" x14ac:dyDescent="0.25">
      <c r="A31908" s="2">
        <v>31903</v>
      </c>
      <c r="B31908" s="11" t="str">
        <f>"01079443"</f>
        <v>01079443</v>
      </c>
    </row>
    <row r="31909" spans="1:2" x14ac:dyDescent="0.25">
      <c r="A31909" s="2">
        <v>31904</v>
      </c>
      <c r="B31909" s="11" t="str">
        <f>"01079447"</f>
        <v>01079447</v>
      </c>
    </row>
    <row r="31910" spans="1:2" x14ac:dyDescent="0.25">
      <c r="A31910" s="2">
        <v>31905</v>
      </c>
      <c r="B31910" s="11" t="str">
        <f>"01079450"</f>
        <v>01079450</v>
      </c>
    </row>
    <row r="31911" spans="1:2" x14ac:dyDescent="0.25">
      <c r="A31911" s="2">
        <v>31906</v>
      </c>
      <c r="B31911" s="11" t="str">
        <f>"01079451"</f>
        <v>01079451</v>
      </c>
    </row>
    <row r="31912" spans="1:2" x14ac:dyDescent="0.25">
      <c r="A31912" s="2">
        <v>31907</v>
      </c>
      <c r="B31912" s="11" t="str">
        <f>"01079453"</f>
        <v>01079453</v>
      </c>
    </row>
    <row r="31913" spans="1:2" x14ac:dyDescent="0.25">
      <c r="A31913" s="2">
        <v>31908</v>
      </c>
      <c r="B31913" s="11" t="str">
        <f>"01079456"</f>
        <v>01079456</v>
      </c>
    </row>
    <row r="31914" spans="1:2" x14ac:dyDescent="0.25">
      <c r="A31914" s="2">
        <v>31909</v>
      </c>
      <c r="B31914" s="11" t="str">
        <f>"01079458"</f>
        <v>01079458</v>
      </c>
    </row>
    <row r="31915" spans="1:2" x14ac:dyDescent="0.25">
      <c r="A31915" s="2">
        <v>31910</v>
      </c>
      <c r="B31915" s="11" t="str">
        <f>"01079460"</f>
        <v>01079460</v>
      </c>
    </row>
    <row r="31916" spans="1:2" x14ac:dyDescent="0.25">
      <c r="A31916" s="2">
        <v>31911</v>
      </c>
      <c r="B31916" s="11" t="str">
        <f>"01079465"</f>
        <v>01079465</v>
      </c>
    </row>
    <row r="31917" spans="1:2" x14ac:dyDescent="0.25">
      <c r="A31917" s="2">
        <v>31912</v>
      </c>
      <c r="B31917" s="11" t="str">
        <f>"01079474"</f>
        <v>01079474</v>
      </c>
    </row>
    <row r="31918" spans="1:2" x14ac:dyDescent="0.25">
      <c r="A31918" s="2">
        <v>31913</v>
      </c>
      <c r="B31918" s="11" t="str">
        <f>"01079476"</f>
        <v>01079476</v>
      </c>
    </row>
    <row r="31919" spans="1:2" x14ac:dyDescent="0.25">
      <c r="A31919" s="2">
        <v>31914</v>
      </c>
      <c r="B31919" s="11" t="str">
        <f>"01079477"</f>
        <v>01079477</v>
      </c>
    </row>
    <row r="31920" spans="1:2" x14ac:dyDescent="0.25">
      <c r="A31920" s="2">
        <v>31915</v>
      </c>
      <c r="B31920" s="11" t="str">
        <f>"01079479"</f>
        <v>01079479</v>
      </c>
    </row>
    <row r="31921" spans="1:2" x14ac:dyDescent="0.25">
      <c r="A31921" s="2">
        <v>31916</v>
      </c>
      <c r="B31921" s="11" t="str">
        <f>"01079481"</f>
        <v>01079481</v>
      </c>
    </row>
    <row r="31922" spans="1:2" x14ac:dyDescent="0.25">
      <c r="A31922" s="2">
        <v>31917</v>
      </c>
      <c r="B31922" s="11" t="str">
        <f>"01079482"</f>
        <v>01079482</v>
      </c>
    </row>
    <row r="31923" spans="1:2" x14ac:dyDescent="0.25">
      <c r="A31923" s="2">
        <v>31918</v>
      </c>
      <c r="B31923" s="11" t="str">
        <f>"01079483"</f>
        <v>01079483</v>
      </c>
    </row>
    <row r="31924" spans="1:2" x14ac:dyDescent="0.25">
      <c r="A31924" s="2">
        <v>31919</v>
      </c>
      <c r="B31924" s="11" t="str">
        <f>"01079485"</f>
        <v>01079485</v>
      </c>
    </row>
    <row r="31925" spans="1:2" x14ac:dyDescent="0.25">
      <c r="A31925" s="2">
        <v>31920</v>
      </c>
      <c r="B31925" s="11" t="str">
        <f>"01079492"</f>
        <v>01079492</v>
      </c>
    </row>
    <row r="31926" spans="1:2" x14ac:dyDescent="0.25">
      <c r="A31926" s="2">
        <v>31921</v>
      </c>
      <c r="B31926" s="11" t="str">
        <f>"01079499"</f>
        <v>01079499</v>
      </c>
    </row>
    <row r="31927" spans="1:2" x14ac:dyDescent="0.25">
      <c r="A31927" s="2">
        <v>31922</v>
      </c>
      <c r="B31927" s="11" t="str">
        <f>"01079500"</f>
        <v>01079500</v>
      </c>
    </row>
    <row r="31928" spans="1:2" x14ac:dyDescent="0.25">
      <c r="A31928" s="2">
        <v>31923</v>
      </c>
      <c r="B31928" s="11" t="str">
        <f>"01079503"</f>
        <v>01079503</v>
      </c>
    </row>
    <row r="31929" spans="1:2" x14ac:dyDescent="0.25">
      <c r="A31929" s="2">
        <v>31924</v>
      </c>
      <c r="B31929" s="11" t="str">
        <f>"01079511"</f>
        <v>01079511</v>
      </c>
    </row>
    <row r="31930" spans="1:2" x14ac:dyDescent="0.25">
      <c r="A31930" s="2">
        <v>31925</v>
      </c>
      <c r="B31930" s="11" t="str">
        <f>"01079513"</f>
        <v>01079513</v>
      </c>
    </row>
    <row r="31931" spans="1:2" x14ac:dyDescent="0.25">
      <c r="A31931" s="2">
        <v>31926</v>
      </c>
      <c r="B31931" s="11" t="str">
        <f>"01079517"</f>
        <v>01079517</v>
      </c>
    </row>
    <row r="31932" spans="1:2" x14ac:dyDescent="0.25">
      <c r="A31932" s="2">
        <v>31927</v>
      </c>
      <c r="B31932" s="11" t="str">
        <f>"01079521"</f>
        <v>01079521</v>
      </c>
    </row>
    <row r="31933" spans="1:2" x14ac:dyDescent="0.25">
      <c r="A31933" s="2">
        <v>31928</v>
      </c>
      <c r="B31933" s="11" t="str">
        <f>"01079522"</f>
        <v>01079522</v>
      </c>
    </row>
    <row r="31934" spans="1:2" x14ac:dyDescent="0.25">
      <c r="A31934" s="2">
        <v>31929</v>
      </c>
      <c r="B31934" s="11" t="str">
        <f>"01079523"</f>
        <v>01079523</v>
      </c>
    </row>
    <row r="31935" spans="1:2" x14ac:dyDescent="0.25">
      <c r="A31935" s="2">
        <v>31930</v>
      </c>
      <c r="B31935" s="11" t="str">
        <f>"01079527"</f>
        <v>01079527</v>
      </c>
    </row>
    <row r="31936" spans="1:2" x14ac:dyDescent="0.25">
      <c r="A31936" s="2">
        <v>31931</v>
      </c>
      <c r="B31936" s="11" t="str">
        <f>"01079538"</f>
        <v>01079538</v>
      </c>
    </row>
    <row r="31937" spans="1:2" x14ac:dyDescent="0.25">
      <c r="A31937" s="2">
        <v>31932</v>
      </c>
      <c r="B31937" s="11" t="str">
        <f>"01079543"</f>
        <v>01079543</v>
      </c>
    </row>
    <row r="31938" spans="1:2" x14ac:dyDescent="0.25">
      <c r="A31938" s="2">
        <v>31933</v>
      </c>
      <c r="B31938" s="11" t="str">
        <f>"01079555"</f>
        <v>01079555</v>
      </c>
    </row>
    <row r="31939" spans="1:2" x14ac:dyDescent="0.25">
      <c r="A31939" s="2">
        <v>31934</v>
      </c>
      <c r="B31939" s="11" t="str">
        <f>"01079557"</f>
        <v>01079557</v>
      </c>
    </row>
    <row r="31940" spans="1:2" x14ac:dyDescent="0.25">
      <c r="A31940" s="2">
        <v>31935</v>
      </c>
      <c r="B31940" s="11" t="str">
        <f>"01079559"</f>
        <v>01079559</v>
      </c>
    </row>
    <row r="31941" spans="1:2" x14ac:dyDescent="0.25">
      <c r="A31941" s="2">
        <v>31936</v>
      </c>
      <c r="B31941" s="11" t="str">
        <f>"01079560"</f>
        <v>01079560</v>
      </c>
    </row>
    <row r="31942" spans="1:2" x14ac:dyDescent="0.25">
      <c r="A31942" s="2">
        <v>31937</v>
      </c>
      <c r="B31942" s="11" t="str">
        <f>"01079566"</f>
        <v>01079566</v>
      </c>
    </row>
    <row r="31943" spans="1:2" x14ac:dyDescent="0.25">
      <c r="A31943" s="2">
        <v>31938</v>
      </c>
      <c r="B31943" s="11" t="str">
        <f>"01079568"</f>
        <v>01079568</v>
      </c>
    </row>
    <row r="31944" spans="1:2" x14ac:dyDescent="0.25">
      <c r="A31944" s="2">
        <v>31939</v>
      </c>
      <c r="B31944" s="11" t="str">
        <f>"01079569"</f>
        <v>01079569</v>
      </c>
    </row>
    <row r="31945" spans="1:2" x14ac:dyDescent="0.25">
      <c r="A31945" s="2">
        <v>31940</v>
      </c>
      <c r="B31945" s="11" t="str">
        <f>"01079572"</f>
        <v>01079572</v>
      </c>
    </row>
    <row r="31946" spans="1:2" x14ac:dyDescent="0.25">
      <c r="A31946" s="2">
        <v>31941</v>
      </c>
      <c r="B31946" s="11" t="str">
        <f>"01079576"</f>
        <v>01079576</v>
      </c>
    </row>
    <row r="31947" spans="1:2" x14ac:dyDescent="0.25">
      <c r="A31947" s="2">
        <v>31942</v>
      </c>
      <c r="B31947" s="11" t="str">
        <f>"01079583"</f>
        <v>01079583</v>
      </c>
    </row>
    <row r="31948" spans="1:2" x14ac:dyDescent="0.25">
      <c r="A31948" s="2">
        <v>31943</v>
      </c>
      <c r="B31948" s="11" t="str">
        <f>"01079584"</f>
        <v>01079584</v>
      </c>
    </row>
    <row r="31949" spans="1:2" x14ac:dyDescent="0.25">
      <c r="A31949" s="2">
        <v>31944</v>
      </c>
      <c r="B31949" s="11" t="str">
        <f>"01079594"</f>
        <v>01079594</v>
      </c>
    </row>
    <row r="31950" spans="1:2" x14ac:dyDescent="0.25">
      <c r="A31950" s="2">
        <v>31945</v>
      </c>
      <c r="B31950" s="11" t="str">
        <f>"01079597"</f>
        <v>01079597</v>
      </c>
    </row>
    <row r="31951" spans="1:2" x14ac:dyDescent="0.25">
      <c r="A31951" s="2">
        <v>31946</v>
      </c>
      <c r="B31951" s="11" t="str">
        <f>"01079598"</f>
        <v>01079598</v>
      </c>
    </row>
    <row r="31952" spans="1:2" x14ac:dyDescent="0.25">
      <c r="A31952" s="2">
        <v>31947</v>
      </c>
      <c r="B31952" s="11" t="str">
        <f>"01079600"</f>
        <v>01079600</v>
      </c>
    </row>
    <row r="31953" spans="1:2" x14ac:dyDescent="0.25">
      <c r="A31953" s="2">
        <v>31948</v>
      </c>
      <c r="B31953" s="11" t="str">
        <f>"01079601"</f>
        <v>01079601</v>
      </c>
    </row>
    <row r="31954" spans="1:2" x14ac:dyDescent="0.25">
      <c r="A31954" s="2">
        <v>31949</v>
      </c>
      <c r="B31954" s="11" t="str">
        <f>"01079604"</f>
        <v>01079604</v>
      </c>
    </row>
    <row r="31955" spans="1:2" x14ac:dyDescent="0.25">
      <c r="A31955" s="2">
        <v>31950</v>
      </c>
      <c r="B31955" s="11" t="str">
        <f>"01079606"</f>
        <v>01079606</v>
      </c>
    </row>
    <row r="31956" spans="1:2" x14ac:dyDescent="0.25">
      <c r="A31956" s="2">
        <v>31951</v>
      </c>
      <c r="B31956" s="11" t="str">
        <f>"01079607"</f>
        <v>01079607</v>
      </c>
    </row>
    <row r="31957" spans="1:2" x14ac:dyDescent="0.25">
      <c r="A31957" s="2">
        <v>31952</v>
      </c>
      <c r="B31957" s="11" t="str">
        <f>"01079609"</f>
        <v>01079609</v>
      </c>
    </row>
    <row r="31958" spans="1:2" x14ac:dyDescent="0.25">
      <c r="A31958" s="2">
        <v>31953</v>
      </c>
      <c r="B31958" s="11" t="str">
        <f>"01079612"</f>
        <v>01079612</v>
      </c>
    </row>
    <row r="31959" spans="1:2" x14ac:dyDescent="0.25">
      <c r="A31959" s="2">
        <v>31954</v>
      </c>
      <c r="B31959" s="11" t="str">
        <f>"01079613"</f>
        <v>01079613</v>
      </c>
    </row>
    <row r="31960" spans="1:2" x14ac:dyDescent="0.25">
      <c r="A31960" s="2">
        <v>31955</v>
      </c>
      <c r="B31960" s="11" t="str">
        <f>"01079614"</f>
        <v>01079614</v>
      </c>
    </row>
    <row r="31961" spans="1:2" x14ac:dyDescent="0.25">
      <c r="A31961" s="2">
        <v>31956</v>
      </c>
      <c r="B31961" s="11" t="str">
        <f>"01079620"</f>
        <v>01079620</v>
      </c>
    </row>
    <row r="31962" spans="1:2" x14ac:dyDescent="0.25">
      <c r="A31962" s="2">
        <v>31957</v>
      </c>
      <c r="B31962" s="11" t="str">
        <f>"01079624"</f>
        <v>01079624</v>
      </c>
    </row>
    <row r="31963" spans="1:2" x14ac:dyDescent="0.25">
      <c r="A31963" s="2">
        <v>31958</v>
      </c>
      <c r="B31963" s="11" t="str">
        <f>"01079628"</f>
        <v>01079628</v>
      </c>
    </row>
    <row r="31964" spans="1:2" x14ac:dyDescent="0.25">
      <c r="A31964" s="2">
        <v>31959</v>
      </c>
      <c r="B31964" s="11" t="str">
        <f>"01079633"</f>
        <v>01079633</v>
      </c>
    </row>
    <row r="31965" spans="1:2" x14ac:dyDescent="0.25">
      <c r="A31965" s="2">
        <v>31960</v>
      </c>
      <c r="B31965" s="11" t="str">
        <f>"01079642"</f>
        <v>01079642</v>
      </c>
    </row>
    <row r="31966" spans="1:2" x14ac:dyDescent="0.25">
      <c r="A31966" s="2">
        <v>31961</v>
      </c>
      <c r="B31966" s="11" t="str">
        <f>"01079644"</f>
        <v>01079644</v>
      </c>
    </row>
    <row r="31967" spans="1:2" x14ac:dyDescent="0.25">
      <c r="A31967" s="2">
        <v>31962</v>
      </c>
      <c r="B31967" s="11" t="str">
        <f>"01079648"</f>
        <v>01079648</v>
      </c>
    </row>
    <row r="31968" spans="1:2" x14ac:dyDescent="0.25">
      <c r="A31968" s="2">
        <v>31963</v>
      </c>
      <c r="B31968" s="11" t="str">
        <f>"01079652"</f>
        <v>01079652</v>
      </c>
    </row>
    <row r="31969" spans="1:2" x14ac:dyDescent="0.25">
      <c r="A31969" s="2">
        <v>31964</v>
      </c>
      <c r="B31969" s="11" t="str">
        <f>"01079656"</f>
        <v>01079656</v>
      </c>
    </row>
    <row r="31970" spans="1:2" x14ac:dyDescent="0.25">
      <c r="A31970" s="2">
        <v>31965</v>
      </c>
      <c r="B31970" s="11" t="str">
        <f>"01079657"</f>
        <v>01079657</v>
      </c>
    </row>
    <row r="31971" spans="1:2" x14ac:dyDescent="0.25">
      <c r="A31971" s="2">
        <v>31966</v>
      </c>
      <c r="B31971" s="11" t="str">
        <f>"01079663"</f>
        <v>01079663</v>
      </c>
    </row>
    <row r="31972" spans="1:2" x14ac:dyDescent="0.25">
      <c r="A31972" s="2">
        <v>31967</v>
      </c>
      <c r="B31972" s="11" t="str">
        <f>"01079665"</f>
        <v>01079665</v>
      </c>
    </row>
    <row r="31973" spans="1:2" x14ac:dyDescent="0.25">
      <c r="A31973" s="2">
        <v>31968</v>
      </c>
      <c r="B31973" s="11" t="str">
        <f>"01079666"</f>
        <v>01079666</v>
      </c>
    </row>
    <row r="31974" spans="1:2" x14ac:dyDescent="0.25">
      <c r="A31974" s="2">
        <v>31969</v>
      </c>
      <c r="B31974" s="11" t="str">
        <f>"01079674"</f>
        <v>01079674</v>
      </c>
    </row>
    <row r="31975" spans="1:2" x14ac:dyDescent="0.25">
      <c r="A31975" s="2">
        <v>31970</v>
      </c>
      <c r="B31975" s="11" t="str">
        <f>"01079676"</f>
        <v>01079676</v>
      </c>
    </row>
    <row r="31976" spans="1:2" x14ac:dyDescent="0.25">
      <c r="A31976" s="2">
        <v>31971</v>
      </c>
      <c r="B31976" s="11" t="str">
        <f>"01079678"</f>
        <v>01079678</v>
      </c>
    </row>
    <row r="31977" spans="1:2" x14ac:dyDescent="0.25">
      <c r="A31977" s="2">
        <v>31972</v>
      </c>
      <c r="B31977" s="11" t="str">
        <f>"01079679"</f>
        <v>01079679</v>
      </c>
    </row>
    <row r="31978" spans="1:2" x14ac:dyDescent="0.25">
      <c r="A31978" s="2">
        <v>31973</v>
      </c>
      <c r="B31978" s="11" t="str">
        <f>"01079681"</f>
        <v>01079681</v>
      </c>
    </row>
    <row r="31979" spans="1:2" x14ac:dyDescent="0.25">
      <c r="A31979" s="2">
        <v>31974</v>
      </c>
      <c r="B31979" s="11" t="str">
        <f>"01079683"</f>
        <v>01079683</v>
      </c>
    </row>
    <row r="31980" spans="1:2" x14ac:dyDescent="0.25">
      <c r="A31980" s="2">
        <v>31975</v>
      </c>
      <c r="B31980" s="11" t="str">
        <f>"01079686"</f>
        <v>01079686</v>
      </c>
    </row>
    <row r="31981" spans="1:2" x14ac:dyDescent="0.25">
      <c r="A31981" s="2">
        <v>31976</v>
      </c>
      <c r="B31981" s="11" t="str">
        <f>"01079692"</f>
        <v>01079692</v>
      </c>
    </row>
    <row r="31982" spans="1:2" x14ac:dyDescent="0.25">
      <c r="A31982" s="2">
        <v>31977</v>
      </c>
      <c r="B31982" s="11" t="str">
        <f>"01079695"</f>
        <v>01079695</v>
      </c>
    </row>
    <row r="31983" spans="1:2" x14ac:dyDescent="0.25">
      <c r="A31983" s="2">
        <v>31978</v>
      </c>
      <c r="B31983" s="11" t="str">
        <f>"01079698"</f>
        <v>01079698</v>
      </c>
    </row>
    <row r="31984" spans="1:2" x14ac:dyDescent="0.25">
      <c r="A31984" s="2">
        <v>31979</v>
      </c>
      <c r="B31984" s="11" t="str">
        <f>"01079699"</f>
        <v>01079699</v>
      </c>
    </row>
    <row r="31985" spans="1:2" x14ac:dyDescent="0.25">
      <c r="A31985" s="2">
        <v>31980</v>
      </c>
      <c r="B31985" s="11" t="str">
        <f>"01079700"</f>
        <v>01079700</v>
      </c>
    </row>
    <row r="31986" spans="1:2" x14ac:dyDescent="0.25">
      <c r="A31986" s="2">
        <v>31981</v>
      </c>
      <c r="B31986" s="11" t="str">
        <f>"01079703"</f>
        <v>01079703</v>
      </c>
    </row>
    <row r="31987" spans="1:2" x14ac:dyDescent="0.25">
      <c r="A31987" s="2">
        <v>31982</v>
      </c>
      <c r="B31987" s="11" t="str">
        <f>"01079711"</f>
        <v>01079711</v>
      </c>
    </row>
    <row r="31988" spans="1:2" x14ac:dyDescent="0.25">
      <c r="A31988" s="2">
        <v>31983</v>
      </c>
      <c r="B31988" s="11" t="str">
        <f>"01079715"</f>
        <v>01079715</v>
      </c>
    </row>
    <row r="31989" spans="1:2" x14ac:dyDescent="0.25">
      <c r="A31989" s="2">
        <v>31984</v>
      </c>
      <c r="B31989" s="11" t="str">
        <f>"01079716"</f>
        <v>01079716</v>
      </c>
    </row>
    <row r="31990" spans="1:2" x14ac:dyDescent="0.25">
      <c r="A31990" s="2">
        <v>31985</v>
      </c>
      <c r="B31990" s="11" t="str">
        <f>"01079718"</f>
        <v>01079718</v>
      </c>
    </row>
    <row r="31991" spans="1:2" x14ac:dyDescent="0.25">
      <c r="A31991" s="2">
        <v>31986</v>
      </c>
      <c r="B31991" s="11" t="str">
        <f>"01079727"</f>
        <v>01079727</v>
      </c>
    </row>
    <row r="31992" spans="1:2" x14ac:dyDescent="0.25">
      <c r="A31992" s="2">
        <v>31987</v>
      </c>
      <c r="B31992" s="11" t="str">
        <f>"01079730"</f>
        <v>01079730</v>
      </c>
    </row>
    <row r="31993" spans="1:2" x14ac:dyDescent="0.25">
      <c r="A31993" s="2">
        <v>31988</v>
      </c>
      <c r="B31993" s="11" t="str">
        <f>"01079735"</f>
        <v>01079735</v>
      </c>
    </row>
    <row r="31994" spans="1:2" x14ac:dyDescent="0.25">
      <c r="A31994" s="2">
        <v>31989</v>
      </c>
      <c r="B31994" s="11" t="str">
        <f>"01079742"</f>
        <v>01079742</v>
      </c>
    </row>
    <row r="31995" spans="1:2" x14ac:dyDescent="0.25">
      <c r="A31995" s="2">
        <v>31990</v>
      </c>
      <c r="B31995" s="11" t="str">
        <f>"01079744"</f>
        <v>01079744</v>
      </c>
    </row>
    <row r="31996" spans="1:2" x14ac:dyDescent="0.25">
      <c r="A31996" s="2">
        <v>31991</v>
      </c>
      <c r="B31996" s="11" t="str">
        <f>"01079745"</f>
        <v>01079745</v>
      </c>
    </row>
    <row r="31997" spans="1:2" x14ac:dyDescent="0.25">
      <c r="A31997" s="2">
        <v>31992</v>
      </c>
      <c r="B31997" s="11" t="str">
        <f>"01079747"</f>
        <v>01079747</v>
      </c>
    </row>
    <row r="31998" spans="1:2" x14ac:dyDescent="0.25">
      <c r="A31998" s="2">
        <v>31993</v>
      </c>
      <c r="B31998" s="11" t="str">
        <f>"01079749"</f>
        <v>01079749</v>
      </c>
    </row>
    <row r="31999" spans="1:2" x14ac:dyDescent="0.25">
      <c r="A31999" s="2">
        <v>31994</v>
      </c>
      <c r="B31999" s="11" t="str">
        <f>"01079751"</f>
        <v>01079751</v>
      </c>
    </row>
    <row r="32000" spans="1:2" x14ac:dyDescent="0.25">
      <c r="A32000" s="2">
        <v>31995</v>
      </c>
      <c r="B32000" s="11" t="str">
        <f>"01079764"</f>
        <v>01079764</v>
      </c>
    </row>
    <row r="32001" spans="1:2" x14ac:dyDescent="0.25">
      <c r="A32001" s="2">
        <v>31996</v>
      </c>
      <c r="B32001" s="11" t="str">
        <f>"01079777"</f>
        <v>01079777</v>
      </c>
    </row>
    <row r="32002" spans="1:2" x14ac:dyDescent="0.25">
      <c r="A32002" s="2">
        <v>31997</v>
      </c>
      <c r="B32002" s="11" t="str">
        <f>"01079781"</f>
        <v>01079781</v>
      </c>
    </row>
    <row r="32003" spans="1:2" x14ac:dyDescent="0.25">
      <c r="A32003" s="2">
        <v>31998</v>
      </c>
      <c r="B32003" s="11" t="str">
        <f>"01079783"</f>
        <v>01079783</v>
      </c>
    </row>
    <row r="32004" spans="1:2" x14ac:dyDescent="0.25">
      <c r="A32004" s="2">
        <v>31999</v>
      </c>
      <c r="B32004" s="11" t="str">
        <f>"01079785"</f>
        <v>01079785</v>
      </c>
    </row>
    <row r="32005" spans="1:2" x14ac:dyDescent="0.25">
      <c r="A32005" s="2">
        <v>32000</v>
      </c>
      <c r="B32005" s="11" t="str">
        <f>"01079788"</f>
        <v>01079788</v>
      </c>
    </row>
    <row r="32006" spans="1:2" x14ac:dyDescent="0.25">
      <c r="A32006" s="2">
        <v>32001</v>
      </c>
      <c r="B32006" s="11" t="str">
        <f>"01079790"</f>
        <v>01079790</v>
      </c>
    </row>
    <row r="32007" spans="1:2" x14ac:dyDescent="0.25">
      <c r="A32007" s="2">
        <v>32002</v>
      </c>
      <c r="B32007" s="11" t="str">
        <f>"01079795"</f>
        <v>01079795</v>
      </c>
    </row>
    <row r="32008" spans="1:2" x14ac:dyDescent="0.25">
      <c r="A32008" s="2">
        <v>32003</v>
      </c>
      <c r="B32008" s="11" t="str">
        <f>"01079797"</f>
        <v>01079797</v>
      </c>
    </row>
    <row r="32009" spans="1:2" x14ac:dyDescent="0.25">
      <c r="A32009" s="2">
        <v>32004</v>
      </c>
      <c r="B32009" s="11" t="str">
        <f>"01079799"</f>
        <v>01079799</v>
      </c>
    </row>
    <row r="32010" spans="1:2" x14ac:dyDescent="0.25">
      <c r="A32010" s="2">
        <v>32005</v>
      </c>
      <c r="B32010" s="11" t="str">
        <f>"01079803"</f>
        <v>01079803</v>
      </c>
    </row>
    <row r="32011" spans="1:2" x14ac:dyDescent="0.25">
      <c r="A32011" s="2">
        <v>32006</v>
      </c>
      <c r="B32011" s="11" t="str">
        <f>"01079805"</f>
        <v>01079805</v>
      </c>
    </row>
    <row r="32012" spans="1:2" x14ac:dyDescent="0.25">
      <c r="A32012" s="2">
        <v>32007</v>
      </c>
      <c r="B32012" s="11" t="str">
        <f>"01079816"</f>
        <v>01079816</v>
      </c>
    </row>
    <row r="32013" spans="1:2" x14ac:dyDescent="0.25">
      <c r="A32013" s="2">
        <v>32008</v>
      </c>
      <c r="B32013" s="11" t="str">
        <f>"01079819"</f>
        <v>01079819</v>
      </c>
    </row>
    <row r="32014" spans="1:2" x14ac:dyDescent="0.25">
      <c r="A32014" s="2">
        <v>32009</v>
      </c>
      <c r="B32014" s="11" t="str">
        <f>"01079825"</f>
        <v>01079825</v>
      </c>
    </row>
    <row r="32015" spans="1:2" x14ac:dyDescent="0.25">
      <c r="A32015" s="2">
        <v>32010</v>
      </c>
      <c r="B32015" s="11" t="str">
        <f>"01079827"</f>
        <v>01079827</v>
      </c>
    </row>
    <row r="32016" spans="1:2" x14ac:dyDescent="0.25">
      <c r="A32016" s="2">
        <v>32011</v>
      </c>
      <c r="B32016" s="11" t="str">
        <f>"01079830"</f>
        <v>01079830</v>
      </c>
    </row>
    <row r="32017" spans="1:2" x14ac:dyDescent="0.25">
      <c r="A32017" s="2">
        <v>32012</v>
      </c>
      <c r="B32017" s="11" t="str">
        <f>"01079833"</f>
        <v>01079833</v>
      </c>
    </row>
    <row r="32018" spans="1:2" x14ac:dyDescent="0.25">
      <c r="A32018" s="2">
        <v>32013</v>
      </c>
      <c r="B32018" s="11" t="str">
        <f>"01079836"</f>
        <v>01079836</v>
      </c>
    </row>
    <row r="32019" spans="1:2" x14ac:dyDescent="0.25">
      <c r="A32019" s="2">
        <v>32014</v>
      </c>
      <c r="B32019" s="11" t="str">
        <f>"01079837"</f>
        <v>01079837</v>
      </c>
    </row>
    <row r="32020" spans="1:2" x14ac:dyDescent="0.25">
      <c r="A32020" s="2">
        <v>32015</v>
      </c>
      <c r="B32020" s="11" t="str">
        <f>"01079843"</f>
        <v>01079843</v>
      </c>
    </row>
    <row r="32021" spans="1:2" x14ac:dyDescent="0.25">
      <c r="A32021" s="2">
        <v>32016</v>
      </c>
      <c r="B32021" s="11" t="str">
        <f>"01079844"</f>
        <v>01079844</v>
      </c>
    </row>
    <row r="32022" spans="1:2" x14ac:dyDescent="0.25">
      <c r="A32022" s="2">
        <v>32017</v>
      </c>
      <c r="B32022" s="11" t="str">
        <f>"01079852"</f>
        <v>01079852</v>
      </c>
    </row>
    <row r="32023" spans="1:2" x14ac:dyDescent="0.25">
      <c r="A32023" s="2">
        <v>32018</v>
      </c>
      <c r="B32023" s="11" t="str">
        <f>"01079855"</f>
        <v>01079855</v>
      </c>
    </row>
    <row r="32024" spans="1:2" x14ac:dyDescent="0.25">
      <c r="A32024" s="2">
        <v>32019</v>
      </c>
      <c r="B32024" s="11" t="str">
        <f>"01079860"</f>
        <v>01079860</v>
      </c>
    </row>
    <row r="32025" spans="1:2" x14ac:dyDescent="0.25">
      <c r="A32025" s="2">
        <v>32020</v>
      </c>
      <c r="B32025" s="11" t="str">
        <f>"01079861"</f>
        <v>01079861</v>
      </c>
    </row>
    <row r="32026" spans="1:2" x14ac:dyDescent="0.25">
      <c r="A32026" s="2">
        <v>32021</v>
      </c>
      <c r="B32026" s="11" t="str">
        <f>"01079862"</f>
        <v>01079862</v>
      </c>
    </row>
    <row r="32027" spans="1:2" x14ac:dyDescent="0.25">
      <c r="A32027" s="2">
        <v>32022</v>
      </c>
      <c r="B32027" s="11" t="str">
        <f>"01079867"</f>
        <v>01079867</v>
      </c>
    </row>
    <row r="32028" spans="1:2" x14ac:dyDescent="0.25">
      <c r="A32028" s="2">
        <v>32023</v>
      </c>
      <c r="B32028" s="11" t="str">
        <f>"01079868"</f>
        <v>01079868</v>
      </c>
    </row>
    <row r="32029" spans="1:2" x14ac:dyDescent="0.25">
      <c r="A32029" s="2">
        <v>32024</v>
      </c>
      <c r="B32029" s="11" t="str">
        <f>"01079874"</f>
        <v>01079874</v>
      </c>
    </row>
    <row r="32030" spans="1:2" x14ac:dyDescent="0.25">
      <c r="A32030" s="2">
        <v>32025</v>
      </c>
      <c r="B32030" s="11" t="str">
        <f>"01079883"</f>
        <v>01079883</v>
      </c>
    </row>
    <row r="32031" spans="1:2" x14ac:dyDescent="0.25">
      <c r="A32031" s="2">
        <v>32026</v>
      </c>
      <c r="B32031" s="11" t="str">
        <f>"01079884"</f>
        <v>01079884</v>
      </c>
    </row>
    <row r="32032" spans="1:2" x14ac:dyDescent="0.25">
      <c r="A32032" s="2">
        <v>32027</v>
      </c>
      <c r="B32032" s="11" t="str">
        <f>"01079886"</f>
        <v>01079886</v>
      </c>
    </row>
    <row r="32033" spans="1:2" x14ac:dyDescent="0.25">
      <c r="A32033" s="2">
        <v>32028</v>
      </c>
      <c r="B32033" s="11" t="str">
        <f>"01079890"</f>
        <v>01079890</v>
      </c>
    </row>
    <row r="32034" spans="1:2" x14ac:dyDescent="0.25">
      <c r="A32034" s="2">
        <v>32029</v>
      </c>
      <c r="B32034" s="11" t="str">
        <f>"01079893"</f>
        <v>01079893</v>
      </c>
    </row>
    <row r="32035" spans="1:2" x14ac:dyDescent="0.25">
      <c r="A32035" s="2">
        <v>32030</v>
      </c>
      <c r="B32035" s="11" t="str">
        <f>"01079898"</f>
        <v>01079898</v>
      </c>
    </row>
    <row r="32036" spans="1:2" x14ac:dyDescent="0.25">
      <c r="A32036" s="2">
        <v>32031</v>
      </c>
      <c r="B32036" s="11" t="str">
        <f>"01079901"</f>
        <v>01079901</v>
      </c>
    </row>
    <row r="32037" spans="1:2" x14ac:dyDescent="0.25">
      <c r="A32037" s="2">
        <v>32032</v>
      </c>
      <c r="B32037" s="11" t="str">
        <f>"01079906"</f>
        <v>01079906</v>
      </c>
    </row>
    <row r="32038" spans="1:2" x14ac:dyDescent="0.25">
      <c r="A32038" s="2">
        <v>32033</v>
      </c>
      <c r="B32038" s="11" t="str">
        <f>"01079911"</f>
        <v>01079911</v>
      </c>
    </row>
    <row r="32039" spans="1:2" x14ac:dyDescent="0.25">
      <c r="A32039" s="2">
        <v>32034</v>
      </c>
      <c r="B32039" s="11" t="str">
        <f>"01079912"</f>
        <v>01079912</v>
      </c>
    </row>
    <row r="32040" spans="1:2" x14ac:dyDescent="0.25">
      <c r="A32040" s="2">
        <v>32035</v>
      </c>
      <c r="B32040" s="11" t="str">
        <f>"01079914"</f>
        <v>01079914</v>
      </c>
    </row>
    <row r="32041" spans="1:2" x14ac:dyDescent="0.25">
      <c r="A32041" s="2">
        <v>32036</v>
      </c>
      <c r="B32041" s="11" t="str">
        <f>"01079915"</f>
        <v>01079915</v>
      </c>
    </row>
    <row r="32042" spans="1:2" x14ac:dyDescent="0.25">
      <c r="A32042" s="2">
        <v>32037</v>
      </c>
      <c r="B32042" s="11" t="str">
        <f>"01079917"</f>
        <v>01079917</v>
      </c>
    </row>
    <row r="32043" spans="1:2" x14ac:dyDescent="0.25">
      <c r="A32043" s="2">
        <v>32038</v>
      </c>
      <c r="B32043" s="11" t="str">
        <f>"01079923"</f>
        <v>01079923</v>
      </c>
    </row>
    <row r="32044" spans="1:2" x14ac:dyDescent="0.25">
      <c r="A32044" s="2">
        <v>32039</v>
      </c>
      <c r="B32044" s="11" t="str">
        <f>"01079925"</f>
        <v>01079925</v>
      </c>
    </row>
    <row r="32045" spans="1:2" x14ac:dyDescent="0.25">
      <c r="A32045" s="2">
        <v>32040</v>
      </c>
      <c r="B32045" s="11" t="str">
        <f>"01079929"</f>
        <v>01079929</v>
      </c>
    </row>
    <row r="32046" spans="1:2" x14ac:dyDescent="0.25">
      <c r="A32046" s="2">
        <v>32041</v>
      </c>
      <c r="B32046" s="11" t="str">
        <f>"01079937"</f>
        <v>01079937</v>
      </c>
    </row>
    <row r="32047" spans="1:2" x14ac:dyDescent="0.25">
      <c r="A32047" s="2">
        <v>32042</v>
      </c>
      <c r="B32047" s="11" t="str">
        <f>"01079939"</f>
        <v>01079939</v>
      </c>
    </row>
    <row r="32048" spans="1:2" x14ac:dyDescent="0.25">
      <c r="A32048" s="2">
        <v>32043</v>
      </c>
      <c r="B32048" s="11" t="str">
        <f>"01079946"</f>
        <v>01079946</v>
      </c>
    </row>
    <row r="32049" spans="1:2" x14ac:dyDescent="0.25">
      <c r="A32049" s="2">
        <v>32044</v>
      </c>
      <c r="B32049" s="11" t="str">
        <f>"01079950"</f>
        <v>01079950</v>
      </c>
    </row>
    <row r="32050" spans="1:2" x14ac:dyDescent="0.25">
      <c r="A32050" s="2">
        <v>32045</v>
      </c>
      <c r="B32050" s="11" t="str">
        <f>"01079953"</f>
        <v>01079953</v>
      </c>
    </row>
    <row r="32051" spans="1:2" x14ac:dyDescent="0.25">
      <c r="A32051" s="2">
        <v>32046</v>
      </c>
      <c r="B32051" s="11" t="str">
        <f>"01079954"</f>
        <v>01079954</v>
      </c>
    </row>
    <row r="32052" spans="1:2" x14ac:dyDescent="0.25">
      <c r="A32052" s="2">
        <v>32047</v>
      </c>
      <c r="B32052" s="11" t="str">
        <f>"01079958"</f>
        <v>01079958</v>
      </c>
    </row>
    <row r="32053" spans="1:2" x14ac:dyDescent="0.25">
      <c r="A32053" s="2">
        <v>32048</v>
      </c>
      <c r="B32053" s="11" t="str">
        <f>"01079972"</f>
        <v>01079972</v>
      </c>
    </row>
    <row r="32054" spans="1:2" x14ac:dyDescent="0.25">
      <c r="A32054" s="2">
        <v>32049</v>
      </c>
      <c r="B32054" s="11" t="str">
        <f>"01079974"</f>
        <v>01079974</v>
      </c>
    </row>
    <row r="32055" spans="1:2" x14ac:dyDescent="0.25">
      <c r="A32055" s="2">
        <v>32050</v>
      </c>
      <c r="B32055" s="11" t="str">
        <f>"01079983"</f>
        <v>01079983</v>
      </c>
    </row>
    <row r="32056" spans="1:2" x14ac:dyDescent="0.25">
      <c r="A32056" s="2">
        <v>32051</v>
      </c>
      <c r="B32056" s="11" t="str">
        <f>"01079985"</f>
        <v>01079985</v>
      </c>
    </row>
    <row r="32057" spans="1:2" x14ac:dyDescent="0.25">
      <c r="A32057" s="2">
        <v>32052</v>
      </c>
      <c r="B32057" s="11" t="str">
        <f>"01079991"</f>
        <v>01079991</v>
      </c>
    </row>
    <row r="32058" spans="1:2" x14ac:dyDescent="0.25">
      <c r="A32058" s="2">
        <v>32053</v>
      </c>
      <c r="B32058" s="11" t="str">
        <f>"01079992"</f>
        <v>01079992</v>
      </c>
    </row>
    <row r="32059" spans="1:2" x14ac:dyDescent="0.25">
      <c r="A32059" s="2">
        <v>32054</v>
      </c>
      <c r="B32059" s="11" t="str">
        <f>"01080000"</f>
        <v>01080000</v>
      </c>
    </row>
    <row r="32060" spans="1:2" x14ac:dyDescent="0.25">
      <c r="A32060" s="2">
        <v>32055</v>
      </c>
      <c r="B32060" s="11" t="str">
        <f>"01080001"</f>
        <v>01080001</v>
      </c>
    </row>
    <row r="32061" spans="1:2" x14ac:dyDescent="0.25">
      <c r="A32061" s="2">
        <v>32056</v>
      </c>
      <c r="B32061" s="11" t="str">
        <f>"01080004"</f>
        <v>01080004</v>
      </c>
    </row>
    <row r="32062" spans="1:2" x14ac:dyDescent="0.25">
      <c r="A32062" s="2">
        <v>32057</v>
      </c>
      <c r="B32062" s="11" t="str">
        <f>"01080015"</f>
        <v>01080015</v>
      </c>
    </row>
    <row r="32063" spans="1:2" x14ac:dyDescent="0.25">
      <c r="A32063" s="2">
        <v>32058</v>
      </c>
      <c r="B32063" s="11" t="str">
        <f>"01080021"</f>
        <v>01080021</v>
      </c>
    </row>
    <row r="32064" spans="1:2" x14ac:dyDescent="0.25">
      <c r="A32064" s="2">
        <v>32059</v>
      </c>
      <c r="B32064" s="11" t="str">
        <f>"01080023"</f>
        <v>01080023</v>
      </c>
    </row>
    <row r="32065" spans="1:2" x14ac:dyDescent="0.25">
      <c r="A32065" s="2">
        <v>32060</v>
      </c>
      <c r="B32065" s="11" t="str">
        <f>"01080024"</f>
        <v>01080024</v>
      </c>
    </row>
    <row r="32066" spans="1:2" x14ac:dyDescent="0.25">
      <c r="A32066" s="2">
        <v>32061</v>
      </c>
      <c r="B32066" s="11" t="str">
        <f>"01080027"</f>
        <v>01080027</v>
      </c>
    </row>
    <row r="32067" spans="1:2" x14ac:dyDescent="0.25">
      <c r="A32067" s="2">
        <v>32062</v>
      </c>
      <c r="B32067" s="11" t="str">
        <f>"01080031"</f>
        <v>01080031</v>
      </c>
    </row>
    <row r="32068" spans="1:2" x14ac:dyDescent="0.25">
      <c r="A32068" s="2">
        <v>32063</v>
      </c>
      <c r="B32068" s="11" t="str">
        <f>"01080032"</f>
        <v>01080032</v>
      </c>
    </row>
    <row r="32069" spans="1:2" x14ac:dyDescent="0.25">
      <c r="A32069" s="2">
        <v>32064</v>
      </c>
      <c r="B32069" s="11" t="str">
        <f>"01080034"</f>
        <v>01080034</v>
      </c>
    </row>
    <row r="32070" spans="1:2" x14ac:dyDescent="0.25">
      <c r="A32070" s="2">
        <v>32065</v>
      </c>
      <c r="B32070" s="11" t="str">
        <f>"01080035"</f>
        <v>01080035</v>
      </c>
    </row>
    <row r="32071" spans="1:2" x14ac:dyDescent="0.25">
      <c r="A32071" s="2">
        <v>32066</v>
      </c>
      <c r="B32071" s="11" t="str">
        <f>"01080037"</f>
        <v>01080037</v>
      </c>
    </row>
    <row r="32072" spans="1:2" x14ac:dyDescent="0.25">
      <c r="A32072" s="2">
        <v>32067</v>
      </c>
      <c r="B32072" s="11" t="str">
        <f>"01080039"</f>
        <v>01080039</v>
      </c>
    </row>
    <row r="32073" spans="1:2" x14ac:dyDescent="0.25">
      <c r="A32073" s="2">
        <v>32068</v>
      </c>
      <c r="B32073" s="11" t="str">
        <f>"01080044"</f>
        <v>01080044</v>
      </c>
    </row>
    <row r="32074" spans="1:2" x14ac:dyDescent="0.25">
      <c r="A32074" s="2">
        <v>32069</v>
      </c>
      <c r="B32074" s="11" t="str">
        <f>"01080047"</f>
        <v>01080047</v>
      </c>
    </row>
    <row r="32075" spans="1:2" x14ac:dyDescent="0.25">
      <c r="A32075" s="2">
        <v>32070</v>
      </c>
      <c r="B32075" s="11" t="str">
        <f>"01080059"</f>
        <v>01080059</v>
      </c>
    </row>
    <row r="32076" spans="1:2" x14ac:dyDescent="0.25">
      <c r="A32076" s="2">
        <v>32071</v>
      </c>
      <c r="B32076" s="11" t="str">
        <f>"01080065"</f>
        <v>01080065</v>
      </c>
    </row>
    <row r="32077" spans="1:2" x14ac:dyDescent="0.25">
      <c r="A32077" s="2">
        <v>32072</v>
      </c>
      <c r="B32077" s="11" t="str">
        <f>"01080070"</f>
        <v>01080070</v>
      </c>
    </row>
    <row r="32078" spans="1:2" x14ac:dyDescent="0.25">
      <c r="A32078" s="2">
        <v>32073</v>
      </c>
      <c r="B32078" s="11" t="str">
        <f>"01080071"</f>
        <v>01080071</v>
      </c>
    </row>
    <row r="32079" spans="1:2" x14ac:dyDescent="0.25">
      <c r="A32079" s="2">
        <v>32074</v>
      </c>
      <c r="B32079" s="11" t="str">
        <f>"01080072"</f>
        <v>01080072</v>
      </c>
    </row>
    <row r="32080" spans="1:2" x14ac:dyDescent="0.25">
      <c r="A32080" s="2">
        <v>32075</v>
      </c>
      <c r="B32080" s="11" t="str">
        <f>"01080081"</f>
        <v>01080081</v>
      </c>
    </row>
    <row r="32081" spans="1:2" x14ac:dyDescent="0.25">
      <c r="A32081" s="2">
        <v>32076</v>
      </c>
      <c r="B32081" s="11" t="str">
        <f>"01080083"</f>
        <v>01080083</v>
      </c>
    </row>
    <row r="32082" spans="1:2" x14ac:dyDescent="0.25">
      <c r="A32082" s="2">
        <v>32077</v>
      </c>
      <c r="B32082" s="11" t="str">
        <f>"01080086"</f>
        <v>01080086</v>
      </c>
    </row>
    <row r="32083" spans="1:2" x14ac:dyDescent="0.25">
      <c r="A32083" s="2">
        <v>32078</v>
      </c>
      <c r="B32083" s="11" t="str">
        <f>"01080096"</f>
        <v>01080096</v>
      </c>
    </row>
    <row r="32084" spans="1:2" x14ac:dyDescent="0.25">
      <c r="A32084" s="2">
        <v>32079</v>
      </c>
      <c r="B32084" s="11" t="str">
        <f>"01080097"</f>
        <v>01080097</v>
      </c>
    </row>
    <row r="32085" spans="1:2" x14ac:dyDescent="0.25">
      <c r="A32085" s="2">
        <v>32080</v>
      </c>
      <c r="B32085" s="11" t="str">
        <f>"01080098"</f>
        <v>01080098</v>
      </c>
    </row>
    <row r="32086" spans="1:2" x14ac:dyDescent="0.25">
      <c r="A32086" s="2">
        <v>32081</v>
      </c>
      <c r="B32086" s="11" t="str">
        <f>"01080102"</f>
        <v>01080102</v>
      </c>
    </row>
    <row r="32087" spans="1:2" x14ac:dyDescent="0.25">
      <c r="A32087" s="2">
        <v>32082</v>
      </c>
      <c r="B32087" s="11" t="str">
        <f>"01080103"</f>
        <v>01080103</v>
      </c>
    </row>
    <row r="32088" spans="1:2" x14ac:dyDescent="0.25">
      <c r="A32088" s="2">
        <v>32083</v>
      </c>
      <c r="B32088" s="11" t="str">
        <f>"01080104"</f>
        <v>01080104</v>
      </c>
    </row>
    <row r="32089" spans="1:2" x14ac:dyDescent="0.25">
      <c r="A32089" s="2">
        <v>32084</v>
      </c>
      <c r="B32089" s="11" t="str">
        <f>"01080106"</f>
        <v>01080106</v>
      </c>
    </row>
    <row r="32090" spans="1:2" x14ac:dyDescent="0.25">
      <c r="A32090" s="2">
        <v>32085</v>
      </c>
      <c r="B32090" s="11" t="str">
        <f>"01080107"</f>
        <v>01080107</v>
      </c>
    </row>
    <row r="32091" spans="1:2" x14ac:dyDescent="0.25">
      <c r="A32091" s="2">
        <v>32086</v>
      </c>
      <c r="B32091" s="11" t="str">
        <f>"01080109"</f>
        <v>01080109</v>
      </c>
    </row>
    <row r="32092" spans="1:2" x14ac:dyDescent="0.25">
      <c r="A32092" s="2">
        <v>32087</v>
      </c>
      <c r="B32092" s="11" t="str">
        <f>"01080111"</f>
        <v>01080111</v>
      </c>
    </row>
    <row r="32093" spans="1:2" x14ac:dyDescent="0.25">
      <c r="A32093" s="2">
        <v>32088</v>
      </c>
      <c r="B32093" s="11" t="str">
        <f>"01080112"</f>
        <v>01080112</v>
      </c>
    </row>
    <row r="32094" spans="1:2" x14ac:dyDescent="0.25">
      <c r="A32094" s="2">
        <v>32089</v>
      </c>
      <c r="B32094" s="11" t="str">
        <f>"01080119"</f>
        <v>01080119</v>
      </c>
    </row>
    <row r="32095" spans="1:2" x14ac:dyDescent="0.25">
      <c r="A32095" s="2">
        <v>32090</v>
      </c>
      <c r="B32095" s="11" t="str">
        <f>"01080125"</f>
        <v>01080125</v>
      </c>
    </row>
    <row r="32096" spans="1:2" x14ac:dyDescent="0.25">
      <c r="A32096" s="2">
        <v>32091</v>
      </c>
      <c r="B32096" s="11" t="str">
        <f>"01080127"</f>
        <v>01080127</v>
      </c>
    </row>
    <row r="32097" spans="1:2" x14ac:dyDescent="0.25">
      <c r="A32097" s="2">
        <v>32092</v>
      </c>
      <c r="B32097" s="11" t="str">
        <f>"01080128"</f>
        <v>01080128</v>
      </c>
    </row>
    <row r="32098" spans="1:2" x14ac:dyDescent="0.25">
      <c r="A32098" s="2">
        <v>32093</v>
      </c>
      <c r="B32098" s="11" t="str">
        <f>"01080137"</f>
        <v>01080137</v>
      </c>
    </row>
    <row r="32099" spans="1:2" x14ac:dyDescent="0.25">
      <c r="A32099" s="2">
        <v>32094</v>
      </c>
      <c r="B32099" s="11" t="str">
        <f>"01080138"</f>
        <v>01080138</v>
      </c>
    </row>
    <row r="32100" spans="1:2" x14ac:dyDescent="0.25">
      <c r="A32100" s="2">
        <v>32095</v>
      </c>
      <c r="B32100" s="11" t="str">
        <f>"01080139"</f>
        <v>01080139</v>
      </c>
    </row>
    <row r="32101" spans="1:2" x14ac:dyDescent="0.25">
      <c r="A32101" s="2">
        <v>32096</v>
      </c>
      <c r="B32101" s="11" t="str">
        <f>"01080140"</f>
        <v>01080140</v>
      </c>
    </row>
    <row r="32102" spans="1:2" x14ac:dyDescent="0.25">
      <c r="A32102" s="2">
        <v>32097</v>
      </c>
      <c r="B32102" s="11" t="str">
        <f>"01080144"</f>
        <v>01080144</v>
      </c>
    </row>
    <row r="32103" spans="1:2" x14ac:dyDescent="0.25">
      <c r="A32103" s="2">
        <v>32098</v>
      </c>
      <c r="B32103" s="11" t="str">
        <f>"01080150"</f>
        <v>01080150</v>
      </c>
    </row>
    <row r="32104" spans="1:2" x14ac:dyDescent="0.25">
      <c r="A32104" s="2">
        <v>32099</v>
      </c>
      <c r="B32104" s="11" t="str">
        <f>"01080157"</f>
        <v>01080157</v>
      </c>
    </row>
    <row r="32105" spans="1:2" x14ac:dyDescent="0.25">
      <c r="A32105" s="2">
        <v>32100</v>
      </c>
      <c r="B32105" s="11" t="str">
        <f>"01080169"</f>
        <v>01080169</v>
      </c>
    </row>
    <row r="32106" spans="1:2" x14ac:dyDescent="0.25">
      <c r="A32106" s="2">
        <v>32101</v>
      </c>
      <c r="B32106" s="11" t="str">
        <f>"01080172"</f>
        <v>01080172</v>
      </c>
    </row>
    <row r="32107" spans="1:2" x14ac:dyDescent="0.25">
      <c r="A32107" s="2">
        <v>32102</v>
      </c>
      <c r="B32107" s="11" t="str">
        <f>"01080175"</f>
        <v>01080175</v>
      </c>
    </row>
    <row r="32108" spans="1:2" x14ac:dyDescent="0.25">
      <c r="A32108" s="2">
        <v>32103</v>
      </c>
      <c r="B32108" s="11" t="str">
        <f>"01080176"</f>
        <v>01080176</v>
      </c>
    </row>
    <row r="32109" spans="1:2" x14ac:dyDescent="0.25">
      <c r="A32109" s="2">
        <v>32104</v>
      </c>
      <c r="B32109" s="11" t="str">
        <f>"01080178"</f>
        <v>01080178</v>
      </c>
    </row>
    <row r="32110" spans="1:2" x14ac:dyDescent="0.25">
      <c r="A32110" s="2">
        <v>32105</v>
      </c>
      <c r="B32110" s="11" t="str">
        <f>"01080181"</f>
        <v>01080181</v>
      </c>
    </row>
    <row r="32111" spans="1:2" x14ac:dyDescent="0.25">
      <c r="A32111" s="2">
        <v>32106</v>
      </c>
      <c r="B32111" s="11" t="str">
        <f>"01080182"</f>
        <v>01080182</v>
      </c>
    </row>
    <row r="32112" spans="1:2" x14ac:dyDescent="0.25">
      <c r="A32112" s="2">
        <v>32107</v>
      </c>
      <c r="B32112" s="11" t="str">
        <f>"01080190"</f>
        <v>01080190</v>
      </c>
    </row>
    <row r="32113" spans="1:2" x14ac:dyDescent="0.25">
      <c r="A32113" s="2">
        <v>32108</v>
      </c>
      <c r="B32113" s="11" t="str">
        <f>"01080191"</f>
        <v>01080191</v>
      </c>
    </row>
    <row r="32114" spans="1:2" x14ac:dyDescent="0.25">
      <c r="A32114" s="2">
        <v>32109</v>
      </c>
      <c r="B32114" s="11" t="str">
        <f>"01080193"</f>
        <v>01080193</v>
      </c>
    </row>
    <row r="32115" spans="1:2" x14ac:dyDescent="0.25">
      <c r="A32115" s="2">
        <v>32110</v>
      </c>
      <c r="B32115" s="11" t="str">
        <f>"01080194"</f>
        <v>01080194</v>
      </c>
    </row>
    <row r="32116" spans="1:2" x14ac:dyDescent="0.25">
      <c r="A32116" s="2">
        <v>32111</v>
      </c>
      <c r="B32116" s="11" t="str">
        <f>"01080198"</f>
        <v>01080198</v>
      </c>
    </row>
    <row r="32117" spans="1:2" x14ac:dyDescent="0.25">
      <c r="A32117" s="2">
        <v>32112</v>
      </c>
      <c r="B32117" s="11" t="str">
        <f>"01080199"</f>
        <v>01080199</v>
      </c>
    </row>
    <row r="32118" spans="1:2" x14ac:dyDescent="0.25">
      <c r="A32118" s="2">
        <v>32113</v>
      </c>
      <c r="B32118" s="11" t="str">
        <f>"01080200"</f>
        <v>01080200</v>
      </c>
    </row>
    <row r="32119" spans="1:2" x14ac:dyDescent="0.25">
      <c r="A32119" s="2">
        <v>32114</v>
      </c>
      <c r="B32119" s="11" t="str">
        <f>"01080202"</f>
        <v>01080202</v>
      </c>
    </row>
    <row r="32120" spans="1:2" x14ac:dyDescent="0.25">
      <c r="A32120" s="2">
        <v>32115</v>
      </c>
      <c r="B32120" s="11" t="str">
        <f>"01080205"</f>
        <v>01080205</v>
      </c>
    </row>
    <row r="32121" spans="1:2" x14ac:dyDescent="0.25">
      <c r="A32121" s="2">
        <v>32116</v>
      </c>
      <c r="B32121" s="11" t="str">
        <f>"01080206"</f>
        <v>01080206</v>
      </c>
    </row>
    <row r="32122" spans="1:2" x14ac:dyDescent="0.25">
      <c r="A32122" s="2">
        <v>32117</v>
      </c>
      <c r="B32122" s="11" t="str">
        <f>"01080213"</f>
        <v>01080213</v>
      </c>
    </row>
    <row r="32123" spans="1:2" x14ac:dyDescent="0.25">
      <c r="A32123" s="2">
        <v>32118</v>
      </c>
      <c r="B32123" s="11" t="str">
        <f>"01080217"</f>
        <v>01080217</v>
      </c>
    </row>
    <row r="32124" spans="1:2" x14ac:dyDescent="0.25">
      <c r="A32124" s="2">
        <v>32119</v>
      </c>
      <c r="B32124" s="11" t="str">
        <f>"01080219"</f>
        <v>01080219</v>
      </c>
    </row>
    <row r="32125" spans="1:2" x14ac:dyDescent="0.25">
      <c r="A32125" s="2">
        <v>32120</v>
      </c>
      <c r="B32125" s="11" t="str">
        <f>"01080225"</f>
        <v>01080225</v>
      </c>
    </row>
    <row r="32126" spans="1:2" x14ac:dyDescent="0.25">
      <c r="A32126" s="2">
        <v>32121</v>
      </c>
      <c r="B32126" s="11" t="str">
        <f>"01080229"</f>
        <v>01080229</v>
      </c>
    </row>
    <row r="32127" spans="1:2" x14ac:dyDescent="0.25">
      <c r="A32127" s="2">
        <v>32122</v>
      </c>
      <c r="B32127" s="11" t="str">
        <f>"01080231"</f>
        <v>01080231</v>
      </c>
    </row>
    <row r="32128" spans="1:2" x14ac:dyDescent="0.25">
      <c r="A32128" s="2">
        <v>32123</v>
      </c>
      <c r="B32128" s="11" t="str">
        <f>"01080233"</f>
        <v>01080233</v>
      </c>
    </row>
    <row r="32129" spans="1:2" x14ac:dyDescent="0.25">
      <c r="A32129" s="2">
        <v>32124</v>
      </c>
      <c r="B32129" s="11" t="str">
        <f>"01080248"</f>
        <v>01080248</v>
      </c>
    </row>
    <row r="32130" spans="1:2" x14ac:dyDescent="0.25">
      <c r="A32130" s="2">
        <v>32125</v>
      </c>
      <c r="B32130" s="11" t="str">
        <f>"01080254"</f>
        <v>01080254</v>
      </c>
    </row>
    <row r="32131" spans="1:2" x14ac:dyDescent="0.25">
      <c r="A32131" s="2">
        <v>32126</v>
      </c>
      <c r="B32131" s="11" t="str">
        <f>"01080258"</f>
        <v>01080258</v>
      </c>
    </row>
    <row r="32132" spans="1:2" x14ac:dyDescent="0.25">
      <c r="A32132" s="2">
        <v>32127</v>
      </c>
      <c r="B32132" s="11" t="str">
        <f>"01080264"</f>
        <v>01080264</v>
      </c>
    </row>
    <row r="32133" spans="1:2" x14ac:dyDescent="0.25">
      <c r="A32133" s="2">
        <v>32128</v>
      </c>
      <c r="B32133" s="11" t="str">
        <f>"01080270"</f>
        <v>01080270</v>
      </c>
    </row>
    <row r="32134" spans="1:2" x14ac:dyDescent="0.25">
      <c r="A32134" s="2">
        <v>32129</v>
      </c>
      <c r="B32134" s="11" t="str">
        <f>"01080276"</f>
        <v>01080276</v>
      </c>
    </row>
    <row r="32135" spans="1:2" x14ac:dyDescent="0.25">
      <c r="A32135" s="2">
        <v>32130</v>
      </c>
      <c r="B32135" s="11" t="str">
        <f>"01080278"</f>
        <v>01080278</v>
      </c>
    </row>
    <row r="32136" spans="1:2" x14ac:dyDescent="0.25">
      <c r="A32136" s="2">
        <v>32131</v>
      </c>
      <c r="B32136" s="11" t="str">
        <f>"01080280"</f>
        <v>01080280</v>
      </c>
    </row>
    <row r="32137" spans="1:2" x14ac:dyDescent="0.25">
      <c r="A32137" s="2">
        <v>32132</v>
      </c>
      <c r="B32137" s="11" t="str">
        <f>"01080283"</f>
        <v>01080283</v>
      </c>
    </row>
    <row r="32138" spans="1:2" x14ac:dyDescent="0.25">
      <c r="A32138" s="2">
        <v>32133</v>
      </c>
      <c r="B32138" s="11" t="str">
        <f>"01080289"</f>
        <v>01080289</v>
      </c>
    </row>
    <row r="32139" spans="1:2" x14ac:dyDescent="0.25">
      <c r="A32139" s="2">
        <v>32134</v>
      </c>
      <c r="B32139" s="11" t="str">
        <f>"01080290"</f>
        <v>01080290</v>
      </c>
    </row>
    <row r="32140" spans="1:2" x14ac:dyDescent="0.25">
      <c r="A32140" s="2">
        <v>32135</v>
      </c>
      <c r="B32140" s="11" t="str">
        <f>"01080295"</f>
        <v>01080295</v>
      </c>
    </row>
    <row r="32141" spans="1:2" x14ac:dyDescent="0.25">
      <c r="A32141" s="2">
        <v>32136</v>
      </c>
      <c r="B32141" s="11" t="str">
        <f>"01080302"</f>
        <v>01080302</v>
      </c>
    </row>
    <row r="32142" spans="1:2" x14ac:dyDescent="0.25">
      <c r="A32142" s="2">
        <v>32137</v>
      </c>
      <c r="B32142" s="11" t="str">
        <f>"01080304"</f>
        <v>01080304</v>
      </c>
    </row>
    <row r="32143" spans="1:2" x14ac:dyDescent="0.25">
      <c r="A32143" s="2">
        <v>32138</v>
      </c>
      <c r="B32143" s="11" t="str">
        <f>"01080311"</f>
        <v>01080311</v>
      </c>
    </row>
    <row r="32144" spans="1:2" x14ac:dyDescent="0.25">
      <c r="A32144" s="2">
        <v>32139</v>
      </c>
      <c r="B32144" s="11" t="str">
        <f>"01080316"</f>
        <v>01080316</v>
      </c>
    </row>
    <row r="32145" spans="1:2" x14ac:dyDescent="0.25">
      <c r="A32145" s="2">
        <v>32140</v>
      </c>
      <c r="B32145" s="11" t="str">
        <f>"01080317"</f>
        <v>01080317</v>
      </c>
    </row>
    <row r="32146" spans="1:2" x14ac:dyDescent="0.25">
      <c r="A32146" s="2">
        <v>32141</v>
      </c>
      <c r="B32146" s="11" t="str">
        <f>"01080339"</f>
        <v>01080339</v>
      </c>
    </row>
    <row r="32147" spans="1:2" x14ac:dyDescent="0.25">
      <c r="A32147" s="2">
        <v>32142</v>
      </c>
      <c r="B32147" s="11" t="str">
        <f>"01080346"</f>
        <v>01080346</v>
      </c>
    </row>
    <row r="32148" spans="1:2" x14ac:dyDescent="0.25">
      <c r="A32148" s="2">
        <v>32143</v>
      </c>
      <c r="B32148" s="11" t="str">
        <f>"01080347"</f>
        <v>01080347</v>
      </c>
    </row>
    <row r="32149" spans="1:2" x14ac:dyDescent="0.25">
      <c r="A32149" s="2">
        <v>32144</v>
      </c>
      <c r="B32149" s="11" t="str">
        <f>"01080350"</f>
        <v>01080350</v>
      </c>
    </row>
    <row r="32150" spans="1:2" x14ac:dyDescent="0.25">
      <c r="A32150" s="2">
        <v>32145</v>
      </c>
      <c r="B32150" s="11" t="str">
        <f>"01080351"</f>
        <v>01080351</v>
      </c>
    </row>
    <row r="32151" spans="1:2" x14ac:dyDescent="0.25">
      <c r="A32151" s="2">
        <v>32146</v>
      </c>
      <c r="B32151" s="11" t="str">
        <f>"01080356"</f>
        <v>01080356</v>
      </c>
    </row>
    <row r="32152" spans="1:2" x14ac:dyDescent="0.25">
      <c r="A32152" s="2">
        <v>32147</v>
      </c>
      <c r="B32152" s="11" t="str">
        <f>"01080362"</f>
        <v>01080362</v>
      </c>
    </row>
    <row r="32153" spans="1:2" x14ac:dyDescent="0.25">
      <c r="A32153" s="2">
        <v>32148</v>
      </c>
      <c r="B32153" s="11" t="str">
        <f>"01080363"</f>
        <v>01080363</v>
      </c>
    </row>
    <row r="32154" spans="1:2" x14ac:dyDescent="0.25">
      <c r="A32154" s="2">
        <v>32149</v>
      </c>
      <c r="B32154" s="11" t="str">
        <f>"01080368"</f>
        <v>01080368</v>
      </c>
    </row>
    <row r="32155" spans="1:2" x14ac:dyDescent="0.25">
      <c r="A32155" s="2">
        <v>32150</v>
      </c>
      <c r="B32155" s="11" t="str">
        <f>"01080373"</f>
        <v>01080373</v>
      </c>
    </row>
    <row r="32156" spans="1:2" x14ac:dyDescent="0.25">
      <c r="A32156" s="2">
        <v>32151</v>
      </c>
      <c r="B32156" s="11" t="str">
        <f>"01080385"</f>
        <v>01080385</v>
      </c>
    </row>
    <row r="32157" spans="1:2" x14ac:dyDescent="0.25">
      <c r="A32157" s="2">
        <v>32152</v>
      </c>
      <c r="B32157" s="11" t="str">
        <f>"01080386"</f>
        <v>01080386</v>
      </c>
    </row>
    <row r="32158" spans="1:2" x14ac:dyDescent="0.25">
      <c r="A32158" s="2">
        <v>32153</v>
      </c>
      <c r="B32158" s="11" t="str">
        <f>"01080388"</f>
        <v>01080388</v>
      </c>
    </row>
    <row r="32159" spans="1:2" x14ac:dyDescent="0.25">
      <c r="A32159" s="2">
        <v>32154</v>
      </c>
      <c r="B32159" s="11" t="str">
        <f>"01080400"</f>
        <v>01080400</v>
      </c>
    </row>
    <row r="32160" spans="1:2" x14ac:dyDescent="0.25">
      <c r="A32160" s="2">
        <v>32155</v>
      </c>
      <c r="B32160" s="11" t="str">
        <f>"01080404"</f>
        <v>01080404</v>
      </c>
    </row>
    <row r="32161" spans="1:2" x14ac:dyDescent="0.25">
      <c r="A32161" s="2">
        <v>32156</v>
      </c>
      <c r="B32161" s="11" t="str">
        <f>"01080405"</f>
        <v>01080405</v>
      </c>
    </row>
    <row r="32162" spans="1:2" x14ac:dyDescent="0.25">
      <c r="A32162" s="2">
        <v>32157</v>
      </c>
      <c r="B32162" s="11" t="str">
        <f>"01080406"</f>
        <v>01080406</v>
      </c>
    </row>
    <row r="32163" spans="1:2" x14ac:dyDescent="0.25">
      <c r="A32163" s="2">
        <v>32158</v>
      </c>
      <c r="B32163" s="11" t="str">
        <f>"01080408"</f>
        <v>01080408</v>
      </c>
    </row>
    <row r="32164" spans="1:2" x14ac:dyDescent="0.25">
      <c r="A32164" s="2">
        <v>32159</v>
      </c>
      <c r="B32164" s="11" t="str">
        <f>"01080409"</f>
        <v>01080409</v>
      </c>
    </row>
    <row r="32165" spans="1:2" x14ac:dyDescent="0.25">
      <c r="A32165" s="2">
        <v>32160</v>
      </c>
      <c r="B32165" s="11" t="str">
        <f>"01080413"</f>
        <v>01080413</v>
      </c>
    </row>
    <row r="32166" spans="1:2" x14ac:dyDescent="0.25">
      <c r="A32166" s="2">
        <v>32161</v>
      </c>
      <c r="B32166" s="11" t="str">
        <f>"01080416"</f>
        <v>01080416</v>
      </c>
    </row>
    <row r="32167" spans="1:2" x14ac:dyDescent="0.25">
      <c r="A32167" s="2">
        <v>32162</v>
      </c>
      <c r="B32167" s="11" t="str">
        <f>"01080417"</f>
        <v>01080417</v>
      </c>
    </row>
    <row r="32168" spans="1:2" x14ac:dyDescent="0.25">
      <c r="A32168" s="2">
        <v>32163</v>
      </c>
      <c r="B32168" s="11" t="str">
        <f>"01080420"</f>
        <v>01080420</v>
      </c>
    </row>
    <row r="32169" spans="1:2" x14ac:dyDescent="0.25">
      <c r="A32169" s="2">
        <v>32164</v>
      </c>
      <c r="B32169" s="11" t="str">
        <f>"01080421"</f>
        <v>01080421</v>
      </c>
    </row>
    <row r="32170" spans="1:2" x14ac:dyDescent="0.25">
      <c r="A32170" s="2">
        <v>32165</v>
      </c>
      <c r="B32170" s="11" t="str">
        <f>"01080424"</f>
        <v>01080424</v>
      </c>
    </row>
    <row r="32171" spans="1:2" x14ac:dyDescent="0.25">
      <c r="A32171" s="2">
        <v>32166</v>
      </c>
      <c r="B32171" s="11" t="str">
        <f>"01080433"</f>
        <v>01080433</v>
      </c>
    </row>
    <row r="32172" spans="1:2" x14ac:dyDescent="0.25">
      <c r="A32172" s="2">
        <v>32167</v>
      </c>
      <c r="B32172" s="11" t="str">
        <f>"01080434"</f>
        <v>01080434</v>
      </c>
    </row>
    <row r="32173" spans="1:2" x14ac:dyDescent="0.25">
      <c r="A32173" s="2">
        <v>32168</v>
      </c>
      <c r="B32173" s="11" t="str">
        <f>"01080441"</f>
        <v>01080441</v>
      </c>
    </row>
    <row r="32174" spans="1:2" x14ac:dyDescent="0.25">
      <c r="A32174" s="2">
        <v>32169</v>
      </c>
      <c r="B32174" s="11" t="str">
        <f>"01080443"</f>
        <v>01080443</v>
      </c>
    </row>
    <row r="32175" spans="1:2" x14ac:dyDescent="0.25">
      <c r="A32175" s="2">
        <v>32170</v>
      </c>
      <c r="B32175" s="11" t="str">
        <f>"01080447"</f>
        <v>01080447</v>
      </c>
    </row>
    <row r="32176" spans="1:2" x14ac:dyDescent="0.25">
      <c r="A32176" s="2">
        <v>32171</v>
      </c>
      <c r="B32176" s="11" t="str">
        <f>"01080448"</f>
        <v>01080448</v>
      </c>
    </row>
    <row r="32177" spans="1:2" x14ac:dyDescent="0.25">
      <c r="A32177" s="2">
        <v>32172</v>
      </c>
      <c r="B32177" s="11" t="str">
        <f>"01080452"</f>
        <v>01080452</v>
      </c>
    </row>
    <row r="32178" spans="1:2" x14ac:dyDescent="0.25">
      <c r="A32178" s="2">
        <v>32173</v>
      </c>
      <c r="B32178" s="11" t="str">
        <f>"01080465"</f>
        <v>01080465</v>
      </c>
    </row>
    <row r="32179" spans="1:2" x14ac:dyDescent="0.25">
      <c r="A32179" s="2">
        <v>32174</v>
      </c>
      <c r="B32179" s="11" t="str">
        <f>"01080472"</f>
        <v>01080472</v>
      </c>
    </row>
    <row r="32180" spans="1:2" x14ac:dyDescent="0.25">
      <c r="A32180" s="2">
        <v>32175</v>
      </c>
      <c r="B32180" s="11" t="str">
        <f>"01080474"</f>
        <v>01080474</v>
      </c>
    </row>
    <row r="32181" spans="1:2" x14ac:dyDescent="0.25">
      <c r="A32181" s="2">
        <v>32176</v>
      </c>
      <c r="B32181" s="11" t="str">
        <f>"01080475"</f>
        <v>01080475</v>
      </c>
    </row>
    <row r="32182" spans="1:2" x14ac:dyDescent="0.25">
      <c r="A32182" s="2">
        <v>32177</v>
      </c>
      <c r="B32182" s="11" t="str">
        <f>"01080476"</f>
        <v>01080476</v>
      </c>
    </row>
    <row r="32183" spans="1:2" x14ac:dyDescent="0.25">
      <c r="A32183" s="2">
        <v>32178</v>
      </c>
      <c r="B32183" s="11" t="str">
        <f>"01080477"</f>
        <v>01080477</v>
      </c>
    </row>
    <row r="32184" spans="1:2" x14ac:dyDescent="0.25">
      <c r="A32184" s="2">
        <v>32179</v>
      </c>
      <c r="B32184" s="11" t="str">
        <f>"01080481"</f>
        <v>01080481</v>
      </c>
    </row>
    <row r="32185" spans="1:2" x14ac:dyDescent="0.25">
      <c r="A32185" s="2">
        <v>32180</v>
      </c>
      <c r="B32185" s="11" t="str">
        <f>"01080488"</f>
        <v>01080488</v>
      </c>
    </row>
    <row r="32186" spans="1:2" x14ac:dyDescent="0.25">
      <c r="A32186" s="2">
        <v>32181</v>
      </c>
      <c r="B32186" s="11" t="str">
        <f>"01080490"</f>
        <v>01080490</v>
      </c>
    </row>
    <row r="32187" spans="1:2" x14ac:dyDescent="0.25">
      <c r="A32187" s="2">
        <v>32182</v>
      </c>
      <c r="B32187" s="11" t="str">
        <f>"01080497"</f>
        <v>01080497</v>
      </c>
    </row>
    <row r="32188" spans="1:2" x14ac:dyDescent="0.25">
      <c r="A32188" s="2">
        <v>32183</v>
      </c>
      <c r="B32188" s="11" t="str">
        <f>"01080499"</f>
        <v>01080499</v>
      </c>
    </row>
    <row r="32189" spans="1:2" x14ac:dyDescent="0.25">
      <c r="A32189" s="2">
        <v>32184</v>
      </c>
      <c r="B32189" s="11" t="str">
        <f>"01080506"</f>
        <v>01080506</v>
      </c>
    </row>
    <row r="32190" spans="1:2" x14ac:dyDescent="0.25">
      <c r="A32190" s="2">
        <v>32185</v>
      </c>
      <c r="B32190" s="11" t="str">
        <f>"01080508"</f>
        <v>01080508</v>
      </c>
    </row>
    <row r="32191" spans="1:2" x14ac:dyDescent="0.25">
      <c r="A32191" s="2">
        <v>32186</v>
      </c>
      <c r="B32191" s="11" t="str">
        <f>"01080511"</f>
        <v>01080511</v>
      </c>
    </row>
    <row r="32192" spans="1:2" x14ac:dyDescent="0.25">
      <c r="A32192" s="2">
        <v>32187</v>
      </c>
      <c r="B32192" s="11" t="str">
        <f>"01080512"</f>
        <v>01080512</v>
      </c>
    </row>
    <row r="32193" spans="1:2" x14ac:dyDescent="0.25">
      <c r="A32193" s="2">
        <v>32188</v>
      </c>
      <c r="B32193" s="11" t="str">
        <f>"01080517"</f>
        <v>01080517</v>
      </c>
    </row>
    <row r="32194" spans="1:2" x14ac:dyDescent="0.25">
      <c r="A32194" s="2">
        <v>32189</v>
      </c>
      <c r="B32194" s="11" t="str">
        <f>"01080520"</f>
        <v>01080520</v>
      </c>
    </row>
    <row r="32195" spans="1:2" x14ac:dyDescent="0.25">
      <c r="A32195" s="2">
        <v>32190</v>
      </c>
      <c r="B32195" s="11" t="str">
        <f>"01080522"</f>
        <v>01080522</v>
      </c>
    </row>
    <row r="32196" spans="1:2" x14ac:dyDescent="0.25">
      <c r="A32196" s="2">
        <v>32191</v>
      </c>
      <c r="B32196" s="11" t="str">
        <f>"01080524"</f>
        <v>01080524</v>
      </c>
    </row>
    <row r="32197" spans="1:2" x14ac:dyDescent="0.25">
      <c r="A32197" s="2">
        <v>32192</v>
      </c>
      <c r="B32197" s="11" t="str">
        <f>"01080525"</f>
        <v>01080525</v>
      </c>
    </row>
    <row r="32198" spans="1:2" x14ac:dyDescent="0.25">
      <c r="A32198" s="2">
        <v>32193</v>
      </c>
      <c r="B32198" s="11" t="str">
        <f>"01080530"</f>
        <v>01080530</v>
      </c>
    </row>
    <row r="32199" spans="1:2" x14ac:dyDescent="0.25">
      <c r="A32199" s="2">
        <v>32194</v>
      </c>
      <c r="B32199" s="11" t="str">
        <f>"01080532"</f>
        <v>01080532</v>
      </c>
    </row>
    <row r="32200" spans="1:2" x14ac:dyDescent="0.25">
      <c r="A32200" s="2">
        <v>32195</v>
      </c>
      <c r="B32200" s="11" t="str">
        <f>"01080536"</f>
        <v>01080536</v>
      </c>
    </row>
    <row r="32201" spans="1:2" x14ac:dyDescent="0.25">
      <c r="A32201" s="2">
        <v>32196</v>
      </c>
      <c r="B32201" s="11" t="str">
        <f>"01080544"</f>
        <v>01080544</v>
      </c>
    </row>
    <row r="32202" spans="1:2" x14ac:dyDescent="0.25">
      <c r="A32202" s="2">
        <v>32197</v>
      </c>
      <c r="B32202" s="11" t="str">
        <f>"01080545"</f>
        <v>01080545</v>
      </c>
    </row>
    <row r="32203" spans="1:2" x14ac:dyDescent="0.25">
      <c r="A32203" s="2">
        <v>32198</v>
      </c>
      <c r="B32203" s="11" t="str">
        <f>"01080547"</f>
        <v>01080547</v>
      </c>
    </row>
    <row r="32204" spans="1:2" x14ac:dyDescent="0.25">
      <c r="A32204" s="2">
        <v>32199</v>
      </c>
      <c r="B32204" s="11" t="str">
        <f>"01080549"</f>
        <v>01080549</v>
      </c>
    </row>
    <row r="32205" spans="1:2" x14ac:dyDescent="0.25">
      <c r="A32205" s="2">
        <v>32200</v>
      </c>
      <c r="B32205" s="11" t="str">
        <f>"01080554"</f>
        <v>01080554</v>
      </c>
    </row>
    <row r="32206" spans="1:2" x14ac:dyDescent="0.25">
      <c r="A32206" s="2">
        <v>32201</v>
      </c>
      <c r="B32206" s="11" t="str">
        <f>"01080557"</f>
        <v>01080557</v>
      </c>
    </row>
    <row r="32207" spans="1:2" x14ac:dyDescent="0.25">
      <c r="A32207" s="2">
        <v>32202</v>
      </c>
      <c r="B32207" s="11" t="str">
        <f>"01080565"</f>
        <v>01080565</v>
      </c>
    </row>
    <row r="32208" spans="1:2" x14ac:dyDescent="0.25">
      <c r="A32208" s="2">
        <v>32203</v>
      </c>
      <c r="B32208" s="11" t="str">
        <f>"01080566"</f>
        <v>01080566</v>
      </c>
    </row>
    <row r="32209" spans="1:2" x14ac:dyDescent="0.25">
      <c r="A32209" s="2">
        <v>32204</v>
      </c>
      <c r="B32209" s="11" t="str">
        <f>"01080569"</f>
        <v>01080569</v>
      </c>
    </row>
    <row r="32210" spans="1:2" x14ac:dyDescent="0.25">
      <c r="A32210" s="2">
        <v>32205</v>
      </c>
      <c r="B32210" s="11" t="str">
        <f>"01080578"</f>
        <v>01080578</v>
      </c>
    </row>
    <row r="32211" spans="1:2" x14ac:dyDescent="0.25">
      <c r="A32211" s="2">
        <v>32206</v>
      </c>
      <c r="B32211" s="11" t="str">
        <f>"01080582"</f>
        <v>01080582</v>
      </c>
    </row>
    <row r="32212" spans="1:2" x14ac:dyDescent="0.25">
      <c r="A32212" s="2">
        <v>32207</v>
      </c>
      <c r="B32212" s="11" t="str">
        <f>"01080592"</f>
        <v>01080592</v>
      </c>
    </row>
    <row r="32213" spans="1:2" x14ac:dyDescent="0.25">
      <c r="A32213" s="2">
        <v>32208</v>
      </c>
      <c r="B32213" s="11" t="str">
        <f>"01080594"</f>
        <v>01080594</v>
      </c>
    </row>
    <row r="32214" spans="1:2" x14ac:dyDescent="0.25">
      <c r="A32214" s="2">
        <v>32209</v>
      </c>
      <c r="B32214" s="11" t="str">
        <f>"01080607"</f>
        <v>01080607</v>
      </c>
    </row>
    <row r="32215" spans="1:2" x14ac:dyDescent="0.25">
      <c r="A32215" s="2">
        <v>32210</v>
      </c>
      <c r="B32215" s="11" t="str">
        <f>"01080612"</f>
        <v>01080612</v>
      </c>
    </row>
    <row r="32216" spans="1:2" x14ac:dyDescent="0.25">
      <c r="A32216" s="2">
        <v>32211</v>
      </c>
      <c r="B32216" s="11" t="str">
        <f>"01080615"</f>
        <v>01080615</v>
      </c>
    </row>
    <row r="32217" spans="1:2" x14ac:dyDescent="0.25">
      <c r="A32217" s="2">
        <v>32212</v>
      </c>
      <c r="B32217" s="11" t="str">
        <f>"01080617"</f>
        <v>01080617</v>
      </c>
    </row>
    <row r="32218" spans="1:2" x14ac:dyDescent="0.25">
      <c r="A32218" s="2">
        <v>32213</v>
      </c>
      <c r="B32218" s="11" t="str">
        <f>"01080624"</f>
        <v>01080624</v>
      </c>
    </row>
    <row r="32219" spans="1:2" x14ac:dyDescent="0.25">
      <c r="A32219" s="2">
        <v>32214</v>
      </c>
      <c r="B32219" s="11" t="str">
        <f>"01080629"</f>
        <v>01080629</v>
      </c>
    </row>
    <row r="32220" spans="1:2" x14ac:dyDescent="0.25">
      <c r="A32220" s="2">
        <v>32215</v>
      </c>
      <c r="B32220" s="11" t="str">
        <f>"01080641"</f>
        <v>01080641</v>
      </c>
    </row>
    <row r="32221" spans="1:2" x14ac:dyDescent="0.25">
      <c r="A32221" s="2">
        <v>32216</v>
      </c>
      <c r="B32221" s="11" t="str">
        <f>"01080642"</f>
        <v>01080642</v>
      </c>
    </row>
    <row r="32222" spans="1:2" x14ac:dyDescent="0.25">
      <c r="A32222" s="2">
        <v>32217</v>
      </c>
      <c r="B32222" s="11" t="str">
        <f>"01080649"</f>
        <v>01080649</v>
      </c>
    </row>
    <row r="32223" spans="1:2" x14ac:dyDescent="0.25">
      <c r="A32223" s="2">
        <v>32218</v>
      </c>
      <c r="B32223" s="11" t="str">
        <f>"01080650"</f>
        <v>01080650</v>
      </c>
    </row>
    <row r="32224" spans="1:2" x14ac:dyDescent="0.25">
      <c r="A32224" s="2">
        <v>32219</v>
      </c>
      <c r="B32224" s="11" t="str">
        <f>"01080661"</f>
        <v>01080661</v>
      </c>
    </row>
    <row r="32225" spans="1:2" x14ac:dyDescent="0.25">
      <c r="A32225" s="2">
        <v>32220</v>
      </c>
      <c r="B32225" s="11" t="str">
        <f>"01080663"</f>
        <v>01080663</v>
      </c>
    </row>
    <row r="32226" spans="1:2" x14ac:dyDescent="0.25">
      <c r="A32226" s="2">
        <v>32221</v>
      </c>
      <c r="B32226" s="11" t="str">
        <f>"01080665"</f>
        <v>01080665</v>
      </c>
    </row>
    <row r="32227" spans="1:2" x14ac:dyDescent="0.25">
      <c r="A32227" s="2">
        <v>32222</v>
      </c>
      <c r="B32227" s="11" t="str">
        <f>"01080667"</f>
        <v>01080667</v>
      </c>
    </row>
    <row r="32228" spans="1:2" x14ac:dyDescent="0.25">
      <c r="A32228" s="2">
        <v>32223</v>
      </c>
      <c r="B32228" s="11" t="str">
        <f>"01080668"</f>
        <v>01080668</v>
      </c>
    </row>
    <row r="32229" spans="1:2" x14ac:dyDescent="0.25">
      <c r="A32229" s="2">
        <v>32224</v>
      </c>
      <c r="B32229" s="11" t="str">
        <f>"01080671"</f>
        <v>01080671</v>
      </c>
    </row>
    <row r="32230" spans="1:2" x14ac:dyDescent="0.25">
      <c r="A32230" s="2">
        <v>32225</v>
      </c>
      <c r="B32230" s="11" t="str">
        <f>"01080675"</f>
        <v>01080675</v>
      </c>
    </row>
    <row r="32231" spans="1:2" x14ac:dyDescent="0.25">
      <c r="A32231" s="2">
        <v>32226</v>
      </c>
      <c r="B32231" s="11" t="str">
        <f>"01080679"</f>
        <v>01080679</v>
      </c>
    </row>
    <row r="32232" spans="1:2" x14ac:dyDescent="0.25">
      <c r="A32232" s="2">
        <v>32227</v>
      </c>
      <c r="B32232" s="11" t="str">
        <f>"01080681"</f>
        <v>01080681</v>
      </c>
    </row>
    <row r="32233" spans="1:2" x14ac:dyDescent="0.25">
      <c r="A32233" s="2">
        <v>32228</v>
      </c>
      <c r="B32233" s="11" t="str">
        <f>"01080684"</f>
        <v>01080684</v>
      </c>
    </row>
    <row r="32234" spans="1:2" x14ac:dyDescent="0.25">
      <c r="A32234" s="2">
        <v>32229</v>
      </c>
      <c r="B32234" s="11" t="str">
        <f>"01080687"</f>
        <v>01080687</v>
      </c>
    </row>
    <row r="32235" spans="1:2" x14ac:dyDescent="0.25">
      <c r="A32235" s="2">
        <v>32230</v>
      </c>
      <c r="B32235" s="11" t="str">
        <f>"01080688"</f>
        <v>01080688</v>
      </c>
    </row>
    <row r="32236" spans="1:2" x14ac:dyDescent="0.25">
      <c r="A32236" s="2">
        <v>32231</v>
      </c>
      <c r="B32236" s="11" t="str">
        <f>"01080689"</f>
        <v>01080689</v>
      </c>
    </row>
    <row r="32237" spans="1:2" x14ac:dyDescent="0.25">
      <c r="A32237" s="2">
        <v>32232</v>
      </c>
      <c r="B32237" s="11" t="str">
        <f>"01080694"</f>
        <v>01080694</v>
      </c>
    </row>
    <row r="32238" spans="1:2" x14ac:dyDescent="0.25">
      <c r="A32238" s="2">
        <v>32233</v>
      </c>
      <c r="B32238" s="11" t="str">
        <f>"01080698"</f>
        <v>01080698</v>
      </c>
    </row>
    <row r="32239" spans="1:2" x14ac:dyDescent="0.25">
      <c r="A32239" s="2">
        <v>32234</v>
      </c>
      <c r="B32239" s="11" t="str">
        <f>"01080701"</f>
        <v>01080701</v>
      </c>
    </row>
    <row r="32240" spans="1:2" x14ac:dyDescent="0.25">
      <c r="A32240" s="2">
        <v>32235</v>
      </c>
      <c r="B32240" s="11" t="str">
        <f>"01080703"</f>
        <v>01080703</v>
      </c>
    </row>
    <row r="32241" spans="1:2" x14ac:dyDescent="0.25">
      <c r="A32241" s="2">
        <v>32236</v>
      </c>
      <c r="B32241" s="11" t="str">
        <f>"01080704"</f>
        <v>01080704</v>
      </c>
    </row>
    <row r="32242" spans="1:2" x14ac:dyDescent="0.25">
      <c r="A32242" s="2">
        <v>32237</v>
      </c>
      <c r="B32242" s="11" t="str">
        <f>"01080707"</f>
        <v>01080707</v>
      </c>
    </row>
    <row r="32243" spans="1:2" x14ac:dyDescent="0.25">
      <c r="A32243" s="2">
        <v>32238</v>
      </c>
      <c r="B32243" s="11" t="str">
        <f>"01080709"</f>
        <v>01080709</v>
      </c>
    </row>
    <row r="32244" spans="1:2" x14ac:dyDescent="0.25">
      <c r="A32244" s="2">
        <v>32239</v>
      </c>
      <c r="B32244" s="11" t="str">
        <f>"01080713"</f>
        <v>01080713</v>
      </c>
    </row>
    <row r="32245" spans="1:2" x14ac:dyDescent="0.25">
      <c r="A32245" s="2">
        <v>32240</v>
      </c>
      <c r="B32245" s="11" t="str">
        <f>"01080716"</f>
        <v>01080716</v>
      </c>
    </row>
    <row r="32246" spans="1:2" x14ac:dyDescent="0.25">
      <c r="A32246" s="2">
        <v>32241</v>
      </c>
      <c r="B32246" s="11" t="str">
        <f>"01080717"</f>
        <v>01080717</v>
      </c>
    </row>
    <row r="32247" spans="1:2" x14ac:dyDescent="0.25">
      <c r="A32247" s="2">
        <v>32242</v>
      </c>
      <c r="B32247" s="11" t="str">
        <f>"01080722"</f>
        <v>01080722</v>
      </c>
    </row>
    <row r="32248" spans="1:2" x14ac:dyDescent="0.25">
      <c r="A32248" s="2">
        <v>32243</v>
      </c>
      <c r="B32248" s="11" t="str">
        <f>"01080724"</f>
        <v>01080724</v>
      </c>
    </row>
    <row r="32249" spans="1:2" x14ac:dyDescent="0.25">
      <c r="A32249" s="2">
        <v>32244</v>
      </c>
      <c r="B32249" s="11" t="str">
        <f>"01080725"</f>
        <v>01080725</v>
      </c>
    </row>
    <row r="32250" spans="1:2" x14ac:dyDescent="0.25">
      <c r="A32250" s="2">
        <v>32245</v>
      </c>
      <c r="B32250" s="11" t="str">
        <f>"01080726"</f>
        <v>01080726</v>
      </c>
    </row>
    <row r="32251" spans="1:2" x14ac:dyDescent="0.25">
      <c r="A32251" s="2">
        <v>32246</v>
      </c>
      <c r="B32251" s="11" t="str">
        <f>"01080729"</f>
        <v>01080729</v>
      </c>
    </row>
    <row r="32252" spans="1:2" x14ac:dyDescent="0.25">
      <c r="A32252" s="2">
        <v>32247</v>
      </c>
      <c r="B32252" s="11" t="str">
        <f>"01080731"</f>
        <v>01080731</v>
      </c>
    </row>
    <row r="32253" spans="1:2" x14ac:dyDescent="0.25">
      <c r="A32253" s="2">
        <v>32248</v>
      </c>
      <c r="B32253" s="11" t="str">
        <f>"01080733"</f>
        <v>01080733</v>
      </c>
    </row>
    <row r="32254" spans="1:2" x14ac:dyDescent="0.25">
      <c r="A32254" s="2">
        <v>32249</v>
      </c>
      <c r="B32254" s="11" t="str">
        <f>"01080738"</f>
        <v>01080738</v>
      </c>
    </row>
    <row r="32255" spans="1:2" x14ac:dyDescent="0.25">
      <c r="A32255" s="2">
        <v>32250</v>
      </c>
      <c r="B32255" s="11" t="str">
        <f>"01080741"</f>
        <v>01080741</v>
      </c>
    </row>
    <row r="32256" spans="1:2" x14ac:dyDescent="0.25">
      <c r="A32256" s="2">
        <v>32251</v>
      </c>
      <c r="B32256" s="11" t="str">
        <f>"01080742"</f>
        <v>01080742</v>
      </c>
    </row>
    <row r="32257" spans="1:2" x14ac:dyDescent="0.25">
      <c r="A32257" s="2">
        <v>32252</v>
      </c>
      <c r="B32257" s="11" t="str">
        <f>"01080747"</f>
        <v>01080747</v>
      </c>
    </row>
    <row r="32258" spans="1:2" x14ac:dyDescent="0.25">
      <c r="A32258" s="2">
        <v>32253</v>
      </c>
      <c r="B32258" s="11" t="str">
        <f>"01080749"</f>
        <v>01080749</v>
      </c>
    </row>
    <row r="32259" spans="1:2" x14ac:dyDescent="0.25">
      <c r="A32259" s="2">
        <v>32254</v>
      </c>
      <c r="B32259" s="11" t="str">
        <f>"01080752"</f>
        <v>01080752</v>
      </c>
    </row>
    <row r="32260" spans="1:2" x14ac:dyDescent="0.25">
      <c r="A32260" s="2">
        <v>32255</v>
      </c>
      <c r="B32260" s="11" t="str">
        <f>"01080757"</f>
        <v>01080757</v>
      </c>
    </row>
    <row r="32261" spans="1:2" x14ac:dyDescent="0.25">
      <c r="A32261" s="2">
        <v>32256</v>
      </c>
      <c r="B32261" s="11" t="str">
        <f>"01080759"</f>
        <v>01080759</v>
      </c>
    </row>
    <row r="32262" spans="1:2" x14ac:dyDescent="0.25">
      <c r="A32262" s="2">
        <v>32257</v>
      </c>
      <c r="B32262" s="11" t="str">
        <f>"01080765"</f>
        <v>01080765</v>
      </c>
    </row>
    <row r="32263" spans="1:2" x14ac:dyDescent="0.25">
      <c r="A32263" s="2">
        <v>32258</v>
      </c>
      <c r="B32263" s="11" t="str">
        <f>"01080767"</f>
        <v>01080767</v>
      </c>
    </row>
    <row r="32264" spans="1:2" x14ac:dyDescent="0.25">
      <c r="A32264" s="2">
        <v>32259</v>
      </c>
      <c r="B32264" s="11" t="str">
        <f>"01080768"</f>
        <v>01080768</v>
      </c>
    </row>
    <row r="32265" spans="1:2" x14ac:dyDescent="0.25">
      <c r="A32265" s="2">
        <v>32260</v>
      </c>
      <c r="B32265" s="11" t="str">
        <f>"01080769"</f>
        <v>01080769</v>
      </c>
    </row>
    <row r="32266" spans="1:2" x14ac:dyDescent="0.25">
      <c r="A32266" s="2">
        <v>32261</v>
      </c>
      <c r="B32266" s="11" t="str">
        <f>"01080770"</f>
        <v>01080770</v>
      </c>
    </row>
    <row r="32267" spans="1:2" x14ac:dyDescent="0.25">
      <c r="A32267" s="2">
        <v>32262</v>
      </c>
      <c r="B32267" s="11" t="str">
        <f>"01080772"</f>
        <v>01080772</v>
      </c>
    </row>
    <row r="32268" spans="1:2" x14ac:dyDescent="0.25">
      <c r="A32268" s="2">
        <v>32263</v>
      </c>
      <c r="B32268" s="11" t="str">
        <f>"01080776"</f>
        <v>01080776</v>
      </c>
    </row>
    <row r="32269" spans="1:2" x14ac:dyDescent="0.25">
      <c r="A32269" s="2">
        <v>32264</v>
      </c>
      <c r="B32269" s="11" t="str">
        <f>"01080777"</f>
        <v>01080777</v>
      </c>
    </row>
    <row r="32270" spans="1:2" x14ac:dyDescent="0.25">
      <c r="A32270" s="2">
        <v>32265</v>
      </c>
      <c r="B32270" s="11" t="str">
        <f>"01080783"</f>
        <v>01080783</v>
      </c>
    </row>
    <row r="32271" spans="1:2" x14ac:dyDescent="0.25">
      <c r="A32271" s="2">
        <v>32266</v>
      </c>
      <c r="B32271" s="11" t="str">
        <f>"01080785"</f>
        <v>01080785</v>
      </c>
    </row>
    <row r="32272" spans="1:2" x14ac:dyDescent="0.25">
      <c r="A32272" s="2">
        <v>32267</v>
      </c>
      <c r="B32272" s="11" t="str">
        <f>"01080786"</f>
        <v>01080786</v>
      </c>
    </row>
    <row r="32273" spans="1:2" x14ac:dyDescent="0.25">
      <c r="A32273" s="2">
        <v>32268</v>
      </c>
      <c r="B32273" s="11" t="str">
        <f>"01080788"</f>
        <v>01080788</v>
      </c>
    </row>
    <row r="32274" spans="1:2" x14ac:dyDescent="0.25">
      <c r="A32274" s="2">
        <v>32269</v>
      </c>
      <c r="B32274" s="11" t="str">
        <f>"01080792"</f>
        <v>01080792</v>
      </c>
    </row>
    <row r="32275" spans="1:2" x14ac:dyDescent="0.25">
      <c r="A32275" s="2">
        <v>32270</v>
      </c>
      <c r="B32275" s="11" t="str">
        <f>"01080794"</f>
        <v>01080794</v>
      </c>
    </row>
    <row r="32276" spans="1:2" x14ac:dyDescent="0.25">
      <c r="A32276" s="2">
        <v>32271</v>
      </c>
      <c r="B32276" s="11" t="str">
        <f>"01080796"</f>
        <v>01080796</v>
      </c>
    </row>
    <row r="32277" spans="1:2" x14ac:dyDescent="0.25">
      <c r="A32277" s="2">
        <v>32272</v>
      </c>
      <c r="B32277" s="11" t="str">
        <f>"01080798"</f>
        <v>01080798</v>
      </c>
    </row>
    <row r="32278" spans="1:2" x14ac:dyDescent="0.25">
      <c r="A32278" s="2">
        <v>32273</v>
      </c>
      <c r="B32278" s="11" t="str">
        <f>"01080800"</f>
        <v>01080800</v>
      </c>
    </row>
    <row r="32279" spans="1:2" x14ac:dyDescent="0.25">
      <c r="A32279" s="2">
        <v>32274</v>
      </c>
      <c r="B32279" s="11" t="str">
        <f>"01080805"</f>
        <v>01080805</v>
      </c>
    </row>
    <row r="32280" spans="1:2" x14ac:dyDescent="0.25">
      <c r="A32280" s="2">
        <v>32275</v>
      </c>
      <c r="B32280" s="11" t="str">
        <f>"01080806"</f>
        <v>01080806</v>
      </c>
    </row>
    <row r="32281" spans="1:2" x14ac:dyDescent="0.25">
      <c r="A32281" s="2">
        <v>32276</v>
      </c>
      <c r="B32281" s="11" t="str">
        <f>"01080808"</f>
        <v>01080808</v>
      </c>
    </row>
    <row r="32282" spans="1:2" x14ac:dyDescent="0.25">
      <c r="A32282" s="2">
        <v>32277</v>
      </c>
      <c r="B32282" s="11" t="str">
        <f>"01080809"</f>
        <v>01080809</v>
      </c>
    </row>
    <row r="32283" spans="1:2" x14ac:dyDescent="0.25">
      <c r="A32283" s="2">
        <v>32278</v>
      </c>
      <c r="B32283" s="11" t="str">
        <f>"01080812"</f>
        <v>01080812</v>
      </c>
    </row>
    <row r="32284" spans="1:2" x14ac:dyDescent="0.25">
      <c r="A32284" s="2">
        <v>32279</v>
      </c>
      <c r="B32284" s="11" t="str">
        <f>"01080823"</f>
        <v>01080823</v>
      </c>
    </row>
    <row r="32285" spans="1:2" x14ac:dyDescent="0.25">
      <c r="A32285" s="2">
        <v>32280</v>
      </c>
      <c r="B32285" s="11" t="str">
        <f>"01080828"</f>
        <v>01080828</v>
      </c>
    </row>
    <row r="32286" spans="1:2" x14ac:dyDescent="0.25">
      <c r="A32286" s="2">
        <v>32281</v>
      </c>
      <c r="B32286" s="11" t="str">
        <f>"01080829"</f>
        <v>01080829</v>
      </c>
    </row>
    <row r="32287" spans="1:2" x14ac:dyDescent="0.25">
      <c r="A32287" s="2">
        <v>32282</v>
      </c>
      <c r="B32287" s="11" t="str">
        <f>"01080833"</f>
        <v>01080833</v>
      </c>
    </row>
    <row r="32288" spans="1:2" x14ac:dyDescent="0.25">
      <c r="A32288" s="2">
        <v>32283</v>
      </c>
      <c r="B32288" s="11" t="str">
        <f>"01080834"</f>
        <v>01080834</v>
      </c>
    </row>
    <row r="32289" spans="1:2" x14ac:dyDescent="0.25">
      <c r="A32289" s="2">
        <v>32284</v>
      </c>
      <c r="B32289" s="11" t="str">
        <f>"01080835"</f>
        <v>01080835</v>
      </c>
    </row>
    <row r="32290" spans="1:2" x14ac:dyDescent="0.25">
      <c r="A32290" s="2">
        <v>32285</v>
      </c>
      <c r="B32290" s="11" t="str">
        <f>"01080836"</f>
        <v>01080836</v>
      </c>
    </row>
    <row r="32291" spans="1:2" x14ac:dyDescent="0.25">
      <c r="A32291" s="2">
        <v>32286</v>
      </c>
      <c r="B32291" s="11" t="str">
        <f>"01080837"</f>
        <v>01080837</v>
      </c>
    </row>
    <row r="32292" spans="1:2" x14ac:dyDescent="0.25">
      <c r="A32292" s="2">
        <v>32287</v>
      </c>
      <c r="B32292" s="11" t="str">
        <f>"01080838"</f>
        <v>01080838</v>
      </c>
    </row>
    <row r="32293" spans="1:2" x14ac:dyDescent="0.25">
      <c r="A32293" s="2">
        <v>32288</v>
      </c>
      <c r="B32293" s="11" t="str">
        <f>"01080842"</f>
        <v>01080842</v>
      </c>
    </row>
    <row r="32294" spans="1:2" x14ac:dyDescent="0.25">
      <c r="A32294" s="2">
        <v>32289</v>
      </c>
      <c r="B32294" s="11" t="str">
        <f>"01080852"</f>
        <v>01080852</v>
      </c>
    </row>
    <row r="32295" spans="1:2" x14ac:dyDescent="0.25">
      <c r="A32295" s="2">
        <v>32290</v>
      </c>
      <c r="B32295" s="11" t="str">
        <f>"01080864"</f>
        <v>01080864</v>
      </c>
    </row>
    <row r="32296" spans="1:2" x14ac:dyDescent="0.25">
      <c r="A32296" s="2">
        <v>32291</v>
      </c>
      <c r="B32296" s="11" t="str">
        <f>"01080866"</f>
        <v>01080866</v>
      </c>
    </row>
    <row r="32297" spans="1:2" x14ac:dyDescent="0.25">
      <c r="A32297" s="2">
        <v>32292</v>
      </c>
      <c r="B32297" s="11" t="str">
        <f>"01080872"</f>
        <v>01080872</v>
      </c>
    </row>
    <row r="32298" spans="1:2" x14ac:dyDescent="0.25">
      <c r="A32298" s="2">
        <v>32293</v>
      </c>
      <c r="B32298" s="11" t="str">
        <f>"01080873"</f>
        <v>01080873</v>
      </c>
    </row>
    <row r="32299" spans="1:2" x14ac:dyDescent="0.25">
      <c r="A32299" s="2">
        <v>32294</v>
      </c>
      <c r="B32299" s="11" t="str">
        <f>"01080876"</f>
        <v>01080876</v>
      </c>
    </row>
    <row r="32300" spans="1:2" x14ac:dyDescent="0.25">
      <c r="A32300" s="2">
        <v>32295</v>
      </c>
      <c r="B32300" s="11" t="str">
        <f>"01080879"</f>
        <v>01080879</v>
      </c>
    </row>
    <row r="32301" spans="1:2" x14ac:dyDescent="0.25">
      <c r="A32301" s="2">
        <v>32296</v>
      </c>
      <c r="B32301" s="11" t="str">
        <f>"01080880"</f>
        <v>01080880</v>
      </c>
    </row>
    <row r="32302" spans="1:2" x14ac:dyDescent="0.25">
      <c r="A32302" s="2">
        <v>32297</v>
      </c>
      <c r="B32302" s="11" t="str">
        <f>"01080881"</f>
        <v>01080881</v>
      </c>
    </row>
    <row r="32303" spans="1:2" x14ac:dyDescent="0.25">
      <c r="A32303" s="2">
        <v>32298</v>
      </c>
      <c r="B32303" s="11" t="str">
        <f>"01080883"</f>
        <v>01080883</v>
      </c>
    </row>
    <row r="32304" spans="1:2" x14ac:dyDescent="0.25">
      <c r="A32304" s="2">
        <v>32299</v>
      </c>
      <c r="B32304" s="11" t="str">
        <f>"01080885"</f>
        <v>01080885</v>
      </c>
    </row>
    <row r="32305" spans="1:2" x14ac:dyDescent="0.25">
      <c r="A32305" s="2">
        <v>32300</v>
      </c>
      <c r="B32305" s="11" t="str">
        <f>"01080888"</f>
        <v>01080888</v>
      </c>
    </row>
    <row r="32306" spans="1:2" x14ac:dyDescent="0.25">
      <c r="A32306" s="2">
        <v>32301</v>
      </c>
      <c r="B32306" s="11" t="str">
        <f>"01080891"</f>
        <v>01080891</v>
      </c>
    </row>
    <row r="32307" spans="1:2" x14ac:dyDescent="0.25">
      <c r="A32307" s="2">
        <v>32302</v>
      </c>
      <c r="B32307" s="11" t="str">
        <f>"01080892"</f>
        <v>01080892</v>
      </c>
    </row>
    <row r="32308" spans="1:2" x14ac:dyDescent="0.25">
      <c r="A32308" s="2">
        <v>32303</v>
      </c>
      <c r="B32308" s="11" t="str">
        <f>"01080893"</f>
        <v>01080893</v>
      </c>
    </row>
    <row r="32309" spans="1:2" x14ac:dyDescent="0.25">
      <c r="A32309" s="2">
        <v>32304</v>
      </c>
      <c r="B32309" s="11" t="str">
        <f>"01080897"</f>
        <v>01080897</v>
      </c>
    </row>
    <row r="32310" spans="1:2" x14ac:dyDescent="0.25">
      <c r="A32310" s="2">
        <v>32305</v>
      </c>
      <c r="B32310" s="11" t="str">
        <f>"01080898"</f>
        <v>01080898</v>
      </c>
    </row>
    <row r="32311" spans="1:2" x14ac:dyDescent="0.25">
      <c r="A32311" s="2">
        <v>32306</v>
      </c>
      <c r="B32311" s="11" t="str">
        <f>"01080911"</f>
        <v>01080911</v>
      </c>
    </row>
    <row r="32312" spans="1:2" x14ac:dyDescent="0.25">
      <c r="A32312" s="2">
        <v>32307</v>
      </c>
      <c r="B32312" s="11" t="str">
        <f>"01080913"</f>
        <v>01080913</v>
      </c>
    </row>
    <row r="32313" spans="1:2" x14ac:dyDescent="0.25">
      <c r="A32313" s="2">
        <v>32308</v>
      </c>
      <c r="B32313" s="11" t="str">
        <f>"01080915"</f>
        <v>01080915</v>
      </c>
    </row>
    <row r="32314" spans="1:2" x14ac:dyDescent="0.25">
      <c r="A32314" s="2">
        <v>32309</v>
      </c>
      <c r="B32314" s="11" t="str">
        <f>"01080916"</f>
        <v>01080916</v>
      </c>
    </row>
    <row r="32315" spans="1:2" x14ac:dyDescent="0.25">
      <c r="A32315" s="2">
        <v>32310</v>
      </c>
      <c r="B32315" s="11" t="str">
        <f>"01080918"</f>
        <v>01080918</v>
      </c>
    </row>
    <row r="32316" spans="1:2" x14ac:dyDescent="0.25">
      <c r="A32316" s="2">
        <v>32311</v>
      </c>
      <c r="B32316" s="11" t="str">
        <f>"01080922"</f>
        <v>01080922</v>
      </c>
    </row>
    <row r="32317" spans="1:2" x14ac:dyDescent="0.25">
      <c r="A32317" s="2">
        <v>32312</v>
      </c>
      <c r="B32317" s="11" t="str">
        <f>"01080923"</f>
        <v>01080923</v>
      </c>
    </row>
    <row r="32318" spans="1:2" x14ac:dyDescent="0.25">
      <c r="A32318" s="2">
        <v>32313</v>
      </c>
      <c r="B32318" s="11" t="str">
        <f>"01080924"</f>
        <v>01080924</v>
      </c>
    </row>
    <row r="32319" spans="1:2" x14ac:dyDescent="0.25">
      <c r="A32319" s="2">
        <v>32314</v>
      </c>
      <c r="B32319" s="11" t="str">
        <f>"01080925"</f>
        <v>01080925</v>
      </c>
    </row>
    <row r="32320" spans="1:2" x14ac:dyDescent="0.25">
      <c r="A32320" s="2">
        <v>32315</v>
      </c>
      <c r="B32320" s="11" t="str">
        <f>"01080933"</f>
        <v>01080933</v>
      </c>
    </row>
    <row r="32321" spans="1:2" x14ac:dyDescent="0.25">
      <c r="A32321" s="2">
        <v>32316</v>
      </c>
      <c r="B32321" s="11" t="str">
        <f>"01080934"</f>
        <v>01080934</v>
      </c>
    </row>
    <row r="32322" spans="1:2" x14ac:dyDescent="0.25">
      <c r="A32322" s="2">
        <v>32317</v>
      </c>
      <c r="B32322" s="11" t="str">
        <f>"01080935"</f>
        <v>01080935</v>
      </c>
    </row>
    <row r="32323" spans="1:2" x14ac:dyDescent="0.25">
      <c r="A32323" s="2">
        <v>32318</v>
      </c>
      <c r="B32323" s="11" t="str">
        <f>"01080938"</f>
        <v>01080938</v>
      </c>
    </row>
    <row r="32324" spans="1:2" x14ac:dyDescent="0.25">
      <c r="A32324" s="2">
        <v>32319</v>
      </c>
      <c r="B32324" s="11" t="str">
        <f>"01080942"</f>
        <v>01080942</v>
      </c>
    </row>
    <row r="32325" spans="1:2" x14ac:dyDescent="0.25">
      <c r="A32325" s="2">
        <v>32320</v>
      </c>
      <c r="B32325" s="11" t="str">
        <f>"01080948"</f>
        <v>01080948</v>
      </c>
    </row>
    <row r="32326" spans="1:2" x14ac:dyDescent="0.25">
      <c r="A32326" s="2">
        <v>32321</v>
      </c>
      <c r="B32326" s="11" t="str">
        <f>"01080952"</f>
        <v>01080952</v>
      </c>
    </row>
    <row r="32327" spans="1:2" x14ac:dyDescent="0.25">
      <c r="A32327" s="2">
        <v>32322</v>
      </c>
      <c r="B32327" s="11" t="str">
        <f>"01080955"</f>
        <v>01080955</v>
      </c>
    </row>
    <row r="32328" spans="1:2" x14ac:dyDescent="0.25">
      <c r="A32328" s="2">
        <v>32323</v>
      </c>
      <c r="B32328" s="11" t="str">
        <f>"01080957"</f>
        <v>01080957</v>
      </c>
    </row>
    <row r="32329" spans="1:2" x14ac:dyDescent="0.25">
      <c r="A32329" s="2">
        <v>32324</v>
      </c>
      <c r="B32329" s="11" t="str">
        <f>"01080961"</f>
        <v>01080961</v>
      </c>
    </row>
    <row r="32330" spans="1:2" x14ac:dyDescent="0.25">
      <c r="A32330" s="2">
        <v>32325</v>
      </c>
      <c r="B32330" s="11" t="str">
        <f>"01080965"</f>
        <v>01080965</v>
      </c>
    </row>
    <row r="32331" spans="1:2" x14ac:dyDescent="0.25">
      <c r="A32331" s="2">
        <v>32326</v>
      </c>
      <c r="B32331" s="11" t="str">
        <f>"01080967"</f>
        <v>01080967</v>
      </c>
    </row>
    <row r="32332" spans="1:2" x14ac:dyDescent="0.25">
      <c r="A32332" s="2">
        <v>32327</v>
      </c>
      <c r="B32332" s="11" t="str">
        <f>"01080969"</f>
        <v>01080969</v>
      </c>
    </row>
    <row r="32333" spans="1:2" x14ac:dyDescent="0.25">
      <c r="A32333" s="2">
        <v>32328</v>
      </c>
      <c r="B32333" s="11" t="str">
        <f>"01080976"</f>
        <v>01080976</v>
      </c>
    </row>
    <row r="32334" spans="1:2" x14ac:dyDescent="0.25">
      <c r="A32334" s="2">
        <v>32329</v>
      </c>
      <c r="B32334" s="11" t="str">
        <f>"01080981"</f>
        <v>01080981</v>
      </c>
    </row>
    <row r="32335" spans="1:2" x14ac:dyDescent="0.25">
      <c r="A32335" s="2">
        <v>32330</v>
      </c>
      <c r="B32335" s="11" t="str">
        <f>"01080982"</f>
        <v>01080982</v>
      </c>
    </row>
    <row r="32336" spans="1:2" x14ac:dyDescent="0.25">
      <c r="A32336" s="2">
        <v>32331</v>
      </c>
      <c r="B32336" s="11" t="str">
        <f>"01080985"</f>
        <v>01080985</v>
      </c>
    </row>
    <row r="32337" spans="1:2" x14ac:dyDescent="0.25">
      <c r="A32337" s="2">
        <v>32332</v>
      </c>
      <c r="B32337" s="11" t="str">
        <f>"01080994"</f>
        <v>01080994</v>
      </c>
    </row>
    <row r="32338" spans="1:2" x14ac:dyDescent="0.25">
      <c r="A32338" s="2">
        <v>32333</v>
      </c>
      <c r="B32338" s="11" t="str">
        <f>"01080995"</f>
        <v>01080995</v>
      </c>
    </row>
    <row r="32339" spans="1:2" x14ac:dyDescent="0.25">
      <c r="A32339" s="2">
        <v>32334</v>
      </c>
      <c r="B32339" s="11" t="str">
        <f>"01081003"</f>
        <v>01081003</v>
      </c>
    </row>
    <row r="32340" spans="1:2" x14ac:dyDescent="0.25">
      <c r="A32340" s="2">
        <v>32335</v>
      </c>
      <c r="B32340" s="11" t="str">
        <f>"01081007"</f>
        <v>01081007</v>
      </c>
    </row>
    <row r="32341" spans="1:2" x14ac:dyDescent="0.25">
      <c r="A32341" s="2">
        <v>32336</v>
      </c>
      <c r="B32341" s="11" t="str">
        <f>"01081014"</f>
        <v>01081014</v>
      </c>
    </row>
    <row r="32342" spans="1:2" x14ac:dyDescent="0.25">
      <c r="A32342" s="2">
        <v>32337</v>
      </c>
      <c r="B32342" s="11" t="str">
        <f>"01081020"</f>
        <v>01081020</v>
      </c>
    </row>
    <row r="32343" spans="1:2" x14ac:dyDescent="0.25">
      <c r="A32343" s="2">
        <v>32338</v>
      </c>
      <c r="B32343" s="11" t="str">
        <f>"01081038"</f>
        <v>01081038</v>
      </c>
    </row>
    <row r="32344" spans="1:2" x14ac:dyDescent="0.25">
      <c r="A32344" s="2">
        <v>32339</v>
      </c>
      <c r="B32344" s="11" t="str">
        <f>"01081039"</f>
        <v>01081039</v>
      </c>
    </row>
    <row r="32345" spans="1:2" x14ac:dyDescent="0.25">
      <c r="A32345" s="2">
        <v>32340</v>
      </c>
      <c r="B32345" s="11" t="str">
        <f>"01081045"</f>
        <v>01081045</v>
      </c>
    </row>
    <row r="32346" spans="1:2" x14ac:dyDescent="0.25">
      <c r="A32346" s="2">
        <v>32341</v>
      </c>
      <c r="B32346" s="11" t="str">
        <f>"01081057"</f>
        <v>01081057</v>
      </c>
    </row>
    <row r="32347" spans="1:2" x14ac:dyDescent="0.25">
      <c r="A32347" s="2">
        <v>32342</v>
      </c>
      <c r="B32347" s="11" t="str">
        <f>"01081059"</f>
        <v>01081059</v>
      </c>
    </row>
    <row r="32348" spans="1:2" x14ac:dyDescent="0.25">
      <c r="A32348" s="2">
        <v>32343</v>
      </c>
      <c r="B32348" s="11" t="str">
        <f>"01081067"</f>
        <v>01081067</v>
      </c>
    </row>
    <row r="32349" spans="1:2" x14ac:dyDescent="0.25">
      <c r="A32349" s="2">
        <v>32344</v>
      </c>
      <c r="B32349" s="11" t="str">
        <f>"01081074"</f>
        <v>01081074</v>
      </c>
    </row>
    <row r="32350" spans="1:2" x14ac:dyDescent="0.25">
      <c r="A32350" s="2">
        <v>32345</v>
      </c>
      <c r="B32350" s="11" t="str">
        <f>"01081075"</f>
        <v>01081075</v>
      </c>
    </row>
    <row r="32351" spans="1:2" x14ac:dyDescent="0.25">
      <c r="A32351" s="2">
        <v>32346</v>
      </c>
      <c r="B32351" s="11" t="str">
        <f>"01081079"</f>
        <v>01081079</v>
      </c>
    </row>
    <row r="32352" spans="1:2" x14ac:dyDescent="0.25">
      <c r="A32352" s="2">
        <v>32347</v>
      </c>
      <c r="B32352" s="11" t="str">
        <f>"01081082"</f>
        <v>01081082</v>
      </c>
    </row>
    <row r="32353" spans="1:2" x14ac:dyDescent="0.25">
      <c r="A32353" s="2">
        <v>32348</v>
      </c>
      <c r="B32353" s="11" t="str">
        <f>"01081085"</f>
        <v>01081085</v>
      </c>
    </row>
    <row r="32354" spans="1:2" x14ac:dyDescent="0.25">
      <c r="A32354" s="2">
        <v>32349</v>
      </c>
      <c r="B32354" s="11" t="str">
        <f>"01081102"</f>
        <v>01081102</v>
      </c>
    </row>
    <row r="32355" spans="1:2" x14ac:dyDescent="0.25">
      <c r="A32355" s="2">
        <v>32350</v>
      </c>
      <c r="B32355" s="11" t="str">
        <f>"01081103"</f>
        <v>01081103</v>
      </c>
    </row>
    <row r="32356" spans="1:2" x14ac:dyDescent="0.25">
      <c r="A32356" s="2">
        <v>32351</v>
      </c>
      <c r="B32356" s="11" t="str">
        <f>"01081105"</f>
        <v>01081105</v>
      </c>
    </row>
    <row r="32357" spans="1:2" x14ac:dyDescent="0.25">
      <c r="A32357" s="2">
        <v>32352</v>
      </c>
      <c r="B32357" s="11" t="str">
        <f>"01081106"</f>
        <v>01081106</v>
      </c>
    </row>
    <row r="32358" spans="1:2" x14ac:dyDescent="0.25">
      <c r="A32358" s="2">
        <v>32353</v>
      </c>
      <c r="B32358" s="11" t="str">
        <f>"01081117"</f>
        <v>01081117</v>
      </c>
    </row>
    <row r="32359" spans="1:2" x14ac:dyDescent="0.25">
      <c r="A32359" s="2">
        <v>32354</v>
      </c>
      <c r="B32359" s="11" t="str">
        <f>"01081118"</f>
        <v>01081118</v>
      </c>
    </row>
    <row r="32360" spans="1:2" x14ac:dyDescent="0.25">
      <c r="A32360" s="2">
        <v>32355</v>
      </c>
      <c r="B32360" s="11" t="str">
        <f>"01081119"</f>
        <v>01081119</v>
      </c>
    </row>
    <row r="32361" spans="1:2" x14ac:dyDescent="0.25">
      <c r="A32361" s="2">
        <v>32356</v>
      </c>
      <c r="B32361" s="11" t="str">
        <f>"01081133"</f>
        <v>01081133</v>
      </c>
    </row>
    <row r="32362" spans="1:2" x14ac:dyDescent="0.25">
      <c r="A32362" s="2">
        <v>32357</v>
      </c>
      <c r="B32362" s="11" t="str">
        <f>"01081136"</f>
        <v>01081136</v>
      </c>
    </row>
    <row r="32363" spans="1:2" x14ac:dyDescent="0.25">
      <c r="A32363" s="2">
        <v>32358</v>
      </c>
      <c r="B32363" s="11" t="str">
        <f>"01081145"</f>
        <v>01081145</v>
      </c>
    </row>
    <row r="32364" spans="1:2" x14ac:dyDescent="0.25">
      <c r="A32364" s="2">
        <v>32359</v>
      </c>
      <c r="B32364" s="11" t="str">
        <f>"01081146"</f>
        <v>01081146</v>
      </c>
    </row>
    <row r="32365" spans="1:2" x14ac:dyDescent="0.25">
      <c r="A32365" s="2">
        <v>32360</v>
      </c>
      <c r="B32365" s="11" t="str">
        <f>"01081147"</f>
        <v>01081147</v>
      </c>
    </row>
    <row r="32366" spans="1:2" x14ac:dyDescent="0.25">
      <c r="A32366" s="2">
        <v>32361</v>
      </c>
      <c r="B32366" s="11" t="str">
        <f>"01081148"</f>
        <v>01081148</v>
      </c>
    </row>
    <row r="32367" spans="1:2" x14ac:dyDescent="0.25">
      <c r="A32367" s="2">
        <v>32362</v>
      </c>
      <c r="B32367" s="11" t="str">
        <f>"01081149"</f>
        <v>01081149</v>
      </c>
    </row>
    <row r="32368" spans="1:2" x14ac:dyDescent="0.25">
      <c r="A32368" s="2">
        <v>32363</v>
      </c>
      <c r="B32368" s="11" t="str">
        <f>"01081150"</f>
        <v>01081150</v>
      </c>
    </row>
    <row r="32369" spans="1:2" x14ac:dyDescent="0.25">
      <c r="A32369" s="2">
        <v>32364</v>
      </c>
      <c r="B32369" s="11" t="str">
        <f>"01081151"</f>
        <v>01081151</v>
      </c>
    </row>
    <row r="32370" spans="1:2" x14ac:dyDescent="0.25">
      <c r="A32370" s="2">
        <v>32365</v>
      </c>
      <c r="B32370" s="11" t="str">
        <f>"01081152"</f>
        <v>01081152</v>
      </c>
    </row>
    <row r="32371" spans="1:2" x14ac:dyDescent="0.25">
      <c r="A32371" s="2">
        <v>32366</v>
      </c>
      <c r="B32371" s="11" t="str">
        <f>"01081154"</f>
        <v>01081154</v>
      </c>
    </row>
    <row r="32372" spans="1:2" x14ac:dyDescent="0.25">
      <c r="A32372" s="2">
        <v>32367</v>
      </c>
      <c r="B32372" s="11" t="str">
        <f>"01081164"</f>
        <v>01081164</v>
      </c>
    </row>
    <row r="32373" spans="1:2" x14ac:dyDescent="0.25">
      <c r="A32373" s="2">
        <v>32368</v>
      </c>
      <c r="B32373" s="11" t="str">
        <f>"01081166"</f>
        <v>01081166</v>
      </c>
    </row>
    <row r="32374" spans="1:2" x14ac:dyDescent="0.25">
      <c r="A32374" s="2">
        <v>32369</v>
      </c>
      <c r="B32374" s="11" t="str">
        <f>"01081168"</f>
        <v>01081168</v>
      </c>
    </row>
    <row r="32375" spans="1:2" x14ac:dyDescent="0.25">
      <c r="A32375" s="2">
        <v>32370</v>
      </c>
      <c r="B32375" s="11" t="str">
        <f>"01081173"</f>
        <v>01081173</v>
      </c>
    </row>
    <row r="32376" spans="1:2" x14ac:dyDescent="0.25">
      <c r="A32376" s="2">
        <v>32371</v>
      </c>
      <c r="B32376" s="11" t="str">
        <f>"01081174"</f>
        <v>01081174</v>
      </c>
    </row>
    <row r="32377" spans="1:2" x14ac:dyDescent="0.25">
      <c r="A32377" s="2">
        <v>32372</v>
      </c>
      <c r="B32377" s="11" t="str">
        <f>"01081176"</f>
        <v>01081176</v>
      </c>
    </row>
    <row r="32378" spans="1:2" x14ac:dyDescent="0.25">
      <c r="A32378" s="2">
        <v>32373</v>
      </c>
      <c r="B32378" s="11" t="str">
        <f>"01081179"</f>
        <v>01081179</v>
      </c>
    </row>
    <row r="32379" spans="1:2" x14ac:dyDescent="0.25">
      <c r="A32379" s="2">
        <v>32374</v>
      </c>
      <c r="B32379" s="11" t="str">
        <f>"01081182"</f>
        <v>01081182</v>
      </c>
    </row>
    <row r="32380" spans="1:2" x14ac:dyDescent="0.25">
      <c r="A32380" s="2">
        <v>32375</v>
      </c>
      <c r="B32380" s="11" t="str">
        <f>"01081183"</f>
        <v>01081183</v>
      </c>
    </row>
    <row r="32381" spans="1:2" x14ac:dyDescent="0.25">
      <c r="A32381" s="2">
        <v>32376</v>
      </c>
      <c r="B32381" s="11" t="str">
        <f>"01081185"</f>
        <v>01081185</v>
      </c>
    </row>
    <row r="32382" spans="1:2" x14ac:dyDescent="0.25">
      <c r="A32382" s="2">
        <v>32377</v>
      </c>
      <c r="B32382" s="11" t="str">
        <f>"01081188"</f>
        <v>01081188</v>
      </c>
    </row>
    <row r="32383" spans="1:2" x14ac:dyDescent="0.25">
      <c r="A32383" s="2">
        <v>32378</v>
      </c>
      <c r="B32383" s="11" t="str">
        <f>"01081198"</f>
        <v>01081198</v>
      </c>
    </row>
    <row r="32384" spans="1:2" x14ac:dyDescent="0.25">
      <c r="A32384" s="2">
        <v>32379</v>
      </c>
      <c r="B32384" s="11" t="str">
        <f>"01081201"</f>
        <v>01081201</v>
      </c>
    </row>
    <row r="32385" spans="1:2" x14ac:dyDescent="0.25">
      <c r="A32385" s="2">
        <v>32380</v>
      </c>
      <c r="B32385" s="11" t="str">
        <f>"01081204"</f>
        <v>01081204</v>
      </c>
    </row>
    <row r="32386" spans="1:2" x14ac:dyDescent="0.25">
      <c r="A32386" s="2">
        <v>32381</v>
      </c>
      <c r="B32386" s="11" t="str">
        <f>"01081215"</f>
        <v>01081215</v>
      </c>
    </row>
    <row r="32387" spans="1:2" x14ac:dyDescent="0.25">
      <c r="A32387" s="2">
        <v>32382</v>
      </c>
      <c r="B32387" s="11" t="str">
        <f>"01081217"</f>
        <v>01081217</v>
      </c>
    </row>
    <row r="32388" spans="1:2" x14ac:dyDescent="0.25">
      <c r="A32388" s="2">
        <v>32383</v>
      </c>
      <c r="B32388" s="11" t="str">
        <f>"01081222"</f>
        <v>01081222</v>
      </c>
    </row>
    <row r="32389" spans="1:2" x14ac:dyDescent="0.25">
      <c r="A32389" s="2">
        <v>32384</v>
      </c>
      <c r="B32389" s="11" t="str">
        <f>"01081224"</f>
        <v>01081224</v>
      </c>
    </row>
    <row r="32390" spans="1:2" x14ac:dyDescent="0.25">
      <c r="A32390" s="2">
        <v>32385</v>
      </c>
      <c r="B32390" s="11" t="str">
        <f>"01081227"</f>
        <v>01081227</v>
      </c>
    </row>
    <row r="32391" spans="1:2" x14ac:dyDescent="0.25">
      <c r="A32391" s="2">
        <v>32386</v>
      </c>
      <c r="B32391" s="11" t="str">
        <f>"01081237"</f>
        <v>01081237</v>
      </c>
    </row>
    <row r="32392" spans="1:2" x14ac:dyDescent="0.25">
      <c r="A32392" s="2">
        <v>32387</v>
      </c>
      <c r="B32392" s="11" t="str">
        <f>"01081240"</f>
        <v>01081240</v>
      </c>
    </row>
    <row r="32393" spans="1:2" x14ac:dyDescent="0.25">
      <c r="A32393" s="2">
        <v>32388</v>
      </c>
      <c r="B32393" s="11" t="str">
        <f>"01081243"</f>
        <v>01081243</v>
      </c>
    </row>
    <row r="32394" spans="1:2" x14ac:dyDescent="0.25">
      <c r="A32394" s="2">
        <v>32389</v>
      </c>
      <c r="B32394" s="11" t="str">
        <f>"01081244"</f>
        <v>01081244</v>
      </c>
    </row>
    <row r="32395" spans="1:2" x14ac:dyDescent="0.25">
      <c r="A32395" s="2">
        <v>32390</v>
      </c>
      <c r="B32395" s="11" t="str">
        <f>"01081245"</f>
        <v>01081245</v>
      </c>
    </row>
    <row r="32396" spans="1:2" x14ac:dyDescent="0.25">
      <c r="A32396" s="2">
        <v>32391</v>
      </c>
      <c r="B32396" s="11" t="str">
        <f>"01081251"</f>
        <v>01081251</v>
      </c>
    </row>
    <row r="32397" spans="1:2" x14ac:dyDescent="0.25">
      <c r="A32397" s="2">
        <v>32392</v>
      </c>
      <c r="B32397" s="11" t="str">
        <f>"01081266"</f>
        <v>01081266</v>
      </c>
    </row>
    <row r="32398" spans="1:2" x14ac:dyDescent="0.25">
      <c r="A32398" s="2">
        <v>32393</v>
      </c>
      <c r="B32398" s="11" t="str">
        <f>"01081271"</f>
        <v>01081271</v>
      </c>
    </row>
    <row r="32399" spans="1:2" x14ac:dyDescent="0.25">
      <c r="A32399" s="2">
        <v>32394</v>
      </c>
      <c r="B32399" s="11" t="str">
        <f>"01081272"</f>
        <v>01081272</v>
      </c>
    </row>
    <row r="32400" spans="1:2" x14ac:dyDescent="0.25">
      <c r="A32400" s="2">
        <v>32395</v>
      </c>
      <c r="B32400" s="11" t="str">
        <f>"01081274"</f>
        <v>01081274</v>
      </c>
    </row>
    <row r="32401" spans="1:2" x14ac:dyDescent="0.25">
      <c r="A32401" s="2">
        <v>32396</v>
      </c>
      <c r="B32401" s="11" t="str">
        <f>"01081276"</f>
        <v>01081276</v>
      </c>
    </row>
    <row r="32402" spans="1:2" x14ac:dyDescent="0.25">
      <c r="A32402" s="2">
        <v>32397</v>
      </c>
      <c r="B32402" s="11" t="str">
        <f>"01081278"</f>
        <v>01081278</v>
      </c>
    </row>
    <row r="32403" spans="1:2" x14ac:dyDescent="0.25">
      <c r="A32403" s="2">
        <v>32398</v>
      </c>
      <c r="B32403" s="11" t="str">
        <f>"01081279"</f>
        <v>01081279</v>
      </c>
    </row>
    <row r="32404" spans="1:2" x14ac:dyDescent="0.25">
      <c r="A32404" s="2">
        <v>32399</v>
      </c>
      <c r="B32404" s="11" t="str">
        <f>"01081280"</f>
        <v>01081280</v>
      </c>
    </row>
    <row r="32405" spans="1:2" x14ac:dyDescent="0.25">
      <c r="A32405" s="2">
        <v>32400</v>
      </c>
      <c r="B32405" s="11" t="str">
        <f>"01081282"</f>
        <v>01081282</v>
      </c>
    </row>
    <row r="32406" spans="1:2" x14ac:dyDescent="0.25">
      <c r="A32406" s="2">
        <v>32401</v>
      </c>
      <c r="B32406" s="11" t="str">
        <f>"01081283"</f>
        <v>01081283</v>
      </c>
    </row>
    <row r="32407" spans="1:2" x14ac:dyDescent="0.25">
      <c r="A32407" s="2">
        <v>32402</v>
      </c>
      <c r="B32407" s="11" t="str">
        <f>"01081290"</f>
        <v>01081290</v>
      </c>
    </row>
    <row r="32408" spans="1:2" x14ac:dyDescent="0.25">
      <c r="A32408" s="2">
        <v>32403</v>
      </c>
      <c r="B32408" s="11" t="str">
        <f>"01081291"</f>
        <v>01081291</v>
      </c>
    </row>
    <row r="32409" spans="1:2" x14ac:dyDescent="0.25">
      <c r="A32409" s="2">
        <v>32404</v>
      </c>
      <c r="B32409" s="11" t="str">
        <f>"01081292"</f>
        <v>01081292</v>
      </c>
    </row>
    <row r="32410" spans="1:2" x14ac:dyDescent="0.25">
      <c r="A32410" s="2">
        <v>32405</v>
      </c>
      <c r="B32410" s="11" t="str">
        <f>"01081293"</f>
        <v>01081293</v>
      </c>
    </row>
    <row r="32411" spans="1:2" x14ac:dyDescent="0.25">
      <c r="A32411" s="2">
        <v>32406</v>
      </c>
      <c r="B32411" s="11" t="str">
        <f>"01081297"</f>
        <v>01081297</v>
      </c>
    </row>
    <row r="32412" spans="1:2" x14ac:dyDescent="0.25">
      <c r="A32412" s="2">
        <v>32407</v>
      </c>
      <c r="B32412" s="11" t="str">
        <f>"01081304"</f>
        <v>01081304</v>
      </c>
    </row>
    <row r="32413" spans="1:2" x14ac:dyDescent="0.25">
      <c r="A32413" s="2">
        <v>32408</v>
      </c>
      <c r="B32413" s="11" t="str">
        <f>"01081307"</f>
        <v>01081307</v>
      </c>
    </row>
    <row r="32414" spans="1:2" x14ac:dyDescent="0.25">
      <c r="A32414" s="2">
        <v>32409</v>
      </c>
      <c r="B32414" s="11" t="str">
        <f>"01081309"</f>
        <v>01081309</v>
      </c>
    </row>
    <row r="32415" spans="1:2" x14ac:dyDescent="0.25">
      <c r="A32415" s="2">
        <v>32410</v>
      </c>
      <c r="B32415" s="11" t="str">
        <f>"01081311"</f>
        <v>01081311</v>
      </c>
    </row>
    <row r="32416" spans="1:2" x14ac:dyDescent="0.25">
      <c r="A32416" s="2">
        <v>32411</v>
      </c>
      <c r="B32416" s="11" t="str">
        <f>"01081313"</f>
        <v>01081313</v>
      </c>
    </row>
    <row r="32417" spans="1:2" x14ac:dyDescent="0.25">
      <c r="A32417" s="2">
        <v>32412</v>
      </c>
      <c r="B32417" s="11" t="str">
        <f>"01081317"</f>
        <v>01081317</v>
      </c>
    </row>
    <row r="32418" spans="1:2" x14ac:dyDescent="0.25">
      <c r="A32418" s="2">
        <v>32413</v>
      </c>
      <c r="B32418" s="11" t="str">
        <f>"01081323"</f>
        <v>01081323</v>
      </c>
    </row>
    <row r="32419" spans="1:2" x14ac:dyDescent="0.25">
      <c r="A32419" s="2">
        <v>32414</v>
      </c>
      <c r="B32419" s="11" t="str">
        <f>"01081325"</f>
        <v>01081325</v>
      </c>
    </row>
    <row r="32420" spans="1:2" x14ac:dyDescent="0.25">
      <c r="A32420" s="2">
        <v>32415</v>
      </c>
      <c r="B32420" s="11" t="str">
        <f>"01081329"</f>
        <v>01081329</v>
      </c>
    </row>
    <row r="32421" spans="1:2" x14ac:dyDescent="0.25">
      <c r="A32421" s="2">
        <v>32416</v>
      </c>
      <c r="B32421" s="11" t="str">
        <f>"01081335"</f>
        <v>01081335</v>
      </c>
    </row>
    <row r="32422" spans="1:2" x14ac:dyDescent="0.25">
      <c r="A32422" s="2">
        <v>32417</v>
      </c>
      <c r="B32422" s="11" t="str">
        <f>"01081338"</f>
        <v>01081338</v>
      </c>
    </row>
    <row r="32423" spans="1:2" x14ac:dyDescent="0.25">
      <c r="A32423" s="2">
        <v>32418</v>
      </c>
      <c r="B32423" s="11" t="str">
        <f>"01081344"</f>
        <v>01081344</v>
      </c>
    </row>
    <row r="32424" spans="1:2" x14ac:dyDescent="0.25">
      <c r="A32424" s="2">
        <v>32419</v>
      </c>
      <c r="B32424" s="11" t="str">
        <f>"01081345"</f>
        <v>01081345</v>
      </c>
    </row>
    <row r="32425" spans="1:2" x14ac:dyDescent="0.25">
      <c r="A32425" s="2">
        <v>32420</v>
      </c>
      <c r="B32425" s="11" t="str">
        <f>"01081347"</f>
        <v>01081347</v>
      </c>
    </row>
    <row r="32426" spans="1:2" x14ac:dyDescent="0.25">
      <c r="A32426" s="2">
        <v>32421</v>
      </c>
      <c r="B32426" s="11" t="str">
        <f>"01081349"</f>
        <v>01081349</v>
      </c>
    </row>
    <row r="32427" spans="1:2" x14ac:dyDescent="0.25">
      <c r="A32427" s="2">
        <v>32422</v>
      </c>
      <c r="B32427" s="11" t="str">
        <f>"01081350"</f>
        <v>01081350</v>
      </c>
    </row>
    <row r="32428" spans="1:2" x14ac:dyDescent="0.25">
      <c r="A32428" s="2">
        <v>32423</v>
      </c>
      <c r="B32428" s="11" t="str">
        <f>"01081352"</f>
        <v>01081352</v>
      </c>
    </row>
    <row r="32429" spans="1:2" x14ac:dyDescent="0.25">
      <c r="A32429" s="2">
        <v>32424</v>
      </c>
      <c r="B32429" s="11" t="str">
        <f>"01081355"</f>
        <v>01081355</v>
      </c>
    </row>
    <row r="32430" spans="1:2" x14ac:dyDescent="0.25">
      <c r="A32430" s="2">
        <v>32425</v>
      </c>
      <c r="B32430" s="11" t="str">
        <f>"01081356"</f>
        <v>01081356</v>
      </c>
    </row>
    <row r="32431" spans="1:2" x14ac:dyDescent="0.25">
      <c r="A32431" s="2">
        <v>32426</v>
      </c>
      <c r="B32431" s="11" t="str">
        <f>"01081357"</f>
        <v>01081357</v>
      </c>
    </row>
    <row r="32432" spans="1:2" x14ac:dyDescent="0.25">
      <c r="A32432" s="2">
        <v>32427</v>
      </c>
      <c r="B32432" s="11" t="str">
        <f>"01081358"</f>
        <v>01081358</v>
      </c>
    </row>
    <row r="32433" spans="1:2" x14ac:dyDescent="0.25">
      <c r="A32433" s="2">
        <v>32428</v>
      </c>
      <c r="B32433" s="11" t="str">
        <f>"01081360"</f>
        <v>01081360</v>
      </c>
    </row>
    <row r="32434" spans="1:2" x14ac:dyDescent="0.25">
      <c r="A32434" s="2">
        <v>32429</v>
      </c>
      <c r="B32434" s="11" t="str">
        <f>"01081362"</f>
        <v>01081362</v>
      </c>
    </row>
    <row r="32435" spans="1:2" x14ac:dyDescent="0.25">
      <c r="A32435" s="2">
        <v>32430</v>
      </c>
      <c r="B32435" s="11" t="str">
        <f>"01081369"</f>
        <v>01081369</v>
      </c>
    </row>
    <row r="32436" spans="1:2" x14ac:dyDescent="0.25">
      <c r="A32436" s="2">
        <v>32431</v>
      </c>
      <c r="B32436" s="11" t="str">
        <f>"01081370"</f>
        <v>01081370</v>
      </c>
    </row>
    <row r="32437" spans="1:2" x14ac:dyDescent="0.25">
      <c r="A32437" s="2">
        <v>32432</v>
      </c>
      <c r="B32437" s="11" t="str">
        <f>"01081373"</f>
        <v>01081373</v>
      </c>
    </row>
    <row r="32438" spans="1:2" x14ac:dyDescent="0.25">
      <c r="A32438" s="2">
        <v>32433</v>
      </c>
      <c r="B32438" s="11" t="str">
        <f>"01081374"</f>
        <v>01081374</v>
      </c>
    </row>
    <row r="32439" spans="1:2" x14ac:dyDescent="0.25">
      <c r="A32439" s="2">
        <v>32434</v>
      </c>
      <c r="B32439" s="11" t="str">
        <f>"01081375"</f>
        <v>01081375</v>
      </c>
    </row>
    <row r="32440" spans="1:2" x14ac:dyDescent="0.25">
      <c r="A32440" s="2">
        <v>32435</v>
      </c>
      <c r="B32440" s="11" t="str">
        <f>"01081377"</f>
        <v>01081377</v>
      </c>
    </row>
    <row r="32441" spans="1:2" x14ac:dyDescent="0.25">
      <c r="A32441" s="2">
        <v>32436</v>
      </c>
      <c r="B32441" s="11" t="str">
        <f>"01081378"</f>
        <v>01081378</v>
      </c>
    </row>
    <row r="32442" spans="1:2" x14ac:dyDescent="0.25">
      <c r="A32442" s="2">
        <v>32437</v>
      </c>
      <c r="B32442" s="11" t="str">
        <f>"01081379"</f>
        <v>01081379</v>
      </c>
    </row>
    <row r="32443" spans="1:2" x14ac:dyDescent="0.25">
      <c r="A32443" s="2">
        <v>32438</v>
      </c>
      <c r="B32443" s="11" t="str">
        <f>"01081381"</f>
        <v>01081381</v>
      </c>
    </row>
    <row r="32444" spans="1:2" x14ac:dyDescent="0.25">
      <c r="A32444" s="2">
        <v>32439</v>
      </c>
      <c r="B32444" s="11" t="str">
        <f>"01081387"</f>
        <v>01081387</v>
      </c>
    </row>
    <row r="32445" spans="1:2" x14ac:dyDescent="0.25">
      <c r="A32445" s="2">
        <v>32440</v>
      </c>
      <c r="B32445" s="11" t="str">
        <f>"01081388"</f>
        <v>01081388</v>
      </c>
    </row>
    <row r="32446" spans="1:2" x14ac:dyDescent="0.25">
      <c r="A32446" s="2">
        <v>32441</v>
      </c>
      <c r="B32446" s="11" t="str">
        <f>"01081395"</f>
        <v>01081395</v>
      </c>
    </row>
    <row r="32447" spans="1:2" x14ac:dyDescent="0.25">
      <c r="A32447" s="2">
        <v>32442</v>
      </c>
      <c r="B32447" s="11" t="str">
        <f>"01081398"</f>
        <v>01081398</v>
      </c>
    </row>
    <row r="32448" spans="1:2" x14ac:dyDescent="0.25">
      <c r="A32448" s="2">
        <v>32443</v>
      </c>
      <c r="B32448" s="11" t="str">
        <f>"01081399"</f>
        <v>01081399</v>
      </c>
    </row>
    <row r="32449" spans="1:2" x14ac:dyDescent="0.25">
      <c r="A32449" s="2">
        <v>32444</v>
      </c>
      <c r="B32449" s="11" t="str">
        <f>"01081401"</f>
        <v>01081401</v>
      </c>
    </row>
    <row r="32450" spans="1:2" x14ac:dyDescent="0.25">
      <c r="A32450" s="2">
        <v>32445</v>
      </c>
      <c r="B32450" s="11" t="str">
        <f>"01081403"</f>
        <v>01081403</v>
      </c>
    </row>
    <row r="32451" spans="1:2" x14ac:dyDescent="0.25">
      <c r="A32451" s="2">
        <v>32446</v>
      </c>
      <c r="B32451" s="11" t="str">
        <f>"01081407"</f>
        <v>01081407</v>
      </c>
    </row>
    <row r="32452" spans="1:2" x14ac:dyDescent="0.25">
      <c r="A32452" s="2">
        <v>32447</v>
      </c>
      <c r="B32452" s="11" t="str">
        <f>"01081411"</f>
        <v>01081411</v>
      </c>
    </row>
    <row r="32453" spans="1:2" x14ac:dyDescent="0.25">
      <c r="A32453" s="2">
        <v>32448</v>
      </c>
      <c r="B32453" s="11" t="str">
        <f>"01081413"</f>
        <v>01081413</v>
      </c>
    </row>
    <row r="32454" spans="1:2" x14ac:dyDescent="0.25">
      <c r="A32454" s="2">
        <v>32449</v>
      </c>
      <c r="B32454" s="11" t="str">
        <f>"01081416"</f>
        <v>01081416</v>
      </c>
    </row>
    <row r="32455" spans="1:2" x14ac:dyDescent="0.25">
      <c r="A32455" s="2">
        <v>32450</v>
      </c>
      <c r="B32455" s="11" t="str">
        <f>"01081418"</f>
        <v>01081418</v>
      </c>
    </row>
    <row r="32456" spans="1:2" x14ac:dyDescent="0.25">
      <c r="A32456" s="2">
        <v>32451</v>
      </c>
      <c r="B32456" s="11" t="str">
        <f>"01081419"</f>
        <v>01081419</v>
      </c>
    </row>
    <row r="32457" spans="1:2" x14ac:dyDescent="0.25">
      <c r="A32457" s="2">
        <v>32452</v>
      </c>
      <c r="B32457" s="11" t="str">
        <f>"01081420"</f>
        <v>01081420</v>
      </c>
    </row>
    <row r="32458" spans="1:2" x14ac:dyDescent="0.25">
      <c r="A32458" s="2">
        <v>32453</v>
      </c>
      <c r="B32458" s="11" t="str">
        <f>"01081421"</f>
        <v>01081421</v>
      </c>
    </row>
    <row r="32459" spans="1:2" x14ac:dyDescent="0.25">
      <c r="A32459" s="2">
        <v>32454</v>
      </c>
      <c r="B32459" s="11" t="str">
        <f>"01081423"</f>
        <v>01081423</v>
      </c>
    </row>
    <row r="32460" spans="1:2" x14ac:dyDescent="0.25">
      <c r="A32460" s="2">
        <v>32455</v>
      </c>
      <c r="B32460" s="11" t="str">
        <f>"01081424"</f>
        <v>01081424</v>
      </c>
    </row>
    <row r="32461" spans="1:2" x14ac:dyDescent="0.25">
      <c r="A32461" s="2">
        <v>32456</v>
      </c>
      <c r="B32461" s="11" t="str">
        <f>"01081427"</f>
        <v>01081427</v>
      </c>
    </row>
    <row r="32462" spans="1:2" x14ac:dyDescent="0.25">
      <c r="A32462" s="2">
        <v>32457</v>
      </c>
      <c r="B32462" s="11" t="str">
        <f>"01081428"</f>
        <v>01081428</v>
      </c>
    </row>
    <row r="32463" spans="1:2" x14ac:dyDescent="0.25">
      <c r="A32463" s="2">
        <v>32458</v>
      </c>
      <c r="B32463" s="11" t="str">
        <f>"01081430"</f>
        <v>01081430</v>
      </c>
    </row>
    <row r="32464" spans="1:2" x14ac:dyDescent="0.25">
      <c r="A32464" s="2">
        <v>32459</v>
      </c>
      <c r="B32464" s="11" t="str">
        <f>"01081435"</f>
        <v>01081435</v>
      </c>
    </row>
    <row r="32465" spans="1:2" x14ac:dyDescent="0.25">
      <c r="A32465" s="2">
        <v>32460</v>
      </c>
      <c r="B32465" s="11" t="str">
        <f>"01081439"</f>
        <v>01081439</v>
      </c>
    </row>
    <row r="32466" spans="1:2" x14ac:dyDescent="0.25">
      <c r="A32466" s="2">
        <v>32461</v>
      </c>
      <c r="B32466" s="11" t="str">
        <f>"01081441"</f>
        <v>01081441</v>
      </c>
    </row>
    <row r="32467" spans="1:2" x14ac:dyDescent="0.25">
      <c r="A32467" s="2">
        <v>32462</v>
      </c>
      <c r="B32467" s="11" t="str">
        <f>"01081442"</f>
        <v>01081442</v>
      </c>
    </row>
    <row r="32468" spans="1:2" x14ac:dyDescent="0.25">
      <c r="A32468" s="2">
        <v>32463</v>
      </c>
      <c r="B32468" s="11" t="str">
        <f>"01081443"</f>
        <v>01081443</v>
      </c>
    </row>
    <row r="32469" spans="1:2" x14ac:dyDescent="0.25">
      <c r="A32469" s="2">
        <v>32464</v>
      </c>
      <c r="B32469" s="11" t="str">
        <f>"01081444"</f>
        <v>01081444</v>
      </c>
    </row>
    <row r="32470" spans="1:2" x14ac:dyDescent="0.25">
      <c r="A32470" s="2">
        <v>32465</v>
      </c>
      <c r="B32470" s="11" t="str">
        <f>"01081445"</f>
        <v>01081445</v>
      </c>
    </row>
    <row r="32471" spans="1:2" x14ac:dyDescent="0.25">
      <c r="A32471" s="2">
        <v>32466</v>
      </c>
      <c r="B32471" s="11" t="str">
        <f>"01081446"</f>
        <v>01081446</v>
      </c>
    </row>
    <row r="32472" spans="1:2" x14ac:dyDescent="0.25">
      <c r="A32472" s="2">
        <v>32467</v>
      </c>
      <c r="B32472" s="11" t="str">
        <f>"01081447"</f>
        <v>01081447</v>
      </c>
    </row>
    <row r="32473" spans="1:2" x14ac:dyDescent="0.25">
      <c r="A32473" s="2">
        <v>32468</v>
      </c>
      <c r="B32473" s="11" t="str">
        <f>"01081451"</f>
        <v>01081451</v>
      </c>
    </row>
    <row r="32474" spans="1:2" x14ac:dyDescent="0.25">
      <c r="A32474" s="2">
        <v>32469</v>
      </c>
      <c r="B32474" s="11" t="str">
        <f>"01081452"</f>
        <v>01081452</v>
      </c>
    </row>
    <row r="32475" spans="1:2" x14ac:dyDescent="0.25">
      <c r="A32475" s="2">
        <v>32470</v>
      </c>
      <c r="B32475" s="11" t="str">
        <f>"01081453"</f>
        <v>01081453</v>
      </c>
    </row>
    <row r="32476" spans="1:2" x14ac:dyDescent="0.25">
      <c r="A32476" s="2">
        <v>32471</v>
      </c>
      <c r="B32476" s="11" t="str">
        <f>"01081460"</f>
        <v>01081460</v>
      </c>
    </row>
    <row r="32477" spans="1:2" x14ac:dyDescent="0.25">
      <c r="A32477" s="2">
        <v>32472</v>
      </c>
      <c r="B32477" s="11" t="str">
        <f>"01081468"</f>
        <v>01081468</v>
      </c>
    </row>
    <row r="32478" spans="1:2" x14ac:dyDescent="0.25">
      <c r="A32478" s="2">
        <v>32473</v>
      </c>
      <c r="B32478" s="11" t="str">
        <f>"01081470"</f>
        <v>01081470</v>
      </c>
    </row>
    <row r="32479" spans="1:2" x14ac:dyDescent="0.25">
      <c r="A32479" s="2">
        <v>32474</v>
      </c>
      <c r="B32479" s="11" t="str">
        <f>"01081472"</f>
        <v>01081472</v>
      </c>
    </row>
    <row r="32480" spans="1:2" x14ac:dyDescent="0.25">
      <c r="A32480" s="2">
        <v>32475</v>
      </c>
      <c r="B32480" s="11" t="str">
        <f>"01081479"</f>
        <v>01081479</v>
      </c>
    </row>
    <row r="32481" spans="1:2" x14ac:dyDescent="0.25">
      <c r="A32481" s="2">
        <v>32476</v>
      </c>
      <c r="B32481" s="11" t="str">
        <f>"01081482"</f>
        <v>01081482</v>
      </c>
    </row>
    <row r="32482" spans="1:2" x14ac:dyDescent="0.25">
      <c r="A32482" s="2">
        <v>32477</v>
      </c>
      <c r="B32482" s="11" t="str">
        <f>"01081485"</f>
        <v>01081485</v>
      </c>
    </row>
    <row r="32483" spans="1:2" x14ac:dyDescent="0.25">
      <c r="A32483" s="2">
        <v>32478</v>
      </c>
      <c r="B32483" s="11" t="str">
        <f>"01081487"</f>
        <v>01081487</v>
      </c>
    </row>
    <row r="32484" spans="1:2" x14ac:dyDescent="0.25">
      <c r="A32484" s="2">
        <v>32479</v>
      </c>
      <c r="B32484" s="11" t="str">
        <f>"01081495"</f>
        <v>01081495</v>
      </c>
    </row>
    <row r="32485" spans="1:2" x14ac:dyDescent="0.25">
      <c r="A32485" s="2">
        <v>32480</v>
      </c>
      <c r="B32485" s="11" t="str">
        <f>"01081499"</f>
        <v>01081499</v>
      </c>
    </row>
    <row r="32486" spans="1:2" x14ac:dyDescent="0.25">
      <c r="A32486" s="2">
        <v>32481</v>
      </c>
      <c r="B32486" s="11" t="str">
        <f>"01081503"</f>
        <v>01081503</v>
      </c>
    </row>
    <row r="32487" spans="1:2" x14ac:dyDescent="0.25">
      <c r="A32487" s="2">
        <v>32482</v>
      </c>
      <c r="B32487" s="11" t="str">
        <f>"01081514"</f>
        <v>01081514</v>
      </c>
    </row>
    <row r="32488" spans="1:2" x14ac:dyDescent="0.25">
      <c r="A32488" s="2">
        <v>32483</v>
      </c>
      <c r="B32488" s="11" t="str">
        <f>"01081517"</f>
        <v>01081517</v>
      </c>
    </row>
    <row r="32489" spans="1:2" x14ac:dyDescent="0.25">
      <c r="A32489" s="2">
        <v>32484</v>
      </c>
      <c r="B32489" s="11" t="str">
        <f>"01081519"</f>
        <v>01081519</v>
      </c>
    </row>
    <row r="32490" spans="1:2" x14ac:dyDescent="0.25">
      <c r="A32490" s="2">
        <v>32485</v>
      </c>
      <c r="B32490" s="11" t="str">
        <f>"01081524"</f>
        <v>01081524</v>
      </c>
    </row>
    <row r="32491" spans="1:2" x14ac:dyDescent="0.25">
      <c r="A32491" s="2">
        <v>32486</v>
      </c>
      <c r="B32491" s="11" t="str">
        <f>"01081533"</f>
        <v>01081533</v>
      </c>
    </row>
    <row r="32492" spans="1:2" x14ac:dyDescent="0.25">
      <c r="A32492" s="2">
        <v>32487</v>
      </c>
      <c r="B32492" s="11" t="str">
        <f>"01081536"</f>
        <v>01081536</v>
      </c>
    </row>
    <row r="32493" spans="1:2" x14ac:dyDescent="0.25">
      <c r="A32493" s="2">
        <v>32488</v>
      </c>
      <c r="B32493" s="11" t="str">
        <f>"01081547"</f>
        <v>01081547</v>
      </c>
    </row>
    <row r="32494" spans="1:2" x14ac:dyDescent="0.25">
      <c r="A32494" s="2">
        <v>32489</v>
      </c>
      <c r="B32494" s="11" t="str">
        <f>"01081549"</f>
        <v>01081549</v>
      </c>
    </row>
    <row r="32495" spans="1:2" x14ac:dyDescent="0.25">
      <c r="A32495" s="2">
        <v>32490</v>
      </c>
      <c r="B32495" s="11" t="str">
        <f>"01081552"</f>
        <v>01081552</v>
      </c>
    </row>
    <row r="32496" spans="1:2" x14ac:dyDescent="0.25">
      <c r="A32496" s="2">
        <v>32491</v>
      </c>
      <c r="B32496" s="11" t="str">
        <f>"01081554"</f>
        <v>01081554</v>
      </c>
    </row>
    <row r="32497" spans="1:2" x14ac:dyDescent="0.25">
      <c r="A32497" s="2">
        <v>32492</v>
      </c>
      <c r="B32497" s="11" t="str">
        <f>"01081559"</f>
        <v>01081559</v>
      </c>
    </row>
    <row r="32498" spans="1:2" x14ac:dyDescent="0.25">
      <c r="A32498" s="2">
        <v>32493</v>
      </c>
      <c r="B32498" s="11" t="str">
        <f>"01081560"</f>
        <v>01081560</v>
      </c>
    </row>
    <row r="32499" spans="1:2" x14ac:dyDescent="0.25">
      <c r="A32499" s="2">
        <v>32494</v>
      </c>
      <c r="B32499" s="11" t="str">
        <f>"01081567"</f>
        <v>01081567</v>
      </c>
    </row>
    <row r="32500" spans="1:2" x14ac:dyDescent="0.25">
      <c r="A32500" s="2">
        <v>32495</v>
      </c>
      <c r="B32500" s="11" t="str">
        <f>"01081574"</f>
        <v>01081574</v>
      </c>
    </row>
    <row r="32501" spans="1:2" x14ac:dyDescent="0.25">
      <c r="A32501" s="2">
        <v>32496</v>
      </c>
      <c r="B32501" s="11" t="str">
        <f>"01081578"</f>
        <v>01081578</v>
      </c>
    </row>
    <row r="32502" spans="1:2" x14ac:dyDescent="0.25">
      <c r="A32502" s="2">
        <v>32497</v>
      </c>
      <c r="B32502" s="11" t="str">
        <f>"01081581"</f>
        <v>01081581</v>
      </c>
    </row>
    <row r="32503" spans="1:2" x14ac:dyDescent="0.25">
      <c r="A32503" s="2">
        <v>32498</v>
      </c>
      <c r="B32503" s="11" t="str">
        <f>"01081590"</f>
        <v>01081590</v>
      </c>
    </row>
    <row r="32504" spans="1:2" x14ac:dyDescent="0.25">
      <c r="A32504" s="2">
        <v>32499</v>
      </c>
      <c r="B32504" s="11" t="str">
        <f>"01081598"</f>
        <v>01081598</v>
      </c>
    </row>
    <row r="32505" spans="1:2" x14ac:dyDescent="0.25">
      <c r="A32505" s="2">
        <v>32500</v>
      </c>
      <c r="B32505" s="11" t="str">
        <f>"01081600"</f>
        <v>01081600</v>
      </c>
    </row>
    <row r="32506" spans="1:2" x14ac:dyDescent="0.25">
      <c r="A32506" s="2">
        <v>32501</v>
      </c>
      <c r="B32506" s="11" t="str">
        <f>"01081604"</f>
        <v>01081604</v>
      </c>
    </row>
    <row r="32507" spans="1:2" x14ac:dyDescent="0.25">
      <c r="A32507" s="2">
        <v>32502</v>
      </c>
      <c r="B32507" s="11" t="str">
        <f>"01081606"</f>
        <v>01081606</v>
      </c>
    </row>
    <row r="32508" spans="1:2" x14ac:dyDescent="0.25">
      <c r="A32508" s="2">
        <v>32503</v>
      </c>
      <c r="B32508" s="11" t="str">
        <f>"01081607"</f>
        <v>01081607</v>
      </c>
    </row>
    <row r="32509" spans="1:2" x14ac:dyDescent="0.25">
      <c r="A32509" s="2">
        <v>32504</v>
      </c>
      <c r="B32509" s="11" t="str">
        <f>"01081614"</f>
        <v>01081614</v>
      </c>
    </row>
    <row r="32510" spans="1:2" x14ac:dyDescent="0.25">
      <c r="A32510" s="2">
        <v>32505</v>
      </c>
      <c r="B32510" s="11" t="str">
        <f>"01081615"</f>
        <v>01081615</v>
      </c>
    </row>
    <row r="32511" spans="1:2" x14ac:dyDescent="0.25">
      <c r="A32511" s="2">
        <v>32506</v>
      </c>
      <c r="B32511" s="11" t="str">
        <f>"01081618"</f>
        <v>01081618</v>
      </c>
    </row>
    <row r="32512" spans="1:2" x14ac:dyDescent="0.25">
      <c r="A32512" s="2">
        <v>32507</v>
      </c>
      <c r="B32512" s="11" t="str">
        <f>"01081619"</f>
        <v>01081619</v>
      </c>
    </row>
    <row r="32513" spans="1:2" x14ac:dyDescent="0.25">
      <c r="A32513" s="2">
        <v>32508</v>
      </c>
      <c r="B32513" s="11" t="str">
        <f>"01081635"</f>
        <v>01081635</v>
      </c>
    </row>
    <row r="32514" spans="1:2" x14ac:dyDescent="0.25">
      <c r="A32514" s="2">
        <v>32509</v>
      </c>
      <c r="B32514" s="11" t="str">
        <f>"01081636"</f>
        <v>01081636</v>
      </c>
    </row>
    <row r="32515" spans="1:2" x14ac:dyDescent="0.25">
      <c r="A32515" s="2">
        <v>32510</v>
      </c>
      <c r="B32515" s="11" t="str">
        <f>"01081637"</f>
        <v>01081637</v>
      </c>
    </row>
    <row r="32516" spans="1:2" x14ac:dyDescent="0.25">
      <c r="A32516" s="2">
        <v>32511</v>
      </c>
      <c r="B32516" s="11" t="str">
        <f>"01081641"</f>
        <v>01081641</v>
      </c>
    </row>
    <row r="32517" spans="1:2" x14ac:dyDescent="0.25">
      <c r="A32517" s="2">
        <v>32512</v>
      </c>
      <c r="B32517" s="11" t="str">
        <f>"01081643"</f>
        <v>01081643</v>
      </c>
    </row>
    <row r="32518" spans="1:2" x14ac:dyDescent="0.25">
      <c r="A32518" s="2">
        <v>32513</v>
      </c>
      <c r="B32518" s="11" t="str">
        <f>"01081644"</f>
        <v>01081644</v>
      </c>
    </row>
    <row r="32519" spans="1:2" x14ac:dyDescent="0.25">
      <c r="A32519" s="2">
        <v>32514</v>
      </c>
      <c r="B32519" s="11" t="str">
        <f>"01081645"</f>
        <v>01081645</v>
      </c>
    </row>
    <row r="32520" spans="1:2" x14ac:dyDescent="0.25">
      <c r="A32520" s="2">
        <v>32515</v>
      </c>
      <c r="B32520" s="11" t="str">
        <f>"01081652"</f>
        <v>01081652</v>
      </c>
    </row>
    <row r="32521" spans="1:2" x14ac:dyDescent="0.25">
      <c r="A32521" s="2">
        <v>32516</v>
      </c>
      <c r="B32521" s="11" t="str">
        <f>"01081654"</f>
        <v>01081654</v>
      </c>
    </row>
    <row r="32522" spans="1:2" x14ac:dyDescent="0.25">
      <c r="A32522" s="2">
        <v>32517</v>
      </c>
      <c r="B32522" s="11" t="str">
        <f>"01081656"</f>
        <v>01081656</v>
      </c>
    </row>
    <row r="32523" spans="1:2" x14ac:dyDescent="0.25">
      <c r="A32523" s="2">
        <v>32518</v>
      </c>
      <c r="B32523" s="11" t="str">
        <f>"01081657"</f>
        <v>01081657</v>
      </c>
    </row>
    <row r="32524" spans="1:2" x14ac:dyDescent="0.25">
      <c r="A32524" s="2">
        <v>32519</v>
      </c>
      <c r="B32524" s="11" t="str">
        <f>"01081658"</f>
        <v>01081658</v>
      </c>
    </row>
    <row r="32525" spans="1:2" x14ac:dyDescent="0.25">
      <c r="A32525" s="2">
        <v>32520</v>
      </c>
      <c r="B32525" s="11" t="str">
        <f>"01081663"</f>
        <v>01081663</v>
      </c>
    </row>
    <row r="32526" spans="1:2" x14ac:dyDescent="0.25">
      <c r="A32526" s="2">
        <v>32521</v>
      </c>
      <c r="B32526" s="11" t="str">
        <f>"01081665"</f>
        <v>01081665</v>
      </c>
    </row>
    <row r="32527" spans="1:2" x14ac:dyDescent="0.25">
      <c r="A32527" s="2">
        <v>32522</v>
      </c>
      <c r="B32527" s="11" t="str">
        <f>"01081668"</f>
        <v>01081668</v>
      </c>
    </row>
    <row r="32528" spans="1:2" x14ac:dyDescent="0.25">
      <c r="A32528" s="2">
        <v>32523</v>
      </c>
      <c r="B32528" s="11" t="str">
        <f>"01081669"</f>
        <v>01081669</v>
      </c>
    </row>
    <row r="32529" spans="1:2" x14ac:dyDescent="0.25">
      <c r="A32529" s="2">
        <v>32524</v>
      </c>
      <c r="B32529" s="11" t="str">
        <f>"01081670"</f>
        <v>01081670</v>
      </c>
    </row>
    <row r="32530" spans="1:2" x14ac:dyDescent="0.25">
      <c r="A32530" s="2">
        <v>32525</v>
      </c>
      <c r="B32530" s="11" t="str">
        <f>"01081672"</f>
        <v>01081672</v>
      </c>
    </row>
    <row r="32531" spans="1:2" x14ac:dyDescent="0.25">
      <c r="A32531" s="2">
        <v>32526</v>
      </c>
      <c r="B32531" s="11" t="str">
        <f>"01081678"</f>
        <v>01081678</v>
      </c>
    </row>
    <row r="32532" spans="1:2" x14ac:dyDescent="0.25">
      <c r="A32532" s="2">
        <v>32527</v>
      </c>
      <c r="B32532" s="11" t="str">
        <f>"01081680"</f>
        <v>01081680</v>
      </c>
    </row>
    <row r="32533" spans="1:2" x14ac:dyDescent="0.25">
      <c r="A32533" s="2">
        <v>32528</v>
      </c>
      <c r="B32533" s="11" t="str">
        <f>"01081681"</f>
        <v>01081681</v>
      </c>
    </row>
    <row r="32534" spans="1:2" x14ac:dyDescent="0.25">
      <c r="A32534" s="2">
        <v>32529</v>
      </c>
      <c r="B32534" s="11" t="str">
        <f>"01081683"</f>
        <v>01081683</v>
      </c>
    </row>
    <row r="32535" spans="1:2" x14ac:dyDescent="0.25">
      <c r="A32535" s="2">
        <v>32530</v>
      </c>
      <c r="B32535" s="11" t="str">
        <f>"01081688"</f>
        <v>01081688</v>
      </c>
    </row>
    <row r="32536" spans="1:2" x14ac:dyDescent="0.25">
      <c r="A32536" s="2">
        <v>32531</v>
      </c>
      <c r="B32536" s="11" t="str">
        <f>"01081689"</f>
        <v>01081689</v>
      </c>
    </row>
    <row r="32537" spans="1:2" x14ac:dyDescent="0.25">
      <c r="A32537" s="2">
        <v>32532</v>
      </c>
      <c r="B32537" s="11" t="str">
        <f>"01081690"</f>
        <v>01081690</v>
      </c>
    </row>
    <row r="32538" spans="1:2" x14ac:dyDescent="0.25">
      <c r="A32538" s="2">
        <v>32533</v>
      </c>
      <c r="B32538" s="11" t="str">
        <f>"01081692"</f>
        <v>01081692</v>
      </c>
    </row>
    <row r="32539" spans="1:2" x14ac:dyDescent="0.25">
      <c r="A32539" s="2">
        <v>32534</v>
      </c>
      <c r="B32539" s="11" t="str">
        <f>"01081694"</f>
        <v>01081694</v>
      </c>
    </row>
    <row r="32540" spans="1:2" x14ac:dyDescent="0.25">
      <c r="A32540" s="2">
        <v>32535</v>
      </c>
      <c r="B32540" s="11" t="str">
        <f>"01081695"</f>
        <v>01081695</v>
      </c>
    </row>
    <row r="32541" spans="1:2" x14ac:dyDescent="0.25">
      <c r="A32541" s="2">
        <v>32536</v>
      </c>
      <c r="B32541" s="11" t="str">
        <f>"01081700"</f>
        <v>01081700</v>
      </c>
    </row>
    <row r="32542" spans="1:2" x14ac:dyDescent="0.25">
      <c r="A32542" s="2">
        <v>32537</v>
      </c>
      <c r="B32542" s="11" t="str">
        <f>"01081703"</f>
        <v>01081703</v>
      </c>
    </row>
    <row r="32543" spans="1:2" x14ac:dyDescent="0.25">
      <c r="A32543" s="2">
        <v>32538</v>
      </c>
      <c r="B32543" s="11" t="str">
        <f>"01081706"</f>
        <v>01081706</v>
      </c>
    </row>
    <row r="32544" spans="1:2" x14ac:dyDescent="0.25">
      <c r="A32544" s="2">
        <v>32539</v>
      </c>
      <c r="B32544" s="11" t="str">
        <f>"01081707"</f>
        <v>01081707</v>
      </c>
    </row>
    <row r="32545" spans="1:2" x14ac:dyDescent="0.25">
      <c r="A32545" s="2">
        <v>32540</v>
      </c>
      <c r="B32545" s="11" t="str">
        <f>"01081709"</f>
        <v>01081709</v>
      </c>
    </row>
    <row r="32546" spans="1:2" x14ac:dyDescent="0.25">
      <c r="A32546" s="2">
        <v>32541</v>
      </c>
      <c r="B32546" s="11" t="str">
        <f>"01081711"</f>
        <v>01081711</v>
      </c>
    </row>
    <row r="32547" spans="1:2" x14ac:dyDescent="0.25">
      <c r="A32547" s="2">
        <v>32542</v>
      </c>
      <c r="B32547" s="11" t="str">
        <f>"01081718"</f>
        <v>01081718</v>
      </c>
    </row>
    <row r="32548" spans="1:2" x14ac:dyDescent="0.25">
      <c r="A32548" s="2">
        <v>32543</v>
      </c>
      <c r="B32548" s="11" t="str">
        <f>"01081719"</f>
        <v>01081719</v>
      </c>
    </row>
    <row r="32549" spans="1:2" x14ac:dyDescent="0.25">
      <c r="A32549" s="2">
        <v>32544</v>
      </c>
      <c r="B32549" s="11" t="str">
        <f>"01081721"</f>
        <v>01081721</v>
      </c>
    </row>
    <row r="32550" spans="1:2" x14ac:dyDescent="0.25">
      <c r="A32550" s="2">
        <v>32545</v>
      </c>
      <c r="B32550" s="11" t="str">
        <f>"01081724"</f>
        <v>01081724</v>
      </c>
    </row>
    <row r="32551" spans="1:2" x14ac:dyDescent="0.25">
      <c r="A32551" s="2">
        <v>32546</v>
      </c>
      <c r="B32551" s="11" t="str">
        <f>"01081726"</f>
        <v>01081726</v>
      </c>
    </row>
    <row r="32552" spans="1:2" x14ac:dyDescent="0.25">
      <c r="A32552" s="2">
        <v>32547</v>
      </c>
      <c r="B32552" s="11" t="str">
        <f>"01081731"</f>
        <v>01081731</v>
      </c>
    </row>
    <row r="32553" spans="1:2" x14ac:dyDescent="0.25">
      <c r="A32553" s="2">
        <v>32548</v>
      </c>
      <c r="B32553" s="11" t="str">
        <f>"01081733"</f>
        <v>01081733</v>
      </c>
    </row>
    <row r="32554" spans="1:2" x14ac:dyDescent="0.25">
      <c r="A32554" s="2">
        <v>32549</v>
      </c>
      <c r="B32554" s="11" t="str">
        <f>"01081734"</f>
        <v>01081734</v>
      </c>
    </row>
    <row r="32555" spans="1:2" x14ac:dyDescent="0.25">
      <c r="A32555" s="2">
        <v>32550</v>
      </c>
      <c r="B32555" s="11" t="str">
        <f>"01081735"</f>
        <v>01081735</v>
      </c>
    </row>
    <row r="32556" spans="1:2" x14ac:dyDescent="0.25">
      <c r="A32556" s="2">
        <v>32551</v>
      </c>
      <c r="B32556" s="11" t="str">
        <f>"01081737"</f>
        <v>01081737</v>
      </c>
    </row>
    <row r="32557" spans="1:2" x14ac:dyDescent="0.25">
      <c r="A32557" s="2">
        <v>32552</v>
      </c>
      <c r="B32557" s="11" t="str">
        <f>"01081738"</f>
        <v>01081738</v>
      </c>
    </row>
    <row r="32558" spans="1:2" x14ac:dyDescent="0.25">
      <c r="A32558" s="2">
        <v>32553</v>
      </c>
      <c r="B32558" s="11" t="str">
        <f>"01081740"</f>
        <v>01081740</v>
      </c>
    </row>
    <row r="32559" spans="1:2" x14ac:dyDescent="0.25">
      <c r="A32559" s="2">
        <v>32554</v>
      </c>
      <c r="B32559" s="11" t="str">
        <f>"01081741"</f>
        <v>01081741</v>
      </c>
    </row>
    <row r="32560" spans="1:2" x14ac:dyDescent="0.25">
      <c r="A32560" s="2">
        <v>32555</v>
      </c>
      <c r="B32560" s="11" t="str">
        <f>"01081744"</f>
        <v>01081744</v>
      </c>
    </row>
    <row r="32561" spans="1:2" x14ac:dyDescent="0.25">
      <c r="A32561" s="2">
        <v>32556</v>
      </c>
      <c r="B32561" s="11" t="str">
        <f>"01081749"</f>
        <v>01081749</v>
      </c>
    </row>
    <row r="32562" spans="1:2" x14ac:dyDescent="0.25">
      <c r="A32562" s="2">
        <v>32557</v>
      </c>
      <c r="B32562" s="11" t="str">
        <f>"01081750"</f>
        <v>01081750</v>
      </c>
    </row>
    <row r="32563" spans="1:2" x14ac:dyDescent="0.25">
      <c r="A32563" s="2">
        <v>32558</v>
      </c>
      <c r="B32563" s="11" t="str">
        <f>"01081764"</f>
        <v>01081764</v>
      </c>
    </row>
    <row r="32564" spans="1:2" x14ac:dyDescent="0.25">
      <c r="A32564" s="2">
        <v>32559</v>
      </c>
      <c r="B32564" s="11" t="str">
        <f>"01081765"</f>
        <v>01081765</v>
      </c>
    </row>
    <row r="32565" spans="1:2" x14ac:dyDescent="0.25">
      <c r="A32565" s="2">
        <v>32560</v>
      </c>
      <c r="B32565" s="11" t="str">
        <f>"01081779"</f>
        <v>01081779</v>
      </c>
    </row>
    <row r="32566" spans="1:2" x14ac:dyDescent="0.25">
      <c r="A32566" s="2">
        <v>32561</v>
      </c>
      <c r="B32566" s="11" t="str">
        <f>"01081784"</f>
        <v>01081784</v>
      </c>
    </row>
    <row r="32567" spans="1:2" x14ac:dyDescent="0.25">
      <c r="A32567" s="2">
        <v>32562</v>
      </c>
      <c r="B32567" s="11" t="str">
        <f>"01081785"</f>
        <v>01081785</v>
      </c>
    </row>
    <row r="32568" spans="1:2" x14ac:dyDescent="0.25">
      <c r="A32568" s="2">
        <v>32563</v>
      </c>
      <c r="B32568" s="11" t="str">
        <f>"01081789"</f>
        <v>01081789</v>
      </c>
    </row>
    <row r="32569" spans="1:2" x14ac:dyDescent="0.25">
      <c r="A32569" s="2">
        <v>32564</v>
      </c>
      <c r="B32569" s="11" t="str">
        <f>"01081791"</f>
        <v>01081791</v>
      </c>
    </row>
    <row r="32570" spans="1:2" x14ac:dyDescent="0.25">
      <c r="A32570" s="2">
        <v>32565</v>
      </c>
      <c r="B32570" s="11" t="str">
        <f>"01081792"</f>
        <v>01081792</v>
      </c>
    </row>
    <row r="32571" spans="1:2" x14ac:dyDescent="0.25">
      <c r="A32571" s="2">
        <v>32566</v>
      </c>
      <c r="B32571" s="11" t="str">
        <f>"01081799"</f>
        <v>01081799</v>
      </c>
    </row>
    <row r="32572" spans="1:2" x14ac:dyDescent="0.25">
      <c r="A32572" s="2">
        <v>32567</v>
      </c>
      <c r="B32572" s="11" t="str">
        <f>"01081800"</f>
        <v>01081800</v>
      </c>
    </row>
    <row r="32573" spans="1:2" x14ac:dyDescent="0.25">
      <c r="A32573" s="2">
        <v>32568</v>
      </c>
      <c r="B32573" s="11" t="str">
        <f>"01081804"</f>
        <v>01081804</v>
      </c>
    </row>
    <row r="32574" spans="1:2" x14ac:dyDescent="0.25">
      <c r="A32574" s="2">
        <v>32569</v>
      </c>
      <c r="B32574" s="11" t="str">
        <f>"01081805"</f>
        <v>01081805</v>
      </c>
    </row>
    <row r="32575" spans="1:2" x14ac:dyDescent="0.25">
      <c r="A32575" s="2">
        <v>32570</v>
      </c>
      <c r="B32575" s="11" t="str">
        <f>"01081806"</f>
        <v>01081806</v>
      </c>
    </row>
    <row r="32576" spans="1:2" x14ac:dyDescent="0.25">
      <c r="A32576" s="2">
        <v>32571</v>
      </c>
      <c r="B32576" s="11" t="str">
        <f>"01081812"</f>
        <v>01081812</v>
      </c>
    </row>
    <row r="32577" spans="1:2" x14ac:dyDescent="0.25">
      <c r="A32577" s="2">
        <v>32572</v>
      </c>
      <c r="B32577" s="11" t="str">
        <f>"01081813"</f>
        <v>01081813</v>
      </c>
    </row>
    <row r="32578" spans="1:2" x14ac:dyDescent="0.25">
      <c r="A32578" s="2">
        <v>32573</v>
      </c>
      <c r="B32578" s="11" t="str">
        <f>"01081815"</f>
        <v>01081815</v>
      </c>
    </row>
    <row r="32579" spans="1:2" x14ac:dyDescent="0.25">
      <c r="A32579" s="2">
        <v>32574</v>
      </c>
      <c r="B32579" s="11" t="str">
        <f>"01081818"</f>
        <v>01081818</v>
      </c>
    </row>
    <row r="32580" spans="1:2" x14ac:dyDescent="0.25">
      <c r="A32580" s="2">
        <v>32575</v>
      </c>
      <c r="B32580" s="11" t="str">
        <f>"01081820"</f>
        <v>01081820</v>
      </c>
    </row>
    <row r="32581" spans="1:2" x14ac:dyDescent="0.25">
      <c r="A32581" s="2">
        <v>32576</v>
      </c>
      <c r="B32581" s="11" t="str">
        <f>"01081832"</f>
        <v>01081832</v>
      </c>
    </row>
    <row r="32582" spans="1:2" x14ac:dyDescent="0.25">
      <c r="A32582" s="2">
        <v>32577</v>
      </c>
      <c r="B32582" s="11" t="str">
        <f>"01081834"</f>
        <v>01081834</v>
      </c>
    </row>
    <row r="32583" spans="1:2" x14ac:dyDescent="0.25">
      <c r="A32583" s="2">
        <v>32578</v>
      </c>
      <c r="B32583" s="11" t="str">
        <f>"01081844"</f>
        <v>01081844</v>
      </c>
    </row>
    <row r="32584" spans="1:2" x14ac:dyDescent="0.25">
      <c r="A32584" s="2">
        <v>32579</v>
      </c>
      <c r="B32584" s="11" t="str">
        <f>"01081849"</f>
        <v>01081849</v>
      </c>
    </row>
    <row r="32585" spans="1:2" x14ac:dyDescent="0.25">
      <c r="A32585" s="2">
        <v>32580</v>
      </c>
      <c r="B32585" s="11" t="str">
        <f>"01081856"</f>
        <v>01081856</v>
      </c>
    </row>
    <row r="32586" spans="1:2" x14ac:dyDescent="0.25">
      <c r="A32586" s="2">
        <v>32581</v>
      </c>
      <c r="B32586" s="11" t="str">
        <f>"01081857"</f>
        <v>01081857</v>
      </c>
    </row>
    <row r="32587" spans="1:2" x14ac:dyDescent="0.25">
      <c r="A32587" s="2">
        <v>32582</v>
      </c>
      <c r="B32587" s="11" t="str">
        <f>"01081859"</f>
        <v>01081859</v>
      </c>
    </row>
    <row r="32588" spans="1:2" x14ac:dyDescent="0.25">
      <c r="A32588" s="2">
        <v>32583</v>
      </c>
      <c r="B32588" s="11" t="str">
        <f>"01081861"</f>
        <v>01081861</v>
      </c>
    </row>
    <row r="32589" spans="1:2" x14ac:dyDescent="0.25">
      <c r="A32589" s="2">
        <v>32584</v>
      </c>
      <c r="B32589" s="11" t="str">
        <f>"01081867"</f>
        <v>01081867</v>
      </c>
    </row>
    <row r="32590" spans="1:2" x14ac:dyDescent="0.25">
      <c r="A32590" s="2">
        <v>32585</v>
      </c>
      <c r="B32590" s="11" t="str">
        <f>"01081869"</f>
        <v>01081869</v>
      </c>
    </row>
    <row r="32591" spans="1:2" x14ac:dyDescent="0.25">
      <c r="A32591" s="2">
        <v>32586</v>
      </c>
      <c r="B32591" s="11" t="str">
        <f>"01081871"</f>
        <v>01081871</v>
      </c>
    </row>
    <row r="32592" spans="1:2" x14ac:dyDescent="0.25">
      <c r="A32592" s="2">
        <v>32587</v>
      </c>
      <c r="B32592" s="11" t="str">
        <f>"01081874"</f>
        <v>01081874</v>
      </c>
    </row>
    <row r="32593" spans="1:2" x14ac:dyDescent="0.25">
      <c r="A32593" s="2">
        <v>32588</v>
      </c>
      <c r="B32593" s="11" t="str">
        <f>"01081876"</f>
        <v>01081876</v>
      </c>
    </row>
    <row r="32594" spans="1:2" x14ac:dyDescent="0.25">
      <c r="A32594" s="2">
        <v>32589</v>
      </c>
      <c r="B32594" s="11" t="str">
        <f>"01081879"</f>
        <v>01081879</v>
      </c>
    </row>
    <row r="32595" spans="1:2" x14ac:dyDescent="0.25">
      <c r="A32595" s="2">
        <v>32590</v>
      </c>
      <c r="B32595" s="11" t="str">
        <f>"01081880"</f>
        <v>01081880</v>
      </c>
    </row>
    <row r="32596" spans="1:2" x14ac:dyDescent="0.25">
      <c r="A32596" s="2">
        <v>32591</v>
      </c>
      <c r="B32596" s="11" t="str">
        <f>"01081887"</f>
        <v>01081887</v>
      </c>
    </row>
    <row r="32597" spans="1:2" x14ac:dyDescent="0.25">
      <c r="A32597" s="2">
        <v>32592</v>
      </c>
      <c r="B32597" s="11" t="str">
        <f>"01081888"</f>
        <v>01081888</v>
      </c>
    </row>
    <row r="32598" spans="1:2" x14ac:dyDescent="0.25">
      <c r="A32598" s="2">
        <v>32593</v>
      </c>
      <c r="B32598" s="11" t="str">
        <f>"01081890"</f>
        <v>01081890</v>
      </c>
    </row>
    <row r="32599" spans="1:2" x14ac:dyDescent="0.25">
      <c r="A32599" s="2">
        <v>32594</v>
      </c>
      <c r="B32599" s="11" t="str">
        <f>"01081899"</f>
        <v>01081899</v>
      </c>
    </row>
    <row r="32600" spans="1:2" x14ac:dyDescent="0.25">
      <c r="A32600" s="2">
        <v>32595</v>
      </c>
      <c r="B32600" s="11" t="str">
        <f>"01081900"</f>
        <v>01081900</v>
      </c>
    </row>
    <row r="32601" spans="1:2" x14ac:dyDescent="0.25">
      <c r="A32601" s="2">
        <v>32596</v>
      </c>
      <c r="B32601" s="11" t="str">
        <f>"01081902"</f>
        <v>01081902</v>
      </c>
    </row>
    <row r="32602" spans="1:2" x14ac:dyDescent="0.25">
      <c r="A32602" s="2">
        <v>32597</v>
      </c>
      <c r="B32602" s="11" t="str">
        <f>"01081903"</f>
        <v>01081903</v>
      </c>
    </row>
    <row r="32603" spans="1:2" x14ac:dyDescent="0.25">
      <c r="A32603" s="2">
        <v>32598</v>
      </c>
      <c r="B32603" s="11" t="str">
        <f>"01081914"</f>
        <v>01081914</v>
      </c>
    </row>
    <row r="32604" spans="1:2" x14ac:dyDescent="0.25">
      <c r="A32604" s="2">
        <v>32599</v>
      </c>
      <c r="B32604" s="11" t="str">
        <f>"01081916"</f>
        <v>01081916</v>
      </c>
    </row>
    <row r="32605" spans="1:2" x14ac:dyDescent="0.25">
      <c r="A32605" s="2">
        <v>32600</v>
      </c>
      <c r="B32605" s="11" t="str">
        <f>"01081917"</f>
        <v>01081917</v>
      </c>
    </row>
    <row r="32606" spans="1:2" x14ac:dyDescent="0.25">
      <c r="A32606" s="2">
        <v>32601</v>
      </c>
      <c r="B32606" s="11" t="str">
        <f>"01081922"</f>
        <v>01081922</v>
      </c>
    </row>
    <row r="32607" spans="1:2" x14ac:dyDescent="0.25">
      <c r="A32607" s="2">
        <v>32602</v>
      </c>
      <c r="B32607" s="11" t="str">
        <f>"01081925"</f>
        <v>01081925</v>
      </c>
    </row>
    <row r="32608" spans="1:2" x14ac:dyDescent="0.25">
      <c r="A32608" s="2">
        <v>32603</v>
      </c>
      <c r="B32608" s="11" t="str">
        <f>"01081927"</f>
        <v>01081927</v>
      </c>
    </row>
    <row r="32609" spans="1:2" x14ac:dyDescent="0.25">
      <c r="A32609" s="2">
        <v>32604</v>
      </c>
      <c r="B32609" s="11" t="str">
        <f>"01081934"</f>
        <v>01081934</v>
      </c>
    </row>
    <row r="32610" spans="1:2" x14ac:dyDescent="0.25">
      <c r="A32610" s="2">
        <v>32605</v>
      </c>
      <c r="B32610" s="11" t="str">
        <f>"01081937"</f>
        <v>01081937</v>
      </c>
    </row>
    <row r="32611" spans="1:2" x14ac:dyDescent="0.25">
      <c r="A32611" s="2">
        <v>32606</v>
      </c>
      <c r="B32611" s="11" t="str">
        <f>"01081941"</f>
        <v>01081941</v>
      </c>
    </row>
    <row r="32612" spans="1:2" x14ac:dyDescent="0.25">
      <c r="A32612" s="2">
        <v>32607</v>
      </c>
      <c r="B32612" s="11" t="str">
        <f>"01081942"</f>
        <v>01081942</v>
      </c>
    </row>
    <row r="32613" spans="1:2" x14ac:dyDescent="0.25">
      <c r="A32613" s="2">
        <v>32608</v>
      </c>
      <c r="B32613" s="11" t="str">
        <f>"01081943"</f>
        <v>01081943</v>
      </c>
    </row>
    <row r="32614" spans="1:2" x14ac:dyDescent="0.25">
      <c r="A32614" s="2">
        <v>32609</v>
      </c>
      <c r="B32614" s="11" t="str">
        <f>"01081944"</f>
        <v>01081944</v>
      </c>
    </row>
    <row r="32615" spans="1:2" x14ac:dyDescent="0.25">
      <c r="A32615" s="2">
        <v>32610</v>
      </c>
      <c r="B32615" s="11" t="str">
        <f>"01081947"</f>
        <v>01081947</v>
      </c>
    </row>
    <row r="32616" spans="1:2" x14ac:dyDescent="0.25">
      <c r="A32616" s="2">
        <v>32611</v>
      </c>
      <c r="B32616" s="11" t="str">
        <f>"01081950"</f>
        <v>01081950</v>
      </c>
    </row>
    <row r="32617" spans="1:2" x14ac:dyDescent="0.25">
      <c r="A32617" s="2">
        <v>32612</v>
      </c>
      <c r="B32617" s="11" t="str">
        <f>"01081956"</f>
        <v>01081956</v>
      </c>
    </row>
    <row r="32618" spans="1:2" x14ac:dyDescent="0.25">
      <c r="A32618" s="2">
        <v>32613</v>
      </c>
      <c r="B32618" s="11" t="str">
        <f>"01081958"</f>
        <v>01081958</v>
      </c>
    </row>
    <row r="32619" spans="1:2" x14ac:dyDescent="0.25">
      <c r="A32619" s="2">
        <v>32614</v>
      </c>
      <c r="B32619" s="11" t="str">
        <f>"01081959"</f>
        <v>01081959</v>
      </c>
    </row>
    <row r="32620" spans="1:2" x14ac:dyDescent="0.25">
      <c r="A32620" s="2">
        <v>32615</v>
      </c>
      <c r="B32620" s="11" t="str">
        <f>"01081968"</f>
        <v>01081968</v>
      </c>
    </row>
    <row r="32621" spans="1:2" x14ac:dyDescent="0.25">
      <c r="A32621" s="2">
        <v>32616</v>
      </c>
      <c r="B32621" s="11" t="str">
        <f>"01081974"</f>
        <v>01081974</v>
      </c>
    </row>
    <row r="32622" spans="1:2" x14ac:dyDescent="0.25">
      <c r="A32622" s="2">
        <v>32617</v>
      </c>
      <c r="B32622" s="11" t="str">
        <f>"01081976"</f>
        <v>01081976</v>
      </c>
    </row>
    <row r="32623" spans="1:2" x14ac:dyDescent="0.25">
      <c r="A32623" s="2">
        <v>32618</v>
      </c>
      <c r="B32623" s="11" t="str">
        <f>"01081977"</f>
        <v>01081977</v>
      </c>
    </row>
    <row r="32624" spans="1:2" x14ac:dyDescent="0.25">
      <c r="A32624" s="2">
        <v>32619</v>
      </c>
      <c r="B32624" s="11" t="str">
        <f>"01081978"</f>
        <v>01081978</v>
      </c>
    </row>
    <row r="32625" spans="1:2" x14ac:dyDescent="0.25">
      <c r="A32625" s="2">
        <v>32620</v>
      </c>
      <c r="B32625" s="11" t="str">
        <f>"01081981"</f>
        <v>01081981</v>
      </c>
    </row>
    <row r="32626" spans="1:2" x14ac:dyDescent="0.25">
      <c r="A32626" s="2">
        <v>32621</v>
      </c>
      <c r="B32626" s="11" t="str">
        <f>"01081983"</f>
        <v>01081983</v>
      </c>
    </row>
    <row r="32627" spans="1:2" x14ac:dyDescent="0.25">
      <c r="A32627" s="2">
        <v>32622</v>
      </c>
      <c r="B32627" s="11" t="str">
        <f>"01081996"</f>
        <v>01081996</v>
      </c>
    </row>
    <row r="32628" spans="1:2" x14ac:dyDescent="0.25">
      <c r="A32628" s="2">
        <v>32623</v>
      </c>
      <c r="B32628" s="11" t="str">
        <f>"01081999"</f>
        <v>01081999</v>
      </c>
    </row>
    <row r="32629" spans="1:2" x14ac:dyDescent="0.25">
      <c r="A32629" s="2">
        <v>32624</v>
      </c>
      <c r="B32629" s="11" t="str">
        <f>"01082000"</f>
        <v>01082000</v>
      </c>
    </row>
    <row r="32630" spans="1:2" x14ac:dyDescent="0.25">
      <c r="A32630" s="2">
        <v>32625</v>
      </c>
      <c r="B32630" s="11" t="str">
        <f>"01082001"</f>
        <v>01082001</v>
      </c>
    </row>
    <row r="32631" spans="1:2" x14ac:dyDescent="0.25">
      <c r="A32631" s="2">
        <v>32626</v>
      </c>
      <c r="B32631" s="11" t="str">
        <f>"01082005"</f>
        <v>01082005</v>
      </c>
    </row>
    <row r="32632" spans="1:2" x14ac:dyDescent="0.25">
      <c r="A32632" s="2">
        <v>32627</v>
      </c>
      <c r="B32632" s="11" t="str">
        <f>"01082006"</f>
        <v>01082006</v>
      </c>
    </row>
    <row r="32633" spans="1:2" x14ac:dyDescent="0.25">
      <c r="A32633" s="2">
        <v>32628</v>
      </c>
      <c r="B32633" s="11" t="str">
        <f>"01082008"</f>
        <v>01082008</v>
      </c>
    </row>
    <row r="32634" spans="1:2" x14ac:dyDescent="0.25">
      <c r="A32634" s="2">
        <v>32629</v>
      </c>
      <c r="B32634" s="11" t="str">
        <f>"01082014"</f>
        <v>01082014</v>
      </c>
    </row>
    <row r="32635" spans="1:2" x14ac:dyDescent="0.25">
      <c r="A32635" s="2">
        <v>32630</v>
      </c>
      <c r="B32635" s="11" t="str">
        <f>"01082015"</f>
        <v>01082015</v>
      </c>
    </row>
    <row r="32636" spans="1:2" x14ac:dyDescent="0.25">
      <c r="A32636" s="2">
        <v>32631</v>
      </c>
      <c r="B32636" s="11" t="str">
        <f>"01082016"</f>
        <v>01082016</v>
      </c>
    </row>
    <row r="32637" spans="1:2" x14ac:dyDescent="0.25">
      <c r="A32637" s="2">
        <v>32632</v>
      </c>
      <c r="B32637" s="11" t="str">
        <f>"01082017"</f>
        <v>01082017</v>
      </c>
    </row>
    <row r="32638" spans="1:2" x14ac:dyDescent="0.25">
      <c r="A32638" s="2">
        <v>32633</v>
      </c>
      <c r="B32638" s="11" t="str">
        <f>"01082023"</f>
        <v>01082023</v>
      </c>
    </row>
    <row r="32639" spans="1:2" x14ac:dyDescent="0.25">
      <c r="A32639" s="2">
        <v>32634</v>
      </c>
      <c r="B32639" s="11" t="str">
        <f>"01082026"</f>
        <v>01082026</v>
      </c>
    </row>
    <row r="32640" spans="1:2" x14ac:dyDescent="0.25">
      <c r="A32640" s="2">
        <v>32635</v>
      </c>
      <c r="B32640" s="11" t="str">
        <f>"01082027"</f>
        <v>01082027</v>
      </c>
    </row>
    <row r="32641" spans="1:2" x14ac:dyDescent="0.25">
      <c r="A32641" s="2">
        <v>32636</v>
      </c>
      <c r="B32641" s="11" t="str">
        <f>"01082030"</f>
        <v>01082030</v>
      </c>
    </row>
    <row r="32642" spans="1:2" x14ac:dyDescent="0.25">
      <c r="A32642" s="2">
        <v>32637</v>
      </c>
      <c r="B32642" s="11" t="str">
        <f>"01082032"</f>
        <v>01082032</v>
      </c>
    </row>
    <row r="32643" spans="1:2" x14ac:dyDescent="0.25">
      <c r="A32643" s="2">
        <v>32638</v>
      </c>
      <c r="B32643" s="11" t="str">
        <f>"01082040"</f>
        <v>01082040</v>
      </c>
    </row>
    <row r="32644" spans="1:2" x14ac:dyDescent="0.25">
      <c r="A32644" s="2">
        <v>32639</v>
      </c>
      <c r="B32644" s="11" t="str">
        <f>"01082049"</f>
        <v>01082049</v>
      </c>
    </row>
    <row r="32645" spans="1:2" x14ac:dyDescent="0.25">
      <c r="A32645" s="2">
        <v>32640</v>
      </c>
      <c r="B32645" s="11" t="str">
        <f>"01082051"</f>
        <v>01082051</v>
      </c>
    </row>
    <row r="32646" spans="1:2" x14ac:dyDescent="0.25">
      <c r="A32646" s="2">
        <v>32641</v>
      </c>
      <c r="B32646" s="11" t="str">
        <f>"01082060"</f>
        <v>01082060</v>
      </c>
    </row>
    <row r="32647" spans="1:2" x14ac:dyDescent="0.25">
      <c r="A32647" s="2">
        <v>32642</v>
      </c>
      <c r="B32647" s="11" t="str">
        <f>"01082068"</f>
        <v>01082068</v>
      </c>
    </row>
    <row r="32648" spans="1:2" x14ac:dyDescent="0.25">
      <c r="A32648" s="2">
        <v>32643</v>
      </c>
      <c r="B32648" s="11" t="str">
        <f>"01082075"</f>
        <v>01082075</v>
      </c>
    </row>
    <row r="32649" spans="1:2" x14ac:dyDescent="0.25">
      <c r="A32649" s="2">
        <v>32644</v>
      </c>
      <c r="B32649" s="11" t="str">
        <f>"01082086"</f>
        <v>01082086</v>
      </c>
    </row>
    <row r="32650" spans="1:2" x14ac:dyDescent="0.25">
      <c r="A32650" s="2">
        <v>32645</v>
      </c>
      <c r="B32650" s="11" t="str">
        <f>"01082094"</f>
        <v>01082094</v>
      </c>
    </row>
    <row r="32651" spans="1:2" x14ac:dyDescent="0.25">
      <c r="A32651" s="2">
        <v>32646</v>
      </c>
      <c r="B32651" s="11" t="str">
        <f>"01082098"</f>
        <v>01082098</v>
      </c>
    </row>
    <row r="32652" spans="1:2" x14ac:dyDescent="0.25">
      <c r="A32652" s="2">
        <v>32647</v>
      </c>
      <c r="B32652" s="11" t="str">
        <f>"01082103"</f>
        <v>01082103</v>
      </c>
    </row>
    <row r="32653" spans="1:2" x14ac:dyDescent="0.25">
      <c r="A32653" s="2">
        <v>32648</v>
      </c>
      <c r="B32653" s="11" t="str">
        <f>"01082106"</f>
        <v>01082106</v>
      </c>
    </row>
    <row r="32654" spans="1:2" x14ac:dyDescent="0.25">
      <c r="A32654" s="2">
        <v>32649</v>
      </c>
      <c r="B32654" s="11" t="str">
        <f>"01082109"</f>
        <v>01082109</v>
      </c>
    </row>
    <row r="32655" spans="1:2" x14ac:dyDescent="0.25">
      <c r="A32655" s="2">
        <v>32650</v>
      </c>
      <c r="B32655" s="11" t="str">
        <f>"01082114"</f>
        <v>01082114</v>
      </c>
    </row>
    <row r="32656" spans="1:2" x14ac:dyDescent="0.25">
      <c r="A32656" s="2">
        <v>32651</v>
      </c>
      <c r="B32656" s="11" t="str">
        <f>"01082117"</f>
        <v>01082117</v>
      </c>
    </row>
    <row r="32657" spans="1:2" x14ac:dyDescent="0.25">
      <c r="A32657" s="2">
        <v>32652</v>
      </c>
      <c r="B32657" s="11" t="str">
        <f>"01082119"</f>
        <v>01082119</v>
      </c>
    </row>
    <row r="32658" spans="1:2" x14ac:dyDescent="0.25">
      <c r="A32658" s="2">
        <v>32653</v>
      </c>
      <c r="B32658" s="11" t="str">
        <f>"01082120"</f>
        <v>01082120</v>
      </c>
    </row>
    <row r="32659" spans="1:2" x14ac:dyDescent="0.25">
      <c r="A32659" s="2">
        <v>32654</v>
      </c>
      <c r="B32659" s="11" t="str">
        <f>"01082121"</f>
        <v>01082121</v>
      </c>
    </row>
    <row r="32660" spans="1:2" x14ac:dyDescent="0.25">
      <c r="A32660" s="2">
        <v>32655</v>
      </c>
      <c r="B32660" s="11" t="str">
        <f>"01082122"</f>
        <v>01082122</v>
      </c>
    </row>
    <row r="32661" spans="1:2" x14ac:dyDescent="0.25">
      <c r="A32661" s="2">
        <v>32656</v>
      </c>
      <c r="B32661" s="11" t="str">
        <f>"01082123"</f>
        <v>01082123</v>
      </c>
    </row>
    <row r="32662" spans="1:2" x14ac:dyDescent="0.25">
      <c r="A32662" s="2">
        <v>32657</v>
      </c>
      <c r="B32662" s="11" t="str">
        <f>"01082125"</f>
        <v>01082125</v>
      </c>
    </row>
    <row r="32663" spans="1:2" x14ac:dyDescent="0.25">
      <c r="A32663" s="2">
        <v>32658</v>
      </c>
      <c r="B32663" s="11" t="str">
        <f>"01082126"</f>
        <v>01082126</v>
      </c>
    </row>
    <row r="32664" spans="1:2" x14ac:dyDescent="0.25">
      <c r="A32664" s="2">
        <v>32659</v>
      </c>
      <c r="B32664" s="11" t="str">
        <f>"01082132"</f>
        <v>01082132</v>
      </c>
    </row>
    <row r="32665" spans="1:2" x14ac:dyDescent="0.25">
      <c r="A32665" s="2">
        <v>32660</v>
      </c>
      <c r="B32665" s="11" t="str">
        <f>"01082133"</f>
        <v>01082133</v>
      </c>
    </row>
    <row r="32666" spans="1:2" x14ac:dyDescent="0.25">
      <c r="A32666" s="2">
        <v>32661</v>
      </c>
      <c r="B32666" s="11" t="str">
        <f>"01082134"</f>
        <v>01082134</v>
      </c>
    </row>
    <row r="32667" spans="1:2" x14ac:dyDescent="0.25">
      <c r="A32667" s="2">
        <v>32662</v>
      </c>
      <c r="B32667" s="11" t="str">
        <f>"01082135"</f>
        <v>01082135</v>
      </c>
    </row>
    <row r="32668" spans="1:2" x14ac:dyDescent="0.25">
      <c r="A32668" s="2">
        <v>32663</v>
      </c>
      <c r="B32668" s="11" t="str">
        <f>"01082145"</f>
        <v>01082145</v>
      </c>
    </row>
    <row r="32669" spans="1:2" x14ac:dyDescent="0.25">
      <c r="A32669" s="2">
        <v>32664</v>
      </c>
      <c r="B32669" s="11" t="str">
        <f>"01082153"</f>
        <v>01082153</v>
      </c>
    </row>
    <row r="32670" spans="1:2" x14ac:dyDescent="0.25">
      <c r="A32670" s="2">
        <v>32665</v>
      </c>
      <c r="B32670" s="11" t="str">
        <f>"01082155"</f>
        <v>01082155</v>
      </c>
    </row>
    <row r="32671" spans="1:2" x14ac:dyDescent="0.25">
      <c r="A32671" s="2">
        <v>32666</v>
      </c>
      <c r="B32671" s="11" t="str">
        <f>"01082160"</f>
        <v>01082160</v>
      </c>
    </row>
    <row r="32672" spans="1:2" x14ac:dyDescent="0.25">
      <c r="A32672" s="2">
        <v>32667</v>
      </c>
      <c r="B32672" s="11" t="str">
        <f>"01082162"</f>
        <v>01082162</v>
      </c>
    </row>
    <row r="32673" spans="1:2" x14ac:dyDescent="0.25">
      <c r="A32673" s="2">
        <v>32668</v>
      </c>
      <c r="B32673" s="11" t="str">
        <f>"01082175"</f>
        <v>01082175</v>
      </c>
    </row>
    <row r="32674" spans="1:2" x14ac:dyDescent="0.25">
      <c r="A32674" s="2">
        <v>32669</v>
      </c>
      <c r="B32674" s="11" t="str">
        <f>"01082176"</f>
        <v>01082176</v>
      </c>
    </row>
    <row r="32675" spans="1:2" x14ac:dyDescent="0.25">
      <c r="A32675" s="2">
        <v>32670</v>
      </c>
      <c r="B32675" s="11" t="str">
        <f>"01082177"</f>
        <v>01082177</v>
      </c>
    </row>
    <row r="32676" spans="1:2" x14ac:dyDescent="0.25">
      <c r="A32676" s="2">
        <v>32671</v>
      </c>
      <c r="B32676" s="11" t="str">
        <f>"01082184"</f>
        <v>01082184</v>
      </c>
    </row>
    <row r="32677" spans="1:2" x14ac:dyDescent="0.25">
      <c r="A32677" s="2">
        <v>32672</v>
      </c>
      <c r="B32677" s="11" t="str">
        <f>"01082185"</f>
        <v>01082185</v>
      </c>
    </row>
    <row r="32678" spans="1:2" x14ac:dyDescent="0.25">
      <c r="A32678" s="2">
        <v>32673</v>
      </c>
      <c r="B32678" s="11" t="str">
        <f>"01082189"</f>
        <v>01082189</v>
      </c>
    </row>
    <row r="32679" spans="1:2" x14ac:dyDescent="0.25">
      <c r="A32679" s="2">
        <v>32674</v>
      </c>
      <c r="B32679" s="11" t="str">
        <f>"01082200"</f>
        <v>01082200</v>
      </c>
    </row>
    <row r="32680" spans="1:2" x14ac:dyDescent="0.25">
      <c r="A32680" s="2">
        <v>32675</v>
      </c>
      <c r="B32680" s="11" t="str">
        <f>"01082201"</f>
        <v>01082201</v>
      </c>
    </row>
    <row r="32681" spans="1:2" x14ac:dyDescent="0.25">
      <c r="A32681" s="2">
        <v>32676</v>
      </c>
      <c r="B32681" s="11" t="str">
        <f>"01082204"</f>
        <v>01082204</v>
      </c>
    </row>
    <row r="32682" spans="1:2" x14ac:dyDescent="0.25">
      <c r="A32682" s="2">
        <v>32677</v>
      </c>
      <c r="B32682" s="11" t="str">
        <f>"01082211"</f>
        <v>01082211</v>
      </c>
    </row>
    <row r="32683" spans="1:2" x14ac:dyDescent="0.25">
      <c r="A32683" s="2">
        <v>32678</v>
      </c>
      <c r="B32683" s="11" t="str">
        <f>"01082221"</f>
        <v>01082221</v>
      </c>
    </row>
    <row r="32684" spans="1:2" x14ac:dyDescent="0.25">
      <c r="A32684" s="2">
        <v>32679</v>
      </c>
      <c r="B32684" s="11" t="str">
        <f>"01082222"</f>
        <v>01082222</v>
      </c>
    </row>
    <row r="32685" spans="1:2" x14ac:dyDescent="0.25">
      <c r="A32685" s="2">
        <v>32680</v>
      </c>
      <c r="B32685" s="11" t="str">
        <f>"01082226"</f>
        <v>01082226</v>
      </c>
    </row>
    <row r="32686" spans="1:2" x14ac:dyDescent="0.25">
      <c r="A32686" s="2">
        <v>32681</v>
      </c>
      <c r="B32686" s="11" t="str">
        <f>"01082232"</f>
        <v>01082232</v>
      </c>
    </row>
    <row r="32687" spans="1:2" x14ac:dyDescent="0.25">
      <c r="A32687" s="2">
        <v>32682</v>
      </c>
      <c r="B32687" s="11" t="str">
        <f>"01082234"</f>
        <v>01082234</v>
      </c>
    </row>
    <row r="32688" spans="1:2" x14ac:dyDescent="0.25">
      <c r="A32688" s="2">
        <v>32683</v>
      </c>
      <c r="B32688" s="11" t="str">
        <f>"01082244"</f>
        <v>01082244</v>
      </c>
    </row>
    <row r="32689" spans="1:2" x14ac:dyDescent="0.25">
      <c r="A32689" s="2">
        <v>32684</v>
      </c>
      <c r="B32689" s="11" t="str">
        <f>"01082245"</f>
        <v>01082245</v>
      </c>
    </row>
    <row r="32690" spans="1:2" x14ac:dyDescent="0.25">
      <c r="A32690" s="2">
        <v>32685</v>
      </c>
      <c r="B32690" s="11" t="str">
        <f>"01082250"</f>
        <v>01082250</v>
      </c>
    </row>
    <row r="32691" spans="1:2" x14ac:dyDescent="0.25">
      <c r="A32691" s="2">
        <v>32686</v>
      </c>
      <c r="B32691" s="11" t="str">
        <f>"01082253"</f>
        <v>01082253</v>
      </c>
    </row>
    <row r="32692" spans="1:2" x14ac:dyDescent="0.25">
      <c r="A32692" s="2">
        <v>32687</v>
      </c>
      <c r="B32692" s="11" t="str">
        <f>"01082259"</f>
        <v>01082259</v>
      </c>
    </row>
    <row r="32693" spans="1:2" x14ac:dyDescent="0.25">
      <c r="A32693" s="2">
        <v>32688</v>
      </c>
      <c r="B32693" s="11" t="str">
        <f>"01082264"</f>
        <v>01082264</v>
      </c>
    </row>
    <row r="32694" spans="1:2" x14ac:dyDescent="0.25">
      <c r="A32694" s="2">
        <v>32689</v>
      </c>
      <c r="B32694" s="11" t="str">
        <f>"01082265"</f>
        <v>01082265</v>
      </c>
    </row>
    <row r="32695" spans="1:2" x14ac:dyDescent="0.25">
      <c r="A32695" s="2">
        <v>32690</v>
      </c>
      <c r="B32695" s="11" t="str">
        <f>"01082270"</f>
        <v>01082270</v>
      </c>
    </row>
    <row r="32696" spans="1:2" x14ac:dyDescent="0.25">
      <c r="A32696" s="2">
        <v>32691</v>
      </c>
      <c r="B32696" s="11" t="str">
        <f>"01082271"</f>
        <v>01082271</v>
      </c>
    </row>
    <row r="32697" spans="1:2" x14ac:dyDescent="0.25">
      <c r="A32697" s="2">
        <v>32692</v>
      </c>
      <c r="B32697" s="11" t="str">
        <f>"01082274"</f>
        <v>01082274</v>
      </c>
    </row>
    <row r="32698" spans="1:2" x14ac:dyDescent="0.25">
      <c r="A32698" s="2">
        <v>32693</v>
      </c>
      <c r="B32698" s="11" t="str">
        <f>"01082276"</f>
        <v>01082276</v>
      </c>
    </row>
    <row r="32699" spans="1:2" x14ac:dyDescent="0.25">
      <c r="A32699" s="2">
        <v>32694</v>
      </c>
      <c r="B32699" s="11" t="str">
        <f>"01082279"</f>
        <v>01082279</v>
      </c>
    </row>
    <row r="32700" spans="1:2" x14ac:dyDescent="0.25">
      <c r="A32700" s="2">
        <v>32695</v>
      </c>
      <c r="B32700" s="11" t="str">
        <f>"01082287"</f>
        <v>01082287</v>
      </c>
    </row>
    <row r="32701" spans="1:2" x14ac:dyDescent="0.25">
      <c r="A32701" s="2">
        <v>32696</v>
      </c>
      <c r="B32701" s="11" t="str">
        <f>"01082289"</f>
        <v>01082289</v>
      </c>
    </row>
    <row r="32702" spans="1:2" x14ac:dyDescent="0.25">
      <c r="A32702" s="2">
        <v>32697</v>
      </c>
      <c r="B32702" s="11" t="str">
        <f>"01082290"</f>
        <v>01082290</v>
      </c>
    </row>
    <row r="32703" spans="1:2" x14ac:dyDescent="0.25">
      <c r="A32703" s="2">
        <v>32698</v>
      </c>
      <c r="B32703" s="11" t="str">
        <f>"01082293"</f>
        <v>01082293</v>
      </c>
    </row>
    <row r="32704" spans="1:2" x14ac:dyDescent="0.25">
      <c r="A32704" s="2">
        <v>32699</v>
      </c>
      <c r="B32704" s="11" t="str">
        <f>"01082307"</f>
        <v>01082307</v>
      </c>
    </row>
    <row r="32705" spans="1:2" x14ac:dyDescent="0.25">
      <c r="A32705" s="2">
        <v>32700</v>
      </c>
      <c r="B32705" s="11" t="str">
        <f>"01082308"</f>
        <v>01082308</v>
      </c>
    </row>
    <row r="32706" spans="1:2" x14ac:dyDescent="0.25">
      <c r="A32706" s="2">
        <v>32701</v>
      </c>
      <c r="B32706" s="11" t="str">
        <f>"01082310"</f>
        <v>01082310</v>
      </c>
    </row>
    <row r="32707" spans="1:2" x14ac:dyDescent="0.25">
      <c r="A32707" s="2">
        <v>32702</v>
      </c>
      <c r="B32707" s="11" t="str">
        <f>"01082311"</f>
        <v>01082311</v>
      </c>
    </row>
    <row r="32708" spans="1:2" x14ac:dyDescent="0.25">
      <c r="A32708" s="2">
        <v>32703</v>
      </c>
      <c r="B32708" s="11" t="str">
        <f>"01082313"</f>
        <v>01082313</v>
      </c>
    </row>
    <row r="32709" spans="1:2" x14ac:dyDescent="0.25">
      <c r="A32709" s="2">
        <v>32704</v>
      </c>
      <c r="B32709" s="11" t="str">
        <f>"01082315"</f>
        <v>01082315</v>
      </c>
    </row>
    <row r="32710" spans="1:2" x14ac:dyDescent="0.25">
      <c r="A32710" s="2">
        <v>32705</v>
      </c>
      <c r="B32710" s="11" t="str">
        <f>"01082318"</f>
        <v>01082318</v>
      </c>
    </row>
    <row r="32711" spans="1:2" x14ac:dyDescent="0.25">
      <c r="A32711" s="2">
        <v>32706</v>
      </c>
      <c r="B32711" s="11" t="str">
        <f>"01082319"</f>
        <v>01082319</v>
      </c>
    </row>
    <row r="32712" spans="1:2" x14ac:dyDescent="0.25">
      <c r="A32712" s="2">
        <v>32707</v>
      </c>
      <c r="B32712" s="11" t="str">
        <f>"01082320"</f>
        <v>01082320</v>
      </c>
    </row>
    <row r="32713" spans="1:2" x14ac:dyDescent="0.25">
      <c r="A32713" s="2">
        <v>32708</v>
      </c>
      <c r="B32713" s="11" t="str">
        <f>"01082330"</f>
        <v>01082330</v>
      </c>
    </row>
    <row r="32714" spans="1:2" x14ac:dyDescent="0.25">
      <c r="A32714" s="2">
        <v>32709</v>
      </c>
      <c r="B32714" s="11" t="str">
        <f>"01082332"</f>
        <v>01082332</v>
      </c>
    </row>
    <row r="32715" spans="1:2" x14ac:dyDescent="0.25">
      <c r="A32715" s="2">
        <v>32710</v>
      </c>
      <c r="B32715" s="11" t="str">
        <f>"01082337"</f>
        <v>01082337</v>
      </c>
    </row>
    <row r="32716" spans="1:2" x14ac:dyDescent="0.25">
      <c r="A32716" s="2">
        <v>32711</v>
      </c>
      <c r="B32716" s="11" t="str">
        <f>"01082338"</f>
        <v>01082338</v>
      </c>
    </row>
    <row r="32717" spans="1:2" x14ac:dyDescent="0.25">
      <c r="A32717" s="2">
        <v>32712</v>
      </c>
      <c r="B32717" s="11" t="str">
        <f>"01082339"</f>
        <v>01082339</v>
      </c>
    </row>
    <row r="32718" spans="1:2" x14ac:dyDescent="0.25">
      <c r="A32718" s="2">
        <v>32713</v>
      </c>
      <c r="B32718" s="11" t="str">
        <f>"01082352"</f>
        <v>01082352</v>
      </c>
    </row>
    <row r="32719" spans="1:2" x14ac:dyDescent="0.25">
      <c r="A32719" s="2">
        <v>32714</v>
      </c>
      <c r="B32719" s="11" t="str">
        <f>"01082356"</f>
        <v>01082356</v>
      </c>
    </row>
    <row r="32720" spans="1:2" x14ac:dyDescent="0.25">
      <c r="A32720" s="2">
        <v>32715</v>
      </c>
      <c r="B32720" s="11" t="str">
        <f>"01082361"</f>
        <v>01082361</v>
      </c>
    </row>
    <row r="32721" spans="1:2" x14ac:dyDescent="0.25">
      <c r="A32721" s="2">
        <v>32716</v>
      </c>
      <c r="B32721" s="11" t="str">
        <f>"01082362"</f>
        <v>01082362</v>
      </c>
    </row>
    <row r="32722" spans="1:2" x14ac:dyDescent="0.25">
      <c r="A32722" s="2">
        <v>32717</v>
      </c>
      <c r="B32722" s="11" t="str">
        <f>"01082364"</f>
        <v>01082364</v>
      </c>
    </row>
    <row r="32723" spans="1:2" x14ac:dyDescent="0.25">
      <c r="A32723" s="2">
        <v>32718</v>
      </c>
      <c r="B32723" s="11" t="str">
        <f>"01082367"</f>
        <v>01082367</v>
      </c>
    </row>
    <row r="32724" spans="1:2" x14ac:dyDescent="0.25">
      <c r="A32724" s="2">
        <v>32719</v>
      </c>
      <c r="B32724" s="11" t="str">
        <f>"01082368"</f>
        <v>01082368</v>
      </c>
    </row>
    <row r="32725" spans="1:2" x14ac:dyDescent="0.25">
      <c r="A32725" s="2">
        <v>32720</v>
      </c>
      <c r="B32725" s="11" t="str">
        <f>"01082375"</f>
        <v>01082375</v>
      </c>
    </row>
    <row r="32726" spans="1:2" x14ac:dyDescent="0.25">
      <c r="A32726" s="2">
        <v>32721</v>
      </c>
      <c r="B32726" s="11" t="str">
        <f>"01082378"</f>
        <v>01082378</v>
      </c>
    </row>
    <row r="32727" spans="1:2" x14ac:dyDescent="0.25">
      <c r="A32727" s="2">
        <v>32722</v>
      </c>
      <c r="B32727" s="11" t="str">
        <f>"01082381"</f>
        <v>01082381</v>
      </c>
    </row>
    <row r="32728" spans="1:2" x14ac:dyDescent="0.25">
      <c r="A32728" s="2">
        <v>32723</v>
      </c>
      <c r="B32728" s="11" t="str">
        <f>"01082383"</f>
        <v>01082383</v>
      </c>
    </row>
    <row r="32729" spans="1:2" x14ac:dyDescent="0.25">
      <c r="A32729" s="2">
        <v>32724</v>
      </c>
      <c r="B32729" s="11" t="str">
        <f>"01082388"</f>
        <v>01082388</v>
      </c>
    </row>
    <row r="32730" spans="1:2" x14ac:dyDescent="0.25">
      <c r="A32730" s="2">
        <v>32725</v>
      </c>
      <c r="B32730" s="11" t="str">
        <f>"01082390"</f>
        <v>01082390</v>
      </c>
    </row>
    <row r="32731" spans="1:2" x14ac:dyDescent="0.25">
      <c r="A32731" s="2">
        <v>32726</v>
      </c>
      <c r="B32731" s="11" t="str">
        <f>"01082392"</f>
        <v>01082392</v>
      </c>
    </row>
    <row r="32732" spans="1:2" x14ac:dyDescent="0.25">
      <c r="A32732" s="2">
        <v>32727</v>
      </c>
      <c r="B32732" s="11" t="str">
        <f>"01082396"</f>
        <v>01082396</v>
      </c>
    </row>
    <row r="32733" spans="1:2" x14ac:dyDescent="0.25">
      <c r="A32733" s="2">
        <v>32728</v>
      </c>
      <c r="B32733" s="11" t="str">
        <f>"01082397"</f>
        <v>01082397</v>
      </c>
    </row>
    <row r="32734" spans="1:2" x14ac:dyDescent="0.25">
      <c r="A32734" s="2">
        <v>32729</v>
      </c>
      <c r="B32734" s="11" t="str">
        <f>"01082399"</f>
        <v>01082399</v>
      </c>
    </row>
    <row r="32735" spans="1:2" x14ac:dyDescent="0.25">
      <c r="A32735" s="2">
        <v>32730</v>
      </c>
      <c r="B32735" s="11" t="str">
        <f>"01082402"</f>
        <v>01082402</v>
      </c>
    </row>
    <row r="32736" spans="1:2" x14ac:dyDescent="0.25">
      <c r="A32736" s="2">
        <v>32731</v>
      </c>
      <c r="B32736" s="11" t="str">
        <f>"01082404"</f>
        <v>01082404</v>
      </c>
    </row>
    <row r="32737" spans="1:2" x14ac:dyDescent="0.25">
      <c r="A32737" s="2">
        <v>32732</v>
      </c>
      <c r="B32737" s="11" t="str">
        <f>"01082405"</f>
        <v>01082405</v>
      </c>
    </row>
    <row r="32738" spans="1:2" x14ac:dyDescent="0.25">
      <c r="A32738" s="2">
        <v>32733</v>
      </c>
      <c r="B32738" s="11" t="str">
        <f>"01082407"</f>
        <v>01082407</v>
      </c>
    </row>
    <row r="32739" spans="1:2" x14ac:dyDescent="0.25">
      <c r="A32739" s="2">
        <v>32734</v>
      </c>
      <c r="B32739" s="11" t="str">
        <f>"01082410"</f>
        <v>01082410</v>
      </c>
    </row>
    <row r="32740" spans="1:2" x14ac:dyDescent="0.25">
      <c r="A32740" s="2">
        <v>32735</v>
      </c>
      <c r="B32740" s="11" t="str">
        <f>"01082411"</f>
        <v>01082411</v>
      </c>
    </row>
    <row r="32741" spans="1:2" x14ac:dyDescent="0.25">
      <c r="A32741" s="2">
        <v>32736</v>
      </c>
      <c r="B32741" s="11" t="str">
        <f>"01082413"</f>
        <v>01082413</v>
      </c>
    </row>
    <row r="32742" spans="1:2" x14ac:dyDescent="0.25">
      <c r="A32742" s="2">
        <v>32737</v>
      </c>
      <c r="B32742" s="11" t="str">
        <f>"01082415"</f>
        <v>01082415</v>
      </c>
    </row>
    <row r="32743" spans="1:2" x14ac:dyDescent="0.25">
      <c r="A32743" s="2">
        <v>32738</v>
      </c>
      <c r="B32743" s="11" t="str">
        <f>"01082416"</f>
        <v>01082416</v>
      </c>
    </row>
    <row r="32744" spans="1:2" x14ac:dyDescent="0.25">
      <c r="A32744" s="2">
        <v>32739</v>
      </c>
      <c r="B32744" s="11" t="str">
        <f>"01082418"</f>
        <v>01082418</v>
      </c>
    </row>
    <row r="32745" spans="1:2" x14ac:dyDescent="0.25">
      <c r="A32745" s="2">
        <v>32740</v>
      </c>
      <c r="B32745" s="11" t="str">
        <f>"01082420"</f>
        <v>01082420</v>
      </c>
    </row>
    <row r="32746" spans="1:2" x14ac:dyDescent="0.25">
      <c r="A32746" s="2">
        <v>32741</v>
      </c>
      <c r="B32746" s="11" t="str">
        <f>"01082424"</f>
        <v>01082424</v>
      </c>
    </row>
    <row r="32747" spans="1:2" x14ac:dyDescent="0.25">
      <c r="A32747" s="2">
        <v>32742</v>
      </c>
      <c r="B32747" s="11" t="str">
        <f>"01082428"</f>
        <v>01082428</v>
      </c>
    </row>
    <row r="32748" spans="1:2" x14ac:dyDescent="0.25">
      <c r="A32748" s="2">
        <v>32743</v>
      </c>
      <c r="B32748" s="11" t="str">
        <f>"01082429"</f>
        <v>01082429</v>
      </c>
    </row>
    <row r="32749" spans="1:2" x14ac:dyDescent="0.25">
      <c r="A32749" s="2">
        <v>32744</v>
      </c>
      <c r="B32749" s="11" t="str">
        <f>"01082433"</f>
        <v>01082433</v>
      </c>
    </row>
    <row r="32750" spans="1:2" x14ac:dyDescent="0.25">
      <c r="A32750" s="2">
        <v>32745</v>
      </c>
      <c r="B32750" s="11" t="str">
        <f>"01082445"</f>
        <v>01082445</v>
      </c>
    </row>
    <row r="32751" spans="1:2" x14ac:dyDescent="0.25">
      <c r="A32751" s="2">
        <v>32746</v>
      </c>
      <c r="B32751" s="11" t="str">
        <f>"01082447"</f>
        <v>01082447</v>
      </c>
    </row>
    <row r="32752" spans="1:2" x14ac:dyDescent="0.25">
      <c r="A32752" s="2">
        <v>32747</v>
      </c>
      <c r="B32752" s="11" t="str">
        <f>"01082448"</f>
        <v>01082448</v>
      </c>
    </row>
    <row r="32753" spans="1:2" x14ac:dyDescent="0.25">
      <c r="A32753" s="2">
        <v>32748</v>
      </c>
      <c r="B32753" s="11" t="str">
        <f>"01082449"</f>
        <v>01082449</v>
      </c>
    </row>
    <row r="32754" spans="1:2" x14ac:dyDescent="0.25">
      <c r="A32754" s="2">
        <v>32749</v>
      </c>
      <c r="B32754" s="11" t="str">
        <f>"01082455"</f>
        <v>01082455</v>
      </c>
    </row>
    <row r="32755" spans="1:2" x14ac:dyDescent="0.25">
      <c r="A32755" s="2">
        <v>32750</v>
      </c>
      <c r="B32755" s="11" t="str">
        <f>"01082457"</f>
        <v>01082457</v>
      </c>
    </row>
    <row r="32756" spans="1:2" x14ac:dyDescent="0.25">
      <c r="A32756" s="2">
        <v>32751</v>
      </c>
      <c r="B32756" s="11" t="str">
        <f>"01082463"</f>
        <v>01082463</v>
      </c>
    </row>
    <row r="32757" spans="1:2" x14ac:dyDescent="0.25">
      <c r="A32757" s="2">
        <v>32752</v>
      </c>
      <c r="B32757" s="11" t="str">
        <f>"01082464"</f>
        <v>01082464</v>
      </c>
    </row>
    <row r="32758" spans="1:2" x14ac:dyDescent="0.25">
      <c r="A32758" s="2">
        <v>32753</v>
      </c>
      <c r="B32758" s="11" t="str">
        <f>"01082465"</f>
        <v>01082465</v>
      </c>
    </row>
    <row r="32759" spans="1:2" x14ac:dyDescent="0.25">
      <c r="A32759" s="2">
        <v>32754</v>
      </c>
      <c r="B32759" s="11" t="str">
        <f>"01082469"</f>
        <v>01082469</v>
      </c>
    </row>
    <row r="32760" spans="1:2" x14ac:dyDescent="0.25">
      <c r="A32760" s="2">
        <v>32755</v>
      </c>
      <c r="B32760" s="11" t="str">
        <f>"01082471"</f>
        <v>01082471</v>
      </c>
    </row>
    <row r="32761" spans="1:2" x14ac:dyDescent="0.25">
      <c r="A32761" s="2">
        <v>32756</v>
      </c>
      <c r="B32761" s="11" t="str">
        <f>"01082477"</f>
        <v>01082477</v>
      </c>
    </row>
    <row r="32762" spans="1:2" x14ac:dyDescent="0.25">
      <c r="A32762" s="2">
        <v>32757</v>
      </c>
      <c r="B32762" s="11" t="str">
        <f>"01082478"</f>
        <v>01082478</v>
      </c>
    </row>
    <row r="32763" spans="1:2" x14ac:dyDescent="0.25">
      <c r="A32763" s="2">
        <v>32758</v>
      </c>
      <c r="B32763" s="11" t="str">
        <f>"01082482"</f>
        <v>01082482</v>
      </c>
    </row>
    <row r="32764" spans="1:2" x14ac:dyDescent="0.25">
      <c r="A32764" s="2">
        <v>32759</v>
      </c>
      <c r="B32764" s="11" t="str">
        <f>"01082485"</f>
        <v>01082485</v>
      </c>
    </row>
    <row r="32765" spans="1:2" x14ac:dyDescent="0.25">
      <c r="A32765" s="2">
        <v>32760</v>
      </c>
      <c r="B32765" s="11" t="str">
        <f>"01082495"</f>
        <v>01082495</v>
      </c>
    </row>
    <row r="32766" spans="1:2" x14ac:dyDescent="0.25">
      <c r="A32766" s="2">
        <v>32761</v>
      </c>
      <c r="B32766" s="11" t="str">
        <f>"01082500"</f>
        <v>01082500</v>
      </c>
    </row>
    <row r="32767" spans="1:2" x14ac:dyDescent="0.25">
      <c r="A32767" s="2">
        <v>32762</v>
      </c>
      <c r="B32767" s="11" t="str">
        <f>"01082501"</f>
        <v>01082501</v>
      </c>
    </row>
    <row r="32768" spans="1:2" x14ac:dyDescent="0.25">
      <c r="A32768" s="2">
        <v>32763</v>
      </c>
      <c r="B32768" s="11" t="str">
        <f>"01082502"</f>
        <v>01082502</v>
      </c>
    </row>
    <row r="32769" spans="1:2" x14ac:dyDescent="0.25">
      <c r="A32769" s="2">
        <v>32764</v>
      </c>
      <c r="B32769" s="11" t="str">
        <f>"01082503"</f>
        <v>01082503</v>
      </c>
    </row>
    <row r="32770" spans="1:2" x14ac:dyDescent="0.25">
      <c r="A32770" s="2">
        <v>32765</v>
      </c>
      <c r="B32770" s="11" t="str">
        <f>"01082510"</f>
        <v>01082510</v>
      </c>
    </row>
    <row r="32771" spans="1:2" x14ac:dyDescent="0.25">
      <c r="A32771" s="2">
        <v>32766</v>
      </c>
      <c r="B32771" s="11" t="str">
        <f>"01082511"</f>
        <v>01082511</v>
      </c>
    </row>
    <row r="32772" spans="1:2" x14ac:dyDescent="0.25">
      <c r="A32772" s="2">
        <v>32767</v>
      </c>
      <c r="B32772" s="11" t="str">
        <f>"01082512"</f>
        <v>01082512</v>
      </c>
    </row>
    <row r="32773" spans="1:2" x14ac:dyDescent="0.25">
      <c r="A32773" s="2">
        <v>32768</v>
      </c>
      <c r="B32773" s="11" t="str">
        <f>"01082514"</f>
        <v>01082514</v>
      </c>
    </row>
    <row r="32774" spans="1:2" x14ac:dyDescent="0.25">
      <c r="A32774" s="2">
        <v>32769</v>
      </c>
      <c r="B32774" s="11" t="str">
        <f>"01082520"</f>
        <v>01082520</v>
      </c>
    </row>
    <row r="32775" spans="1:2" x14ac:dyDescent="0.25">
      <c r="A32775" s="2">
        <v>32770</v>
      </c>
      <c r="B32775" s="11" t="str">
        <f>"01082529"</f>
        <v>01082529</v>
      </c>
    </row>
    <row r="32776" spans="1:2" x14ac:dyDescent="0.25">
      <c r="A32776" s="2">
        <v>32771</v>
      </c>
      <c r="B32776" s="11" t="str">
        <f>"01082539"</f>
        <v>01082539</v>
      </c>
    </row>
    <row r="32777" spans="1:2" x14ac:dyDescent="0.25">
      <c r="A32777" s="2">
        <v>32772</v>
      </c>
      <c r="B32777" s="11" t="str">
        <f>"01082545"</f>
        <v>01082545</v>
      </c>
    </row>
    <row r="32778" spans="1:2" x14ac:dyDescent="0.25">
      <c r="A32778" s="2">
        <v>32773</v>
      </c>
      <c r="B32778" s="11" t="str">
        <f>"01082546"</f>
        <v>01082546</v>
      </c>
    </row>
    <row r="32779" spans="1:2" x14ac:dyDescent="0.25">
      <c r="A32779" s="2">
        <v>32774</v>
      </c>
      <c r="B32779" s="11" t="str">
        <f>"01082552"</f>
        <v>01082552</v>
      </c>
    </row>
    <row r="32780" spans="1:2" x14ac:dyDescent="0.25">
      <c r="A32780" s="2">
        <v>32775</v>
      </c>
      <c r="B32780" s="11" t="str">
        <f>"01082557"</f>
        <v>01082557</v>
      </c>
    </row>
    <row r="32781" spans="1:2" x14ac:dyDescent="0.25">
      <c r="A32781" s="2">
        <v>32776</v>
      </c>
      <c r="B32781" s="11" t="str">
        <f>"01082560"</f>
        <v>01082560</v>
      </c>
    </row>
    <row r="32782" spans="1:2" x14ac:dyDescent="0.25">
      <c r="A32782" s="2">
        <v>32777</v>
      </c>
      <c r="B32782" s="11" t="str">
        <f>"01082574"</f>
        <v>01082574</v>
      </c>
    </row>
    <row r="32783" spans="1:2" x14ac:dyDescent="0.25">
      <c r="A32783" s="2">
        <v>32778</v>
      </c>
      <c r="B32783" s="11" t="str">
        <f>"01082575"</f>
        <v>01082575</v>
      </c>
    </row>
    <row r="32784" spans="1:2" x14ac:dyDescent="0.25">
      <c r="A32784" s="2">
        <v>32779</v>
      </c>
      <c r="B32784" s="11" t="str">
        <f>"01082576"</f>
        <v>01082576</v>
      </c>
    </row>
    <row r="32785" spans="1:2" x14ac:dyDescent="0.25">
      <c r="A32785" s="2">
        <v>32780</v>
      </c>
      <c r="B32785" s="11" t="str">
        <f>"01082579"</f>
        <v>01082579</v>
      </c>
    </row>
    <row r="32786" spans="1:2" x14ac:dyDescent="0.25">
      <c r="A32786" s="2">
        <v>32781</v>
      </c>
      <c r="B32786" s="11" t="str">
        <f>"01082582"</f>
        <v>01082582</v>
      </c>
    </row>
    <row r="32787" spans="1:2" x14ac:dyDescent="0.25">
      <c r="A32787" s="2">
        <v>32782</v>
      </c>
      <c r="B32787" s="11" t="str">
        <f>"01082587"</f>
        <v>01082587</v>
      </c>
    </row>
    <row r="32788" spans="1:2" x14ac:dyDescent="0.25">
      <c r="A32788" s="2">
        <v>32783</v>
      </c>
      <c r="B32788" s="11" t="str">
        <f>"01082593"</f>
        <v>01082593</v>
      </c>
    </row>
    <row r="32789" spans="1:2" x14ac:dyDescent="0.25">
      <c r="A32789" s="2">
        <v>32784</v>
      </c>
      <c r="B32789" s="11" t="str">
        <f>"01082596"</f>
        <v>01082596</v>
      </c>
    </row>
    <row r="32790" spans="1:2" x14ac:dyDescent="0.25">
      <c r="A32790" s="2">
        <v>32785</v>
      </c>
      <c r="B32790" s="11" t="str">
        <f>"01082597"</f>
        <v>01082597</v>
      </c>
    </row>
    <row r="32791" spans="1:2" x14ac:dyDescent="0.25">
      <c r="A32791" s="2">
        <v>32786</v>
      </c>
      <c r="B32791" s="11" t="str">
        <f>"01082599"</f>
        <v>01082599</v>
      </c>
    </row>
    <row r="32792" spans="1:2" x14ac:dyDescent="0.25">
      <c r="A32792" s="2">
        <v>32787</v>
      </c>
      <c r="B32792" s="11" t="str">
        <f>"01082600"</f>
        <v>01082600</v>
      </c>
    </row>
    <row r="32793" spans="1:2" x14ac:dyDescent="0.25">
      <c r="A32793" s="2">
        <v>32788</v>
      </c>
      <c r="B32793" s="11" t="str">
        <f>"01082601"</f>
        <v>01082601</v>
      </c>
    </row>
    <row r="32794" spans="1:2" x14ac:dyDescent="0.25">
      <c r="A32794" s="2">
        <v>32789</v>
      </c>
      <c r="B32794" s="11" t="str">
        <f>"01082606"</f>
        <v>01082606</v>
      </c>
    </row>
    <row r="32795" spans="1:2" x14ac:dyDescent="0.25">
      <c r="A32795" s="2">
        <v>32790</v>
      </c>
      <c r="B32795" s="11" t="str">
        <f>"01082609"</f>
        <v>01082609</v>
      </c>
    </row>
    <row r="32796" spans="1:2" x14ac:dyDescent="0.25">
      <c r="A32796" s="2">
        <v>32791</v>
      </c>
      <c r="B32796" s="11" t="str">
        <f>"01082610"</f>
        <v>01082610</v>
      </c>
    </row>
    <row r="32797" spans="1:2" x14ac:dyDescent="0.25">
      <c r="A32797" s="2">
        <v>32792</v>
      </c>
      <c r="B32797" s="11" t="str">
        <f>"01082612"</f>
        <v>01082612</v>
      </c>
    </row>
    <row r="32798" spans="1:2" x14ac:dyDescent="0.25">
      <c r="A32798" s="2">
        <v>32793</v>
      </c>
      <c r="B32798" s="11" t="str">
        <f>"01082620"</f>
        <v>01082620</v>
      </c>
    </row>
    <row r="32799" spans="1:2" x14ac:dyDescent="0.25">
      <c r="A32799" s="2">
        <v>32794</v>
      </c>
      <c r="B32799" s="11" t="str">
        <f>"01082623"</f>
        <v>01082623</v>
      </c>
    </row>
    <row r="32800" spans="1:2" x14ac:dyDescent="0.25">
      <c r="A32800" s="2">
        <v>32795</v>
      </c>
      <c r="B32800" s="11" t="str">
        <f>"01082630"</f>
        <v>01082630</v>
      </c>
    </row>
    <row r="32801" spans="1:2" x14ac:dyDescent="0.25">
      <c r="A32801" s="2">
        <v>32796</v>
      </c>
      <c r="B32801" s="11" t="str">
        <f>"01082633"</f>
        <v>01082633</v>
      </c>
    </row>
    <row r="32802" spans="1:2" x14ac:dyDescent="0.25">
      <c r="A32802" s="2">
        <v>32797</v>
      </c>
      <c r="B32802" s="11" t="str">
        <f>"01082634"</f>
        <v>01082634</v>
      </c>
    </row>
    <row r="32803" spans="1:2" x14ac:dyDescent="0.25">
      <c r="A32803" s="2">
        <v>32798</v>
      </c>
      <c r="B32803" s="11" t="str">
        <f>"01082638"</f>
        <v>01082638</v>
      </c>
    </row>
    <row r="32804" spans="1:2" x14ac:dyDescent="0.25">
      <c r="A32804" s="2">
        <v>32799</v>
      </c>
      <c r="B32804" s="11" t="str">
        <f>"01082641"</f>
        <v>01082641</v>
      </c>
    </row>
    <row r="32805" spans="1:2" x14ac:dyDescent="0.25">
      <c r="A32805" s="2">
        <v>32800</v>
      </c>
      <c r="B32805" s="11" t="str">
        <f>"01082646"</f>
        <v>01082646</v>
      </c>
    </row>
    <row r="32806" spans="1:2" x14ac:dyDescent="0.25">
      <c r="A32806" s="2">
        <v>32801</v>
      </c>
      <c r="B32806" s="11" t="str">
        <f>"01082647"</f>
        <v>01082647</v>
      </c>
    </row>
    <row r="32807" spans="1:2" x14ac:dyDescent="0.25">
      <c r="A32807" s="2">
        <v>32802</v>
      </c>
      <c r="B32807" s="11" t="str">
        <f>"01082651"</f>
        <v>01082651</v>
      </c>
    </row>
    <row r="32808" spans="1:2" x14ac:dyDescent="0.25">
      <c r="A32808" s="2">
        <v>32803</v>
      </c>
      <c r="B32808" s="11" t="str">
        <f>"01082655"</f>
        <v>01082655</v>
      </c>
    </row>
    <row r="32809" spans="1:2" x14ac:dyDescent="0.25">
      <c r="A32809" s="2">
        <v>32804</v>
      </c>
      <c r="B32809" s="11" t="str">
        <f>"01082659"</f>
        <v>01082659</v>
      </c>
    </row>
    <row r="32810" spans="1:2" x14ac:dyDescent="0.25">
      <c r="A32810" s="2">
        <v>32805</v>
      </c>
      <c r="B32810" s="11" t="str">
        <f>"01082664"</f>
        <v>01082664</v>
      </c>
    </row>
    <row r="32811" spans="1:2" x14ac:dyDescent="0.25">
      <c r="A32811" s="2">
        <v>32806</v>
      </c>
      <c r="B32811" s="11" t="str">
        <f>"01082666"</f>
        <v>01082666</v>
      </c>
    </row>
    <row r="32812" spans="1:2" x14ac:dyDescent="0.25">
      <c r="A32812" s="2">
        <v>32807</v>
      </c>
      <c r="B32812" s="11" t="str">
        <f>"01082668"</f>
        <v>01082668</v>
      </c>
    </row>
    <row r="32813" spans="1:2" x14ac:dyDescent="0.25">
      <c r="A32813" s="2">
        <v>32808</v>
      </c>
      <c r="B32813" s="11" t="str">
        <f>"01082675"</f>
        <v>01082675</v>
      </c>
    </row>
    <row r="32814" spans="1:2" x14ac:dyDescent="0.25">
      <c r="A32814" s="2">
        <v>32809</v>
      </c>
      <c r="B32814" s="11" t="str">
        <f>"01082676"</f>
        <v>01082676</v>
      </c>
    </row>
    <row r="32815" spans="1:2" x14ac:dyDescent="0.25">
      <c r="A32815" s="2">
        <v>32810</v>
      </c>
      <c r="B32815" s="11" t="str">
        <f>"01082677"</f>
        <v>01082677</v>
      </c>
    </row>
    <row r="32816" spans="1:2" x14ac:dyDescent="0.25">
      <c r="A32816" s="2">
        <v>32811</v>
      </c>
      <c r="B32816" s="11" t="str">
        <f>"01082679"</f>
        <v>01082679</v>
      </c>
    </row>
    <row r="32817" spans="1:2" x14ac:dyDescent="0.25">
      <c r="A32817" s="2">
        <v>32812</v>
      </c>
      <c r="B32817" s="11" t="str">
        <f>"01082695"</f>
        <v>01082695</v>
      </c>
    </row>
    <row r="32818" spans="1:2" x14ac:dyDescent="0.25">
      <c r="A32818" s="2">
        <v>32813</v>
      </c>
      <c r="B32818" s="11" t="str">
        <f>"01082697"</f>
        <v>01082697</v>
      </c>
    </row>
    <row r="32819" spans="1:2" x14ac:dyDescent="0.25">
      <c r="A32819" s="2">
        <v>32814</v>
      </c>
      <c r="B32819" s="11" t="str">
        <f>"01082698"</f>
        <v>01082698</v>
      </c>
    </row>
    <row r="32820" spans="1:2" x14ac:dyDescent="0.25">
      <c r="A32820" s="2">
        <v>32815</v>
      </c>
      <c r="B32820" s="11" t="str">
        <f>"01082701"</f>
        <v>01082701</v>
      </c>
    </row>
    <row r="32821" spans="1:2" x14ac:dyDescent="0.25">
      <c r="A32821" s="2">
        <v>32816</v>
      </c>
      <c r="B32821" s="11" t="str">
        <f>"01082703"</f>
        <v>01082703</v>
      </c>
    </row>
    <row r="32822" spans="1:2" x14ac:dyDescent="0.25">
      <c r="A32822" s="2">
        <v>32817</v>
      </c>
      <c r="B32822" s="11" t="str">
        <f>"01082704"</f>
        <v>01082704</v>
      </c>
    </row>
    <row r="32823" spans="1:2" x14ac:dyDescent="0.25">
      <c r="A32823" s="2">
        <v>32818</v>
      </c>
      <c r="B32823" s="11" t="str">
        <f>"01082705"</f>
        <v>01082705</v>
      </c>
    </row>
    <row r="32824" spans="1:2" x14ac:dyDescent="0.25">
      <c r="A32824" s="2">
        <v>32819</v>
      </c>
      <c r="B32824" s="11" t="str">
        <f>"01082706"</f>
        <v>01082706</v>
      </c>
    </row>
    <row r="32825" spans="1:2" x14ac:dyDescent="0.25">
      <c r="A32825" s="2">
        <v>32820</v>
      </c>
      <c r="B32825" s="11" t="str">
        <f>"01082707"</f>
        <v>01082707</v>
      </c>
    </row>
    <row r="32826" spans="1:2" x14ac:dyDescent="0.25">
      <c r="A32826" s="2">
        <v>32821</v>
      </c>
      <c r="B32826" s="11" t="str">
        <f>"01082716"</f>
        <v>01082716</v>
      </c>
    </row>
    <row r="32827" spans="1:2" x14ac:dyDescent="0.25">
      <c r="A32827" s="2">
        <v>32822</v>
      </c>
      <c r="B32827" s="11" t="str">
        <f>"01082722"</f>
        <v>01082722</v>
      </c>
    </row>
    <row r="32828" spans="1:2" x14ac:dyDescent="0.25">
      <c r="A32828" s="2">
        <v>32823</v>
      </c>
      <c r="B32828" s="11" t="str">
        <f>"01082726"</f>
        <v>01082726</v>
      </c>
    </row>
    <row r="32829" spans="1:2" x14ac:dyDescent="0.25">
      <c r="A32829" s="2">
        <v>32824</v>
      </c>
      <c r="B32829" s="11" t="str">
        <f>"01082729"</f>
        <v>01082729</v>
      </c>
    </row>
    <row r="32830" spans="1:2" x14ac:dyDescent="0.25">
      <c r="A32830" s="2">
        <v>32825</v>
      </c>
      <c r="B32830" s="11" t="str">
        <f>"01082731"</f>
        <v>01082731</v>
      </c>
    </row>
    <row r="32831" spans="1:2" x14ac:dyDescent="0.25">
      <c r="A32831" s="2">
        <v>32826</v>
      </c>
      <c r="B32831" s="11" t="str">
        <f>"01082735"</f>
        <v>01082735</v>
      </c>
    </row>
    <row r="32832" spans="1:2" x14ac:dyDescent="0.25">
      <c r="A32832" s="2">
        <v>32827</v>
      </c>
      <c r="B32832" s="11" t="str">
        <f>"01082736"</f>
        <v>01082736</v>
      </c>
    </row>
    <row r="32833" spans="1:2" x14ac:dyDescent="0.25">
      <c r="A32833" s="2">
        <v>32828</v>
      </c>
      <c r="B32833" s="11" t="str">
        <f>"01082738"</f>
        <v>01082738</v>
      </c>
    </row>
    <row r="32834" spans="1:2" x14ac:dyDescent="0.25">
      <c r="A32834" s="2">
        <v>32829</v>
      </c>
      <c r="B32834" s="11" t="str">
        <f>"01082741"</f>
        <v>01082741</v>
      </c>
    </row>
    <row r="32835" spans="1:2" x14ac:dyDescent="0.25">
      <c r="A32835" s="2">
        <v>32830</v>
      </c>
      <c r="B32835" s="11" t="str">
        <f>"01082744"</f>
        <v>01082744</v>
      </c>
    </row>
    <row r="32836" spans="1:2" x14ac:dyDescent="0.25">
      <c r="A32836" s="2">
        <v>32831</v>
      </c>
      <c r="B32836" s="11" t="str">
        <f>"01082751"</f>
        <v>01082751</v>
      </c>
    </row>
    <row r="32837" spans="1:2" x14ac:dyDescent="0.25">
      <c r="A32837" s="2">
        <v>32832</v>
      </c>
      <c r="B32837" s="11" t="str">
        <f>"01082753"</f>
        <v>01082753</v>
      </c>
    </row>
    <row r="32838" spans="1:2" x14ac:dyDescent="0.25">
      <c r="A32838" s="2">
        <v>32833</v>
      </c>
      <c r="B32838" s="11" t="str">
        <f>"01082763"</f>
        <v>01082763</v>
      </c>
    </row>
    <row r="32839" spans="1:2" x14ac:dyDescent="0.25">
      <c r="A32839" s="2">
        <v>32834</v>
      </c>
      <c r="B32839" s="11" t="str">
        <f>"01082769"</f>
        <v>01082769</v>
      </c>
    </row>
    <row r="32840" spans="1:2" x14ac:dyDescent="0.25">
      <c r="A32840" s="2">
        <v>32835</v>
      </c>
      <c r="B32840" s="11" t="str">
        <f>"01082772"</f>
        <v>01082772</v>
      </c>
    </row>
    <row r="32841" spans="1:2" x14ac:dyDescent="0.25">
      <c r="A32841" s="2">
        <v>32836</v>
      </c>
      <c r="B32841" s="11" t="str">
        <f>"01082775"</f>
        <v>01082775</v>
      </c>
    </row>
    <row r="32842" spans="1:2" x14ac:dyDescent="0.25">
      <c r="A32842" s="2">
        <v>32837</v>
      </c>
      <c r="B32842" s="11" t="str">
        <f>"01082777"</f>
        <v>01082777</v>
      </c>
    </row>
    <row r="32843" spans="1:2" x14ac:dyDescent="0.25">
      <c r="A32843" s="2">
        <v>32838</v>
      </c>
      <c r="B32843" s="11" t="str">
        <f>"01082778"</f>
        <v>01082778</v>
      </c>
    </row>
    <row r="32844" spans="1:2" x14ac:dyDescent="0.25">
      <c r="A32844" s="2">
        <v>32839</v>
      </c>
      <c r="B32844" s="11" t="str">
        <f>"01082784"</f>
        <v>01082784</v>
      </c>
    </row>
    <row r="32845" spans="1:2" x14ac:dyDescent="0.25">
      <c r="A32845" s="2">
        <v>32840</v>
      </c>
      <c r="B32845" s="11" t="str">
        <f>"01082794"</f>
        <v>01082794</v>
      </c>
    </row>
    <row r="32846" spans="1:2" x14ac:dyDescent="0.25">
      <c r="A32846" s="2">
        <v>32841</v>
      </c>
      <c r="B32846" s="11" t="str">
        <f>"01082795"</f>
        <v>01082795</v>
      </c>
    </row>
    <row r="32847" spans="1:2" x14ac:dyDescent="0.25">
      <c r="A32847" s="2">
        <v>32842</v>
      </c>
      <c r="B32847" s="11" t="str">
        <f>"01082797"</f>
        <v>01082797</v>
      </c>
    </row>
    <row r="32848" spans="1:2" x14ac:dyDescent="0.25">
      <c r="A32848" s="2">
        <v>32843</v>
      </c>
      <c r="B32848" s="11" t="str">
        <f>"01082800"</f>
        <v>01082800</v>
      </c>
    </row>
    <row r="32849" spans="1:2" x14ac:dyDescent="0.25">
      <c r="A32849" s="2">
        <v>32844</v>
      </c>
      <c r="B32849" s="11" t="str">
        <f>"01082803"</f>
        <v>01082803</v>
      </c>
    </row>
    <row r="32850" spans="1:2" x14ac:dyDescent="0.25">
      <c r="A32850" s="2">
        <v>32845</v>
      </c>
      <c r="B32850" s="11" t="str">
        <f>"01082816"</f>
        <v>01082816</v>
      </c>
    </row>
    <row r="32851" spans="1:2" x14ac:dyDescent="0.25">
      <c r="A32851" s="2">
        <v>32846</v>
      </c>
      <c r="B32851" s="11" t="str">
        <f>"01082817"</f>
        <v>01082817</v>
      </c>
    </row>
    <row r="32852" spans="1:2" x14ac:dyDescent="0.25">
      <c r="A32852" s="2">
        <v>32847</v>
      </c>
      <c r="B32852" s="11" t="str">
        <f>"01082826"</f>
        <v>01082826</v>
      </c>
    </row>
    <row r="32853" spans="1:2" x14ac:dyDescent="0.25">
      <c r="A32853" s="2">
        <v>32848</v>
      </c>
      <c r="B32853" s="11" t="str">
        <f>"01082830"</f>
        <v>01082830</v>
      </c>
    </row>
    <row r="32854" spans="1:2" x14ac:dyDescent="0.25">
      <c r="A32854" s="2">
        <v>32849</v>
      </c>
      <c r="B32854" s="11" t="str">
        <f>"01082835"</f>
        <v>01082835</v>
      </c>
    </row>
    <row r="32855" spans="1:2" x14ac:dyDescent="0.25">
      <c r="A32855" s="2">
        <v>32850</v>
      </c>
      <c r="B32855" s="11" t="str">
        <f>"01082838"</f>
        <v>01082838</v>
      </c>
    </row>
    <row r="32856" spans="1:2" x14ac:dyDescent="0.25">
      <c r="A32856" s="2">
        <v>32851</v>
      </c>
      <c r="B32856" s="11" t="str">
        <f>"01082840"</f>
        <v>01082840</v>
      </c>
    </row>
    <row r="32857" spans="1:2" x14ac:dyDescent="0.25">
      <c r="A32857" s="2">
        <v>32852</v>
      </c>
      <c r="B32857" s="11" t="str">
        <f>"01082842"</f>
        <v>01082842</v>
      </c>
    </row>
    <row r="32858" spans="1:2" x14ac:dyDescent="0.25">
      <c r="A32858" s="2">
        <v>32853</v>
      </c>
      <c r="B32858" s="11" t="str">
        <f>"01082843"</f>
        <v>01082843</v>
      </c>
    </row>
    <row r="32859" spans="1:2" x14ac:dyDescent="0.25">
      <c r="A32859" s="2">
        <v>32854</v>
      </c>
      <c r="B32859" s="11" t="str">
        <f>"01082845"</f>
        <v>01082845</v>
      </c>
    </row>
    <row r="32860" spans="1:2" x14ac:dyDescent="0.25">
      <c r="A32860" s="2">
        <v>32855</v>
      </c>
      <c r="B32860" s="11" t="str">
        <f>"01082846"</f>
        <v>01082846</v>
      </c>
    </row>
    <row r="32861" spans="1:2" x14ac:dyDescent="0.25">
      <c r="A32861" s="2">
        <v>32856</v>
      </c>
      <c r="B32861" s="11" t="str">
        <f>"01082849"</f>
        <v>01082849</v>
      </c>
    </row>
    <row r="32862" spans="1:2" x14ac:dyDescent="0.25">
      <c r="A32862" s="2">
        <v>32857</v>
      </c>
      <c r="B32862" s="11" t="str">
        <f>"01082855"</f>
        <v>01082855</v>
      </c>
    </row>
    <row r="32863" spans="1:2" x14ac:dyDescent="0.25">
      <c r="A32863" s="2">
        <v>32858</v>
      </c>
      <c r="B32863" s="11" t="str">
        <f>"01082859"</f>
        <v>01082859</v>
      </c>
    </row>
    <row r="32864" spans="1:2" x14ac:dyDescent="0.25">
      <c r="A32864" s="2">
        <v>32859</v>
      </c>
      <c r="B32864" s="11" t="str">
        <f>"01082862"</f>
        <v>01082862</v>
      </c>
    </row>
    <row r="32865" spans="1:2" x14ac:dyDescent="0.25">
      <c r="A32865" s="2">
        <v>32860</v>
      </c>
      <c r="B32865" s="11" t="str">
        <f>"01082867"</f>
        <v>01082867</v>
      </c>
    </row>
    <row r="32866" spans="1:2" x14ac:dyDescent="0.25">
      <c r="A32866" s="2">
        <v>32861</v>
      </c>
      <c r="B32866" s="11" t="str">
        <f>"01082872"</f>
        <v>01082872</v>
      </c>
    </row>
    <row r="32867" spans="1:2" x14ac:dyDescent="0.25">
      <c r="A32867" s="2">
        <v>32862</v>
      </c>
      <c r="B32867" s="11" t="str">
        <f>"01082873"</f>
        <v>01082873</v>
      </c>
    </row>
    <row r="32868" spans="1:2" x14ac:dyDescent="0.25">
      <c r="A32868" s="2">
        <v>32863</v>
      </c>
      <c r="B32868" s="11" t="str">
        <f>"01082874"</f>
        <v>01082874</v>
      </c>
    </row>
    <row r="32869" spans="1:2" x14ac:dyDescent="0.25">
      <c r="A32869" s="2">
        <v>32864</v>
      </c>
      <c r="B32869" s="11" t="str">
        <f>"01082875"</f>
        <v>01082875</v>
      </c>
    </row>
    <row r="32870" spans="1:2" x14ac:dyDescent="0.25">
      <c r="A32870" s="2">
        <v>32865</v>
      </c>
      <c r="B32870" s="11" t="str">
        <f>"01082876"</f>
        <v>01082876</v>
      </c>
    </row>
    <row r="32871" spans="1:2" x14ac:dyDescent="0.25">
      <c r="A32871" s="2">
        <v>32866</v>
      </c>
      <c r="B32871" s="11" t="str">
        <f>"01082878"</f>
        <v>01082878</v>
      </c>
    </row>
    <row r="32872" spans="1:2" x14ac:dyDescent="0.25">
      <c r="A32872" s="2">
        <v>32867</v>
      </c>
      <c r="B32872" s="11" t="str">
        <f>"01082879"</f>
        <v>01082879</v>
      </c>
    </row>
    <row r="32873" spans="1:2" x14ac:dyDescent="0.25">
      <c r="A32873" s="2">
        <v>32868</v>
      </c>
      <c r="B32873" s="11" t="str">
        <f>"01082880"</f>
        <v>01082880</v>
      </c>
    </row>
    <row r="32874" spans="1:2" x14ac:dyDescent="0.25">
      <c r="A32874" s="2">
        <v>32869</v>
      </c>
      <c r="B32874" s="11" t="str">
        <f>"01082884"</f>
        <v>01082884</v>
      </c>
    </row>
    <row r="32875" spans="1:2" x14ac:dyDescent="0.25">
      <c r="A32875" s="2">
        <v>32870</v>
      </c>
      <c r="B32875" s="11" t="str">
        <f>"01082887"</f>
        <v>01082887</v>
      </c>
    </row>
    <row r="32876" spans="1:2" x14ac:dyDescent="0.25">
      <c r="A32876" s="2">
        <v>32871</v>
      </c>
      <c r="B32876" s="11" t="str">
        <f>"01082892"</f>
        <v>01082892</v>
      </c>
    </row>
    <row r="32877" spans="1:2" x14ac:dyDescent="0.25">
      <c r="A32877" s="2">
        <v>32872</v>
      </c>
      <c r="B32877" s="11" t="str">
        <f>"01082896"</f>
        <v>01082896</v>
      </c>
    </row>
    <row r="32878" spans="1:2" x14ac:dyDescent="0.25">
      <c r="A32878" s="2">
        <v>32873</v>
      </c>
      <c r="B32878" s="11" t="str">
        <f>"01082897"</f>
        <v>01082897</v>
      </c>
    </row>
    <row r="32879" spans="1:2" x14ac:dyDescent="0.25">
      <c r="A32879" s="2">
        <v>32874</v>
      </c>
      <c r="B32879" s="11" t="str">
        <f>"01082898"</f>
        <v>01082898</v>
      </c>
    </row>
    <row r="32880" spans="1:2" x14ac:dyDescent="0.25">
      <c r="A32880" s="2">
        <v>32875</v>
      </c>
      <c r="B32880" s="11" t="str">
        <f>"01082903"</f>
        <v>01082903</v>
      </c>
    </row>
    <row r="32881" spans="1:2" x14ac:dyDescent="0.25">
      <c r="A32881" s="2">
        <v>32876</v>
      </c>
      <c r="B32881" s="11" t="str">
        <f>"01082906"</f>
        <v>01082906</v>
      </c>
    </row>
    <row r="32882" spans="1:2" x14ac:dyDescent="0.25">
      <c r="A32882" s="2">
        <v>32877</v>
      </c>
      <c r="B32882" s="11" t="str">
        <f>"01082908"</f>
        <v>01082908</v>
      </c>
    </row>
    <row r="32883" spans="1:2" x14ac:dyDescent="0.25">
      <c r="A32883" s="2">
        <v>32878</v>
      </c>
      <c r="B32883" s="11" t="str">
        <f>"01082909"</f>
        <v>01082909</v>
      </c>
    </row>
    <row r="32884" spans="1:2" x14ac:dyDescent="0.25">
      <c r="A32884" s="2">
        <v>32879</v>
      </c>
      <c r="B32884" s="11" t="str">
        <f>"01082920"</f>
        <v>01082920</v>
      </c>
    </row>
    <row r="32885" spans="1:2" x14ac:dyDescent="0.25">
      <c r="A32885" s="2">
        <v>32880</v>
      </c>
      <c r="B32885" s="11" t="str">
        <f>"01082924"</f>
        <v>01082924</v>
      </c>
    </row>
    <row r="32886" spans="1:2" x14ac:dyDescent="0.25">
      <c r="A32886" s="2">
        <v>32881</v>
      </c>
      <c r="B32886" s="11" t="str">
        <f>"01082925"</f>
        <v>01082925</v>
      </c>
    </row>
    <row r="32887" spans="1:2" x14ac:dyDescent="0.25">
      <c r="A32887" s="2">
        <v>32882</v>
      </c>
      <c r="B32887" s="11" t="str">
        <f>"01082929"</f>
        <v>01082929</v>
      </c>
    </row>
    <row r="32888" spans="1:2" x14ac:dyDescent="0.25">
      <c r="A32888" s="2">
        <v>32883</v>
      </c>
      <c r="B32888" s="11" t="str">
        <f>"01082930"</f>
        <v>01082930</v>
      </c>
    </row>
    <row r="32889" spans="1:2" x14ac:dyDescent="0.25">
      <c r="A32889" s="2">
        <v>32884</v>
      </c>
      <c r="B32889" s="11" t="str">
        <f>"01082931"</f>
        <v>01082931</v>
      </c>
    </row>
    <row r="32890" spans="1:2" x14ac:dyDescent="0.25">
      <c r="A32890" s="2">
        <v>32885</v>
      </c>
      <c r="B32890" s="11" t="str">
        <f>"01082935"</f>
        <v>01082935</v>
      </c>
    </row>
    <row r="32891" spans="1:2" x14ac:dyDescent="0.25">
      <c r="A32891" s="2">
        <v>32886</v>
      </c>
      <c r="B32891" s="11" t="str">
        <f>"01082939"</f>
        <v>01082939</v>
      </c>
    </row>
    <row r="32892" spans="1:2" x14ac:dyDescent="0.25">
      <c r="A32892" s="2">
        <v>32887</v>
      </c>
      <c r="B32892" s="11" t="str">
        <f>"01082945"</f>
        <v>01082945</v>
      </c>
    </row>
    <row r="32893" spans="1:2" x14ac:dyDescent="0.25">
      <c r="A32893" s="2">
        <v>32888</v>
      </c>
      <c r="B32893" s="11" t="str">
        <f>"01082949"</f>
        <v>01082949</v>
      </c>
    </row>
    <row r="32894" spans="1:2" x14ac:dyDescent="0.25">
      <c r="A32894" s="2">
        <v>32889</v>
      </c>
      <c r="B32894" s="11" t="str">
        <f>"01082955"</f>
        <v>01082955</v>
      </c>
    </row>
    <row r="32895" spans="1:2" x14ac:dyDescent="0.25">
      <c r="A32895" s="2">
        <v>32890</v>
      </c>
      <c r="B32895" s="11" t="str">
        <f>"01082956"</f>
        <v>01082956</v>
      </c>
    </row>
    <row r="32896" spans="1:2" x14ac:dyDescent="0.25">
      <c r="A32896" s="2">
        <v>32891</v>
      </c>
      <c r="B32896" s="11" t="str">
        <f>"01082959"</f>
        <v>01082959</v>
      </c>
    </row>
    <row r="32897" spans="1:2" x14ac:dyDescent="0.25">
      <c r="A32897" s="2">
        <v>32892</v>
      </c>
      <c r="B32897" s="11" t="str">
        <f>"01082960"</f>
        <v>01082960</v>
      </c>
    </row>
    <row r="32898" spans="1:2" x14ac:dyDescent="0.25">
      <c r="A32898" s="2">
        <v>32893</v>
      </c>
      <c r="B32898" s="11" t="str">
        <f>"01082975"</f>
        <v>01082975</v>
      </c>
    </row>
    <row r="32899" spans="1:2" x14ac:dyDescent="0.25">
      <c r="A32899" s="2">
        <v>32894</v>
      </c>
      <c r="B32899" s="11" t="str">
        <f>"01082987"</f>
        <v>01082987</v>
      </c>
    </row>
    <row r="32900" spans="1:2" x14ac:dyDescent="0.25">
      <c r="A32900" s="2">
        <v>32895</v>
      </c>
      <c r="B32900" s="11" t="str">
        <f>"01082998"</f>
        <v>01082998</v>
      </c>
    </row>
    <row r="32901" spans="1:2" x14ac:dyDescent="0.25">
      <c r="A32901" s="2">
        <v>32896</v>
      </c>
      <c r="B32901" s="11" t="str">
        <f>"01083001"</f>
        <v>01083001</v>
      </c>
    </row>
    <row r="32902" spans="1:2" x14ac:dyDescent="0.25">
      <c r="A32902" s="2">
        <v>32897</v>
      </c>
      <c r="B32902" s="11" t="str">
        <f>"01083011"</f>
        <v>01083011</v>
      </c>
    </row>
    <row r="32903" spans="1:2" x14ac:dyDescent="0.25">
      <c r="A32903" s="2">
        <v>32898</v>
      </c>
      <c r="B32903" s="11" t="str">
        <f>"01083014"</f>
        <v>01083014</v>
      </c>
    </row>
    <row r="32904" spans="1:2" x14ac:dyDescent="0.25">
      <c r="A32904" s="2">
        <v>32899</v>
      </c>
      <c r="B32904" s="11" t="str">
        <f>"01083023"</f>
        <v>01083023</v>
      </c>
    </row>
    <row r="32905" spans="1:2" x14ac:dyDescent="0.25">
      <c r="A32905" s="2">
        <v>32900</v>
      </c>
      <c r="B32905" s="11" t="str">
        <f>"01083026"</f>
        <v>01083026</v>
      </c>
    </row>
    <row r="32906" spans="1:2" x14ac:dyDescent="0.25">
      <c r="A32906" s="2">
        <v>32901</v>
      </c>
      <c r="B32906" s="11" t="str">
        <f>"01083033"</f>
        <v>01083033</v>
      </c>
    </row>
    <row r="32907" spans="1:2" x14ac:dyDescent="0.25">
      <c r="A32907" s="2">
        <v>32902</v>
      </c>
      <c r="B32907" s="11" t="str">
        <f>"01083035"</f>
        <v>01083035</v>
      </c>
    </row>
    <row r="32908" spans="1:2" x14ac:dyDescent="0.25">
      <c r="A32908" s="2">
        <v>32903</v>
      </c>
      <c r="B32908" s="11" t="str">
        <f>"01083037"</f>
        <v>01083037</v>
      </c>
    </row>
    <row r="32909" spans="1:2" x14ac:dyDescent="0.25">
      <c r="A32909" s="2">
        <v>32904</v>
      </c>
      <c r="B32909" s="11" t="str">
        <f>"01083043"</f>
        <v>01083043</v>
      </c>
    </row>
    <row r="32910" spans="1:2" x14ac:dyDescent="0.25">
      <c r="A32910" s="2">
        <v>32905</v>
      </c>
      <c r="B32910" s="11" t="str">
        <f>"01083044"</f>
        <v>01083044</v>
      </c>
    </row>
    <row r="32911" spans="1:2" x14ac:dyDescent="0.25">
      <c r="A32911" s="2">
        <v>32906</v>
      </c>
      <c r="B32911" s="11" t="str">
        <f>"01083046"</f>
        <v>01083046</v>
      </c>
    </row>
    <row r="32912" spans="1:2" x14ac:dyDescent="0.25">
      <c r="A32912" s="2">
        <v>32907</v>
      </c>
      <c r="B32912" s="11" t="str">
        <f>"01083047"</f>
        <v>01083047</v>
      </c>
    </row>
    <row r="32913" spans="1:2" x14ac:dyDescent="0.25">
      <c r="A32913" s="2">
        <v>32908</v>
      </c>
      <c r="B32913" s="11" t="str">
        <f>"01083048"</f>
        <v>01083048</v>
      </c>
    </row>
    <row r="32914" spans="1:2" x14ac:dyDescent="0.25">
      <c r="A32914" s="2">
        <v>32909</v>
      </c>
      <c r="B32914" s="11" t="str">
        <f>"01083050"</f>
        <v>01083050</v>
      </c>
    </row>
    <row r="32915" spans="1:2" x14ac:dyDescent="0.25">
      <c r="A32915" s="2">
        <v>32910</v>
      </c>
      <c r="B32915" s="11" t="str">
        <f>"01083054"</f>
        <v>01083054</v>
      </c>
    </row>
    <row r="32916" spans="1:2" x14ac:dyDescent="0.25">
      <c r="A32916" s="2">
        <v>32911</v>
      </c>
      <c r="B32916" s="11" t="str">
        <f>"01083055"</f>
        <v>01083055</v>
      </c>
    </row>
    <row r="32917" spans="1:2" x14ac:dyDescent="0.25">
      <c r="A32917" s="2">
        <v>32912</v>
      </c>
      <c r="B32917" s="11" t="str">
        <f>"01083064"</f>
        <v>01083064</v>
      </c>
    </row>
    <row r="32918" spans="1:2" x14ac:dyDescent="0.25">
      <c r="A32918" s="2">
        <v>32913</v>
      </c>
      <c r="B32918" s="11" t="str">
        <f>"01083068"</f>
        <v>01083068</v>
      </c>
    </row>
    <row r="32919" spans="1:2" x14ac:dyDescent="0.25">
      <c r="A32919" s="2">
        <v>32914</v>
      </c>
      <c r="B32919" s="11" t="str">
        <f>"01083076"</f>
        <v>01083076</v>
      </c>
    </row>
    <row r="32920" spans="1:2" x14ac:dyDescent="0.25">
      <c r="A32920" s="2">
        <v>32915</v>
      </c>
      <c r="B32920" s="11" t="str">
        <f>"01083080"</f>
        <v>01083080</v>
      </c>
    </row>
    <row r="32921" spans="1:2" x14ac:dyDescent="0.25">
      <c r="A32921" s="2">
        <v>32916</v>
      </c>
      <c r="B32921" s="11" t="str">
        <f>"01083082"</f>
        <v>01083082</v>
      </c>
    </row>
    <row r="32922" spans="1:2" x14ac:dyDescent="0.25">
      <c r="A32922" s="2">
        <v>32917</v>
      </c>
      <c r="B32922" s="11" t="str">
        <f>"01083087"</f>
        <v>01083087</v>
      </c>
    </row>
    <row r="32923" spans="1:2" x14ac:dyDescent="0.25">
      <c r="A32923" s="2">
        <v>32918</v>
      </c>
      <c r="B32923" s="11" t="str">
        <f>"01083090"</f>
        <v>01083090</v>
      </c>
    </row>
    <row r="32924" spans="1:2" x14ac:dyDescent="0.25">
      <c r="A32924" s="2">
        <v>32919</v>
      </c>
      <c r="B32924" s="11" t="str">
        <f>"01083094"</f>
        <v>01083094</v>
      </c>
    </row>
    <row r="32925" spans="1:2" x14ac:dyDescent="0.25">
      <c r="A32925" s="2">
        <v>32920</v>
      </c>
      <c r="B32925" s="11" t="str">
        <f>"01083095"</f>
        <v>01083095</v>
      </c>
    </row>
    <row r="32926" spans="1:2" x14ac:dyDescent="0.25">
      <c r="A32926" s="2">
        <v>32921</v>
      </c>
      <c r="B32926" s="11" t="str">
        <f>"01083097"</f>
        <v>01083097</v>
      </c>
    </row>
    <row r="32927" spans="1:2" x14ac:dyDescent="0.25">
      <c r="A32927" s="2">
        <v>32922</v>
      </c>
      <c r="B32927" s="11" t="str">
        <f>"01083098"</f>
        <v>01083098</v>
      </c>
    </row>
    <row r="32928" spans="1:2" x14ac:dyDescent="0.25">
      <c r="A32928" s="2">
        <v>32923</v>
      </c>
      <c r="B32928" s="11" t="str">
        <f>"01083100"</f>
        <v>01083100</v>
      </c>
    </row>
    <row r="32929" spans="1:2" x14ac:dyDescent="0.25">
      <c r="A32929" s="2">
        <v>32924</v>
      </c>
      <c r="B32929" s="11" t="str">
        <f>"01083102"</f>
        <v>01083102</v>
      </c>
    </row>
    <row r="32930" spans="1:2" x14ac:dyDescent="0.25">
      <c r="A32930" s="2">
        <v>32925</v>
      </c>
      <c r="B32930" s="11" t="str">
        <f>"01083104"</f>
        <v>01083104</v>
      </c>
    </row>
    <row r="32931" spans="1:2" x14ac:dyDescent="0.25">
      <c r="A32931" s="2">
        <v>32926</v>
      </c>
      <c r="B32931" s="11" t="str">
        <f>"01083107"</f>
        <v>01083107</v>
      </c>
    </row>
    <row r="32932" spans="1:2" x14ac:dyDescent="0.25">
      <c r="A32932" s="2">
        <v>32927</v>
      </c>
      <c r="B32932" s="11" t="str">
        <f>"01083108"</f>
        <v>01083108</v>
      </c>
    </row>
    <row r="32933" spans="1:2" x14ac:dyDescent="0.25">
      <c r="A32933" s="2">
        <v>32928</v>
      </c>
      <c r="B32933" s="11" t="str">
        <f>"01083110"</f>
        <v>01083110</v>
      </c>
    </row>
    <row r="32934" spans="1:2" x14ac:dyDescent="0.25">
      <c r="A32934" s="2">
        <v>32929</v>
      </c>
      <c r="B32934" s="11" t="str">
        <f>"01083114"</f>
        <v>01083114</v>
      </c>
    </row>
    <row r="32935" spans="1:2" x14ac:dyDescent="0.25">
      <c r="A32935" s="2">
        <v>32930</v>
      </c>
      <c r="B32935" s="11" t="str">
        <f>"01083119"</f>
        <v>01083119</v>
      </c>
    </row>
    <row r="32936" spans="1:2" x14ac:dyDescent="0.25">
      <c r="A32936" s="2">
        <v>32931</v>
      </c>
      <c r="B32936" s="11" t="str">
        <f>"01083122"</f>
        <v>01083122</v>
      </c>
    </row>
    <row r="32937" spans="1:2" x14ac:dyDescent="0.25">
      <c r="A32937" s="2">
        <v>32932</v>
      </c>
      <c r="B32937" s="11" t="str">
        <f>"01083124"</f>
        <v>01083124</v>
      </c>
    </row>
    <row r="32938" spans="1:2" x14ac:dyDescent="0.25">
      <c r="A32938" s="2">
        <v>32933</v>
      </c>
      <c r="B32938" s="11" t="str">
        <f>"01083128"</f>
        <v>01083128</v>
      </c>
    </row>
    <row r="32939" spans="1:2" x14ac:dyDescent="0.25">
      <c r="A32939" s="2">
        <v>32934</v>
      </c>
      <c r="B32939" s="11" t="str">
        <f>"01083131"</f>
        <v>01083131</v>
      </c>
    </row>
    <row r="32940" spans="1:2" x14ac:dyDescent="0.25">
      <c r="A32940" s="2">
        <v>32935</v>
      </c>
      <c r="B32940" s="11" t="str">
        <f>"01083137"</f>
        <v>01083137</v>
      </c>
    </row>
    <row r="32941" spans="1:2" x14ac:dyDescent="0.25">
      <c r="A32941" s="2">
        <v>32936</v>
      </c>
      <c r="B32941" s="11" t="str">
        <f>"01083139"</f>
        <v>01083139</v>
      </c>
    </row>
    <row r="32942" spans="1:2" x14ac:dyDescent="0.25">
      <c r="A32942" s="2">
        <v>32937</v>
      </c>
      <c r="B32942" s="11" t="str">
        <f>"01083144"</f>
        <v>01083144</v>
      </c>
    </row>
    <row r="32943" spans="1:2" x14ac:dyDescent="0.25">
      <c r="A32943" s="2">
        <v>32938</v>
      </c>
      <c r="B32943" s="11" t="str">
        <f>"01083145"</f>
        <v>01083145</v>
      </c>
    </row>
    <row r="32944" spans="1:2" x14ac:dyDescent="0.25">
      <c r="A32944" s="2">
        <v>32939</v>
      </c>
      <c r="B32944" s="11" t="str">
        <f>"01083147"</f>
        <v>01083147</v>
      </c>
    </row>
    <row r="32945" spans="1:2" x14ac:dyDescent="0.25">
      <c r="A32945" s="2">
        <v>32940</v>
      </c>
      <c r="B32945" s="11" t="str">
        <f>"01083151"</f>
        <v>01083151</v>
      </c>
    </row>
    <row r="32946" spans="1:2" x14ac:dyDescent="0.25">
      <c r="A32946" s="2">
        <v>32941</v>
      </c>
      <c r="B32946" s="11" t="str">
        <f>"01083154"</f>
        <v>01083154</v>
      </c>
    </row>
    <row r="32947" spans="1:2" x14ac:dyDescent="0.25">
      <c r="A32947" s="2">
        <v>32942</v>
      </c>
      <c r="B32947" s="11" t="str">
        <f>"01083156"</f>
        <v>01083156</v>
      </c>
    </row>
    <row r="32948" spans="1:2" x14ac:dyDescent="0.25">
      <c r="A32948" s="2">
        <v>32943</v>
      </c>
      <c r="B32948" s="11" t="str">
        <f>"01083160"</f>
        <v>01083160</v>
      </c>
    </row>
    <row r="32949" spans="1:2" x14ac:dyDescent="0.25">
      <c r="A32949" s="2">
        <v>32944</v>
      </c>
      <c r="B32949" s="11" t="str">
        <f>"01083162"</f>
        <v>01083162</v>
      </c>
    </row>
    <row r="32950" spans="1:2" x14ac:dyDescent="0.25">
      <c r="A32950" s="2">
        <v>32945</v>
      </c>
      <c r="B32950" s="11" t="str">
        <f>"01083166"</f>
        <v>01083166</v>
      </c>
    </row>
    <row r="32951" spans="1:2" x14ac:dyDescent="0.25">
      <c r="A32951" s="2">
        <v>32946</v>
      </c>
      <c r="B32951" s="11" t="str">
        <f>"01083167"</f>
        <v>01083167</v>
      </c>
    </row>
    <row r="32952" spans="1:2" x14ac:dyDescent="0.25">
      <c r="A32952" s="2">
        <v>32947</v>
      </c>
      <c r="B32952" s="11" t="str">
        <f>"01083170"</f>
        <v>01083170</v>
      </c>
    </row>
    <row r="32953" spans="1:2" x14ac:dyDescent="0.25">
      <c r="A32953" s="2">
        <v>32948</v>
      </c>
      <c r="B32953" s="11" t="str">
        <f>"01083171"</f>
        <v>01083171</v>
      </c>
    </row>
    <row r="32954" spans="1:2" x14ac:dyDescent="0.25">
      <c r="A32954" s="2">
        <v>32949</v>
      </c>
      <c r="B32954" s="11" t="str">
        <f>"01083183"</f>
        <v>01083183</v>
      </c>
    </row>
    <row r="32955" spans="1:2" x14ac:dyDescent="0.25">
      <c r="A32955" s="2">
        <v>32950</v>
      </c>
      <c r="B32955" s="11" t="str">
        <f>"01083187"</f>
        <v>01083187</v>
      </c>
    </row>
    <row r="32956" spans="1:2" x14ac:dyDescent="0.25">
      <c r="A32956" s="2">
        <v>32951</v>
      </c>
      <c r="B32956" s="11" t="str">
        <f>"01083191"</f>
        <v>01083191</v>
      </c>
    </row>
    <row r="32957" spans="1:2" x14ac:dyDescent="0.25">
      <c r="A32957" s="2">
        <v>32952</v>
      </c>
      <c r="B32957" s="11" t="str">
        <f>"01083192"</f>
        <v>01083192</v>
      </c>
    </row>
    <row r="32958" spans="1:2" x14ac:dyDescent="0.25">
      <c r="A32958" s="2">
        <v>32953</v>
      </c>
      <c r="B32958" s="11" t="str">
        <f>"01083200"</f>
        <v>01083200</v>
      </c>
    </row>
    <row r="32959" spans="1:2" x14ac:dyDescent="0.25">
      <c r="A32959" s="2">
        <v>32954</v>
      </c>
      <c r="B32959" s="11" t="str">
        <f>"01083204"</f>
        <v>01083204</v>
      </c>
    </row>
    <row r="32960" spans="1:2" x14ac:dyDescent="0.25">
      <c r="A32960" s="2">
        <v>32955</v>
      </c>
      <c r="B32960" s="11" t="str">
        <f>"01083216"</f>
        <v>01083216</v>
      </c>
    </row>
    <row r="32961" spans="1:2" x14ac:dyDescent="0.25">
      <c r="A32961" s="2">
        <v>32956</v>
      </c>
      <c r="B32961" s="11" t="str">
        <f>"01083217"</f>
        <v>01083217</v>
      </c>
    </row>
    <row r="32962" spans="1:2" x14ac:dyDescent="0.25">
      <c r="A32962" s="2">
        <v>32957</v>
      </c>
      <c r="B32962" s="11" t="str">
        <f>"01083219"</f>
        <v>01083219</v>
      </c>
    </row>
    <row r="32963" spans="1:2" x14ac:dyDescent="0.25">
      <c r="A32963" s="2">
        <v>32958</v>
      </c>
      <c r="B32963" s="11" t="str">
        <f>"01083222"</f>
        <v>01083222</v>
      </c>
    </row>
    <row r="32964" spans="1:2" x14ac:dyDescent="0.25">
      <c r="A32964" s="2">
        <v>32959</v>
      </c>
      <c r="B32964" s="11" t="str">
        <f>"01083224"</f>
        <v>01083224</v>
      </c>
    </row>
    <row r="32965" spans="1:2" x14ac:dyDescent="0.25">
      <c r="A32965" s="2">
        <v>32960</v>
      </c>
      <c r="B32965" s="11" t="str">
        <f>"01083229"</f>
        <v>01083229</v>
      </c>
    </row>
    <row r="32966" spans="1:2" x14ac:dyDescent="0.25">
      <c r="A32966" s="2">
        <v>32961</v>
      </c>
      <c r="B32966" s="11" t="str">
        <f>"01083230"</f>
        <v>01083230</v>
      </c>
    </row>
    <row r="32967" spans="1:2" x14ac:dyDescent="0.25">
      <c r="A32967" s="2">
        <v>32962</v>
      </c>
      <c r="B32967" s="11" t="str">
        <f>"01083233"</f>
        <v>01083233</v>
      </c>
    </row>
    <row r="32968" spans="1:2" x14ac:dyDescent="0.25">
      <c r="A32968" s="2">
        <v>32963</v>
      </c>
      <c r="B32968" s="11" t="str">
        <f>"01083234"</f>
        <v>01083234</v>
      </c>
    </row>
    <row r="32969" spans="1:2" x14ac:dyDescent="0.25">
      <c r="A32969" s="2">
        <v>32964</v>
      </c>
      <c r="B32969" s="11" t="str">
        <f>"01083240"</f>
        <v>01083240</v>
      </c>
    </row>
    <row r="32970" spans="1:2" x14ac:dyDescent="0.25">
      <c r="A32970" s="2">
        <v>32965</v>
      </c>
      <c r="B32970" s="11" t="str">
        <f>"01083241"</f>
        <v>01083241</v>
      </c>
    </row>
    <row r="32971" spans="1:2" x14ac:dyDescent="0.25">
      <c r="A32971" s="2">
        <v>32966</v>
      </c>
      <c r="B32971" s="11" t="str">
        <f>"01083249"</f>
        <v>01083249</v>
      </c>
    </row>
    <row r="32972" spans="1:2" x14ac:dyDescent="0.25">
      <c r="A32972" s="2">
        <v>32967</v>
      </c>
      <c r="B32972" s="11" t="str">
        <f>"01083250"</f>
        <v>01083250</v>
      </c>
    </row>
    <row r="32973" spans="1:2" x14ac:dyDescent="0.25">
      <c r="A32973" s="2">
        <v>32968</v>
      </c>
      <c r="B32973" s="11" t="str">
        <f>"01083254"</f>
        <v>01083254</v>
      </c>
    </row>
    <row r="32974" spans="1:2" x14ac:dyDescent="0.25">
      <c r="A32974" s="2">
        <v>32969</v>
      </c>
      <c r="B32974" s="11" t="str">
        <f>"01083256"</f>
        <v>01083256</v>
      </c>
    </row>
    <row r="32975" spans="1:2" x14ac:dyDescent="0.25">
      <c r="A32975" s="2">
        <v>32970</v>
      </c>
      <c r="B32975" s="11" t="str">
        <f>"01083258"</f>
        <v>01083258</v>
      </c>
    </row>
    <row r="32976" spans="1:2" x14ac:dyDescent="0.25">
      <c r="A32976" s="2">
        <v>32971</v>
      </c>
      <c r="B32976" s="11" t="str">
        <f>"01083259"</f>
        <v>01083259</v>
      </c>
    </row>
    <row r="32977" spans="1:2" x14ac:dyDescent="0.25">
      <c r="A32977" s="2">
        <v>32972</v>
      </c>
      <c r="B32977" s="11" t="str">
        <f>"01083274"</f>
        <v>01083274</v>
      </c>
    </row>
    <row r="32978" spans="1:2" x14ac:dyDescent="0.25">
      <c r="A32978" s="2">
        <v>32973</v>
      </c>
      <c r="B32978" s="11" t="str">
        <f>"01083277"</f>
        <v>01083277</v>
      </c>
    </row>
    <row r="32979" spans="1:2" x14ac:dyDescent="0.25">
      <c r="A32979" s="2">
        <v>32974</v>
      </c>
      <c r="B32979" s="11" t="str">
        <f>"01083286"</f>
        <v>01083286</v>
      </c>
    </row>
    <row r="32980" spans="1:2" x14ac:dyDescent="0.25">
      <c r="A32980" s="2">
        <v>32975</v>
      </c>
      <c r="B32980" s="11" t="str">
        <f>"01083287"</f>
        <v>01083287</v>
      </c>
    </row>
    <row r="32981" spans="1:2" x14ac:dyDescent="0.25">
      <c r="A32981" s="2">
        <v>32976</v>
      </c>
      <c r="B32981" s="11" t="str">
        <f>"01083291"</f>
        <v>01083291</v>
      </c>
    </row>
    <row r="32982" spans="1:2" x14ac:dyDescent="0.25">
      <c r="A32982" s="2">
        <v>32977</v>
      </c>
      <c r="B32982" s="11" t="str">
        <f>"01083295"</f>
        <v>01083295</v>
      </c>
    </row>
    <row r="32983" spans="1:2" x14ac:dyDescent="0.25">
      <c r="A32983" s="2">
        <v>32978</v>
      </c>
      <c r="B32983" s="11" t="str">
        <f>"01083297"</f>
        <v>01083297</v>
      </c>
    </row>
    <row r="32984" spans="1:2" x14ac:dyDescent="0.25">
      <c r="A32984" s="2">
        <v>32979</v>
      </c>
      <c r="B32984" s="11" t="str">
        <f>"01083299"</f>
        <v>01083299</v>
      </c>
    </row>
    <row r="32985" spans="1:2" x14ac:dyDescent="0.25">
      <c r="A32985" s="2">
        <v>32980</v>
      </c>
      <c r="B32985" s="11" t="str">
        <f>"01083302"</f>
        <v>01083302</v>
      </c>
    </row>
    <row r="32986" spans="1:2" x14ac:dyDescent="0.25">
      <c r="A32986" s="2">
        <v>32981</v>
      </c>
      <c r="B32986" s="11" t="str">
        <f>"01083306"</f>
        <v>01083306</v>
      </c>
    </row>
    <row r="32987" spans="1:2" x14ac:dyDescent="0.25">
      <c r="A32987" s="2">
        <v>32982</v>
      </c>
      <c r="B32987" s="11" t="str">
        <f>"01083307"</f>
        <v>01083307</v>
      </c>
    </row>
    <row r="32988" spans="1:2" x14ac:dyDescent="0.25">
      <c r="A32988" s="2">
        <v>32983</v>
      </c>
      <c r="B32988" s="11" t="str">
        <f>"01083308"</f>
        <v>01083308</v>
      </c>
    </row>
    <row r="32989" spans="1:2" x14ac:dyDescent="0.25">
      <c r="A32989" s="2">
        <v>32984</v>
      </c>
      <c r="B32989" s="11" t="str">
        <f>"01083314"</f>
        <v>01083314</v>
      </c>
    </row>
    <row r="32990" spans="1:2" x14ac:dyDescent="0.25">
      <c r="A32990" s="2">
        <v>32985</v>
      </c>
      <c r="B32990" s="11" t="str">
        <f>"01083319"</f>
        <v>01083319</v>
      </c>
    </row>
    <row r="32991" spans="1:2" x14ac:dyDescent="0.25">
      <c r="A32991" s="2">
        <v>32986</v>
      </c>
      <c r="B32991" s="11" t="str">
        <f>"01083321"</f>
        <v>01083321</v>
      </c>
    </row>
    <row r="32992" spans="1:2" x14ac:dyDescent="0.25">
      <c r="A32992" s="2">
        <v>32987</v>
      </c>
      <c r="B32992" s="11" t="str">
        <f>"01083329"</f>
        <v>01083329</v>
      </c>
    </row>
    <row r="32993" spans="1:2" x14ac:dyDescent="0.25">
      <c r="A32993" s="2">
        <v>32988</v>
      </c>
      <c r="B32993" s="11" t="str">
        <f>"01083334"</f>
        <v>01083334</v>
      </c>
    </row>
    <row r="32994" spans="1:2" x14ac:dyDescent="0.25">
      <c r="A32994" s="2">
        <v>32989</v>
      </c>
      <c r="B32994" s="11" t="str">
        <f>"01083345"</f>
        <v>01083345</v>
      </c>
    </row>
    <row r="32995" spans="1:2" x14ac:dyDescent="0.25">
      <c r="A32995" s="2">
        <v>32990</v>
      </c>
      <c r="B32995" s="11" t="str">
        <f>"01083347"</f>
        <v>01083347</v>
      </c>
    </row>
    <row r="32996" spans="1:2" x14ac:dyDescent="0.25">
      <c r="A32996" s="2">
        <v>32991</v>
      </c>
      <c r="B32996" s="11" t="str">
        <f>"01083349"</f>
        <v>01083349</v>
      </c>
    </row>
    <row r="32997" spans="1:2" x14ac:dyDescent="0.25">
      <c r="A32997" s="2">
        <v>32992</v>
      </c>
      <c r="B32997" s="11" t="str">
        <f>"01083352"</f>
        <v>01083352</v>
      </c>
    </row>
    <row r="32998" spans="1:2" x14ac:dyDescent="0.25">
      <c r="A32998" s="2">
        <v>32993</v>
      </c>
      <c r="B32998" s="11" t="str">
        <f>"01083353"</f>
        <v>01083353</v>
      </c>
    </row>
    <row r="32999" spans="1:2" x14ac:dyDescent="0.25">
      <c r="A32999" s="2">
        <v>32994</v>
      </c>
      <c r="B32999" s="11" t="str">
        <f>"01083356"</f>
        <v>01083356</v>
      </c>
    </row>
    <row r="33000" spans="1:2" x14ac:dyDescent="0.25">
      <c r="A33000" s="2">
        <v>32995</v>
      </c>
      <c r="B33000" s="11" t="str">
        <f>"01083362"</f>
        <v>01083362</v>
      </c>
    </row>
    <row r="33001" spans="1:2" x14ac:dyDescent="0.25">
      <c r="A33001" s="2">
        <v>32996</v>
      </c>
      <c r="B33001" s="11" t="str">
        <f>"01083366"</f>
        <v>01083366</v>
      </c>
    </row>
    <row r="33002" spans="1:2" x14ac:dyDescent="0.25">
      <c r="A33002" s="2">
        <v>32997</v>
      </c>
      <c r="B33002" s="11" t="str">
        <f>"01083367"</f>
        <v>01083367</v>
      </c>
    </row>
    <row r="33003" spans="1:2" x14ac:dyDescent="0.25">
      <c r="A33003" s="2">
        <v>32998</v>
      </c>
      <c r="B33003" s="11" t="str">
        <f>"01083368"</f>
        <v>01083368</v>
      </c>
    </row>
    <row r="33004" spans="1:2" x14ac:dyDescent="0.25">
      <c r="A33004" s="2">
        <v>32999</v>
      </c>
      <c r="B33004" s="11" t="str">
        <f>"01083369"</f>
        <v>01083369</v>
      </c>
    </row>
    <row r="33005" spans="1:2" x14ac:dyDescent="0.25">
      <c r="A33005" s="2">
        <v>33000</v>
      </c>
      <c r="B33005" s="11" t="str">
        <f>"01083379"</f>
        <v>01083379</v>
      </c>
    </row>
    <row r="33006" spans="1:2" x14ac:dyDescent="0.25">
      <c r="A33006" s="2">
        <v>33001</v>
      </c>
      <c r="B33006" s="11" t="str">
        <f>"01083384"</f>
        <v>01083384</v>
      </c>
    </row>
    <row r="33007" spans="1:2" x14ac:dyDescent="0.25">
      <c r="A33007" s="2">
        <v>33002</v>
      </c>
      <c r="B33007" s="11" t="str">
        <f>"01083387"</f>
        <v>01083387</v>
      </c>
    </row>
    <row r="33008" spans="1:2" x14ac:dyDescent="0.25">
      <c r="A33008" s="2">
        <v>33003</v>
      </c>
      <c r="B33008" s="11" t="str">
        <f>"01083391"</f>
        <v>01083391</v>
      </c>
    </row>
    <row r="33009" spans="1:2" x14ac:dyDescent="0.25">
      <c r="A33009" s="2">
        <v>33004</v>
      </c>
      <c r="B33009" s="11" t="str">
        <f>"01083394"</f>
        <v>01083394</v>
      </c>
    </row>
    <row r="33010" spans="1:2" x14ac:dyDescent="0.25">
      <c r="A33010" s="2">
        <v>33005</v>
      </c>
      <c r="B33010" s="11" t="str">
        <f>"01083399"</f>
        <v>01083399</v>
      </c>
    </row>
    <row r="33011" spans="1:2" x14ac:dyDescent="0.25">
      <c r="A33011" s="2">
        <v>33006</v>
      </c>
      <c r="B33011" s="11" t="str">
        <f>"01083405"</f>
        <v>01083405</v>
      </c>
    </row>
    <row r="33012" spans="1:2" x14ac:dyDescent="0.25">
      <c r="A33012" s="2">
        <v>33007</v>
      </c>
      <c r="B33012" s="11" t="str">
        <f>"01083407"</f>
        <v>01083407</v>
      </c>
    </row>
    <row r="33013" spans="1:2" x14ac:dyDescent="0.25">
      <c r="A33013" s="2">
        <v>33008</v>
      </c>
      <c r="B33013" s="11" t="str">
        <f>"01083409"</f>
        <v>01083409</v>
      </c>
    </row>
    <row r="33014" spans="1:2" x14ac:dyDescent="0.25">
      <c r="A33014" s="2">
        <v>33009</v>
      </c>
      <c r="B33014" s="11" t="str">
        <f>"01083410"</f>
        <v>01083410</v>
      </c>
    </row>
    <row r="33015" spans="1:2" x14ac:dyDescent="0.25">
      <c r="A33015" s="2">
        <v>33010</v>
      </c>
      <c r="B33015" s="11" t="str">
        <f>"01083412"</f>
        <v>01083412</v>
      </c>
    </row>
    <row r="33016" spans="1:2" x14ac:dyDescent="0.25">
      <c r="A33016" s="2">
        <v>33011</v>
      </c>
      <c r="B33016" s="11" t="str">
        <f>"01083415"</f>
        <v>01083415</v>
      </c>
    </row>
    <row r="33017" spans="1:2" x14ac:dyDescent="0.25">
      <c r="A33017" s="2">
        <v>33012</v>
      </c>
      <c r="B33017" s="11" t="str">
        <f>"01083416"</f>
        <v>01083416</v>
      </c>
    </row>
    <row r="33018" spans="1:2" x14ac:dyDescent="0.25">
      <c r="A33018" s="2">
        <v>33013</v>
      </c>
      <c r="B33018" s="11" t="str">
        <f>"01083417"</f>
        <v>01083417</v>
      </c>
    </row>
    <row r="33019" spans="1:2" x14ac:dyDescent="0.25">
      <c r="A33019" s="2">
        <v>33014</v>
      </c>
      <c r="B33019" s="11" t="str">
        <f>"01083422"</f>
        <v>01083422</v>
      </c>
    </row>
    <row r="33020" spans="1:2" x14ac:dyDescent="0.25">
      <c r="A33020" s="2">
        <v>33015</v>
      </c>
      <c r="B33020" s="11" t="str">
        <f>"01083423"</f>
        <v>01083423</v>
      </c>
    </row>
    <row r="33021" spans="1:2" x14ac:dyDescent="0.25">
      <c r="A33021" s="2">
        <v>33016</v>
      </c>
      <c r="B33021" s="11" t="str">
        <f>"01083427"</f>
        <v>01083427</v>
      </c>
    </row>
    <row r="33022" spans="1:2" x14ac:dyDescent="0.25">
      <c r="A33022" s="2">
        <v>33017</v>
      </c>
      <c r="B33022" s="11" t="str">
        <f>"01083431"</f>
        <v>01083431</v>
      </c>
    </row>
    <row r="33023" spans="1:2" x14ac:dyDescent="0.25">
      <c r="A33023" s="2">
        <v>33018</v>
      </c>
      <c r="B33023" s="11" t="str">
        <f>"01083435"</f>
        <v>01083435</v>
      </c>
    </row>
    <row r="33024" spans="1:2" x14ac:dyDescent="0.25">
      <c r="A33024" s="2">
        <v>33019</v>
      </c>
      <c r="B33024" s="11" t="str">
        <f>"01083436"</f>
        <v>01083436</v>
      </c>
    </row>
    <row r="33025" spans="1:2" x14ac:dyDescent="0.25">
      <c r="A33025" s="2">
        <v>33020</v>
      </c>
      <c r="B33025" s="11" t="str">
        <f>"01083439"</f>
        <v>01083439</v>
      </c>
    </row>
    <row r="33026" spans="1:2" x14ac:dyDescent="0.25">
      <c r="A33026" s="2">
        <v>33021</v>
      </c>
      <c r="B33026" s="11" t="str">
        <f>"01083445"</f>
        <v>01083445</v>
      </c>
    </row>
    <row r="33027" spans="1:2" x14ac:dyDescent="0.25">
      <c r="A33027" s="2">
        <v>33022</v>
      </c>
      <c r="B33027" s="11" t="str">
        <f>"01083453"</f>
        <v>01083453</v>
      </c>
    </row>
    <row r="33028" spans="1:2" x14ac:dyDescent="0.25">
      <c r="A33028" s="2">
        <v>33023</v>
      </c>
      <c r="B33028" s="11" t="str">
        <f>"01083455"</f>
        <v>01083455</v>
      </c>
    </row>
    <row r="33029" spans="1:2" x14ac:dyDescent="0.25">
      <c r="A33029" s="2">
        <v>33024</v>
      </c>
      <c r="B33029" s="11" t="str">
        <f>"01083459"</f>
        <v>01083459</v>
      </c>
    </row>
    <row r="33030" spans="1:2" x14ac:dyDescent="0.25">
      <c r="A33030" s="2">
        <v>33025</v>
      </c>
      <c r="B33030" s="11" t="str">
        <f>"01083461"</f>
        <v>01083461</v>
      </c>
    </row>
    <row r="33031" spans="1:2" x14ac:dyDescent="0.25">
      <c r="A33031" s="2">
        <v>33026</v>
      </c>
      <c r="B33031" s="11" t="str">
        <f>"01083462"</f>
        <v>01083462</v>
      </c>
    </row>
    <row r="33032" spans="1:2" x14ac:dyDescent="0.25">
      <c r="A33032" s="2">
        <v>33027</v>
      </c>
      <c r="B33032" s="11" t="str">
        <f>"01083471"</f>
        <v>01083471</v>
      </c>
    </row>
    <row r="33033" spans="1:2" x14ac:dyDescent="0.25">
      <c r="A33033" s="2">
        <v>33028</v>
      </c>
      <c r="B33033" s="11" t="str">
        <f>"01083475"</f>
        <v>01083475</v>
      </c>
    </row>
    <row r="33034" spans="1:2" x14ac:dyDescent="0.25">
      <c r="A33034" s="2">
        <v>33029</v>
      </c>
      <c r="B33034" s="11" t="str">
        <f>"01083476"</f>
        <v>01083476</v>
      </c>
    </row>
    <row r="33035" spans="1:2" x14ac:dyDescent="0.25">
      <c r="A33035" s="2">
        <v>33030</v>
      </c>
      <c r="B33035" s="11" t="str">
        <f>"01083477"</f>
        <v>01083477</v>
      </c>
    </row>
    <row r="33036" spans="1:2" x14ac:dyDescent="0.25">
      <c r="A33036" s="2">
        <v>33031</v>
      </c>
      <c r="B33036" s="11" t="str">
        <f>"01083479"</f>
        <v>01083479</v>
      </c>
    </row>
    <row r="33037" spans="1:2" x14ac:dyDescent="0.25">
      <c r="A33037" s="2">
        <v>33032</v>
      </c>
      <c r="B33037" s="11" t="str">
        <f>"01083480"</f>
        <v>01083480</v>
      </c>
    </row>
    <row r="33038" spans="1:2" x14ac:dyDescent="0.25">
      <c r="A33038" s="2">
        <v>33033</v>
      </c>
      <c r="B33038" s="11" t="str">
        <f>"01083489"</f>
        <v>01083489</v>
      </c>
    </row>
    <row r="33039" spans="1:2" x14ac:dyDescent="0.25">
      <c r="A33039" s="2">
        <v>33034</v>
      </c>
      <c r="B33039" s="11" t="str">
        <f>"01083491"</f>
        <v>01083491</v>
      </c>
    </row>
    <row r="33040" spans="1:2" x14ac:dyDescent="0.25">
      <c r="A33040" s="2">
        <v>33035</v>
      </c>
      <c r="B33040" s="11" t="str">
        <f>"01083493"</f>
        <v>01083493</v>
      </c>
    </row>
    <row r="33041" spans="1:2" x14ac:dyDescent="0.25">
      <c r="A33041" s="2">
        <v>33036</v>
      </c>
      <c r="B33041" s="11" t="str">
        <f>"01083494"</f>
        <v>01083494</v>
      </c>
    </row>
    <row r="33042" spans="1:2" x14ac:dyDescent="0.25">
      <c r="A33042" s="2">
        <v>33037</v>
      </c>
      <c r="B33042" s="11" t="str">
        <f>"01083497"</f>
        <v>01083497</v>
      </c>
    </row>
    <row r="33043" spans="1:2" x14ac:dyDescent="0.25">
      <c r="A33043" s="2">
        <v>33038</v>
      </c>
      <c r="B33043" s="11" t="str">
        <f>"01083501"</f>
        <v>01083501</v>
      </c>
    </row>
    <row r="33044" spans="1:2" x14ac:dyDescent="0.25">
      <c r="A33044" s="2">
        <v>33039</v>
      </c>
      <c r="B33044" s="11" t="str">
        <f>"01083506"</f>
        <v>01083506</v>
      </c>
    </row>
    <row r="33045" spans="1:2" x14ac:dyDescent="0.25">
      <c r="A33045" s="2">
        <v>33040</v>
      </c>
      <c r="B33045" s="11" t="str">
        <f>"01083513"</f>
        <v>01083513</v>
      </c>
    </row>
    <row r="33046" spans="1:2" x14ac:dyDescent="0.25">
      <c r="A33046" s="2">
        <v>33041</v>
      </c>
      <c r="B33046" s="11" t="str">
        <f>"01083519"</f>
        <v>01083519</v>
      </c>
    </row>
    <row r="33047" spans="1:2" x14ac:dyDescent="0.25">
      <c r="A33047" s="2">
        <v>33042</v>
      </c>
      <c r="B33047" s="11" t="str">
        <f>"01083520"</f>
        <v>01083520</v>
      </c>
    </row>
    <row r="33048" spans="1:2" x14ac:dyDescent="0.25">
      <c r="A33048" s="2">
        <v>33043</v>
      </c>
      <c r="B33048" s="11" t="str">
        <f>"01083524"</f>
        <v>01083524</v>
      </c>
    </row>
    <row r="33049" spans="1:2" x14ac:dyDescent="0.25">
      <c r="A33049" s="2">
        <v>33044</v>
      </c>
      <c r="B33049" s="11" t="str">
        <f>"01083529"</f>
        <v>01083529</v>
      </c>
    </row>
    <row r="33050" spans="1:2" x14ac:dyDescent="0.25">
      <c r="A33050" s="2">
        <v>33045</v>
      </c>
      <c r="B33050" s="11" t="str">
        <f>"01083537"</f>
        <v>01083537</v>
      </c>
    </row>
    <row r="33051" spans="1:2" x14ac:dyDescent="0.25">
      <c r="A33051" s="2">
        <v>33046</v>
      </c>
      <c r="B33051" s="11" t="str">
        <f>"01083538"</f>
        <v>01083538</v>
      </c>
    </row>
    <row r="33052" spans="1:2" x14ac:dyDescent="0.25">
      <c r="A33052" s="2">
        <v>33047</v>
      </c>
      <c r="B33052" s="11" t="str">
        <f>"01083541"</f>
        <v>01083541</v>
      </c>
    </row>
    <row r="33053" spans="1:2" x14ac:dyDescent="0.25">
      <c r="A33053" s="2">
        <v>33048</v>
      </c>
      <c r="B33053" s="11" t="str">
        <f>"01083542"</f>
        <v>01083542</v>
      </c>
    </row>
    <row r="33054" spans="1:2" x14ac:dyDescent="0.25">
      <c r="A33054" s="2">
        <v>33049</v>
      </c>
      <c r="B33054" s="11" t="str">
        <f>"01083544"</f>
        <v>01083544</v>
      </c>
    </row>
    <row r="33055" spans="1:2" x14ac:dyDescent="0.25">
      <c r="A33055" s="2">
        <v>33050</v>
      </c>
      <c r="B33055" s="11" t="str">
        <f>"01083547"</f>
        <v>01083547</v>
      </c>
    </row>
    <row r="33056" spans="1:2" x14ac:dyDescent="0.25">
      <c r="A33056" s="2">
        <v>33051</v>
      </c>
      <c r="B33056" s="11" t="str">
        <f>"01083551"</f>
        <v>01083551</v>
      </c>
    </row>
    <row r="33057" spans="1:2" x14ac:dyDescent="0.25">
      <c r="A33057" s="2">
        <v>33052</v>
      </c>
      <c r="B33057" s="11" t="str">
        <f>"01083552"</f>
        <v>01083552</v>
      </c>
    </row>
    <row r="33058" spans="1:2" x14ac:dyDescent="0.25">
      <c r="A33058" s="2">
        <v>33053</v>
      </c>
      <c r="B33058" s="11" t="str">
        <f>"01083555"</f>
        <v>01083555</v>
      </c>
    </row>
    <row r="33059" spans="1:2" x14ac:dyDescent="0.25">
      <c r="A33059" s="2">
        <v>33054</v>
      </c>
      <c r="B33059" s="11" t="str">
        <f>"01083560"</f>
        <v>01083560</v>
      </c>
    </row>
    <row r="33060" spans="1:2" x14ac:dyDescent="0.25">
      <c r="A33060" s="2">
        <v>33055</v>
      </c>
      <c r="B33060" s="11" t="str">
        <f>"01083561"</f>
        <v>01083561</v>
      </c>
    </row>
    <row r="33061" spans="1:2" x14ac:dyDescent="0.25">
      <c r="A33061" s="2">
        <v>33056</v>
      </c>
      <c r="B33061" s="11" t="str">
        <f>"01083566"</f>
        <v>01083566</v>
      </c>
    </row>
    <row r="33062" spans="1:2" x14ac:dyDescent="0.25">
      <c r="A33062" s="2">
        <v>33057</v>
      </c>
      <c r="B33062" s="11" t="str">
        <f>"01083570"</f>
        <v>01083570</v>
      </c>
    </row>
    <row r="33063" spans="1:2" x14ac:dyDescent="0.25">
      <c r="A33063" s="2">
        <v>33058</v>
      </c>
      <c r="B33063" s="11" t="str">
        <f>"01083574"</f>
        <v>01083574</v>
      </c>
    </row>
    <row r="33064" spans="1:2" x14ac:dyDescent="0.25">
      <c r="A33064" s="2">
        <v>33059</v>
      </c>
      <c r="B33064" s="11" t="str">
        <f>"01083588"</f>
        <v>01083588</v>
      </c>
    </row>
    <row r="33065" spans="1:2" x14ac:dyDescent="0.25">
      <c r="A33065" s="2">
        <v>33060</v>
      </c>
      <c r="B33065" s="11" t="str">
        <f>"01083590"</f>
        <v>01083590</v>
      </c>
    </row>
    <row r="33066" spans="1:2" x14ac:dyDescent="0.25">
      <c r="A33066" s="2">
        <v>33061</v>
      </c>
      <c r="B33066" s="11" t="str">
        <f>"01083591"</f>
        <v>01083591</v>
      </c>
    </row>
    <row r="33067" spans="1:2" x14ac:dyDescent="0.25">
      <c r="A33067" s="2">
        <v>33062</v>
      </c>
      <c r="B33067" s="11" t="str">
        <f>"01083600"</f>
        <v>01083600</v>
      </c>
    </row>
    <row r="33068" spans="1:2" x14ac:dyDescent="0.25">
      <c r="A33068" s="2">
        <v>33063</v>
      </c>
      <c r="B33068" s="11" t="str">
        <f>"01083609"</f>
        <v>01083609</v>
      </c>
    </row>
    <row r="33069" spans="1:2" x14ac:dyDescent="0.25">
      <c r="A33069" s="2">
        <v>33064</v>
      </c>
      <c r="B33069" s="11" t="str">
        <f>"01083612"</f>
        <v>01083612</v>
      </c>
    </row>
    <row r="33070" spans="1:2" x14ac:dyDescent="0.25">
      <c r="A33070" s="2">
        <v>33065</v>
      </c>
      <c r="B33070" s="11" t="str">
        <f>"01083616"</f>
        <v>01083616</v>
      </c>
    </row>
    <row r="33071" spans="1:2" x14ac:dyDescent="0.25">
      <c r="A33071" s="2">
        <v>33066</v>
      </c>
      <c r="B33071" s="11" t="str">
        <f>"01083627"</f>
        <v>01083627</v>
      </c>
    </row>
    <row r="33072" spans="1:2" x14ac:dyDescent="0.25">
      <c r="A33072" s="2">
        <v>33067</v>
      </c>
      <c r="B33072" s="11" t="str">
        <f>"01083631"</f>
        <v>01083631</v>
      </c>
    </row>
    <row r="33073" spans="1:2" x14ac:dyDescent="0.25">
      <c r="A33073" s="2">
        <v>33068</v>
      </c>
      <c r="B33073" s="11" t="str">
        <f>"01083635"</f>
        <v>01083635</v>
      </c>
    </row>
    <row r="33074" spans="1:2" x14ac:dyDescent="0.25">
      <c r="A33074" s="2">
        <v>33069</v>
      </c>
      <c r="B33074" s="11" t="str">
        <f>"01083638"</f>
        <v>01083638</v>
      </c>
    </row>
    <row r="33075" spans="1:2" x14ac:dyDescent="0.25">
      <c r="A33075" s="2">
        <v>33070</v>
      </c>
      <c r="B33075" s="11" t="str">
        <f>"01083640"</f>
        <v>01083640</v>
      </c>
    </row>
    <row r="33076" spans="1:2" x14ac:dyDescent="0.25">
      <c r="A33076" s="2">
        <v>33071</v>
      </c>
      <c r="B33076" s="11" t="str">
        <f>"01083642"</f>
        <v>01083642</v>
      </c>
    </row>
    <row r="33077" spans="1:2" x14ac:dyDescent="0.25">
      <c r="A33077" s="2">
        <v>33072</v>
      </c>
      <c r="B33077" s="11" t="str">
        <f>"01083644"</f>
        <v>01083644</v>
      </c>
    </row>
    <row r="33078" spans="1:2" x14ac:dyDescent="0.25">
      <c r="A33078" s="2">
        <v>33073</v>
      </c>
      <c r="B33078" s="11" t="str">
        <f>"01083645"</f>
        <v>01083645</v>
      </c>
    </row>
    <row r="33079" spans="1:2" x14ac:dyDescent="0.25">
      <c r="A33079" s="2">
        <v>33074</v>
      </c>
      <c r="B33079" s="11" t="str">
        <f>"01083646"</f>
        <v>01083646</v>
      </c>
    </row>
    <row r="33080" spans="1:2" x14ac:dyDescent="0.25">
      <c r="A33080" s="2">
        <v>33075</v>
      </c>
      <c r="B33080" s="11" t="str">
        <f>"01083648"</f>
        <v>01083648</v>
      </c>
    </row>
    <row r="33081" spans="1:2" x14ac:dyDescent="0.25">
      <c r="A33081" s="2">
        <v>33076</v>
      </c>
      <c r="B33081" s="11" t="str">
        <f>"01083650"</f>
        <v>01083650</v>
      </c>
    </row>
    <row r="33082" spans="1:2" x14ac:dyDescent="0.25">
      <c r="A33082" s="2">
        <v>33077</v>
      </c>
      <c r="B33082" s="11" t="str">
        <f>"01083652"</f>
        <v>01083652</v>
      </c>
    </row>
    <row r="33083" spans="1:2" x14ac:dyDescent="0.25">
      <c r="A33083" s="2">
        <v>33078</v>
      </c>
      <c r="B33083" s="11" t="str">
        <f>"01083653"</f>
        <v>01083653</v>
      </c>
    </row>
    <row r="33084" spans="1:2" x14ac:dyDescent="0.25">
      <c r="A33084" s="2">
        <v>33079</v>
      </c>
      <c r="B33084" s="11" t="str">
        <f>"01083655"</f>
        <v>01083655</v>
      </c>
    </row>
    <row r="33085" spans="1:2" x14ac:dyDescent="0.25">
      <c r="A33085" s="2">
        <v>33080</v>
      </c>
      <c r="B33085" s="11" t="str">
        <f>"01083656"</f>
        <v>01083656</v>
      </c>
    </row>
    <row r="33086" spans="1:2" x14ac:dyDescent="0.25">
      <c r="A33086" s="2">
        <v>33081</v>
      </c>
      <c r="B33086" s="11" t="str">
        <f>"01083662"</f>
        <v>01083662</v>
      </c>
    </row>
    <row r="33087" spans="1:2" x14ac:dyDescent="0.25">
      <c r="A33087" s="2">
        <v>33082</v>
      </c>
      <c r="B33087" s="11" t="str">
        <f>"01083664"</f>
        <v>01083664</v>
      </c>
    </row>
    <row r="33088" spans="1:2" x14ac:dyDescent="0.25">
      <c r="A33088" s="2">
        <v>33083</v>
      </c>
      <c r="B33088" s="11" t="str">
        <f>"01083665"</f>
        <v>01083665</v>
      </c>
    </row>
    <row r="33089" spans="1:2" x14ac:dyDescent="0.25">
      <c r="A33089" s="2">
        <v>33084</v>
      </c>
      <c r="B33089" s="11" t="str">
        <f>"01083668"</f>
        <v>01083668</v>
      </c>
    </row>
    <row r="33090" spans="1:2" x14ac:dyDescent="0.25">
      <c r="A33090" s="2">
        <v>33085</v>
      </c>
      <c r="B33090" s="11" t="str">
        <f>"01083669"</f>
        <v>01083669</v>
      </c>
    </row>
    <row r="33091" spans="1:2" x14ac:dyDescent="0.25">
      <c r="A33091" s="2">
        <v>33086</v>
      </c>
      <c r="B33091" s="11" t="str">
        <f>"01083673"</f>
        <v>01083673</v>
      </c>
    </row>
    <row r="33092" spans="1:2" x14ac:dyDescent="0.25">
      <c r="A33092" s="2">
        <v>33087</v>
      </c>
      <c r="B33092" s="11" t="str">
        <f>"01083674"</f>
        <v>01083674</v>
      </c>
    </row>
    <row r="33093" spans="1:2" x14ac:dyDescent="0.25">
      <c r="A33093" s="2">
        <v>33088</v>
      </c>
      <c r="B33093" s="11" t="str">
        <f>"01083676"</f>
        <v>01083676</v>
      </c>
    </row>
    <row r="33094" spans="1:2" x14ac:dyDescent="0.25">
      <c r="A33094" s="2">
        <v>33089</v>
      </c>
      <c r="B33094" s="11" t="str">
        <f>"01083678"</f>
        <v>01083678</v>
      </c>
    </row>
    <row r="33095" spans="1:2" x14ac:dyDescent="0.25">
      <c r="A33095" s="2">
        <v>33090</v>
      </c>
      <c r="B33095" s="11" t="str">
        <f>"01083682"</f>
        <v>01083682</v>
      </c>
    </row>
    <row r="33096" spans="1:2" x14ac:dyDescent="0.25">
      <c r="A33096" s="2">
        <v>33091</v>
      </c>
      <c r="B33096" s="11" t="str">
        <f>"01083697"</f>
        <v>01083697</v>
      </c>
    </row>
    <row r="33097" spans="1:2" x14ac:dyDescent="0.25">
      <c r="A33097" s="2">
        <v>33092</v>
      </c>
      <c r="B33097" s="11" t="str">
        <f>"01083698"</f>
        <v>01083698</v>
      </c>
    </row>
    <row r="33098" spans="1:2" x14ac:dyDescent="0.25">
      <c r="A33098" s="2">
        <v>33093</v>
      </c>
      <c r="B33098" s="11" t="str">
        <f>"01083707"</f>
        <v>01083707</v>
      </c>
    </row>
    <row r="33099" spans="1:2" x14ac:dyDescent="0.25">
      <c r="A33099" s="2">
        <v>33094</v>
      </c>
      <c r="B33099" s="11" t="str">
        <f>"01083709"</f>
        <v>01083709</v>
      </c>
    </row>
    <row r="33100" spans="1:2" x14ac:dyDescent="0.25">
      <c r="A33100" s="2">
        <v>33095</v>
      </c>
      <c r="B33100" s="11" t="str">
        <f>"01083710"</f>
        <v>01083710</v>
      </c>
    </row>
    <row r="33101" spans="1:2" x14ac:dyDescent="0.25">
      <c r="A33101" s="2">
        <v>33096</v>
      </c>
      <c r="B33101" s="11" t="str">
        <f>"01083711"</f>
        <v>01083711</v>
      </c>
    </row>
    <row r="33102" spans="1:2" x14ac:dyDescent="0.25">
      <c r="A33102" s="2">
        <v>33097</v>
      </c>
      <c r="B33102" s="11" t="str">
        <f>"01083716"</f>
        <v>01083716</v>
      </c>
    </row>
    <row r="33103" spans="1:2" x14ac:dyDescent="0.25">
      <c r="A33103" s="2">
        <v>33098</v>
      </c>
      <c r="B33103" s="11" t="str">
        <f>"01083727"</f>
        <v>01083727</v>
      </c>
    </row>
    <row r="33104" spans="1:2" x14ac:dyDescent="0.25">
      <c r="A33104" s="2">
        <v>33099</v>
      </c>
      <c r="B33104" s="11" t="str">
        <f>"01083732"</f>
        <v>01083732</v>
      </c>
    </row>
    <row r="33105" spans="1:2" x14ac:dyDescent="0.25">
      <c r="A33105" s="2">
        <v>33100</v>
      </c>
      <c r="B33105" s="11" t="str">
        <f>"01083733"</f>
        <v>01083733</v>
      </c>
    </row>
    <row r="33106" spans="1:2" x14ac:dyDescent="0.25">
      <c r="A33106" s="2">
        <v>33101</v>
      </c>
      <c r="B33106" s="11" t="str">
        <f>"01083744"</f>
        <v>01083744</v>
      </c>
    </row>
    <row r="33107" spans="1:2" x14ac:dyDescent="0.25">
      <c r="A33107" s="2">
        <v>33102</v>
      </c>
      <c r="B33107" s="11" t="str">
        <f>"01083745"</f>
        <v>01083745</v>
      </c>
    </row>
    <row r="33108" spans="1:2" x14ac:dyDescent="0.25">
      <c r="A33108" s="2">
        <v>33103</v>
      </c>
      <c r="B33108" s="11" t="str">
        <f>"01083749"</f>
        <v>01083749</v>
      </c>
    </row>
    <row r="33109" spans="1:2" x14ac:dyDescent="0.25">
      <c r="A33109" s="2">
        <v>33104</v>
      </c>
      <c r="B33109" s="11" t="str">
        <f>"01083752"</f>
        <v>01083752</v>
      </c>
    </row>
    <row r="33110" spans="1:2" x14ac:dyDescent="0.25">
      <c r="A33110" s="2">
        <v>33105</v>
      </c>
      <c r="B33110" s="11" t="str">
        <f>"01083756"</f>
        <v>01083756</v>
      </c>
    </row>
    <row r="33111" spans="1:2" x14ac:dyDescent="0.25">
      <c r="A33111" s="2">
        <v>33106</v>
      </c>
      <c r="B33111" s="11" t="str">
        <f>"01083758"</f>
        <v>01083758</v>
      </c>
    </row>
    <row r="33112" spans="1:2" x14ac:dyDescent="0.25">
      <c r="A33112" s="2">
        <v>33107</v>
      </c>
      <c r="B33112" s="11" t="str">
        <f>"01083761"</f>
        <v>01083761</v>
      </c>
    </row>
    <row r="33113" spans="1:2" x14ac:dyDescent="0.25">
      <c r="A33113" s="2">
        <v>33108</v>
      </c>
      <c r="B33113" s="11" t="str">
        <f>"01083767"</f>
        <v>01083767</v>
      </c>
    </row>
    <row r="33114" spans="1:2" x14ac:dyDescent="0.25">
      <c r="A33114" s="2">
        <v>33109</v>
      </c>
      <c r="B33114" s="11" t="str">
        <f>"01083771"</f>
        <v>01083771</v>
      </c>
    </row>
    <row r="33115" spans="1:2" x14ac:dyDescent="0.25">
      <c r="A33115" s="2">
        <v>33110</v>
      </c>
      <c r="B33115" s="11" t="str">
        <f>"01083776"</f>
        <v>01083776</v>
      </c>
    </row>
    <row r="33116" spans="1:2" x14ac:dyDescent="0.25">
      <c r="A33116" s="2">
        <v>33111</v>
      </c>
      <c r="B33116" s="11" t="str">
        <f>"01083777"</f>
        <v>01083777</v>
      </c>
    </row>
    <row r="33117" spans="1:2" x14ac:dyDescent="0.25">
      <c r="A33117" s="2">
        <v>33112</v>
      </c>
      <c r="B33117" s="11" t="str">
        <f>"01083778"</f>
        <v>01083778</v>
      </c>
    </row>
    <row r="33118" spans="1:2" x14ac:dyDescent="0.25">
      <c r="A33118" s="2">
        <v>33113</v>
      </c>
      <c r="B33118" s="11" t="str">
        <f>"01083783"</f>
        <v>01083783</v>
      </c>
    </row>
    <row r="33119" spans="1:2" x14ac:dyDescent="0.25">
      <c r="A33119" s="2">
        <v>33114</v>
      </c>
      <c r="B33119" s="11" t="str">
        <f>"01083787"</f>
        <v>01083787</v>
      </c>
    </row>
    <row r="33120" spans="1:2" x14ac:dyDescent="0.25">
      <c r="A33120" s="2">
        <v>33115</v>
      </c>
      <c r="B33120" s="11" t="str">
        <f>"01083800"</f>
        <v>01083800</v>
      </c>
    </row>
    <row r="33121" spans="1:2" x14ac:dyDescent="0.25">
      <c r="A33121" s="2">
        <v>33116</v>
      </c>
      <c r="B33121" s="11" t="str">
        <f>"01083808"</f>
        <v>01083808</v>
      </c>
    </row>
    <row r="33122" spans="1:2" x14ac:dyDescent="0.25">
      <c r="A33122" s="2">
        <v>33117</v>
      </c>
      <c r="B33122" s="11" t="str">
        <f>"01083809"</f>
        <v>01083809</v>
      </c>
    </row>
    <row r="33123" spans="1:2" x14ac:dyDescent="0.25">
      <c r="A33123" s="2">
        <v>33118</v>
      </c>
      <c r="B33123" s="11" t="str">
        <f>"01083814"</f>
        <v>01083814</v>
      </c>
    </row>
    <row r="33124" spans="1:2" x14ac:dyDescent="0.25">
      <c r="A33124" s="2">
        <v>33119</v>
      </c>
      <c r="B33124" s="11" t="str">
        <f>"01083815"</f>
        <v>01083815</v>
      </c>
    </row>
    <row r="33125" spans="1:2" x14ac:dyDescent="0.25">
      <c r="A33125" s="2">
        <v>33120</v>
      </c>
      <c r="B33125" s="11" t="str">
        <f>"01083822"</f>
        <v>01083822</v>
      </c>
    </row>
    <row r="33126" spans="1:2" x14ac:dyDescent="0.25">
      <c r="A33126" s="2">
        <v>33121</v>
      </c>
      <c r="B33126" s="11" t="str">
        <f>"01083830"</f>
        <v>01083830</v>
      </c>
    </row>
    <row r="33127" spans="1:2" x14ac:dyDescent="0.25">
      <c r="A33127" s="2">
        <v>33122</v>
      </c>
      <c r="B33127" s="11" t="str">
        <f>"01083853"</f>
        <v>01083853</v>
      </c>
    </row>
    <row r="33128" spans="1:2" x14ac:dyDescent="0.25">
      <c r="A33128" s="2">
        <v>33123</v>
      </c>
      <c r="B33128" s="11" t="str">
        <f>"01083862"</f>
        <v>01083862</v>
      </c>
    </row>
    <row r="33129" spans="1:2" x14ac:dyDescent="0.25">
      <c r="A33129" s="2">
        <v>33124</v>
      </c>
      <c r="B33129" s="11" t="str">
        <f>"01083869"</f>
        <v>01083869</v>
      </c>
    </row>
    <row r="33130" spans="1:2" x14ac:dyDescent="0.25">
      <c r="A33130" s="2">
        <v>33125</v>
      </c>
      <c r="B33130" s="11" t="str">
        <f>"01083873"</f>
        <v>01083873</v>
      </c>
    </row>
    <row r="33131" spans="1:2" x14ac:dyDescent="0.25">
      <c r="A33131" s="2">
        <v>33126</v>
      </c>
      <c r="B33131" s="11" t="str">
        <f>"01083877"</f>
        <v>01083877</v>
      </c>
    </row>
    <row r="33132" spans="1:2" x14ac:dyDescent="0.25">
      <c r="A33132" s="2">
        <v>33127</v>
      </c>
      <c r="B33132" s="11" t="str">
        <f>"01083878"</f>
        <v>01083878</v>
      </c>
    </row>
    <row r="33133" spans="1:2" x14ac:dyDescent="0.25">
      <c r="A33133" s="2">
        <v>33128</v>
      </c>
      <c r="B33133" s="11" t="str">
        <f>"01083881"</f>
        <v>01083881</v>
      </c>
    </row>
    <row r="33134" spans="1:2" x14ac:dyDescent="0.25">
      <c r="A33134" s="2">
        <v>33129</v>
      </c>
      <c r="B33134" s="11" t="str">
        <f>"01083885"</f>
        <v>01083885</v>
      </c>
    </row>
    <row r="33135" spans="1:2" x14ac:dyDescent="0.25">
      <c r="A33135" s="2">
        <v>33130</v>
      </c>
      <c r="B33135" s="11" t="str">
        <f>"01083898"</f>
        <v>01083898</v>
      </c>
    </row>
    <row r="33136" spans="1:2" x14ac:dyDescent="0.25">
      <c r="A33136" s="2">
        <v>33131</v>
      </c>
      <c r="B33136" s="11" t="str">
        <f>"01083899"</f>
        <v>01083899</v>
      </c>
    </row>
    <row r="33137" spans="1:2" x14ac:dyDescent="0.25">
      <c r="A33137" s="2">
        <v>33132</v>
      </c>
      <c r="B33137" s="11" t="str">
        <f>"01083901"</f>
        <v>01083901</v>
      </c>
    </row>
    <row r="33138" spans="1:2" x14ac:dyDescent="0.25">
      <c r="A33138" s="2">
        <v>33133</v>
      </c>
      <c r="B33138" s="11" t="str">
        <f>"01083902"</f>
        <v>01083902</v>
      </c>
    </row>
    <row r="33139" spans="1:2" x14ac:dyDescent="0.25">
      <c r="A33139" s="2">
        <v>33134</v>
      </c>
      <c r="B33139" s="11" t="str">
        <f>"01083907"</f>
        <v>01083907</v>
      </c>
    </row>
    <row r="33140" spans="1:2" x14ac:dyDescent="0.25">
      <c r="A33140" s="2">
        <v>33135</v>
      </c>
      <c r="B33140" s="11" t="str">
        <f>"01083913"</f>
        <v>01083913</v>
      </c>
    </row>
    <row r="33141" spans="1:2" x14ac:dyDescent="0.25">
      <c r="A33141" s="2">
        <v>33136</v>
      </c>
      <c r="B33141" s="11" t="str">
        <f>"01083918"</f>
        <v>01083918</v>
      </c>
    </row>
    <row r="33142" spans="1:2" x14ac:dyDescent="0.25">
      <c r="A33142" s="2">
        <v>33137</v>
      </c>
      <c r="B33142" s="11" t="str">
        <f>"01083919"</f>
        <v>01083919</v>
      </c>
    </row>
    <row r="33143" spans="1:2" x14ac:dyDescent="0.25">
      <c r="A33143" s="2">
        <v>33138</v>
      </c>
      <c r="B33143" s="11" t="str">
        <f>"01083939"</f>
        <v>01083939</v>
      </c>
    </row>
    <row r="33144" spans="1:2" x14ac:dyDescent="0.25">
      <c r="A33144" s="2">
        <v>33139</v>
      </c>
      <c r="B33144" s="11" t="str">
        <f>"01083942"</f>
        <v>01083942</v>
      </c>
    </row>
    <row r="33145" spans="1:2" x14ac:dyDescent="0.25">
      <c r="A33145" s="2">
        <v>33140</v>
      </c>
      <c r="B33145" s="11" t="str">
        <f>"01083946"</f>
        <v>01083946</v>
      </c>
    </row>
    <row r="33146" spans="1:2" x14ac:dyDescent="0.25">
      <c r="A33146" s="2">
        <v>33141</v>
      </c>
      <c r="B33146" s="11" t="str">
        <f>"01083954"</f>
        <v>01083954</v>
      </c>
    </row>
    <row r="33147" spans="1:2" x14ac:dyDescent="0.25">
      <c r="A33147" s="2">
        <v>33142</v>
      </c>
      <c r="B33147" s="11" t="str">
        <f>"01083959"</f>
        <v>01083959</v>
      </c>
    </row>
    <row r="33148" spans="1:2" x14ac:dyDescent="0.25">
      <c r="A33148" s="2">
        <v>33143</v>
      </c>
      <c r="B33148" s="11" t="str">
        <f>"01083967"</f>
        <v>01083967</v>
      </c>
    </row>
    <row r="33149" spans="1:2" x14ac:dyDescent="0.25">
      <c r="A33149" s="2">
        <v>33144</v>
      </c>
      <c r="B33149" s="11" t="str">
        <f>"01083969"</f>
        <v>01083969</v>
      </c>
    </row>
    <row r="33150" spans="1:2" x14ac:dyDescent="0.25">
      <c r="A33150" s="2">
        <v>33145</v>
      </c>
      <c r="B33150" s="11" t="str">
        <f>"01083979"</f>
        <v>01083979</v>
      </c>
    </row>
    <row r="33151" spans="1:2" x14ac:dyDescent="0.25">
      <c r="A33151" s="2">
        <v>33146</v>
      </c>
      <c r="B33151" s="11" t="str">
        <f>"01083985"</f>
        <v>01083985</v>
      </c>
    </row>
    <row r="33152" spans="1:2" x14ac:dyDescent="0.25">
      <c r="A33152" s="2">
        <v>33147</v>
      </c>
      <c r="B33152" s="11" t="str">
        <f>"01083993"</f>
        <v>01083993</v>
      </c>
    </row>
    <row r="33153" spans="1:2" x14ac:dyDescent="0.25">
      <c r="A33153" s="2">
        <v>33148</v>
      </c>
      <c r="B33153" s="11" t="str">
        <f>"01084001"</f>
        <v>01084001</v>
      </c>
    </row>
    <row r="33154" spans="1:2" x14ac:dyDescent="0.25">
      <c r="A33154" s="2">
        <v>33149</v>
      </c>
      <c r="B33154" s="11" t="str">
        <f>"01084006"</f>
        <v>01084006</v>
      </c>
    </row>
    <row r="33155" spans="1:2" x14ac:dyDescent="0.25">
      <c r="A33155" s="2">
        <v>33150</v>
      </c>
      <c r="B33155" s="11" t="str">
        <f>"01084016"</f>
        <v>01084016</v>
      </c>
    </row>
    <row r="33156" spans="1:2" x14ac:dyDescent="0.25">
      <c r="A33156" s="2">
        <v>33151</v>
      </c>
      <c r="B33156" s="11" t="str">
        <f>"01084023"</f>
        <v>01084023</v>
      </c>
    </row>
    <row r="33157" spans="1:2" x14ac:dyDescent="0.25">
      <c r="A33157" s="2">
        <v>33152</v>
      </c>
      <c r="B33157" s="11" t="str">
        <f>"01084025"</f>
        <v>01084025</v>
      </c>
    </row>
    <row r="33158" spans="1:2" x14ac:dyDescent="0.25">
      <c r="A33158" s="2">
        <v>33153</v>
      </c>
      <c r="B33158" s="11" t="str">
        <f>"01084029"</f>
        <v>01084029</v>
      </c>
    </row>
    <row r="33159" spans="1:2" x14ac:dyDescent="0.25">
      <c r="A33159" s="2">
        <v>33154</v>
      </c>
      <c r="B33159" s="11" t="str">
        <f>"01084030"</f>
        <v>01084030</v>
      </c>
    </row>
    <row r="33160" spans="1:2" x14ac:dyDescent="0.25">
      <c r="A33160" s="2">
        <v>33155</v>
      </c>
      <c r="B33160" s="11" t="str">
        <f>"01084035"</f>
        <v>01084035</v>
      </c>
    </row>
    <row r="33161" spans="1:2" x14ac:dyDescent="0.25">
      <c r="A33161" s="2">
        <v>33156</v>
      </c>
      <c r="B33161" s="11" t="str">
        <f>"01084038"</f>
        <v>01084038</v>
      </c>
    </row>
    <row r="33162" spans="1:2" x14ac:dyDescent="0.25">
      <c r="A33162" s="2">
        <v>33157</v>
      </c>
      <c r="B33162" s="11" t="str">
        <f>"01084039"</f>
        <v>01084039</v>
      </c>
    </row>
    <row r="33163" spans="1:2" x14ac:dyDescent="0.25">
      <c r="A33163" s="2">
        <v>33158</v>
      </c>
      <c r="B33163" s="11" t="str">
        <f>"01084045"</f>
        <v>01084045</v>
      </c>
    </row>
    <row r="33164" spans="1:2" x14ac:dyDescent="0.25">
      <c r="A33164" s="2">
        <v>33159</v>
      </c>
      <c r="B33164" s="11" t="str">
        <f>"01084048"</f>
        <v>01084048</v>
      </c>
    </row>
    <row r="33165" spans="1:2" x14ac:dyDescent="0.25">
      <c r="A33165" s="2">
        <v>33160</v>
      </c>
      <c r="B33165" s="11" t="str">
        <f>"01084057"</f>
        <v>01084057</v>
      </c>
    </row>
    <row r="33166" spans="1:2" x14ac:dyDescent="0.25">
      <c r="A33166" s="2">
        <v>33161</v>
      </c>
      <c r="B33166" s="11" t="str">
        <f>"01084059"</f>
        <v>01084059</v>
      </c>
    </row>
    <row r="33167" spans="1:2" x14ac:dyDescent="0.25">
      <c r="A33167" s="2">
        <v>33162</v>
      </c>
      <c r="B33167" s="11" t="str">
        <f>"01084060"</f>
        <v>01084060</v>
      </c>
    </row>
    <row r="33168" spans="1:2" x14ac:dyDescent="0.25">
      <c r="A33168" s="2">
        <v>33163</v>
      </c>
      <c r="B33168" s="11" t="str">
        <f>"01084066"</f>
        <v>01084066</v>
      </c>
    </row>
    <row r="33169" spans="1:2" x14ac:dyDescent="0.25">
      <c r="A33169" s="2">
        <v>33164</v>
      </c>
      <c r="B33169" s="11" t="str">
        <f>"01084068"</f>
        <v>01084068</v>
      </c>
    </row>
    <row r="33170" spans="1:2" x14ac:dyDescent="0.25">
      <c r="A33170" s="2">
        <v>33165</v>
      </c>
      <c r="B33170" s="11" t="str">
        <f>"01084078"</f>
        <v>01084078</v>
      </c>
    </row>
    <row r="33171" spans="1:2" x14ac:dyDescent="0.25">
      <c r="A33171" s="2">
        <v>33166</v>
      </c>
      <c r="B33171" s="11" t="str">
        <f>"01084081"</f>
        <v>01084081</v>
      </c>
    </row>
    <row r="33172" spans="1:2" x14ac:dyDescent="0.25">
      <c r="A33172" s="2">
        <v>33167</v>
      </c>
      <c r="B33172" s="11" t="str">
        <f>"01084083"</f>
        <v>01084083</v>
      </c>
    </row>
    <row r="33173" spans="1:2" x14ac:dyDescent="0.25">
      <c r="A33173" s="2">
        <v>33168</v>
      </c>
      <c r="B33173" s="11" t="str">
        <f>"01084084"</f>
        <v>01084084</v>
      </c>
    </row>
    <row r="33174" spans="1:2" x14ac:dyDescent="0.25">
      <c r="A33174" s="2">
        <v>33169</v>
      </c>
      <c r="B33174" s="11" t="str">
        <f>"01084085"</f>
        <v>01084085</v>
      </c>
    </row>
    <row r="33175" spans="1:2" x14ac:dyDescent="0.25">
      <c r="A33175" s="2">
        <v>33170</v>
      </c>
      <c r="B33175" s="11" t="str">
        <f>"01084086"</f>
        <v>01084086</v>
      </c>
    </row>
    <row r="33176" spans="1:2" x14ac:dyDescent="0.25">
      <c r="A33176" s="2">
        <v>33171</v>
      </c>
      <c r="B33176" s="11" t="str">
        <f>"01084090"</f>
        <v>01084090</v>
      </c>
    </row>
    <row r="33177" spans="1:2" x14ac:dyDescent="0.25">
      <c r="A33177" s="2">
        <v>33172</v>
      </c>
      <c r="B33177" s="11" t="str">
        <f>"01084092"</f>
        <v>01084092</v>
      </c>
    </row>
    <row r="33178" spans="1:2" x14ac:dyDescent="0.25">
      <c r="A33178" s="2">
        <v>33173</v>
      </c>
      <c r="B33178" s="11" t="str">
        <f>"01084096"</f>
        <v>01084096</v>
      </c>
    </row>
    <row r="33179" spans="1:2" x14ac:dyDescent="0.25">
      <c r="A33179" s="2">
        <v>33174</v>
      </c>
      <c r="B33179" s="11" t="str">
        <f>"01084099"</f>
        <v>01084099</v>
      </c>
    </row>
    <row r="33180" spans="1:2" x14ac:dyDescent="0.25">
      <c r="A33180" s="2">
        <v>33175</v>
      </c>
      <c r="B33180" s="11" t="str">
        <f>"01084105"</f>
        <v>01084105</v>
      </c>
    </row>
    <row r="33181" spans="1:2" x14ac:dyDescent="0.25">
      <c r="A33181" s="2">
        <v>33176</v>
      </c>
      <c r="B33181" s="11" t="str">
        <f>"01084109"</f>
        <v>01084109</v>
      </c>
    </row>
    <row r="33182" spans="1:2" x14ac:dyDescent="0.25">
      <c r="A33182" s="2">
        <v>33177</v>
      </c>
      <c r="B33182" s="11" t="str">
        <f>"01084112"</f>
        <v>01084112</v>
      </c>
    </row>
    <row r="33183" spans="1:2" x14ac:dyDescent="0.25">
      <c r="A33183" s="2">
        <v>33178</v>
      </c>
      <c r="B33183" s="11" t="str">
        <f>"01084130"</f>
        <v>01084130</v>
      </c>
    </row>
    <row r="33184" spans="1:2" x14ac:dyDescent="0.25">
      <c r="A33184" s="2">
        <v>33179</v>
      </c>
      <c r="B33184" s="11" t="str">
        <f>"01084132"</f>
        <v>01084132</v>
      </c>
    </row>
    <row r="33185" spans="1:2" x14ac:dyDescent="0.25">
      <c r="A33185" s="2">
        <v>33180</v>
      </c>
      <c r="B33185" s="11" t="str">
        <f>"01084134"</f>
        <v>01084134</v>
      </c>
    </row>
    <row r="33186" spans="1:2" x14ac:dyDescent="0.25">
      <c r="A33186" s="2">
        <v>33181</v>
      </c>
      <c r="B33186" s="11" t="str">
        <f>"01084138"</f>
        <v>01084138</v>
      </c>
    </row>
    <row r="33187" spans="1:2" x14ac:dyDescent="0.25">
      <c r="A33187" s="2">
        <v>33182</v>
      </c>
      <c r="B33187" s="11" t="str">
        <f>"01084146"</f>
        <v>01084146</v>
      </c>
    </row>
    <row r="33188" spans="1:2" x14ac:dyDescent="0.25">
      <c r="A33188" s="2">
        <v>33183</v>
      </c>
      <c r="B33188" s="11" t="str">
        <f>"01084149"</f>
        <v>01084149</v>
      </c>
    </row>
    <row r="33189" spans="1:2" x14ac:dyDescent="0.25">
      <c r="A33189" s="2">
        <v>33184</v>
      </c>
      <c r="B33189" s="11" t="str">
        <f>"01084152"</f>
        <v>01084152</v>
      </c>
    </row>
    <row r="33190" spans="1:2" x14ac:dyDescent="0.25">
      <c r="A33190" s="2">
        <v>33185</v>
      </c>
      <c r="B33190" s="11" t="str">
        <f>"01084170"</f>
        <v>01084170</v>
      </c>
    </row>
    <row r="33191" spans="1:2" x14ac:dyDescent="0.25">
      <c r="A33191" s="2">
        <v>33186</v>
      </c>
      <c r="B33191" s="11" t="str">
        <f>"01084175"</f>
        <v>01084175</v>
      </c>
    </row>
    <row r="33192" spans="1:2" x14ac:dyDescent="0.25">
      <c r="A33192" s="2">
        <v>33187</v>
      </c>
      <c r="B33192" s="11" t="str">
        <f>"01084179"</f>
        <v>01084179</v>
      </c>
    </row>
    <row r="33193" spans="1:2" x14ac:dyDescent="0.25">
      <c r="A33193" s="2">
        <v>33188</v>
      </c>
      <c r="B33193" s="11" t="str">
        <f>"01084180"</f>
        <v>01084180</v>
      </c>
    </row>
    <row r="33194" spans="1:2" x14ac:dyDescent="0.25">
      <c r="A33194" s="2">
        <v>33189</v>
      </c>
      <c r="B33194" s="11" t="str">
        <f>"01084181"</f>
        <v>01084181</v>
      </c>
    </row>
    <row r="33195" spans="1:2" x14ac:dyDescent="0.25">
      <c r="A33195" s="2">
        <v>33190</v>
      </c>
      <c r="B33195" s="11" t="str">
        <f>"01084183"</f>
        <v>01084183</v>
      </c>
    </row>
    <row r="33196" spans="1:2" x14ac:dyDescent="0.25">
      <c r="A33196" s="2">
        <v>33191</v>
      </c>
      <c r="B33196" s="11" t="str">
        <f>"01084187"</f>
        <v>01084187</v>
      </c>
    </row>
    <row r="33197" spans="1:2" x14ac:dyDescent="0.25">
      <c r="A33197" s="2">
        <v>33192</v>
      </c>
      <c r="B33197" s="11" t="str">
        <f>"01084203"</f>
        <v>01084203</v>
      </c>
    </row>
    <row r="33198" spans="1:2" x14ac:dyDescent="0.25">
      <c r="A33198" s="2">
        <v>33193</v>
      </c>
      <c r="B33198" s="11" t="str">
        <f>"01084208"</f>
        <v>01084208</v>
      </c>
    </row>
    <row r="33199" spans="1:2" x14ac:dyDescent="0.25">
      <c r="A33199" s="2">
        <v>33194</v>
      </c>
      <c r="B33199" s="11" t="str">
        <f>"01084210"</f>
        <v>01084210</v>
      </c>
    </row>
    <row r="33200" spans="1:2" x14ac:dyDescent="0.25">
      <c r="A33200" s="2">
        <v>33195</v>
      </c>
      <c r="B33200" s="11" t="str">
        <f>"01084212"</f>
        <v>01084212</v>
      </c>
    </row>
    <row r="33201" spans="1:2" x14ac:dyDescent="0.25">
      <c r="A33201" s="2">
        <v>33196</v>
      </c>
      <c r="B33201" s="11" t="str">
        <f>"01084223"</f>
        <v>01084223</v>
      </c>
    </row>
    <row r="33202" spans="1:2" x14ac:dyDescent="0.25">
      <c r="A33202" s="2">
        <v>33197</v>
      </c>
      <c r="B33202" s="11" t="str">
        <f>"01084225"</f>
        <v>01084225</v>
      </c>
    </row>
    <row r="33203" spans="1:2" x14ac:dyDescent="0.25">
      <c r="A33203" s="2">
        <v>33198</v>
      </c>
      <c r="B33203" s="11" t="str">
        <f>"01084226"</f>
        <v>01084226</v>
      </c>
    </row>
    <row r="33204" spans="1:2" x14ac:dyDescent="0.25">
      <c r="A33204" s="2">
        <v>33199</v>
      </c>
      <c r="B33204" s="11" t="str">
        <f>"01084230"</f>
        <v>01084230</v>
      </c>
    </row>
    <row r="33205" spans="1:2" x14ac:dyDescent="0.25">
      <c r="A33205" s="2">
        <v>33200</v>
      </c>
      <c r="B33205" s="11" t="str">
        <f>"01084233"</f>
        <v>01084233</v>
      </c>
    </row>
    <row r="33206" spans="1:2" x14ac:dyDescent="0.25">
      <c r="A33206" s="2">
        <v>33201</v>
      </c>
      <c r="B33206" s="11" t="str">
        <f>"01084235"</f>
        <v>01084235</v>
      </c>
    </row>
    <row r="33207" spans="1:2" x14ac:dyDescent="0.25">
      <c r="A33207" s="2">
        <v>33202</v>
      </c>
      <c r="B33207" s="11" t="str">
        <f>"01084237"</f>
        <v>01084237</v>
      </c>
    </row>
    <row r="33208" spans="1:2" x14ac:dyDescent="0.25">
      <c r="A33208" s="2">
        <v>33203</v>
      </c>
      <c r="B33208" s="11" t="str">
        <f>"01084238"</f>
        <v>01084238</v>
      </c>
    </row>
    <row r="33209" spans="1:2" x14ac:dyDescent="0.25">
      <c r="A33209" s="2">
        <v>33204</v>
      </c>
      <c r="B33209" s="11" t="str">
        <f>"01084240"</f>
        <v>01084240</v>
      </c>
    </row>
    <row r="33210" spans="1:2" x14ac:dyDescent="0.25">
      <c r="A33210" s="2">
        <v>33205</v>
      </c>
      <c r="B33210" s="11" t="str">
        <f>"01084246"</f>
        <v>01084246</v>
      </c>
    </row>
    <row r="33211" spans="1:2" x14ac:dyDescent="0.25">
      <c r="A33211" s="2">
        <v>33206</v>
      </c>
      <c r="B33211" s="11" t="str">
        <f>"01084248"</f>
        <v>01084248</v>
      </c>
    </row>
    <row r="33212" spans="1:2" x14ac:dyDescent="0.25">
      <c r="A33212" s="2">
        <v>33207</v>
      </c>
      <c r="B33212" s="11" t="str">
        <f>"01084250"</f>
        <v>01084250</v>
      </c>
    </row>
    <row r="33213" spans="1:2" x14ac:dyDescent="0.25">
      <c r="A33213" s="2">
        <v>33208</v>
      </c>
      <c r="B33213" s="11" t="str">
        <f>"01084251"</f>
        <v>01084251</v>
      </c>
    </row>
    <row r="33214" spans="1:2" x14ac:dyDescent="0.25">
      <c r="A33214" s="2">
        <v>33209</v>
      </c>
      <c r="B33214" s="11" t="str">
        <f>"01084252"</f>
        <v>01084252</v>
      </c>
    </row>
    <row r="33215" spans="1:2" x14ac:dyDescent="0.25">
      <c r="A33215" s="2">
        <v>33210</v>
      </c>
      <c r="B33215" s="11" t="str">
        <f>"01084258"</f>
        <v>01084258</v>
      </c>
    </row>
    <row r="33216" spans="1:2" x14ac:dyDescent="0.25">
      <c r="A33216" s="2">
        <v>33211</v>
      </c>
      <c r="B33216" s="11" t="str">
        <f>"01084263"</f>
        <v>01084263</v>
      </c>
    </row>
    <row r="33217" spans="1:2" x14ac:dyDescent="0.25">
      <c r="A33217" s="2">
        <v>33212</v>
      </c>
      <c r="B33217" s="11" t="str">
        <f>"01084279"</f>
        <v>01084279</v>
      </c>
    </row>
    <row r="33218" spans="1:2" x14ac:dyDescent="0.25">
      <c r="A33218" s="2">
        <v>33213</v>
      </c>
      <c r="B33218" s="11" t="str">
        <f>"01084280"</f>
        <v>01084280</v>
      </c>
    </row>
    <row r="33219" spans="1:2" x14ac:dyDescent="0.25">
      <c r="A33219" s="2">
        <v>33214</v>
      </c>
      <c r="B33219" s="11" t="str">
        <f>"01084283"</f>
        <v>01084283</v>
      </c>
    </row>
    <row r="33220" spans="1:2" x14ac:dyDescent="0.25">
      <c r="A33220" s="2">
        <v>33215</v>
      </c>
      <c r="B33220" s="11" t="str">
        <f>"01084284"</f>
        <v>01084284</v>
      </c>
    </row>
    <row r="33221" spans="1:2" x14ac:dyDescent="0.25">
      <c r="A33221" s="2">
        <v>33216</v>
      </c>
      <c r="B33221" s="11" t="str">
        <f>"01084294"</f>
        <v>01084294</v>
      </c>
    </row>
    <row r="33222" spans="1:2" x14ac:dyDescent="0.25">
      <c r="A33222" s="2">
        <v>33217</v>
      </c>
      <c r="B33222" s="11" t="str">
        <f>"01084296"</f>
        <v>01084296</v>
      </c>
    </row>
    <row r="33223" spans="1:2" x14ac:dyDescent="0.25">
      <c r="A33223" s="2">
        <v>33218</v>
      </c>
      <c r="B33223" s="11" t="str">
        <f>"01084297"</f>
        <v>01084297</v>
      </c>
    </row>
    <row r="33224" spans="1:2" x14ac:dyDescent="0.25">
      <c r="A33224" s="2">
        <v>33219</v>
      </c>
      <c r="B33224" s="11" t="str">
        <f>"01084299"</f>
        <v>01084299</v>
      </c>
    </row>
    <row r="33225" spans="1:2" x14ac:dyDescent="0.25">
      <c r="A33225" s="2">
        <v>33220</v>
      </c>
      <c r="B33225" s="11" t="str">
        <f>"01084304"</f>
        <v>01084304</v>
      </c>
    </row>
    <row r="33226" spans="1:2" x14ac:dyDescent="0.25">
      <c r="A33226" s="2">
        <v>33221</v>
      </c>
      <c r="B33226" s="11" t="str">
        <f>"01084305"</f>
        <v>01084305</v>
      </c>
    </row>
    <row r="33227" spans="1:2" x14ac:dyDescent="0.25">
      <c r="A33227" s="2">
        <v>33222</v>
      </c>
      <c r="B33227" s="11" t="str">
        <f>"01084308"</f>
        <v>01084308</v>
      </c>
    </row>
    <row r="33228" spans="1:2" x14ac:dyDescent="0.25">
      <c r="A33228" s="2">
        <v>33223</v>
      </c>
      <c r="B33228" s="11" t="str">
        <f>"01084309"</f>
        <v>01084309</v>
      </c>
    </row>
    <row r="33229" spans="1:2" x14ac:dyDescent="0.25">
      <c r="A33229" s="2">
        <v>33224</v>
      </c>
      <c r="B33229" s="11" t="str">
        <f>"01084320"</f>
        <v>01084320</v>
      </c>
    </row>
    <row r="33230" spans="1:2" x14ac:dyDescent="0.25">
      <c r="A33230" s="2">
        <v>33225</v>
      </c>
      <c r="B33230" s="11" t="str">
        <f>"01084325"</f>
        <v>01084325</v>
      </c>
    </row>
    <row r="33231" spans="1:2" x14ac:dyDescent="0.25">
      <c r="A33231" s="2">
        <v>33226</v>
      </c>
      <c r="B33231" s="11" t="str">
        <f>"01084327"</f>
        <v>01084327</v>
      </c>
    </row>
    <row r="33232" spans="1:2" x14ac:dyDescent="0.25">
      <c r="A33232" s="2">
        <v>33227</v>
      </c>
      <c r="B33232" s="11" t="str">
        <f>"01084338"</f>
        <v>01084338</v>
      </c>
    </row>
    <row r="33233" spans="1:2" x14ac:dyDescent="0.25">
      <c r="A33233" s="2">
        <v>33228</v>
      </c>
      <c r="B33233" s="11" t="str">
        <f>"01084345"</f>
        <v>01084345</v>
      </c>
    </row>
    <row r="33234" spans="1:2" x14ac:dyDescent="0.25">
      <c r="A33234" s="2">
        <v>33229</v>
      </c>
      <c r="B33234" s="11" t="str">
        <f>"01084348"</f>
        <v>01084348</v>
      </c>
    </row>
    <row r="33235" spans="1:2" x14ac:dyDescent="0.25">
      <c r="A33235" s="2">
        <v>33230</v>
      </c>
      <c r="B33235" s="11" t="str">
        <f>"01084349"</f>
        <v>01084349</v>
      </c>
    </row>
    <row r="33236" spans="1:2" x14ac:dyDescent="0.25">
      <c r="A33236" s="2">
        <v>33231</v>
      </c>
      <c r="B33236" s="11" t="str">
        <f>"01084358"</f>
        <v>01084358</v>
      </c>
    </row>
    <row r="33237" spans="1:2" x14ac:dyDescent="0.25">
      <c r="A33237" s="2">
        <v>33232</v>
      </c>
      <c r="B33237" s="11" t="str">
        <f>"01084359"</f>
        <v>01084359</v>
      </c>
    </row>
    <row r="33238" spans="1:2" x14ac:dyDescent="0.25">
      <c r="A33238" s="2">
        <v>33233</v>
      </c>
      <c r="B33238" s="11" t="str">
        <f>"01084361"</f>
        <v>01084361</v>
      </c>
    </row>
    <row r="33239" spans="1:2" x14ac:dyDescent="0.25">
      <c r="A33239" s="2">
        <v>33234</v>
      </c>
      <c r="B33239" s="11" t="str">
        <f>"01084367"</f>
        <v>01084367</v>
      </c>
    </row>
    <row r="33240" spans="1:2" x14ac:dyDescent="0.25">
      <c r="A33240" s="2">
        <v>33235</v>
      </c>
      <c r="B33240" s="11" t="str">
        <f>"01084368"</f>
        <v>01084368</v>
      </c>
    </row>
    <row r="33241" spans="1:2" x14ac:dyDescent="0.25">
      <c r="A33241" s="2">
        <v>33236</v>
      </c>
      <c r="B33241" s="11" t="str">
        <f>"01084371"</f>
        <v>01084371</v>
      </c>
    </row>
    <row r="33242" spans="1:2" x14ac:dyDescent="0.25">
      <c r="A33242" s="2">
        <v>33237</v>
      </c>
      <c r="B33242" s="11" t="str">
        <f>"01084375"</f>
        <v>01084375</v>
      </c>
    </row>
    <row r="33243" spans="1:2" x14ac:dyDescent="0.25">
      <c r="A33243" s="2">
        <v>33238</v>
      </c>
      <c r="B33243" s="11" t="str">
        <f>"01084381"</f>
        <v>01084381</v>
      </c>
    </row>
    <row r="33244" spans="1:2" x14ac:dyDescent="0.25">
      <c r="A33244" s="2">
        <v>33239</v>
      </c>
      <c r="B33244" s="11" t="str">
        <f>"01084383"</f>
        <v>01084383</v>
      </c>
    </row>
    <row r="33245" spans="1:2" x14ac:dyDescent="0.25">
      <c r="A33245" s="2">
        <v>33240</v>
      </c>
      <c r="B33245" s="11" t="str">
        <f>"01084384"</f>
        <v>01084384</v>
      </c>
    </row>
    <row r="33246" spans="1:2" x14ac:dyDescent="0.25">
      <c r="A33246" s="2">
        <v>33241</v>
      </c>
      <c r="B33246" s="11" t="str">
        <f>"01084390"</f>
        <v>01084390</v>
      </c>
    </row>
    <row r="33247" spans="1:2" x14ac:dyDescent="0.25">
      <c r="A33247" s="2">
        <v>33242</v>
      </c>
      <c r="B33247" s="11" t="str">
        <f>"01084408"</f>
        <v>01084408</v>
      </c>
    </row>
    <row r="33248" spans="1:2" x14ac:dyDescent="0.25">
      <c r="A33248" s="2">
        <v>33243</v>
      </c>
      <c r="B33248" s="11" t="str">
        <f>"01084412"</f>
        <v>01084412</v>
      </c>
    </row>
    <row r="33249" spans="1:2" x14ac:dyDescent="0.25">
      <c r="A33249" s="2">
        <v>33244</v>
      </c>
      <c r="B33249" s="11" t="str">
        <f>"01084413"</f>
        <v>01084413</v>
      </c>
    </row>
    <row r="33250" spans="1:2" x14ac:dyDescent="0.25">
      <c r="A33250" s="2">
        <v>33245</v>
      </c>
      <c r="B33250" s="11" t="str">
        <f>"01084420"</f>
        <v>01084420</v>
      </c>
    </row>
    <row r="33251" spans="1:2" x14ac:dyDescent="0.25">
      <c r="A33251" s="2">
        <v>33246</v>
      </c>
      <c r="B33251" s="11" t="str">
        <f>"01084421"</f>
        <v>01084421</v>
      </c>
    </row>
    <row r="33252" spans="1:2" x14ac:dyDescent="0.25">
      <c r="A33252" s="2">
        <v>33247</v>
      </c>
      <c r="B33252" s="11" t="str">
        <f>"01084437"</f>
        <v>01084437</v>
      </c>
    </row>
    <row r="33253" spans="1:2" x14ac:dyDescent="0.25">
      <c r="A33253" s="2">
        <v>33248</v>
      </c>
      <c r="B33253" s="11" t="str">
        <f>"01084438"</f>
        <v>01084438</v>
      </c>
    </row>
    <row r="33254" spans="1:2" x14ac:dyDescent="0.25">
      <c r="A33254" s="2">
        <v>33249</v>
      </c>
      <c r="B33254" s="11" t="str">
        <f>"01084441"</f>
        <v>01084441</v>
      </c>
    </row>
    <row r="33255" spans="1:2" x14ac:dyDescent="0.25">
      <c r="A33255" s="2">
        <v>33250</v>
      </c>
      <c r="B33255" s="11" t="str">
        <f>"01084446"</f>
        <v>01084446</v>
      </c>
    </row>
    <row r="33256" spans="1:2" x14ac:dyDescent="0.25">
      <c r="A33256" s="2">
        <v>33251</v>
      </c>
      <c r="B33256" s="11" t="str">
        <f>"01084454"</f>
        <v>01084454</v>
      </c>
    </row>
    <row r="33257" spans="1:2" x14ac:dyDescent="0.25">
      <c r="A33257" s="2">
        <v>33252</v>
      </c>
      <c r="B33257" s="11" t="str">
        <f>"01084456"</f>
        <v>01084456</v>
      </c>
    </row>
    <row r="33258" spans="1:2" x14ac:dyDescent="0.25">
      <c r="A33258" s="2">
        <v>33253</v>
      </c>
      <c r="B33258" s="11" t="str">
        <f>"01084459"</f>
        <v>01084459</v>
      </c>
    </row>
    <row r="33259" spans="1:2" x14ac:dyDescent="0.25">
      <c r="A33259" s="2">
        <v>33254</v>
      </c>
      <c r="B33259" s="11" t="str">
        <f>"01084462"</f>
        <v>01084462</v>
      </c>
    </row>
    <row r="33260" spans="1:2" x14ac:dyDescent="0.25">
      <c r="A33260" s="2">
        <v>33255</v>
      </c>
      <c r="B33260" s="11" t="str">
        <f>"01084464"</f>
        <v>01084464</v>
      </c>
    </row>
    <row r="33261" spans="1:2" x14ac:dyDescent="0.25">
      <c r="A33261" s="2">
        <v>33256</v>
      </c>
      <c r="B33261" s="11" t="str">
        <f>"01084466"</f>
        <v>01084466</v>
      </c>
    </row>
    <row r="33262" spans="1:2" x14ac:dyDescent="0.25">
      <c r="A33262" s="2">
        <v>33257</v>
      </c>
      <c r="B33262" s="11" t="str">
        <f>"01084475"</f>
        <v>01084475</v>
      </c>
    </row>
    <row r="33263" spans="1:2" x14ac:dyDescent="0.25">
      <c r="A33263" s="2">
        <v>33258</v>
      </c>
      <c r="B33263" s="11" t="str">
        <f>"01084482"</f>
        <v>01084482</v>
      </c>
    </row>
    <row r="33264" spans="1:2" x14ac:dyDescent="0.25">
      <c r="A33264" s="2">
        <v>33259</v>
      </c>
      <c r="B33264" s="11" t="str">
        <f>"01084485"</f>
        <v>01084485</v>
      </c>
    </row>
    <row r="33265" spans="1:2" x14ac:dyDescent="0.25">
      <c r="A33265" s="2">
        <v>33260</v>
      </c>
      <c r="B33265" s="11" t="str">
        <f>"01084489"</f>
        <v>01084489</v>
      </c>
    </row>
    <row r="33266" spans="1:2" x14ac:dyDescent="0.25">
      <c r="A33266" s="2">
        <v>33261</v>
      </c>
      <c r="B33266" s="11" t="str">
        <f>"01084491"</f>
        <v>01084491</v>
      </c>
    </row>
    <row r="33267" spans="1:2" x14ac:dyDescent="0.25">
      <c r="A33267" s="2">
        <v>33262</v>
      </c>
      <c r="B33267" s="11" t="str">
        <f>"01084496"</f>
        <v>01084496</v>
      </c>
    </row>
    <row r="33268" spans="1:2" x14ac:dyDescent="0.25">
      <c r="A33268" s="2">
        <v>33263</v>
      </c>
      <c r="B33268" s="11" t="str">
        <f>"01084497"</f>
        <v>01084497</v>
      </c>
    </row>
    <row r="33269" spans="1:2" x14ac:dyDescent="0.25">
      <c r="A33269" s="2">
        <v>33264</v>
      </c>
      <c r="B33269" s="11" t="str">
        <f>"01084499"</f>
        <v>01084499</v>
      </c>
    </row>
    <row r="33270" spans="1:2" x14ac:dyDescent="0.25">
      <c r="A33270" s="2">
        <v>33265</v>
      </c>
      <c r="B33270" s="11" t="str">
        <f>"01084501"</f>
        <v>01084501</v>
      </c>
    </row>
    <row r="33271" spans="1:2" x14ac:dyDescent="0.25">
      <c r="A33271" s="2">
        <v>33266</v>
      </c>
      <c r="B33271" s="11" t="str">
        <f>"01084506"</f>
        <v>01084506</v>
      </c>
    </row>
    <row r="33272" spans="1:2" x14ac:dyDescent="0.25">
      <c r="A33272" s="2">
        <v>33267</v>
      </c>
      <c r="B33272" s="11" t="str">
        <f>"01084507"</f>
        <v>01084507</v>
      </c>
    </row>
    <row r="33273" spans="1:2" x14ac:dyDescent="0.25">
      <c r="A33273" s="2">
        <v>33268</v>
      </c>
      <c r="B33273" s="11" t="str">
        <f>"01084514"</f>
        <v>01084514</v>
      </c>
    </row>
    <row r="33274" spans="1:2" x14ac:dyDescent="0.25">
      <c r="A33274" s="2">
        <v>33269</v>
      </c>
      <c r="B33274" s="11" t="str">
        <f>"01084520"</f>
        <v>01084520</v>
      </c>
    </row>
    <row r="33275" spans="1:2" x14ac:dyDescent="0.25">
      <c r="A33275" s="2">
        <v>33270</v>
      </c>
      <c r="B33275" s="11" t="str">
        <f>"01084522"</f>
        <v>01084522</v>
      </c>
    </row>
    <row r="33276" spans="1:2" x14ac:dyDescent="0.25">
      <c r="A33276" s="2">
        <v>33271</v>
      </c>
      <c r="B33276" s="11" t="str">
        <f>"01084527"</f>
        <v>01084527</v>
      </c>
    </row>
    <row r="33277" spans="1:2" x14ac:dyDescent="0.25">
      <c r="A33277" s="2">
        <v>33272</v>
      </c>
      <c r="B33277" s="11" t="str">
        <f>"01084528"</f>
        <v>01084528</v>
      </c>
    </row>
    <row r="33278" spans="1:2" x14ac:dyDescent="0.25">
      <c r="A33278" s="2">
        <v>33273</v>
      </c>
      <c r="B33278" s="11" t="str">
        <f>"01084531"</f>
        <v>01084531</v>
      </c>
    </row>
    <row r="33279" spans="1:2" x14ac:dyDescent="0.25">
      <c r="A33279" s="2">
        <v>33274</v>
      </c>
      <c r="B33279" s="11" t="str">
        <f>"01084535"</f>
        <v>01084535</v>
      </c>
    </row>
    <row r="33280" spans="1:2" x14ac:dyDescent="0.25">
      <c r="A33280" s="2">
        <v>33275</v>
      </c>
      <c r="B33280" s="11" t="str">
        <f>"01084536"</f>
        <v>01084536</v>
      </c>
    </row>
    <row r="33281" spans="1:2" x14ac:dyDescent="0.25">
      <c r="A33281" s="2">
        <v>33276</v>
      </c>
      <c r="B33281" s="11" t="str">
        <f>"01084537"</f>
        <v>01084537</v>
      </c>
    </row>
    <row r="33282" spans="1:2" x14ac:dyDescent="0.25">
      <c r="A33282" s="2">
        <v>33277</v>
      </c>
      <c r="B33282" s="11" t="str">
        <f>"01084539"</f>
        <v>01084539</v>
      </c>
    </row>
    <row r="33283" spans="1:2" x14ac:dyDescent="0.25">
      <c r="A33283" s="2">
        <v>33278</v>
      </c>
      <c r="B33283" s="11" t="str">
        <f>"01084546"</f>
        <v>01084546</v>
      </c>
    </row>
    <row r="33284" spans="1:2" x14ac:dyDescent="0.25">
      <c r="A33284" s="2">
        <v>33279</v>
      </c>
      <c r="B33284" s="11" t="str">
        <f>"01084551"</f>
        <v>01084551</v>
      </c>
    </row>
    <row r="33285" spans="1:2" x14ac:dyDescent="0.25">
      <c r="A33285" s="2">
        <v>33280</v>
      </c>
      <c r="B33285" s="11" t="str">
        <f>"01084552"</f>
        <v>01084552</v>
      </c>
    </row>
    <row r="33286" spans="1:2" x14ac:dyDescent="0.25">
      <c r="A33286" s="2">
        <v>33281</v>
      </c>
      <c r="B33286" s="11" t="str">
        <f>"01084560"</f>
        <v>01084560</v>
      </c>
    </row>
    <row r="33287" spans="1:2" x14ac:dyDescent="0.25">
      <c r="A33287" s="2">
        <v>33282</v>
      </c>
      <c r="B33287" s="11" t="str">
        <f>"01084562"</f>
        <v>01084562</v>
      </c>
    </row>
    <row r="33288" spans="1:2" x14ac:dyDescent="0.25">
      <c r="A33288" s="2">
        <v>33283</v>
      </c>
      <c r="B33288" s="11" t="str">
        <f>"01084565"</f>
        <v>01084565</v>
      </c>
    </row>
    <row r="33289" spans="1:2" x14ac:dyDescent="0.25">
      <c r="A33289" s="2">
        <v>33284</v>
      </c>
      <c r="B33289" s="11" t="str">
        <f>"01084567"</f>
        <v>01084567</v>
      </c>
    </row>
    <row r="33290" spans="1:2" x14ac:dyDescent="0.25">
      <c r="A33290" s="2">
        <v>33285</v>
      </c>
      <c r="B33290" s="11" t="str">
        <f>"01084570"</f>
        <v>01084570</v>
      </c>
    </row>
    <row r="33291" spans="1:2" x14ac:dyDescent="0.25">
      <c r="A33291" s="2">
        <v>33286</v>
      </c>
      <c r="B33291" s="11" t="str">
        <f>"01084573"</f>
        <v>01084573</v>
      </c>
    </row>
    <row r="33292" spans="1:2" x14ac:dyDescent="0.25">
      <c r="A33292" s="2">
        <v>33287</v>
      </c>
      <c r="B33292" s="11" t="str">
        <f>"01084577"</f>
        <v>01084577</v>
      </c>
    </row>
    <row r="33293" spans="1:2" x14ac:dyDescent="0.25">
      <c r="A33293" s="2">
        <v>33288</v>
      </c>
      <c r="B33293" s="11" t="str">
        <f>"01084581"</f>
        <v>01084581</v>
      </c>
    </row>
    <row r="33294" spans="1:2" x14ac:dyDescent="0.25">
      <c r="A33294" s="2">
        <v>33289</v>
      </c>
      <c r="B33294" s="11" t="str">
        <f>"01084590"</f>
        <v>01084590</v>
      </c>
    </row>
    <row r="33295" spans="1:2" x14ac:dyDescent="0.25">
      <c r="A33295" s="2">
        <v>33290</v>
      </c>
      <c r="B33295" s="11" t="str">
        <f>"01084591"</f>
        <v>01084591</v>
      </c>
    </row>
    <row r="33296" spans="1:2" x14ac:dyDescent="0.25">
      <c r="A33296" s="2">
        <v>33291</v>
      </c>
      <c r="B33296" s="11" t="str">
        <f>"01084595"</f>
        <v>01084595</v>
      </c>
    </row>
    <row r="33297" spans="1:2" x14ac:dyDescent="0.25">
      <c r="A33297" s="2">
        <v>33292</v>
      </c>
      <c r="B33297" s="11" t="str">
        <f>"01084596"</f>
        <v>01084596</v>
      </c>
    </row>
    <row r="33298" spans="1:2" x14ac:dyDescent="0.25">
      <c r="A33298" s="2">
        <v>33293</v>
      </c>
      <c r="B33298" s="11" t="str">
        <f>"01084602"</f>
        <v>01084602</v>
      </c>
    </row>
    <row r="33299" spans="1:2" x14ac:dyDescent="0.25">
      <c r="A33299" s="2">
        <v>33294</v>
      </c>
      <c r="B33299" s="11" t="str">
        <f>"01084606"</f>
        <v>01084606</v>
      </c>
    </row>
    <row r="33300" spans="1:2" x14ac:dyDescent="0.25">
      <c r="A33300" s="2">
        <v>33295</v>
      </c>
      <c r="B33300" s="11" t="str">
        <f>"01084611"</f>
        <v>01084611</v>
      </c>
    </row>
    <row r="33301" spans="1:2" x14ac:dyDescent="0.25">
      <c r="A33301" s="2">
        <v>33296</v>
      </c>
      <c r="B33301" s="11" t="str">
        <f>"01084618"</f>
        <v>01084618</v>
      </c>
    </row>
    <row r="33302" spans="1:2" x14ac:dyDescent="0.25">
      <c r="A33302" s="2">
        <v>33297</v>
      </c>
      <c r="B33302" s="11" t="str">
        <f>"01084620"</f>
        <v>01084620</v>
      </c>
    </row>
    <row r="33303" spans="1:2" x14ac:dyDescent="0.25">
      <c r="A33303" s="2">
        <v>33298</v>
      </c>
      <c r="B33303" s="11" t="str">
        <f>"01084623"</f>
        <v>01084623</v>
      </c>
    </row>
    <row r="33304" spans="1:2" x14ac:dyDescent="0.25">
      <c r="A33304" s="2">
        <v>33299</v>
      </c>
      <c r="B33304" s="11" t="str">
        <f>"01084625"</f>
        <v>01084625</v>
      </c>
    </row>
    <row r="33305" spans="1:2" x14ac:dyDescent="0.25">
      <c r="A33305" s="2">
        <v>33300</v>
      </c>
      <c r="B33305" s="11" t="str">
        <f>"01084628"</f>
        <v>01084628</v>
      </c>
    </row>
    <row r="33306" spans="1:2" x14ac:dyDescent="0.25">
      <c r="A33306" s="2">
        <v>33301</v>
      </c>
      <c r="B33306" s="11" t="str">
        <f>"01084631"</f>
        <v>01084631</v>
      </c>
    </row>
    <row r="33307" spans="1:2" x14ac:dyDescent="0.25">
      <c r="A33307" s="2">
        <v>33302</v>
      </c>
      <c r="B33307" s="11" t="str">
        <f>"01084640"</f>
        <v>01084640</v>
      </c>
    </row>
    <row r="33308" spans="1:2" x14ac:dyDescent="0.25">
      <c r="A33308" s="2">
        <v>33303</v>
      </c>
      <c r="B33308" s="11" t="str">
        <f>"01084649"</f>
        <v>01084649</v>
      </c>
    </row>
    <row r="33309" spans="1:2" x14ac:dyDescent="0.25">
      <c r="A33309" s="2">
        <v>33304</v>
      </c>
      <c r="B33309" s="11" t="str">
        <f>"01084652"</f>
        <v>01084652</v>
      </c>
    </row>
    <row r="33310" spans="1:2" x14ac:dyDescent="0.25">
      <c r="A33310" s="2">
        <v>33305</v>
      </c>
      <c r="B33310" s="11" t="str">
        <f>"01084654"</f>
        <v>01084654</v>
      </c>
    </row>
    <row r="33311" spans="1:2" x14ac:dyDescent="0.25">
      <c r="A33311" s="2">
        <v>33306</v>
      </c>
      <c r="B33311" s="11" t="str">
        <f>"01084659"</f>
        <v>01084659</v>
      </c>
    </row>
    <row r="33312" spans="1:2" x14ac:dyDescent="0.25">
      <c r="A33312" s="2">
        <v>33307</v>
      </c>
      <c r="B33312" s="11" t="str">
        <f>"01084660"</f>
        <v>01084660</v>
      </c>
    </row>
    <row r="33313" spans="1:2" x14ac:dyDescent="0.25">
      <c r="A33313" s="2">
        <v>33308</v>
      </c>
      <c r="B33313" s="11" t="str">
        <f>"01084661"</f>
        <v>01084661</v>
      </c>
    </row>
    <row r="33314" spans="1:2" x14ac:dyDescent="0.25">
      <c r="A33314" s="2">
        <v>33309</v>
      </c>
      <c r="B33314" s="11" t="str">
        <f>"01084663"</f>
        <v>01084663</v>
      </c>
    </row>
    <row r="33315" spans="1:2" x14ac:dyDescent="0.25">
      <c r="A33315" s="2">
        <v>33310</v>
      </c>
      <c r="B33315" s="11" t="str">
        <f>"01084673"</f>
        <v>01084673</v>
      </c>
    </row>
    <row r="33316" spans="1:2" x14ac:dyDescent="0.25">
      <c r="A33316" s="2">
        <v>33311</v>
      </c>
      <c r="B33316" s="11" t="str">
        <f>"01084680"</f>
        <v>01084680</v>
      </c>
    </row>
    <row r="33317" spans="1:2" x14ac:dyDescent="0.25">
      <c r="A33317" s="2">
        <v>33312</v>
      </c>
      <c r="B33317" s="11" t="str">
        <f>"01084684"</f>
        <v>01084684</v>
      </c>
    </row>
    <row r="33318" spans="1:2" x14ac:dyDescent="0.25">
      <c r="A33318" s="2">
        <v>33313</v>
      </c>
      <c r="B33318" s="11" t="str">
        <f>"01084685"</f>
        <v>01084685</v>
      </c>
    </row>
    <row r="33319" spans="1:2" x14ac:dyDescent="0.25">
      <c r="A33319" s="2">
        <v>33314</v>
      </c>
      <c r="B33319" s="11" t="str">
        <f>"01084688"</f>
        <v>01084688</v>
      </c>
    </row>
    <row r="33320" spans="1:2" x14ac:dyDescent="0.25">
      <c r="A33320" s="2">
        <v>33315</v>
      </c>
      <c r="B33320" s="11" t="str">
        <f>"01084693"</f>
        <v>01084693</v>
      </c>
    </row>
    <row r="33321" spans="1:2" x14ac:dyDescent="0.25">
      <c r="A33321" s="2">
        <v>33316</v>
      </c>
      <c r="B33321" s="11" t="str">
        <f>"01084694"</f>
        <v>01084694</v>
      </c>
    </row>
    <row r="33322" spans="1:2" x14ac:dyDescent="0.25">
      <c r="A33322" s="2">
        <v>33317</v>
      </c>
      <c r="B33322" s="11" t="str">
        <f>"01084696"</f>
        <v>01084696</v>
      </c>
    </row>
    <row r="33323" spans="1:2" x14ac:dyDescent="0.25">
      <c r="A33323" s="2">
        <v>33318</v>
      </c>
      <c r="B33323" s="11" t="str">
        <f>"01084700"</f>
        <v>01084700</v>
      </c>
    </row>
    <row r="33324" spans="1:2" x14ac:dyDescent="0.25">
      <c r="A33324" s="2">
        <v>33319</v>
      </c>
      <c r="B33324" s="11" t="str">
        <f>"01084702"</f>
        <v>01084702</v>
      </c>
    </row>
    <row r="33325" spans="1:2" x14ac:dyDescent="0.25">
      <c r="A33325" s="2">
        <v>33320</v>
      </c>
      <c r="B33325" s="11" t="str">
        <f>"01084708"</f>
        <v>01084708</v>
      </c>
    </row>
    <row r="33326" spans="1:2" x14ac:dyDescent="0.25">
      <c r="A33326" s="2">
        <v>33321</v>
      </c>
      <c r="B33326" s="11" t="str">
        <f>"01084717"</f>
        <v>01084717</v>
      </c>
    </row>
    <row r="33327" spans="1:2" x14ac:dyDescent="0.25">
      <c r="A33327" s="2">
        <v>33322</v>
      </c>
      <c r="B33327" s="11" t="str">
        <f>"01084722"</f>
        <v>01084722</v>
      </c>
    </row>
    <row r="33328" spans="1:2" x14ac:dyDescent="0.25">
      <c r="A33328" s="2">
        <v>33323</v>
      </c>
      <c r="B33328" s="11" t="str">
        <f>"01084726"</f>
        <v>01084726</v>
      </c>
    </row>
    <row r="33329" spans="1:2" x14ac:dyDescent="0.25">
      <c r="A33329" s="2">
        <v>33324</v>
      </c>
      <c r="B33329" s="11" t="str">
        <f>"01084727"</f>
        <v>01084727</v>
      </c>
    </row>
    <row r="33330" spans="1:2" x14ac:dyDescent="0.25">
      <c r="A33330" s="2">
        <v>33325</v>
      </c>
      <c r="B33330" s="11" t="str">
        <f>"01084739"</f>
        <v>01084739</v>
      </c>
    </row>
    <row r="33331" spans="1:2" x14ac:dyDescent="0.25">
      <c r="A33331" s="2">
        <v>33326</v>
      </c>
      <c r="B33331" s="11" t="str">
        <f>"01084745"</f>
        <v>01084745</v>
      </c>
    </row>
    <row r="33332" spans="1:2" x14ac:dyDescent="0.25">
      <c r="A33332" s="2">
        <v>33327</v>
      </c>
      <c r="B33332" s="11" t="str">
        <f>"01084749"</f>
        <v>01084749</v>
      </c>
    </row>
    <row r="33333" spans="1:2" x14ac:dyDescent="0.25">
      <c r="A33333" s="2">
        <v>33328</v>
      </c>
      <c r="B33333" s="11" t="str">
        <f>"01084752"</f>
        <v>01084752</v>
      </c>
    </row>
    <row r="33334" spans="1:2" x14ac:dyDescent="0.25">
      <c r="A33334" s="2">
        <v>33329</v>
      </c>
      <c r="B33334" s="11" t="str">
        <f>"01084758"</f>
        <v>01084758</v>
      </c>
    </row>
    <row r="33335" spans="1:2" x14ac:dyDescent="0.25">
      <c r="A33335" s="2">
        <v>33330</v>
      </c>
      <c r="B33335" s="11" t="str">
        <f>"01084763"</f>
        <v>01084763</v>
      </c>
    </row>
    <row r="33336" spans="1:2" x14ac:dyDescent="0.25">
      <c r="A33336" s="2">
        <v>33331</v>
      </c>
      <c r="B33336" s="11" t="str">
        <f>"01084776"</f>
        <v>01084776</v>
      </c>
    </row>
    <row r="33337" spans="1:2" x14ac:dyDescent="0.25">
      <c r="A33337" s="2">
        <v>33332</v>
      </c>
      <c r="B33337" s="11" t="str">
        <f>"01084779"</f>
        <v>01084779</v>
      </c>
    </row>
    <row r="33338" spans="1:2" x14ac:dyDescent="0.25">
      <c r="A33338" s="2">
        <v>33333</v>
      </c>
      <c r="B33338" s="11" t="str">
        <f>"01084783"</f>
        <v>01084783</v>
      </c>
    </row>
    <row r="33339" spans="1:2" x14ac:dyDescent="0.25">
      <c r="A33339" s="2">
        <v>33334</v>
      </c>
      <c r="B33339" s="11" t="str">
        <f>"01084786"</f>
        <v>01084786</v>
      </c>
    </row>
    <row r="33340" spans="1:2" x14ac:dyDescent="0.25">
      <c r="A33340" s="2">
        <v>33335</v>
      </c>
      <c r="B33340" s="11" t="str">
        <f>"01084788"</f>
        <v>01084788</v>
      </c>
    </row>
    <row r="33341" spans="1:2" x14ac:dyDescent="0.25">
      <c r="A33341" s="2">
        <v>33336</v>
      </c>
      <c r="B33341" s="11" t="str">
        <f>"01084794"</f>
        <v>01084794</v>
      </c>
    </row>
    <row r="33342" spans="1:2" x14ac:dyDescent="0.25">
      <c r="A33342" s="2">
        <v>33337</v>
      </c>
      <c r="B33342" s="11" t="str">
        <f>"01084801"</f>
        <v>01084801</v>
      </c>
    </row>
    <row r="33343" spans="1:2" x14ac:dyDescent="0.25">
      <c r="A33343" s="2">
        <v>33338</v>
      </c>
      <c r="B33343" s="11" t="str">
        <f>"01084806"</f>
        <v>01084806</v>
      </c>
    </row>
    <row r="33344" spans="1:2" x14ac:dyDescent="0.25">
      <c r="A33344" s="2">
        <v>33339</v>
      </c>
      <c r="B33344" s="11" t="str">
        <f>"01084810"</f>
        <v>01084810</v>
      </c>
    </row>
    <row r="33345" spans="1:2" x14ac:dyDescent="0.25">
      <c r="A33345" s="2">
        <v>33340</v>
      </c>
      <c r="B33345" s="11" t="str">
        <f>"01084815"</f>
        <v>01084815</v>
      </c>
    </row>
    <row r="33346" spans="1:2" x14ac:dyDescent="0.25">
      <c r="A33346" s="2">
        <v>33341</v>
      </c>
      <c r="B33346" s="11" t="str">
        <f>"01084824"</f>
        <v>01084824</v>
      </c>
    </row>
    <row r="33347" spans="1:2" x14ac:dyDescent="0.25">
      <c r="A33347" s="2">
        <v>33342</v>
      </c>
      <c r="B33347" s="11" t="str">
        <f>"01084825"</f>
        <v>01084825</v>
      </c>
    </row>
    <row r="33348" spans="1:2" x14ac:dyDescent="0.25">
      <c r="A33348" s="2">
        <v>33343</v>
      </c>
      <c r="B33348" s="11" t="str">
        <f>"01084829"</f>
        <v>01084829</v>
      </c>
    </row>
    <row r="33349" spans="1:2" x14ac:dyDescent="0.25">
      <c r="A33349" s="2">
        <v>33344</v>
      </c>
      <c r="B33349" s="11" t="str">
        <f>"01084833"</f>
        <v>01084833</v>
      </c>
    </row>
    <row r="33350" spans="1:2" x14ac:dyDescent="0.25">
      <c r="A33350" s="2">
        <v>33345</v>
      </c>
      <c r="B33350" s="11" t="str">
        <f>"01084836"</f>
        <v>01084836</v>
      </c>
    </row>
    <row r="33351" spans="1:2" x14ac:dyDescent="0.25">
      <c r="A33351" s="2">
        <v>33346</v>
      </c>
      <c r="B33351" s="11" t="str">
        <f>"01084847"</f>
        <v>01084847</v>
      </c>
    </row>
    <row r="33352" spans="1:2" x14ac:dyDescent="0.25">
      <c r="A33352" s="2">
        <v>33347</v>
      </c>
      <c r="B33352" s="11" t="str">
        <f>"01084851"</f>
        <v>01084851</v>
      </c>
    </row>
    <row r="33353" spans="1:2" x14ac:dyDescent="0.25">
      <c r="A33353" s="2">
        <v>33348</v>
      </c>
      <c r="B33353" s="11" t="str">
        <f>"01084855"</f>
        <v>01084855</v>
      </c>
    </row>
    <row r="33354" spans="1:2" x14ac:dyDescent="0.25">
      <c r="A33354" s="2">
        <v>33349</v>
      </c>
      <c r="B33354" s="11" t="str">
        <f>"01084857"</f>
        <v>01084857</v>
      </c>
    </row>
    <row r="33355" spans="1:2" x14ac:dyDescent="0.25">
      <c r="A33355" s="2">
        <v>33350</v>
      </c>
      <c r="B33355" s="11" t="str">
        <f>"01084878"</f>
        <v>01084878</v>
      </c>
    </row>
    <row r="33356" spans="1:2" x14ac:dyDescent="0.25">
      <c r="A33356" s="2">
        <v>33351</v>
      </c>
      <c r="B33356" s="11" t="str">
        <f>"01084893"</f>
        <v>01084893</v>
      </c>
    </row>
    <row r="33357" spans="1:2" x14ac:dyDescent="0.25">
      <c r="A33357" s="2">
        <v>33352</v>
      </c>
      <c r="B33357" s="11" t="str">
        <f>"01084900"</f>
        <v>01084900</v>
      </c>
    </row>
    <row r="33358" spans="1:2" x14ac:dyDescent="0.25">
      <c r="A33358" s="2">
        <v>33353</v>
      </c>
      <c r="B33358" s="11" t="str">
        <f>"01084923"</f>
        <v>01084923</v>
      </c>
    </row>
    <row r="33359" spans="1:2" x14ac:dyDescent="0.25">
      <c r="A33359" s="2">
        <v>33354</v>
      </c>
      <c r="B33359" s="11" t="str">
        <f>"01084937"</f>
        <v>01084937</v>
      </c>
    </row>
    <row r="33360" spans="1:2" x14ac:dyDescent="0.25">
      <c r="A33360" s="2">
        <v>33355</v>
      </c>
      <c r="B33360" s="11" t="str">
        <f>"01084940"</f>
        <v>01084940</v>
      </c>
    </row>
    <row r="33361" spans="1:2" x14ac:dyDescent="0.25">
      <c r="A33361" s="2">
        <v>33356</v>
      </c>
      <c r="B33361" s="11" t="str">
        <f>"01084944"</f>
        <v>01084944</v>
      </c>
    </row>
    <row r="33362" spans="1:2" x14ac:dyDescent="0.25">
      <c r="A33362" s="2">
        <v>33357</v>
      </c>
      <c r="B33362" s="11" t="str">
        <f>"01084946"</f>
        <v>01084946</v>
      </c>
    </row>
    <row r="33363" spans="1:2" x14ac:dyDescent="0.25">
      <c r="A33363" s="2">
        <v>33358</v>
      </c>
      <c r="B33363" s="11" t="str">
        <f>"01084948"</f>
        <v>01084948</v>
      </c>
    </row>
    <row r="33364" spans="1:2" x14ac:dyDescent="0.25">
      <c r="A33364" s="2">
        <v>33359</v>
      </c>
      <c r="B33364" s="11" t="str">
        <f>"20160701368"</f>
        <v>20160701368</v>
      </c>
    </row>
    <row r="33365" spans="1:2" x14ac:dyDescent="0.25">
      <c r="A33365" s="2">
        <v>33360</v>
      </c>
      <c r="B33365" s="11" t="str">
        <f>"20160702377"</f>
        <v>20160702377</v>
      </c>
    </row>
    <row r="33366" spans="1:2" x14ac:dyDescent="0.25">
      <c r="A33366" s="2">
        <v>33361</v>
      </c>
      <c r="B33366" s="11" t="str">
        <f>"20160704409"</f>
        <v>20160704409</v>
      </c>
    </row>
    <row r="33367" spans="1:2" x14ac:dyDescent="0.25">
      <c r="A33367" s="2">
        <v>33362</v>
      </c>
      <c r="B33367" s="11" t="str">
        <f>"20160705450"</f>
        <v>20160705450</v>
      </c>
    </row>
    <row r="33368" spans="1:2" x14ac:dyDescent="0.25">
      <c r="A33368" s="2">
        <v>33363</v>
      </c>
      <c r="B33368" s="11" t="str">
        <f>"20160705460"</f>
        <v>20160705460</v>
      </c>
    </row>
    <row r="33369" spans="1:2" x14ac:dyDescent="0.25">
      <c r="A33369" s="2">
        <v>33364</v>
      </c>
      <c r="B33369" s="11" t="str">
        <f>"20160705480"</f>
        <v>20160705480</v>
      </c>
    </row>
    <row r="33370" spans="1:2" x14ac:dyDescent="0.25">
      <c r="A33370" s="2">
        <v>33365</v>
      </c>
      <c r="B33370" s="11" t="str">
        <f>"20160707611"</f>
        <v>20160707611</v>
      </c>
    </row>
    <row r="33371" spans="1:2" x14ac:dyDescent="0.25">
      <c r="A33371" s="2">
        <v>33366</v>
      </c>
      <c r="B33371" s="11" t="str">
        <f>"20160711939"</f>
        <v>20160711939</v>
      </c>
    </row>
    <row r="33372" spans="1:2" x14ac:dyDescent="0.25">
      <c r="A33372" s="2">
        <v>33367</v>
      </c>
      <c r="B33372" s="11" t="str">
        <f>"200712000049"</f>
        <v>200712000049</v>
      </c>
    </row>
    <row r="33373" spans="1:2" x14ac:dyDescent="0.25">
      <c r="A33373" s="2">
        <v>33368</v>
      </c>
      <c r="B33373" s="11" t="str">
        <f>"200712000078"</f>
        <v>200712000078</v>
      </c>
    </row>
    <row r="33374" spans="1:2" x14ac:dyDescent="0.25">
      <c r="A33374" s="2">
        <v>33369</v>
      </c>
      <c r="B33374" s="11" t="str">
        <f>"200712000114"</f>
        <v>200712000114</v>
      </c>
    </row>
    <row r="33375" spans="1:2" x14ac:dyDescent="0.25">
      <c r="A33375" s="2">
        <v>33370</v>
      </c>
      <c r="B33375" s="11" t="str">
        <f>"200712000194"</f>
        <v>200712000194</v>
      </c>
    </row>
    <row r="33376" spans="1:2" x14ac:dyDescent="0.25">
      <c r="A33376" s="2">
        <v>33371</v>
      </c>
      <c r="B33376" s="11" t="str">
        <f>"200712000290"</f>
        <v>200712000290</v>
      </c>
    </row>
    <row r="33377" spans="1:2" x14ac:dyDescent="0.25">
      <c r="A33377" s="2">
        <v>33372</v>
      </c>
      <c r="B33377" s="11" t="str">
        <f>"200712000301"</f>
        <v>200712000301</v>
      </c>
    </row>
    <row r="33378" spans="1:2" x14ac:dyDescent="0.25">
      <c r="A33378" s="2">
        <v>33373</v>
      </c>
      <c r="B33378" s="11" t="str">
        <f>"200712000320"</f>
        <v>200712000320</v>
      </c>
    </row>
    <row r="33379" spans="1:2" x14ac:dyDescent="0.25">
      <c r="A33379" s="2">
        <v>33374</v>
      </c>
      <c r="B33379" s="11" t="str">
        <f>"200712000347"</f>
        <v>200712000347</v>
      </c>
    </row>
    <row r="33380" spans="1:2" x14ac:dyDescent="0.25">
      <c r="A33380" s="2">
        <v>33375</v>
      </c>
      <c r="B33380" s="11" t="str">
        <f>"200712000465"</f>
        <v>200712000465</v>
      </c>
    </row>
    <row r="33381" spans="1:2" x14ac:dyDescent="0.25">
      <c r="A33381" s="2">
        <v>33376</v>
      </c>
      <c r="B33381" s="11" t="str">
        <f>"200712000477"</f>
        <v>200712000477</v>
      </c>
    </row>
    <row r="33382" spans="1:2" x14ac:dyDescent="0.25">
      <c r="A33382" s="2">
        <v>33377</v>
      </c>
      <c r="B33382" s="11" t="str">
        <f>"200712000525"</f>
        <v>200712000525</v>
      </c>
    </row>
    <row r="33383" spans="1:2" x14ac:dyDescent="0.25">
      <c r="A33383" s="2">
        <v>33378</v>
      </c>
      <c r="B33383" s="11" t="str">
        <f>"200712000577"</f>
        <v>200712000577</v>
      </c>
    </row>
    <row r="33384" spans="1:2" x14ac:dyDescent="0.25">
      <c r="A33384" s="2">
        <v>33379</v>
      </c>
      <c r="B33384" s="11" t="str">
        <f>"200712000603"</f>
        <v>200712000603</v>
      </c>
    </row>
    <row r="33385" spans="1:2" x14ac:dyDescent="0.25">
      <c r="A33385" s="2">
        <v>33380</v>
      </c>
      <c r="B33385" s="11" t="str">
        <f>"200712000664"</f>
        <v>200712000664</v>
      </c>
    </row>
    <row r="33386" spans="1:2" x14ac:dyDescent="0.25">
      <c r="A33386" s="2">
        <v>33381</v>
      </c>
      <c r="B33386" s="11" t="str">
        <f>"200712000726"</f>
        <v>200712000726</v>
      </c>
    </row>
    <row r="33387" spans="1:2" x14ac:dyDescent="0.25">
      <c r="A33387" s="2">
        <v>33382</v>
      </c>
      <c r="B33387" s="11" t="str">
        <f>"200712000765"</f>
        <v>200712000765</v>
      </c>
    </row>
    <row r="33388" spans="1:2" x14ac:dyDescent="0.25">
      <c r="A33388" s="2">
        <v>33383</v>
      </c>
      <c r="B33388" s="11" t="str">
        <f>"200712000851"</f>
        <v>200712000851</v>
      </c>
    </row>
    <row r="33389" spans="1:2" x14ac:dyDescent="0.25">
      <c r="A33389" s="2">
        <v>33384</v>
      </c>
      <c r="B33389" s="11" t="str">
        <f>"200712000897"</f>
        <v>200712000897</v>
      </c>
    </row>
    <row r="33390" spans="1:2" x14ac:dyDescent="0.25">
      <c r="A33390" s="2">
        <v>33385</v>
      </c>
      <c r="B33390" s="11" t="str">
        <f>"200712000934"</f>
        <v>200712000934</v>
      </c>
    </row>
    <row r="33391" spans="1:2" x14ac:dyDescent="0.25">
      <c r="A33391" s="2">
        <v>33386</v>
      </c>
      <c r="B33391" s="11" t="str">
        <f>"200712000956"</f>
        <v>200712000956</v>
      </c>
    </row>
    <row r="33392" spans="1:2" x14ac:dyDescent="0.25">
      <c r="A33392" s="2">
        <v>33387</v>
      </c>
      <c r="B33392" s="11" t="str">
        <f>"200712000975"</f>
        <v>200712000975</v>
      </c>
    </row>
    <row r="33393" spans="1:2" x14ac:dyDescent="0.25">
      <c r="A33393" s="2">
        <v>33388</v>
      </c>
      <c r="B33393" s="11" t="str">
        <f>"200712001024"</f>
        <v>200712001024</v>
      </c>
    </row>
    <row r="33394" spans="1:2" x14ac:dyDescent="0.25">
      <c r="A33394" s="2">
        <v>33389</v>
      </c>
      <c r="B33394" s="11" t="str">
        <f>"200712001038"</f>
        <v>200712001038</v>
      </c>
    </row>
    <row r="33395" spans="1:2" x14ac:dyDescent="0.25">
      <c r="A33395" s="2">
        <v>33390</v>
      </c>
      <c r="B33395" s="11" t="str">
        <f>"200712001076"</f>
        <v>200712001076</v>
      </c>
    </row>
    <row r="33396" spans="1:2" x14ac:dyDescent="0.25">
      <c r="A33396" s="2">
        <v>33391</v>
      </c>
      <c r="B33396" s="11" t="str">
        <f>"200712001112"</f>
        <v>200712001112</v>
      </c>
    </row>
    <row r="33397" spans="1:2" x14ac:dyDescent="0.25">
      <c r="A33397" s="2">
        <v>33392</v>
      </c>
      <c r="B33397" s="11" t="str">
        <f>"200712001147"</f>
        <v>200712001147</v>
      </c>
    </row>
    <row r="33398" spans="1:2" x14ac:dyDescent="0.25">
      <c r="A33398" s="2">
        <v>33393</v>
      </c>
      <c r="B33398" s="11" t="str">
        <f>"200712001151"</f>
        <v>200712001151</v>
      </c>
    </row>
    <row r="33399" spans="1:2" x14ac:dyDescent="0.25">
      <c r="A33399" s="2">
        <v>33394</v>
      </c>
      <c r="B33399" s="11" t="str">
        <f>"200712001249"</f>
        <v>200712001249</v>
      </c>
    </row>
    <row r="33400" spans="1:2" x14ac:dyDescent="0.25">
      <c r="A33400" s="2">
        <v>33395</v>
      </c>
      <c r="B33400" s="11" t="str">
        <f>"200712001343"</f>
        <v>200712001343</v>
      </c>
    </row>
    <row r="33401" spans="1:2" x14ac:dyDescent="0.25">
      <c r="A33401" s="2">
        <v>33396</v>
      </c>
      <c r="B33401" s="11" t="str">
        <f>"200712001354"</f>
        <v>200712001354</v>
      </c>
    </row>
    <row r="33402" spans="1:2" x14ac:dyDescent="0.25">
      <c r="A33402" s="2">
        <v>33397</v>
      </c>
      <c r="B33402" s="11" t="str">
        <f>"200712001397"</f>
        <v>200712001397</v>
      </c>
    </row>
    <row r="33403" spans="1:2" x14ac:dyDescent="0.25">
      <c r="A33403" s="2">
        <v>33398</v>
      </c>
      <c r="B33403" s="11" t="str">
        <f>"200712001490"</f>
        <v>200712001490</v>
      </c>
    </row>
    <row r="33404" spans="1:2" x14ac:dyDescent="0.25">
      <c r="A33404" s="2">
        <v>33399</v>
      </c>
      <c r="B33404" s="11" t="str">
        <f>"200712001515"</f>
        <v>200712001515</v>
      </c>
    </row>
    <row r="33405" spans="1:2" x14ac:dyDescent="0.25">
      <c r="A33405" s="2">
        <v>33400</v>
      </c>
      <c r="B33405" s="11" t="str">
        <f>"200712001549"</f>
        <v>200712001549</v>
      </c>
    </row>
    <row r="33406" spans="1:2" x14ac:dyDescent="0.25">
      <c r="A33406" s="2">
        <v>33401</v>
      </c>
      <c r="B33406" s="11" t="str">
        <f>"200712001585"</f>
        <v>200712001585</v>
      </c>
    </row>
    <row r="33407" spans="1:2" x14ac:dyDescent="0.25">
      <c r="A33407" s="2">
        <v>33402</v>
      </c>
      <c r="B33407" s="11" t="str">
        <f>"200712001595"</f>
        <v>200712001595</v>
      </c>
    </row>
    <row r="33408" spans="1:2" x14ac:dyDescent="0.25">
      <c r="A33408" s="2">
        <v>33403</v>
      </c>
      <c r="B33408" s="11" t="str">
        <f>"200712001634"</f>
        <v>200712001634</v>
      </c>
    </row>
    <row r="33409" spans="1:2" x14ac:dyDescent="0.25">
      <c r="A33409" s="2">
        <v>33404</v>
      </c>
      <c r="B33409" s="11" t="str">
        <f>"200712001709"</f>
        <v>200712001709</v>
      </c>
    </row>
    <row r="33410" spans="1:2" x14ac:dyDescent="0.25">
      <c r="A33410" s="2">
        <v>33405</v>
      </c>
      <c r="B33410" s="11" t="str">
        <f>"200712001739"</f>
        <v>200712001739</v>
      </c>
    </row>
    <row r="33411" spans="1:2" x14ac:dyDescent="0.25">
      <c r="A33411" s="2">
        <v>33406</v>
      </c>
      <c r="B33411" s="11" t="str">
        <f>"200712001825"</f>
        <v>200712001825</v>
      </c>
    </row>
    <row r="33412" spans="1:2" x14ac:dyDescent="0.25">
      <c r="A33412" s="2">
        <v>33407</v>
      </c>
      <c r="B33412" s="11" t="str">
        <f>"200712001877"</f>
        <v>200712001877</v>
      </c>
    </row>
    <row r="33413" spans="1:2" x14ac:dyDescent="0.25">
      <c r="A33413" s="2">
        <v>33408</v>
      </c>
      <c r="B33413" s="11" t="str">
        <f>"200712001885"</f>
        <v>200712001885</v>
      </c>
    </row>
    <row r="33414" spans="1:2" x14ac:dyDescent="0.25">
      <c r="A33414" s="2">
        <v>33409</v>
      </c>
      <c r="B33414" s="11" t="str">
        <f>"200712001922"</f>
        <v>200712001922</v>
      </c>
    </row>
    <row r="33415" spans="1:2" x14ac:dyDescent="0.25">
      <c r="A33415" s="2">
        <v>33410</v>
      </c>
      <c r="B33415" s="11" t="str">
        <f>"200712001945"</f>
        <v>200712001945</v>
      </c>
    </row>
    <row r="33416" spans="1:2" x14ac:dyDescent="0.25">
      <c r="A33416" s="2">
        <v>33411</v>
      </c>
      <c r="B33416" s="11" t="str">
        <f>"200712001960"</f>
        <v>200712001960</v>
      </c>
    </row>
    <row r="33417" spans="1:2" x14ac:dyDescent="0.25">
      <c r="A33417" s="2">
        <v>33412</v>
      </c>
      <c r="B33417" s="11" t="str">
        <f>"200712001986"</f>
        <v>200712001986</v>
      </c>
    </row>
    <row r="33418" spans="1:2" x14ac:dyDescent="0.25">
      <c r="A33418" s="2">
        <v>33413</v>
      </c>
      <c r="B33418" s="11" t="str">
        <f>"200712002003"</f>
        <v>200712002003</v>
      </c>
    </row>
    <row r="33419" spans="1:2" x14ac:dyDescent="0.25">
      <c r="A33419" s="2">
        <v>33414</v>
      </c>
      <c r="B33419" s="11" t="str">
        <f>"200712002045"</f>
        <v>200712002045</v>
      </c>
    </row>
    <row r="33420" spans="1:2" x14ac:dyDescent="0.25">
      <c r="A33420" s="2">
        <v>33415</v>
      </c>
      <c r="B33420" s="11" t="str">
        <f>"200712002115"</f>
        <v>200712002115</v>
      </c>
    </row>
    <row r="33421" spans="1:2" x14ac:dyDescent="0.25">
      <c r="A33421" s="2">
        <v>33416</v>
      </c>
      <c r="B33421" s="11" t="str">
        <f>"200712002139"</f>
        <v>200712002139</v>
      </c>
    </row>
    <row r="33422" spans="1:2" x14ac:dyDescent="0.25">
      <c r="A33422" s="2">
        <v>33417</v>
      </c>
      <c r="B33422" s="11" t="str">
        <f>"200712002273"</f>
        <v>200712002273</v>
      </c>
    </row>
    <row r="33423" spans="1:2" x14ac:dyDescent="0.25">
      <c r="A33423" s="2">
        <v>33418</v>
      </c>
      <c r="B33423" s="11" t="str">
        <f>"200712002287"</f>
        <v>200712002287</v>
      </c>
    </row>
    <row r="33424" spans="1:2" x14ac:dyDescent="0.25">
      <c r="A33424" s="2">
        <v>33419</v>
      </c>
      <c r="B33424" s="11" t="str">
        <f>"200712002328"</f>
        <v>200712002328</v>
      </c>
    </row>
    <row r="33425" spans="1:2" x14ac:dyDescent="0.25">
      <c r="A33425" s="2">
        <v>33420</v>
      </c>
      <c r="B33425" s="11" t="str">
        <f>"200712002358"</f>
        <v>200712002358</v>
      </c>
    </row>
    <row r="33426" spans="1:2" x14ac:dyDescent="0.25">
      <c r="A33426" s="2">
        <v>33421</v>
      </c>
      <c r="B33426" s="11" t="str">
        <f>"200712002419"</f>
        <v>200712002419</v>
      </c>
    </row>
    <row r="33427" spans="1:2" x14ac:dyDescent="0.25">
      <c r="A33427" s="2">
        <v>33422</v>
      </c>
      <c r="B33427" s="11" t="str">
        <f>"200712002494"</f>
        <v>200712002494</v>
      </c>
    </row>
    <row r="33428" spans="1:2" x14ac:dyDescent="0.25">
      <c r="A33428" s="2">
        <v>33423</v>
      </c>
      <c r="B33428" s="11" t="str">
        <f>"200712002596"</f>
        <v>200712002596</v>
      </c>
    </row>
    <row r="33429" spans="1:2" x14ac:dyDescent="0.25">
      <c r="A33429" s="2">
        <v>33424</v>
      </c>
      <c r="B33429" s="11" t="str">
        <f>"200712002601"</f>
        <v>200712002601</v>
      </c>
    </row>
    <row r="33430" spans="1:2" x14ac:dyDescent="0.25">
      <c r="A33430" s="2">
        <v>33425</v>
      </c>
      <c r="B33430" s="11" t="str">
        <f>"200712002619"</f>
        <v>200712002619</v>
      </c>
    </row>
    <row r="33431" spans="1:2" x14ac:dyDescent="0.25">
      <c r="A33431" s="2">
        <v>33426</v>
      </c>
      <c r="B33431" s="11" t="str">
        <f>"200712002623"</f>
        <v>200712002623</v>
      </c>
    </row>
    <row r="33432" spans="1:2" x14ac:dyDescent="0.25">
      <c r="A33432" s="2">
        <v>33427</v>
      </c>
      <c r="B33432" s="11" t="str">
        <f>"200712002649"</f>
        <v>200712002649</v>
      </c>
    </row>
    <row r="33433" spans="1:2" x14ac:dyDescent="0.25">
      <c r="A33433" s="2">
        <v>33428</v>
      </c>
      <c r="B33433" s="11" t="str">
        <f>"200712002705"</f>
        <v>200712002705</v>
      </c>
    </row>
    <row r="33434" spans="1:2" x14ac:dyDescent="0.25">
      <c r="A33434" s="2">
        <v>33429</v>
      </c>
      <c r="B33434" s="11" t="str">
        <f>"200712002752"</f>
        <v>200712002752</v>
      </c>
    </row>
    <row r="33435" spans="1:2" x14ac:dyDescent="0.25">
      <c r="A33435" s="2">
        <v>33430</v>
      </c>
      <c r="B33435" s="11" t="str">
        <f>"200712002867"</f>
        <v>200712002867</v>
      </c>
    </row>
    <row r="33436" spans="1:2" x14ac:dyDescent="0.25">
      <c r="A33436" s="2">
        <v>33431</v>
      </c>
      <c r="B33436" s="11" t="str">
        <f>"200712002876"</f>
        <v>200712002876</v>
      </c>
    </row>
    <row r="33437" spans="1:2" x14ac:dyDescent="0.25">
      <c r="A33437" s="2">
        <v>33432</v>
      </c>
      <c r="B33437" s="11" t="str">
        <f>"200712002937"</f>
        <v>200712002937</v>
      </c>
    </row>
    <row r="33438" spans="1:2" x14ac:dyDescent="0.25">
      <c r="A33438" s="2">
        <v>33433</v>
      </c>
      <c r="B33438" s="11" t="str">
        <f>"200712002974"</f>
        <v>200712002974</v>
      </c>
    </row>
    <row r="33439" spans="1:2" x14ac:dyDescent="0.25">
      <c r="A33439" s="2">
        <v>33434</v>
      </c>
      <c r="B33439" s="11" t="str">
        <f>"200712002981"</f>
        <v>200712002981</v>
      </c>
    </row>
    <row r="33440" spans="1:2" x14ac:dyDescent="0.25">
      <c r="A33440" s="2">
        <v>33435</v>
      </c>
      <c r="B33440" s="11" t="str">
        <f>"200712003035"</f>
        <v>200712003035</v>
      </c>
    </row>
    <row r="33441" spans="1:2" x14ac:dyDescent="0.25">
      <c r="A33441" s="2">
        <v>33436</v>
      </c>
      <c r="B33441" s="11" t="str">
        <f>"200712003037"</f>
        <v>200712003037</v>
      </c>
    </row>
    <row r="33442" spans="1:2" x14ac:dyDescent="0.25">
      <c r="A33442" s="2">
        <v>33437</v>
      </c>
      <c r="B33442" s="11" t="str">
        <f>"200712003068"</f>
        <v>200712003068</v>
      </c>
    </row>
    <row r="33443" spans="1:2" x14ac:dyDescent="0.25">
      <c r="A33443" s="2">
        <v>33438</v>
      </c>
      <c r="B33443" s="11" t="str">
        <f>"200712003096"</f>
        <v>200712003096</v>
      </c>
    </row>
    <row r="33444" spans="1:2" x14ac:dyDescent="0.25">
      <c r="A33444" s="2">
        <v>33439</v>
      </c>
      <c r="B33444" s="11" t="str">
        <f>"200712003098"</f>
        <v>200712003098</v>
      </c>
    </row>
    <row r="33445" spans="1:2" x14ac:dyDescent="0.25">
      <c r="A33445" s="2">
        <v>33440</v>
      </c>
      <c r="B33445" s="11" t="str">
        <f>"200712003148"</f>
        <v>200712003148</v>
      </c>
    </row>
    <row r="33446" spans="1:2" x14ac:dyDescent="0.25">
      <c r="A33446" s="2">
        <v>33441</v>
      </c>
      <c r="B33446" s="11" t="str">
        <f>"200712003158"</f>
        <v>200712003158</v>
      </c>
    </row>
    <row r="33447" spans="1:2" x14ac:dyDescent="0.25">
      <c r="A33447" s="2">
        <v>33442</v>
      </c>
      <c r="B33447" s="11" t="str">
        <f>"200712003168"</f>
        <v>200712003168</v>
      </c>
    </row>
    <row r="33448" spans="1:2" x14ac:dyDescent="0.25">
      <c r="A33448" s="2">
        <v>33443</v>
      </c>
      <c r="B33448" s="11" t="str">
        <f>"200712003335"</f>
        <v>200712003335</v>
      </c>
    </row>
    <row r="33449" spans="1:2" x14ac:dyDescent="0.25">
      <c r="A33449" s="2">
        <v>33444</v>
      </c>
      <c r="B33449" s="11" t="str">
        <f>"200712003413"</f>
        <v>200712003413</v>
      </c>
    </row>
    <row r="33450" spans="1:2" x14ac:dyDescent="0.25">
      <c r="A33450" s="2">
        <v>33445</v>
      </c>
      <c r="B33450" s="11" t="str">
        <f>"200712003586"</f>
        <v>200712003586</v>
      </c>
    </row>
    <row r="33451" spans="1:2" x14ac:dyDescent="0.25">
      <c r="A33451" s="2">
        <v>33446</v>
      </c>
      <c r="B33451" s="11" t="str">
        <f>"200712003779"</f>
        <v>200712003779</v>
      </c>
    </row>
    <row r="33452" spans="1:2" x14ac:dyDescent="0.25">
      <c r="A33452" s="2">
        <v>33447</v>
      </c>
      <c r="B33452" s="11" t="str">
        <f>"200712003781"</f>
        <v>200712003781</v>
      </c>
    </row>
    <row r="33453" spans="1:2" x14ac:dyDescent="0.25">
      <c r="A33453" s="2">
        <v>33448</v>
      </c>
      <c r="B33453" s="11" t="str">
        <f>"200712003816"</f>
        <v>200712003816</v>
      </c>
    </row>
    <row r="33454" spans="1:2" x14ac:dyDescent="0.25">
      <c r="A33454" s="2">
        <v>33449</v>
      </c>
      <c r="B33454" s="11" t="str">
        <f>"200712003817"</f>
        <v>200712003817</v>
      </c>
    </row>
    <row r="33455" spans="1:2" x14ac:dyDescent="0.25">
      <c r="A33455" s="2">
        <v>33450</v>
      </c>
      <c r="B33455" s="11" t="str">
        <f>"200712003971"</f>
        <v>200712003971</v>
      </c>
    </row>
    <row r="33456" spans="1:2" x14ac:dyDescent="0.25">
      <c r="A33456" s="2">
        <v>33451</v>
      </c>
      <c r="B33456" s="11" t="str">
        <f>"200712004012"</f>
        <v>200712004012</v>
      </c>
    </row>
    <row r="33457" spans="1:2" x14ac:dyDescent="0.25">
      <c r="A33457" s="2">
        <v>33452</v>
      </c>
      <c r="B33457" s="11" t="str">
        <f>"200712004049"</f>
        <v>200712004049</v>
      </c>
    </row>
    <row r="33458" spans="1:2" x14ac:dyDescent="0.25">
      <c r="A33458" s="2">
        <v>33453</v>
      </c>
      <c r="B33458" s="11" t="str">
        <f>"200712004058"</f>
        <v>200712004058</v>
      </c>
    </row>
    <row r="33459" spans="1:2" x14ac:dyDescent="0.25">
      <c r="A33459" s="2">
        <v>33454</v>
      </c>
      <c r="B33459" s="11" t="str">
        <f>"200712004080"</f>
        <v>200712004080</v>
      </c>
    </row>
    <row r="33460" spans="1:2" x14ac:dyDescent="0.25">
      <c r="A33460" s="2">
        <v>33455</v>
      </c>
      <c r="B33460" s="11" t="str">
        <f>"200712004276"</f>
        <v>200712004276</v>
      </c>
    </row>
    <row r="33461" spans="1:2" x14ac:dyDescent="0.25">
      <c r="A33461" s="2">
        <v>33456</v>
      </c>
      <c r="B33461" s="11" t="str">
        <f>"200712004299"</f>
        <v>200712004299</v>
      </c>
    </row>
    <row r="33462" spans="1:2" x14ac:dyDescent="0.25">
      <c r="A33462" s="2">
        <v>33457</v>
      </c>
      <c r="B33462" s="11" t="str">
        <f>"200712004341"</f>
        <v>200712004341</v>
      </c>
    </row>
    <row r="33463" spans="1:2" x14ac:dyDescent="0.25">
      <c r="A33463" s="2">
        <v>33458</v>
      </c>
      <c r="B33463" s="11" t="str">
        <f>"200712004366"</f>
        <v>200712004366</v>
      </c>
    </row>
    <row r="33464" spans="1:2" x14ac:dyDescent="0.25">
      <c r="A33464" s="2">
        <v>33459</v>
      </c>
      <c r="B33464" s="11" t="str">
        <f>"200712004371"</f>
        <v>200712004371</v>
      </c>
    </row>
    <row r="33465" spans="1:2" x14ac:dyDescent="0.25">
      <c r="A33465" s="2">
        <v>33460</v>
      </c>
      <c r="B33465" s="11" t="str">
        <f>"200712004499"</f>
        <v>200712004499</v>
      </c>
    </row>
    <row r="33466" spans="1:2" x14ac:dyDescent="0.25">
      <c r="A33466" s="2">
        <v>33461</v>
      </c>
      <c r="B33466" s="11" t="str">
        <f>"200712004522"</f>
        <v>200712004522</v>
      </c>
    </row>
    <row r="33467" spans="1:2" x14ac:dyDescent="0.25">
      <c r="A33467" s="2">
        <v>33462</v>
      </c>
      <c r="B33467" s="11" t="str">
        <f>"200712004597"</f>
        <v>200712004597</v>
      </c>
    </row>
    <row r="33468" spans="1:2" x14ac:dyDescent="0.25">
      <c r="A33468" s="2">
        <v>33463</v>
      </c>
      <c r="B33468" s="11" t="str">
        <f>"200712004630"</f>
        <v>200712004630</v>
      </c>
    </row>
    <row r="33469" spans="1:2" x14ac:dyDescent="0.25">
      <c r="A33469" s="2">
        <v>33464</v>
      </c>
      <c r="B33469" s="11" t="str">
        <f>"200712004638"</f>
        <v>200712004638</v>
      </c>
    </row>
    <row r="33470" spans="1:2" x14ac:dyDescent="0.25">
      <c r="A33470" s="2">
        <v>33465</v>
      </c>
      <c r="B33470" s="11" t="str">
        <f>"200712004662"</f>
        <v>200712004662</v>
      </c>
    </row>
    <row r="33471" spans="1:2" x14ac:dyDescent="0.25">
      <c r="A33471" s="2">
        <v>33466</v>
      </c>
      <c r="B33471" s="11" t="str">
        <f>"200712004673"</f>
        <v>200712004673</v>
      </c>
    </row>
    <row r="33472" spans="1:2" x14ac:dyDescent="0.25">
      <c r="A33472" s="2">
        <v>33467</v>
      </c>
      <c r="B33472" s="11" t="str">
        <f>"200712004675"</f>
        <v>200712004675</v>
      </c>
    </row>
    <row r="33473" spans="1:2" x14ac:dyDescent="0.25">
      <c r="A33473" s="2">
        <v>33468</v>
      </c>
      <c r="B33473" s="11" t="str">
        <f>"200712004686"</f>
        <v>200712004686</v>
      </c>
    </row>
    <row r="33474" spans="1:2" x14ac:dyDescent="0.25">
      <c r="A33474" s="2">
        <v>33469</v>
      </c>
      <c r="B33474" s="11" t="str">
        <f>"200712004688"</f>
        <v>200712004688</v>
      </c>
    </row>
    <row r="33475" spans="1:2" x14ac:dyDescent="0.25">
      <c r="A33475" s="2">
        <v>33470</v>
      </c>
      <c r="B33475" s="11" t="str">
        <f>"200712004701"</f>
        <v>200712004701</v>
      </c>
    </row>
    <row r="33476" spans="1:2" x14ac:dyDescent="0.25">
      <c r="A33476" s="2">
        <v>33471</v>
      </c>
      <c r="B33476" s="11" t="str">
        <f>"200712004768"</f>
        <v>200712004768</v>
      </c>
    </row>
    <row r="33477" spans="1:2" x14ac:dyDescent="0.25">
      <c r="A33477" s="2">
        <v>33472</v>
      </c>
      <c r="B33477" s="11" t="str">
        <f>"200712004792"</f>
        <v>200712004792</v>
      </c>
    </row>
    <row r="33478" spans="1:2" x14ac:dyDescent="0.25">
      <c r="A33478" s="2">
        <v>33473</v>
      </c>
      <c r="B33478" s="11" t="str">
        <f>"200712004831"</f>
        <v>200712004831</v>
      </c>
    </row>
    <row r="33479" spans="1:2" x14ac:dyDescent="0.25">
      <c r="A33479" s="2">
        <v>33474</v>
      </c>
      <c r="B33479" s="11" t="str">
        <f>"200712004868"</f>
        <v>200712004868</v>
      </c>
    </row>
    <row r="33480" spans="1:2" x14ac:dyDescent="0.25">
      <c r="A33480" s="2">
        <v>33475</v>
      </c>
      <c r="B33480" s="11" t="str">
        <f>"200712004886"</f>
        <v>200712004886</v>
      </c>
    </row>
    <row r="33481" spans="1:2" x14ac:dyDescent="0.25">
      <c r="A33481" s="2">
        <v>33476</v>
      </c>
      <c r="B33481" s="11" t="str">
        <f>"200712004889"</f>
        <v>200712004889</v>
      </c>
    </row>
    <row r="33482" spans="1:2" x14ac:dyDescent="0.25">
      <c r="A33482" s="2">
        <v>33477</v>
      </c>
      <c r="B33482" s="11" t="str">
        <f>"200712004897"</f>
        <v>200712004897</v>
      </c>
    </row>
    <row r="33483" spans="1:2" x14ac:dyDescent="0.25">
      <c r="A33483" s="2">
        <v>33478</v>
      </c>
      <c r="B33483" s="11" t="str">
        <f>"200712004919"</f>
        <v>200712004919</v>
      </c>
    </row>
    <row r="33484" spans="1:2" x14ac:dyDescent="0.25">
      <c r="A33484" s="2">
        <v>33479</v>
      </c>
      <c r="B33484" s="11" t="str">
        <f>"200712004926"</f>
        <v>200712004926</v>
      </c>
    </row>
    <row r="33485" spans="1:2" x14ac:dyDescent="0.25">
      <c r="A33485" s="2">
        <v>33480</v>
      </c>
      <c r="B33485" s="11" t="str">
        <f>"200712004940"</f>
        <v>200712004940</v>
      </c>
    </row>
    <row r="33486" spans="1:2" x14ac:dyDescent="0.25">
      <c r="A33486" s="2">
        <v>33481</v>
      </c>
      <c r="B33486" s="11" t="str">
        <f>"200712004955"</f>
        <v>200712004955</v>
      </c>
    </row>
    <row r="33487" spans="1:2" x14ac:dyDescent="0.25">
      <c r="A33487" s="2">
        <v>33482</v>
      </c>
      <c r="B33487" s="11" t="str">
        <f>"200712004963"</f>
        <v>200712004963</v>
      </c>
    </row>
    <row r="33488" spans="1:2" x14ac:dyDescent="0.25">
      <c r="A33488" s="2">
        <v>33483</v>
      </c>
      <c r="B33488" s="11" t="str">
        <f>"200712004975"</f>
        <v>200712004975</v>
      </c>
    </row>
    <row r="33489" spans="1:2" x14ac:dyDescent="0.25">
      <c r="A33489" s="2">
        <v>33484</v>
      </c>
      <c r="B33489" s="11" t="str">
        <f>"200712004980"</f>
        <v>200712004980</v>
      </c>
    </row>
    <row r="33490" spans="1:2" x14ac:dyDescent="0.25">
      <c r="A33490" s="2">
        <v>33485</v>
      </c>
      <c r="B33490" s="11" t="str">
        <f>"200712005096"</f>
        <v>200712005096</v>
      </c>
    </row>
    <row r="33491" spans="1:2" x14ac:dyDescent="0.25">
      <c r="A33491" s="2">
        <v>33486</v>
      </c>
      <c r="B33491" s="11" t="str">
        <f>"200712005100"</f>
        <v>200712005100</v>
      </c>
    </row>
    <row r="33492" spans="1:2" x14ac:dyDescent="0.25">
      <c r="A33492" s="2">
        <v>33487</v>
      </c>
      <c r="B33492" s="11" t="str">
        <f>"200712005218"</f>
        <v>200712005218</v>
      </c>
    </row>
    <row r="33493" spans="1:2" x14ac:dyDescent="0.25">
      <c r="A33493" s="2">
        <v>33488</v>
      </c>
      <c r="B33493" s="11" t="str">
        <f>"200712005248"</f>
        <v>200712005248</v>
      </c>
    </row>
    <row r="33494" spans="1:2" x14ac:dyDescent="0.25">
      <c r="A33494" s="2">
        <v>33489</v>
      </c>
      <c r="B33494" s="11" t="str">
        <f>"200712005267"</f>
        <v>200712005267</v>
      </c>
    </row>
    <row r="33495" spans="1:2" x14ac:dyDescent="0.25">
      <c r="A33495" s="2">
        <v>33490</v>
      </c>
      <c r="B33495" s="11" t="str">
        <f>"200712005293"</f>
        <v>200712005293</v>
      </c>
    </row>
    <row r="33496" spans="1:2" x14ac:dyDescent="0.25">
      <c r="A33496" s="2">
        <v>33491</v>
      </c>
      <c r="B33496" s="11" t="str">
        <f>"200712005314"</f>
        <v>200712005314</v>
      </c>
    </row>
    <row r="33497" spans="1:2" x14ac:dyDescent="0.25">
      <c r="A33497" s="2">
        <v>33492</v>
      </c>
      <c r="B33497" s="11" t="str">
        <f>"200712005344"</f>
        <v>200712005344</v>
      </c>
    </row>
    <row r="33498" spans="1:2" x14ac:dyDescent="0.25">
      <c r="A33498" s="2">
        <v>33493</v>
      </c>
      <c r="B33498" s="11" t="str">
        <f>"200712005381"</f>
        <v>200712005381</v>
      </c>
    </row>
    <row r="33499" spans="1:2" x14ac:dyDescent="0.25">
      <c r="A33499" s="2">
        <v>33494</v>
      </c>
      <c r="B33499" s="11" t="str">
        <f>"200712005392"</f>
        <v>200712005392</v>
      </c>
    </row>
    <row r="33500" spans="1:2" x14ac:dyDescent="0.25">
      <c r="A33500" s="2">
        <v>33495</v>
      </c>
      <c r="B33500" s="11" t="str">
        <f>"200712005529"</f>
        <v>200712005529</v>
      </c>
    </row>
    <row r="33501" spans="1:2" x14ac:dyDescent="0.25">
      <c r="A33501" s="2">
        <v>33496</v>
      </c>
      <c r="B33501" s="11" t="str">
        <f>"200712005588"</f>
        <v>200712005588</v>
      </c>
    </row>
    <row r="33502" spans="1:2" x14ac:dyDescent="0.25">
      <c r="A33502" s="2">
        <v>33497</v>
      </c>
      <c r="B33502" s="11" t="str">
        <f>"200712005662"</f>
        <v>200712005662</v>
      </c>
    </row>
    <row r="33503" spans="1:2" x14ac:dyDescent="0.25">
      <c r="A33503" s="2">
        <v>33498</v>
      </c>
      <c r="B33503" s="11" t="str">
        <f>"200712005688"</f>
        <v>200712005688</v>
      </c>
    </row>
    <row r="33504" spans="1:2" x14ac:dyDescent="0.25">
      <c r="A33504" s="2">
        <v>33499</v>
      </c>
      <c r="B33504" s="11" t="str">
        <f>"200712005702"</f>
        <v>200712005702</v>
      </c>
    </row>
    <row r="33505" spans="1:2" x14ac:dyDescent="0.25">
      <c r="A33505" s="2">
        <v>33500</v>
      </c>
      <c r="B33505" s="11" t="str">
        <f>"200712005712"</f>
        <v>200712005712</v>
      </c>
    </row>
    <row r="33506" spans="1:2" x14ac:dyDescent="0.25">
      <c r="A33506" s="2">
        <v>33501</v>
      </c>
      <c r="B33506" s="11" t="str">
        <f>"200712005731"</f>
        <v>200712005731</v>
      </c>
    </row>
    <row r="33507" spans="1:2" x14ac:dyDescent="0.25">
      <c r="A33507" s="2">
        <v>33502</v>
      </c>
      <c r="B33507" s="11" t="str">
        <f>"200712005734"</f>
        <v>200712005734</v>
      </c>
    </row>
    <row r="33508" spans="1:2" x14ac:dyDescent="0.25">
      <c r="A33508" s="2">
        <v>33503</v>
      </c>
      <c r="B33508" s="11" t="str">
        <f>"200712005764"</f>
        <v>200712005764</v>
      </c>
    </row>
    <row r="33509" spans="1:2" x14ac:dyDescent="0.25">
      <c r="A33509" s="2">
        <v>33504</v>
      </c>
      <c r="B33509" s="11" t="str">
        <f>"200712005796"</f>
        <v>200712005796</v>
      </c>
    </row>
    <row r="33510" spans="1:2" x14ac:dyDescent="0.25">
      <c r="A33510" s="2">
        <v>33505</v>
      </c>
      <c r="B33510" s="11" t="str">
        <f>"200712005833"</f>
        <v>200712005833</v>
      </c>
    </row>
    <row r="33511" spans="1:2" x14ac:dyDescent="0.25">
      <c r="A33511" s="2">
        <v>33506</v>
      </c>
      <c r="B33511" s="11" t="str">
        <f>"200712005956"</f>
        <v>200712005956</v>
      </c>
    </row>
    <row r="33512" spans="1:2" x14ac:dyDescent="0.25">
      <c r="A33512" s="2">
        <v>33507</v>
      </c>
      <c r="B33512" s="11" t="str">
        <f>"200712005970"</f>
        <v>200712005970</v>
      </c>
    </row>
    <row r="33513" spans="1:2" x14ac:dyDescent="0.25">
      <c r="A33513" s="2">
        <v>33508</v>
      </c>
      <c r="B33513" s="11" t="str">
        <f>"200712005986"</f>
        <v>200712005986</v>
      </c>
    </row>
    <row r="33514" spans="1:2" x14ac:dyDescent="0.25">
      <c r="A33514" s="2">
        <v>33509</v>
      </c>
      <c r="B33514" s="11" t="str">
        <f>"200712006078"</f>
        <v>200712006078</v>
      </c>
    </row>
    <row r="33515" spans="1:2" x14ac:dyDescent="0.25">
      <c r="A33515" s="2">
        <v>33510</v>
      </c>
      <c r="B33515" s="11" t="str">
        <f>"200712006086"</f>
        <v>200712006086</v>
      </c>
    </row>
    <row r="33516" spans="1:2" x14ac:dyDescent="0.25">
      <c r="A33516" s="2">
        <v>33511</v>
      </c>
      <c r="B33516" s="11" t="str">
        <f>"200712006121"</f>
        <v>200712006121</v>
      </c>
    </row>
    <row r="33517" spans="1:2" x14ac:dyDescent="0.25">
      <c r="A33517" s="2">
        <v>33512</v>
      </c>
      <c r="B33517" s="11" t="str">
        <f>"200712006145"</f>
        <v>200712006145</v>
      </c>
    </row>
    <row r="33518" spans="1:2" x14ac:dyDescent="0.25">
      <c r="A33518" s="2">
        <v>33513</v>
      </c>
      <c r="B33518" s="11" t="str">
        <f>"200712006179"</f>
        <v>200712006179</v>
      </c>
    </row>
    <row r="33519" spans="1:2" x14ac:dyDescent="0.25">
      <c r="A33519" s="2">
        <v>33514</v>
      </c>
      <c r="B33519" s="11" t="str">
        <f>"200712006182"</f>
        <v>200712006182</v>
      </c>
    </row>
    <row r="33520" spans="1:2" x14ac:dyDescent="0.25">
      <c r="A33520" s="2">
        <v>33515</v>
      </c>
      <c r="B33520" s="11" t="str">
        <f>"200712006227"</f>
        <v>200712006227</v>
      </c>
    </row>
    <row r="33521" spans="1:2" x14ac:dyDescent="0.25">
      <c r="A33521" s="2">
        <v>33516</v>
      </c>
      <c r="B33521" s="11" t="str">
        <f>"200801000015"</f>
        <v>200801000015</v>
      </c>
    </row>
    <row r="33522" spans="1:2" x14ac:dyDescent="0.25">
      <c r="A33522" s="2">
        <v>33517</v>
      </c>
      <c r="B33522" s="11" t="str">
        <f>"200801000185"</f>
        <v>200801000185</v>
      </c>
    </row>
    <row r="33523" spans="1:2" x14ac:dyDescent="0.25">
      <c r="A33523" s="2">
        <v>33518</v>
      </c>
      <c r="B33523" s="11" t="str">
        <f>"200801000191"</f>
        <v>200801000191</v>
      </c>
    </row>
    <row r="33524" spans="1:2" x14ac:dyDescent="0.25">
      <c r="A33524" s="2">
        <v>33519</v>
      </c>
      <c r="B33524" s="11" t="str">
        <f>"200801000223"</f>
        <v>200801000223</v>
      </c>
    </row>
    <row r="33525" spans="1:2" x14ac:dyDescent="0.25">
      <c r="A33525" s="2">
        <v>33520</v>
      </c>
      <c r="B33525" s="11" t="str">
        <f>"200801000309"</f>
        <v>200801000309</v>
      </c>
    </row>
    <row r="33526" spans="1:2" x14ac:dyDescent="0.25">
      <c r="A33526" s="2">
        <v>33521</v>
      </c>
      <c r="B33526" s="11" t="str">
        <f>"200801000311"</f>
        <v>200801000311</v>
      </c>
    </row>
    <row r="33527" spans="1:2" x14ac:dyDescent="0.25">
      <c r="A33527" s="2">
        <v>33522</v>
      </c>
      <c r="B33527" s="11" t="str">
        <f>"200801000382"</f>
        <v>200801000382</v>
      </c>
    </row>
    <row r="33528" spans="1:2" x14ac:dyDescent="0.25">
      <c r="A33528" s="2">
        <v>33523</v>
      </c>
      <c r="B33528" s="11" t="str">
        <f>"200801000439"</f>
        <v>200801000439</v>
      </c>
    </row>
    <row r="33529" spans="1:2" x14ac:dyDescent="0.25">
      <c r="A33529" s="2">
        <v>33524</v>
      </c>
      <c r="B33529" s="11" t="str">
        <f>"200801000445"</f>
        <v>200801000445</v>
      </c>
    </row>
    <row r="33530" spans="1:2" x14ac:dyDescent="0.25">
      <c r="A33530" s="2">
        <v>33525</v>
      </c>
      <c r="B33530" s="11" t="str">
        <f>"200801000594"</f>
        <v>200801000594</v>
      </c>
    </row>
    <row r="33531" spans="1:2" x14ac:dyDescent="0.25">
      <c r="A33531" s="2">
        <v>33526</v>
      </c>
      <c r="B33531" s="11" t="str">
        <f>"200801000616"</f>
        <v>200801000616</v>
      </c>
    </row>
    <row r="33532" spans="1:2" x14ac:dyDescent="0.25">
      <c r="A33532" s="2">
        <v>33527</v>
      </c>
      <c r="B33532" s="11" t="str">
        <f>"200801000627"</f>
        <v>200801000627</v>
      </c>
    </row>
    <row r="33533" spans="1:2" x14ac:dyDescent="0.25">
      <c r="A33533" s="2">
        <v>33528</v>
      </c>
      <c r="B33533" s="11" t="str">
        <f>"200801000733"</f>
        <v>200801000733</v>
      </c>
    </row>
    <row r="33534" spans="1:2" x14ac:dyDescent="0.25">
      <c r="A33534" s="2">
        <v>33529</v>
      </c>
      <c r="B33534" s="11" t="str">
        <f>"200801000754"</f>
        <v>200801000754</v>
      </c>
    </row>
    <row r="33535" spans="1:2" x14ac:dyDescent="0.25">
      <c r="A33535" s="2">
        <v>33530</v>
      </c>
      <c r="B33535" s="11" t="str">
        <f>"200801000794"</f>
        <v>200801000794</v>
      </c>
    </row>
    <row r="33536" spans="1:2" x14ac:dyDescent="0.25">
      <c r="A33536" s="2">
        <v>33531</v>
      </c>
      <c r="B33536" s="11" t="str">
        <f>"200801000925"</f>
        <v>200801000925</v>
      </c>
    </row>
    <row r="33537" spans="1:2" x14ac:dyDescent="0.25">
      <c r="A33537" s="2">
        <v>33532</v>
      </c>
      <c r="B33537" s="11" t="str">
        <f>"200801000941"</f>
        <v>200801000941</v>
      </c>
    </row>
    <row r="33538" spans="1:2" x14ac:dyDescent="0.25">
      <c r="A33538" s="2">
        <v>33533</v>
      </c>
      <c r="B33538" s="11" t="str">
        <f>"200801000960"</f>
        <v>200801000960</v>
      </c>
    </row>
    <row r="33539" spans="1:2" x14ac:dyDescent="0.25">
      <c r="A33539" s="2">
        <v>33534</v>
      </c>
      <c r="B33539" s="11" t="str">
        <f>"200801001041"</f>
        <v>200801001041</v>
      </c>
    </row>
    <row r="33540" spans="1:2" x14ac:dyDescent="0.25">
      <c r="A33540" s="2">
        <v>33535</v>
      </c>
      <c r="B33540" s="11" t="str">
        <f>"200801001064"</f>
        <v>200801001064</v>
      </c>
    </row>
    <row r="33541" spans="1:2" x14ac:dyDescent="0.25">
      <c r="A33541" s="2">
        <v>33536</v>
      </c>
      <c r="B33541" s="11" t="str">
        <f>"200801001147"</f>
        <v>200801001147</v>
      </c>
    </row>
    <row r="33542" spans="1:2" x14ac:dyDescent="0.25">
      <c r="A33542" s="2">
        <v>33537</v>
      </c>
      <c r="B33542" s="11" t="str">
        <f>"200801001216"</f>
        <v>200801001216</v>
      </c>
    </row>
    <row r="33543" spans="1:2" x14ac:dyDescent="0.25">
      <c r="A33543" s="2">
        <v>33538</v>
      </c>
      <c r="B33543" s="11" t="str">
        <f>"200801001243"</f>
        <v>200801001243</v>
      </c>
    </row>
    <row r="33544" spans="1:2" x14ac:dyDescent="0.25">
      <c r="A33544" s="2">
        <v>33539</v>
      </c>
      <c r="B33544" s="11" t="str">
        <f>"200801001334"</f>
        <v>200801001334</v>
      </c>
    </row>
    <row r="33545" spans="1:2" x14ac:dyDescent="0.25">
      <c r="A33545" s="2">
        <v>33540</v>
      </c>
      <c r="B33545" s="11" t="str">
        <f>"200801001376"</f>
        <v>200801001376</v>
      </c>
    </row>
    <row r="33546" spans="1:2" x14ac:dyDescent="0.25">
      <c r="A33546" s="2">
        <v>33541</v>
      </c>
      <c r="B33546" s="11" t="str">
        <f>"200801001428"</f>
        <v>200801001428</v>
      </c>
    </row>
    <row r="33547" spans="1:2" x14ac:dyDescent="0.25">
      <c r="A33547" s="2">
        <v>33542</v>
      </c>
      <c r="B33547" s="11" t="str">
        <f>"200801001435"</f>
        <v>200801001435</v>
      </c>
    </row>
    <row r="33548" spans="1:2" x14ac:dyDescent="0.25">
      <c r="A33548" s="2">
        <v>33543</v>
      </c>
      <c r="B33548" s="11" t="str">
        <f>"200801001483"</f>
        <v>200801001483</v>
      </c>
    </row>
    <row r="33549" spans="1:2" x14ac:dyDescent="0.25">
      <c r="A33549" s="2">
        <v>33544</v>
      </c>
      <c r="B33549" s="11" t="str">
        <f>"200801001630"</f>
        <v>200801001630</v>
      </c>
    </row>
    <row r="33550" spans="1:2" x14ac:dyDescent="0.25">
      <c r="A33550" s="2">
        <v>33545</v>
      </c>
      <c r="B33550" s="11" t="str">
        <f>"200801001658"</f>
        <v>200801001658</v>
      </c>
    </row>
    <row r="33551" spans="1:2" x14ac:dyDescent="0.25">
      <c r="A33551" s="2">
        <v>33546</v>
      </c>
      <c r="B33551" s="11" t="str">
        <f>"200801001709"</f>
        <v>200801001709</v>
      </c>
    </row>
    <row r="33552" spans="1:2" x14ac:dyDescent="0.25">
      <c r="A33552" s="2">
        <v>33547</v>
      </c>
      <c r="B33552" s="11" t="str">
        <f>"200801001779"</f>
        <v>200801001779</v>
      </c>
    </row>
    <row r="33553" spans="1:2" x14ac:dyDescent="0.25">
      <c r="A33553" s="2">
        <v>33548</v>
      </c>
      <c r="B33553" s="11" t="str">
        <f>"200801001915"</f>
        <v>200801001915</v>
      </c>
    </row>
    <row r="33554" spans="1:2" x14ac:dyDescent="0.25">
      <c r="A33554" s="2">
        <v>33549</v>
      </c>
      <c r="B33554" s="11" t="str">
        <f>"200801002063"</f>
        <v>200801002063</v>
      </c>
    </row>
    <row r="33555" spans="1:2" x14ac:dyDescent="0.25">
      <c r="A33555" s="2">
        <v>33550</v>
      </c>
      <c r="B33555" s="11" t="str">
        <f>"200801002214"</f>
        <v>200801002214</v>
      </c>
    </row>
    <row r="33556" spans="1:2" x14ac:dyDescent="0.25">
      <c r="A33556" s="2">
        <v>33551</v>
      </c>
      <c r="B33556" s="11" t="str">
        <f>"200801002253"</f>
        <v>200801002253</v>
      </c>
    </row>
    <row r="33557" spans="1:2" x14ac:dyDescent="0.25">
      <c r="A33557" s="2">
        <v>33552</v>
      </c>
      <c r="B33557" s="11" t="str">
        <f>"200801002282"</f>
        <v>200801002282</v>
      </c>
    </row>
    <row r="33558" spans="1:2" x14ac:dyDescent="0.25">
      <c r="A33558" s="2">
        <v>33553</v>
      </c>
      <c r="B33558" s="11" t="str">
        <f>"200801002285"</f>
        <v>200801002285</v>
      </c>
    </row>
    <row r="33559" spans="1:2" x14ac:dyDescent="0.25">
      <c r="A33559" s="2">
        <v>33554</v>
      </c>
      <c r="B33559" s="11" t="str">
        <f>"200801002294"</f>
        <v>200801002294</v>
      </c>
    </row>
    <row r="33560" spans="1:2" x14ac:dyDescent="0.25">
      <c r="A33560" s="2">
        <v>33555</v>
      </c>
      <c r="B33560" s="11" t="str">
        <f>"200801002303"</f>
        <v>200801002303</v>
      </c>
    </row>
    <row r="33561" spans="1:2" x14ac:dyDescent="0.25">
      <c r="A33561" s="2">
        <v>33556</v>
      </c>
      <c r="B33561" s="11" t="str">
        <f>"200801002376"</f>
        <v>200801002376</v>
      </c>
    </row>
    <row r="33562" spans="1:2" x14ac:dyDescent="0.25">
      <c r="A33562" s="2">
        <v>33557</v>
      </c>
      <c r="B33562" s="11" t="str">
        <f>"200801002421"</f>
        <v>200801002421</v>
      </c>
    </row>
    <row r="33563" spans="1:2" x14ac:dyDescent="0.25">
      <c r="A33563" s="2">
        <v>33558</v>
      </c>
      <c r="B33563" s="11" t="str">
        <f>"200801002424"</f>
        <v>200801002424</v>
      </c>
    </row>
    <row r="33564" spans="1:2" x14ac:dyDescent="0.25">
      <c r="A33564" s="2">
        <v>33559</v>
      </c>
      <c r="B33564" s="11" t="str">
        <f>"200801002461"</f>
        <v>200801002461</v>
      </c>
    </row>
    <row r="33565" spans="1:2" x14ac:dyDescent="0.25">
      <c r="A33565" s="2">
        <v>33560</v>
      </c>
      <c r="B33565" s="11" t="str">
        <f>"200801002468"</f>
        <v>200801002468</v>
      </c>
    </row>
    <row r="33566" spans="1:2" x14ac:dyDescent="0.25">
      <c r="A33566" s="2">
        <v>33561</v>
      </c>
      <c r="B33566" s="11" t="str">
        <f>"200801002488"</f>
        <v>200801002488</v>
      </c>
    </row>
    <row r="33567" spans="1:2" x14ac:dyDescent="0.25">
      <c r="A33567" s="2">
        <v>33562</v>
      </c>
      <c r="B33567" s="11" t="str">
        <f>"200801002530"</f>
        <v>200801002530</v>
      </c>
    </row>
    <row r="33568" spans="1:2" x14ac:dyDescent="0.25">
      <c r="A33568" s="2">
        <v>33563</v>
      </c>
      <c r="B33568" s="11" t="str">
        <f>"200801002610"</f>
        <v>200801002610</v>
      </c>
    </row>
    <row r="33569" spans="1:2" x14ac:dyDescent="0.25">
      <c r="A33569" s="2">
        <v>33564</v>
      </c>
      <c r="B33569" s="11" t="str">
        <f>"200801002642"</f>
        <v>200801002642</v>
      </c>
    </row>
    <row r="33570" spans="1:2" x14ac:dyDescent="0.25">
      <c r="A33570" s="2">
        <v>33565</v>
      </c>
      <c r="B33570" s="11" t="str">
        <f>"200801002648"</f>
        <v>200801002648</v>
      </c>
    </row>
    <row r="33571" spans="1:2" x14ac:dyDescent="0.25">
      <c r="A33571" s="2">
        <v>33566</v>
      </c>
      <c r="B33571" s="11" t="str">
        <f>"200801002717"</f>
        <v>200801002717</v>
      </c>
    </row>
    <row r="33572" spans="1:2" x14ac:dyDescent="0.25">
      <c r="A33572" s="2">
        <v>33567</v>
      </c>
      <c r="B33572" s="11" t="str">
        <f>"200801002745"</f>
        <v>200801002745</v>
      </c>
    </row>
    <row r="33573" spans="1:2" x14ac:dyDescent="0.25">
      <c r="A33573" s="2">
        <v>33568</v>
      </c>
      <c r="B33573" s="11" t="str">
        <f>"200801002836"</f>
        <v>200801002836</v>
      </c>
    </row>
    <row r="33574" spans="1:2" x14ac:dyDescent="0.25">
      <c r="A33574" s="2">
        <v>33569</v>
      </c>
      <c r="B33574" s="11" t="str">
        <f>"200801002864"</f>
        <v>200801002864</v>
      </c>
    </row>
    <row r="33575" spans="1:2" x14ac:dyDescent="0.25">
      <c r="A33575" s="2">
        <v>33570</v>
      </c>
      <c r="B33575" s="11" t="str">
        <f>"200801002949"</f>
        <v>200801002949</v>
      </c>
    </row>
    <row r="33576" spans="1:2" x14ac:dyDescent="0.25">
      <c r="A33576" s="2">
        <v>33571</v>
      </c>
      <c r="B33576" s="11" t="str">
        <f>"200801003016"</f>
        <v>200801003016</v>
      </c>
    </row>
    <row r="33577" spans="1:2" x14ac:dyDescent="0.25">
      <c r="A33577" s="2">
        <v>33572</v>
      </c>
      <c r="B33577" s="11" t="str">
        <f>"200801003049"</f>
        <v>200801003049</v>
      </c>
    </row>
    <row r="33578" spans="1:2" x14ac:dyDescent="0.25">
      <c r="A33578" s="2">
        <v>33573</v>
      </c>
      <c r="B33578" s="11" t="str">
        <f>"200801003089"</f>
        <v>200801003089</v>
      </c>
    </row>
    <row r="33579" spans="1:2" x14ac:dyDescent="0.25">
      <c r="A33579" s="2">
        <v>33574</v>
      </c>
      <c r="B33579" s="11" t="str">
        <f>"200801003140"</f>
        <v>200801003140</v>
      </c>
    </row>
    <row r="33580" spans="1:2" x14ac:dyDescent="0.25">
      <c r="A33580" s="2">
        <v>33575</v>
      </c>
      <c r="B33580" s="11" t="str">
        <f>"200801003154"</f>
        <v>200801003154</v>
      </c>
    </row>
    <row r="33581" spans="1:2" x14ac:dyDescent="0.25">
      <c r="A33581" s="2">
        <v>33576</v>
      </c>
      <c r="B33581" s="11" t="str">
        <f>"200801003162"</f>
        <v>200801003162</v>
      </c>
    </row>
    <row r="33582" spans="1:2" x14ac:dyDescent="0.25">
      <c r="A33582" s="2">
        <v>33577</v>
      </c>
      <c r="B33582" s="11" t="str">
        <f>"200801003165"</f>
        <v>200801003165</v>
      </c>
    </row>
    <row r="33583" spans="1:2" x14ac:dyDescent="0.25">
      <c r="A33583" s="2">
        <v>33578</v>
      </c>
      <c r="B33583" s="11" t="str">
        <f>"200801003236"</f>
        <v>200801003236</v>
      </c>
    </row>
    <row r="33584" spans="1:2" x14ac:dyDescent="0.25">
      <c r="A33584" s="2">
        <v>33579</v>
      </c>
      <c r="B33584" s="11" t="str">
        <f>"200801003243"</f>
        <v>200801003243</v>
      </c>
    </row>
    <row r="33585" spans="1:2" x14ac:dyDescent="0.25">
      <c r="A33585" s="2">
        <v>33580</v>
      </c>
      <c r="B33585" s="11" t="str">
        <f>"200801003330"</f>
        <v>200801003330</v>
      </c>
    </row>
    <row r="33586" spans="1:2" x14ac:dyDescent="0.25">
      <c r="A33586" s="2">
        <v>33581</v>
      </c>
      <c r="B33586" s="11" t="str">
        <f>"200801003337"</f>
        <v>200801003337</v>
      </c>
    </row>
    <row r="33587" spans="1:2" x14ac:dyDescent="0.25">
      <c r="A33587" s="2">
        <v>33582</v>
      </c>
      <c r="B33587" s="11" t="str">
        <f>"200801003450"</f>
        <v>200801003450</v>
      </c>
    </row>
    <row r="33588" spans="1:2" x14ac:dyDescent="0.25">
      <c r="A33588" s="2">
        <v>33583</v>
      </c>
      <c r="B33588" s="11" t="str">
        <f>"200801003480"</f>
        <v>200801003480</v>
      </c>
    </row>
    <row r="33589" spans="1:2" x14ac:dyDescent="0.25">
      <c r="A33589" s="2">
        <v>33584</v>
      </c>
      <c r="B33589" s="11" t="str">
        <f>"200801003482"</f>
        <v>200801003482</v>
      </c>
    </row>
    <row r="33590" spans="1:2" x14ac:dyDescent="0.25">
      <c r="A33590" s="2">
        <v>33585</v>
      </c>
      <c r="B33590" s="11" t="str">
        <f>"200801003585"</f>
        <v>200801003585</v>
      </c>
    </row>
    <row r="33591" spans="1:2" x14ac:dyDescent="0.25">
      <c r="A33591" s="2">
        <v>33586</v>
      </c>
      <c r="B33591" s="11" t="str">
        <f>"200801003675"</f>
        <v>200801003675</v>
      </c>
    </row>
    <row r="33592" spans="1:2" x14ac:dyDescent="0.25">
      <c r="A33592" s="2">
        <v>33587</v>
      </c>
      <c r="B33592" s="11" t="str">
        <f>"200801003746"</f>
        <v>200801003746</v>
      </c>
    </row>
    <row r="33593" spans="1:2" x14ac:dyDescent="0.25">
      <c r="A33593" s="2">
        <v>33588</v>
      </c>
      <c r="B33593" s="11" t="str">
        <f>"200801003765"</f>
        <v>200801003765</v>
      </c>
    </row>
    <row r="33594" spans="1:2" x14ac:dyDescent="0.25">
      <c r="A33594" s="2">
        <v>33589</v>
      </c>
      <c r="B33594" s="11" t="str">
        <f>"200801003961"</f>
        <v>200801003961</v>
      </c>
    </row>
    <row r="33595" spans="1:2" x14ac:dyDescent="0.25">
      <c r="A33595" s="2">
        <v>33590</v>
      </c>
      <c r="B33595" s="11" t="str">
        <f>"200801003967"</f>
        <v>200801003967</v>
      </c>
    </row>
    <row r="33596" spans="1:2" x14ac:dyDescent="0.25">
      <c r="A33596" s="2">
        <v>33591</v>
      </c>
      <c r="B33596" s="11" t="str">
        <f>"200801004009"</f>
        <v>200801004009</v>
      </c>
    </row>
    <row r="33597" spans="1:2" x14ac:dyDescent="0.25">
      <c r="A33597" s="2">
        <v>33592</v>
      </c>
      <c r="B33597" s="11" t="str">
        <f>"200801004053"</f>
        <v>200801004053</v>
      </c>
    </row>
    <row r="33598" spans="1:2" x14ac:dyDescent="0.25">
      <c r="A33598" s="2">
        <v>33593</v>
      </c>
      <c r="B33598" s="11" t="str">
        <f>"200801004069"</f>
        <v>200801004069</v>
      </c>
    </row>
    <row r="33599" spans="1:2" x14ac:dyDescent="0.25">
      <c r="A33599" s="2">
        <v>33594</v>
      </c>
      <c r="B33599" s="11" t="str">
        <f>"200801004075"</f>
        <v>200801004075</v>
      </c>
    </row>
    <row r="33600" spans="1:2" x14ac:dyDescent="0.25">
      <c r="A33600" s="2">
        <v>33595</v>
      </c>
      <c r="B33600" s="11" t="str">
        <f>"200801004130"</f>
        <v>200801004130</v>
      </c>
    </row>
    <row r="33601" spans="1:2" x14ac:dyDescent="0.25">
      <c r="A33601" s="2">
        <v>33596</v>
      </c>
      <c r="B33601" s="11" t="str">
        <f>"200801004149"</f>
        <v>200801004149</v>
      </c>
    </row>
    <row r="33602" spans="1:2" x14ac:dyDescent="0.25">
      <c r="A33602" s="2">
        <v>33597</v>
      </c>
      <c r="B33602" s="11" t="str">
        <f>"200801004479"</f>
        <v>200801004479</v>
      </c>
    </row>
    <row r="33603" spans="1:2" x14ac:dyDescent="0.25">
      <c r="A33603" s="2">
        <v>33598</v>
      </c>
      <c r="B33603" s="11" t="str">
        <f>"200801004490"</f>
        <v>200801004490</v>
      </c>
    </row>
    <row r="33604" spans="1:2" x14ac:dyDescent="0.25">
      <c r="A33604" s="2">
        <v>33599</v>
      </c>
      <c r="B33604" s="11" t="str">
        <f>"200801004625"</f>
        <v>200801004625</v>
      </c>
    </row>
    <row r="33605" spans="1:2" x14ac:dyDescent="0.25">
      <c r="A33605" s="2">
        <v>33600</v>
      </c>
      <c r="B33605" s="11" t="str">
        <f>"200801004758"</f>
        <v>200801004758</v>
      </c>
    </row>
    <row r="33606" spans="1:2" x14ac:dyDescent="0.25">
      <c r="A33606" s="2">
        <v>33601</v>
      </c>
      <c r="B33606" s="11" t="str">
        <f>"200801004794"</f>
        <v>200801004794</v>
      </c>
    </row>
    <row r="33607" spans="1:2" x14ac:dyDescent="0.25">
      <c r="A33607" s="2">
        <v>33602</v>
      </c>
      <c r="B33607" s="11" t="str">
        <f>"200801004944"</f>
        <v>200801004944</v>
      </c>
    </row>
    <row r="33608" spans="1:2" x14ac:dyDescent="0.25">
      <c r="A33608" s="2">
        <v>33603</v>
      </c>
      <c r="B33608" s="11" t="str">
        <f>"200801004972"</f>
        <v>200801004972</v>
      </c>
    </row>
    <row r="33609" spans="1:2" x14ac:dyDescent="0.25">
      <c r="A33609" s="2">
        <v>33604</v>
      </c>
      <c r="B33609" s="11" t="str">
        <f>"200801005026"</f>
        <v>200801005026</v>
      </c>
    </row>
    <row r="33610" spans="1:2" x14ac:dyDescent="0.25">
      <c r="A33610" s="2">
        <v>33605</v>
      </c>
      <c r="B33610" s="11" t="str">
        <f>"200801005052"</f>
        <v>200801005052</v>
      </c>
    </row>
    <row r="33611" spans="1:2" x14ac:dyDescent="0.25">
      <c r="A33611" s="2">
        <v>33606</v>
      </c>
      <c r="B33611" s="11" t="str">
        <f>"200801005079"</f>
        <v>200801005079</v>
      </c>
    </row>
    <row r="33612" spans="1:2" x14ac:dyDescent="0.25">
      <c r="A33612" s="2">
        <v>33607</v>
      </c>
      <c r="B33612" s="11" t="str">
        <f>"200801005121"</f>
        <v>200801005121</v>
      </c>
    </row>
    <row r="33613" spans="1:2" x14ac:dyDescent="0.25">
      <c r="A33613" s="2">
        <v>33608</v>
      </c>
      <c r="B33613" s="11" t="str">
        <f>"200801005146"</f>
        <v>200801005146</v>
      </c>
    </row>
    <row r="33614" spans="1:2" x14ac:dyDescent="0.25">
      <c r="A33614" s="2">
        <v>33609</v>
      </c>
      <c r="B33614" s="11" t="str">
        <f>"200801005307"</f>
        <v>200801005307</v>
      </c>
    </row>
    <row r="33615" spans="1:2" x14ac:dyDescent="0.25">
      <c r="A33615" s="2">
        <v>33610</v>
      </c>
      <c r="B33615" s="11" t="str">
        <f>"200801005328"</f>
        <v>200801005328</v>
      </c>
    </row>
    <row r="33616" spans="1:2" x14ac:dyDescent="0.25">
      <c r="A33616" s="2">
        <v>33611</v>
      </c>
      <c r="B33616" s="11" t="str">
        <f>"200801005377"</f>
        <v>200801005377</v>
      </c>
    </row>
    <row r="33617" spans="1:2" x14ac:dyDescent="0.25">
      <c r="A33617" s="2">
        <v>33612</v>
      </c>
      <c r="B33617" s="11" t="str">
        <f>"200801005394"</f>
        <v>200801005394</v>
      </c>
    </row>
    <row r="33618" spans="1:2" x14ac:dyDescent="0.25">
      <c r="A33618" s="2">
        <v>33613</v>
      </c>
      <c r="B33618" s="11" t="str">
        <f>"200801005432"</f>
        <v>200801005432</v>
      </c>
    </row>
    <row r="33619" spans="1:2" x14ac:dyDescent="0.25">
      <c r="A33619" s="2">
        <v>33614</v>
      </c>
      <c r="B33619" s="11" t="str">
        <f>"200801005467"</f>
        <v>200801005467</v>
      </c>
    </row>
    <row r="33620" spans="1:2" x14ac:dyDescent="0.25">
      <c r="A33620" s="2">
        <v>33615</v>
      </c>
      <c r="B33620" s="11" t="str">
        <f>"200801005501"</f>
        <v>200801005501</v>
      </c>
    </row>
    <row r="33621" spans="1:2" x14ac:dyDescent="0.25">
      <c r="A33621" s="2">
        <v>33616</v>
      </c>
      <c r="B33621" s="11" t="str">
        <f>"200801005502"</f>
        <v>200801005502</v>
      </c>
    </row>
    <row r="33622" spans="1:2" x14ac:dyDescent="0.25">
      <c r="A33622" s="2">
        <v>33617</v>
      </c>
      <c r="B33622" s="11" t="str">
        <f>"200801005619"</f>
        <v>200801005619</v>
      </c>
    </row>
    <row r="33623" spans="1:2" x14ac:dyDescent="0.25">
      <c r="A33623" s="2">
        <v>33618</v>
      </c>
      <c r="B33623" s="11" t="str">
        <f>"200801005656"</f>
        <v>200801005656</v>
      </c>
    </row>
    <row r="33624" spans="1:2" x14ac:dyDescent="0.25">
      <c r="A33624" s="2">
        <v>33619</v>
      </c>
      <c r="B33624" s="11" t="str">
        <f>"200801005676"</f>
        <v>200801005676</v>
      </c>
    </row>
    <row r="33625" spans="1:2" x14ac:dyDescent="0.25">
      <c r="A33625" s="2">
        <v>33620</v>
      </c>
      <c r="B33625" s="11" t="str">
        <f>"200801005848"</f>
        <v>200801005848</v>
      </c>
    </row>
    <row r="33626" spans="1:2" x14ac:dyDescent="0.25">
      <c r="A33626" s="2">
        <v>33621</v>
      </c>
      <c r="B33626" s="11" t="str">
        <f>"200801005872"</f>
        <v>200801005872</v>
      </c>
    </row>
    <row r="33627" spans="1:2" x14ac:dyDescent="0.25">
      <c r="A33627" s="2">
        <v>33622</v>
      </c>
      <c r="B33627" s="11" t="str">
        <f>"200801005886"</f>
        <v>200801005886</v>
      </c>
    </row>
    <row r="33628" spans="1:2" x14ac:dyDescent="0.25">
      <c r="A33628" s="2">
        <v>33623</v>
      </c>
      <c r="B33628" s="11" t="str">
        <f>"200801005911"</f>
        <v>200801005911</v>
      </c>
    </row>
    <row r="33629" spans="1:2" x14ac:dyDescent="0.25">
      <c r="A33629" s="2">
        <v>33624</v>
      </c>
      <c r="B33629" s="11" t="str">
        <f>"200801005924"</f>
        <v>200801005924</v>
      </c>
    </row>
    <row r="33630" spans="1:2" x14ac:dyDescent="0.25">
      <c r="A33630" s="2">
        <v>33625</v>
      </c>
      <c r="B33630" s="11" t="str">
        <f>"200801005941"</f>
        <v>200801005941</v>
      </c>
    </row>
    <row r="33631" spans="1:2" x14ac:dyDescent="0.25">
      <c r="A33631" s="2">
        <v>33626</v>
      </c>
      <c r="B33631" s="11" t="str">
        <f>"200801005943"</f>
        <v>200801005943</v>
      </c>
    </row>
    <row r="33632" spans="1:2" x14ac:dyDescent="0.25">
      <c r="A33632" s="2">
        <v>33627</v>
      </c>
      <c r="B33632" s="11" t="str">
        <f>"200801005971"</f>
        <v>200801005971</v>
      </c>
    </row>
    <row r="33633" spans="1:2" x14ac:dyDescent="0.25">
      <c r="A33633" s="2">
        <v>33628</v>
      </c>
      <c r="B33633" s="11" t="str">
        <f>"200801005990"</f>
        <v>200801005990</v>
      </c>
    </row>
    <row r="33634" spans="1:2" x14ac:dyDescent="0.25">
      <c r="A33634" s="2">
        <v>33629</v>
      </c>
      <c r="B33634" s="11" t="str">
        <f>"200801005993"</f>
        <v>200801005993</v>
      </c>
    </row>
    <row r="33635" spans="1:2" x14ac:dyDescent="0.25">
      <c r="A33635" s="2">
        <v>33630</v>
      </c>
      <c r="B33635" s="11" t="str">
        <f>"200801006006"</f>
        <v>200801006006</v>
      </c>
    </row>
    <row r="33636" spans="1:2" x14ac:dyDescent="0.25">
      <c r="A33636" s="2">
        <v>33631</v>
      </c>
      <c r="B33636" s="11" t="str">
        <f>"200801006110"</f>
        <v>200801006110</v>
      </c>
    </row>
    <row r="33637" spans="1:2" x14ac:dyDescent="0.25">
      <c r="A33637" s="2">
        <v>33632</v>
      </c>
      <c r="B33637" s="11" t="str">
        <f>"200801006203"</f>
        <v>200801006203</v>
      </c>
    </row>
    <row r="33638" spans="1:2" x14ac:dyDescent="0.25">
      <c r="A33638" s="2">
        <v>33633</v>
      </c>
      <c r="B33638" s="11" t="str">
        <f>"200801006228"</f>
        <v>200801006228</v>
      </c>
    </row>
    <row r="33639" spans="1:2" x14ac:dyDescent="0.25">
      <c r="A33639" s="2">
        <v>33634</v>
      </c>
      <c r="B33639" s="11" t="str">
        <f>"200801006286"</f>
        <v>200801006286</v>
      </c>
    </row>
    <row r="33640" spans="1:2" x14ac:dyDescent="0.25">
      <c r="A33640" s="2">
        <v>33635</v>
      </c>
      <c r="B33640" s="11" t="str">
        <f>"200801006427"</f>
        <v>200801006427</v>
      </c>
    </row>
    <row r="33641" spans="1:2" x14ac:dyDescent="0.25">
      <c r="A33641" s="2">
        <v>33636</v>
      </c>
      <c r="B33641" s="11" t="str">
        <f>"200801006466"</f>
        <v>200801006466</v>
      </c>
    </row>
    <row r="33642" spans="1:2" x14ac:dyDescent="0.25">
      <c r="A33642" s="2">
        <v>33637</v>
      </c>
      <c r="B33642" s="11" t="str">
        <f>"200801006574"</f>
        <v>200801006574</v>
      </c>
    </row>
    <row r="33643" spans="1:2" x14ac:dyDescent="0.25">
      <c r="A33643" s="2">
        <v>33638</v>
      </c>
      <c r="B33643" s="11" t="str">
        <f>"200801006596"</f>
        <v>200801006596</v>
      </c>
    </row>
    <row r="33644" spans="1:2" x14ac:dyDescent="0.25">
      <c r="A33644" s="2">
        <v>33639</v>
      </c>
      <c r="B33644" s="11" t="str">
        <f>"200801006640"</f>
        <v>200801006640</v>
      </c>
    </row>
    <row r="33645" spans="1:2" x14ac:dyDescent="0.25">
      <c r="A33645" s="2">
        <v>33640</v>
      </c>
      <c r="B33645" s="11" t="str">
        <f>"200801006709"</f>
        <v>200801006709</v>
      </c>
    </row>
    <row r="33646" spans="1:2" x14ac:dyDescent="0.25">
      <c r="A33646" s="2">
        <v>33641</v>
      </c>
      <c r="B33646" s="11" t="str">
        <f>"200801006721"</f>
        <v>200801006721</v>
      </c>
    </row>
    <row r="33647" spans="1:2" x14ac:dyDescent="0.25">
      <c r="A33647" s="2">
        <v>33642</v>
      </c>
      <c r="B33647" s="11" t="str">
        <f>"200801006734"</f>
        <v>200801006734</v>
      </c>
    </row>
    <row r="33648" spans="1:2" x14ac:dyDescent="0.25">
      <c r="A33648" s="2">
        <v>33643</v>
      </c>
      <c r="B33648" s="11" t="str">
        <f>"200801006782"</f>
        <v>200801006782</v>
      </c>
    </row>
    <row r="33649" spans="1:2" x14ac:dyDescent="0.25">
      <c r="A33649" s="2">
        <v>33644</v>
      </c>
      <c r="B33649" s="11" t="str">
        <f>"200801006889"</f>
        <v>200801006889</v>
      </c>
    </row>
    <row r="33650" spans="1:2" x14ac:dyDescent="0.25">
      <c r="A33650" s="2">
        <v>33645</v>
      </c>
      <c r="B33650" s="11" t="str">
        <f>"200801006964"</f>
        <v>200801006964</v>
      </c>
    </row>
    <row r="33651" spans="1:2" x14ac:dyDescent="0.25">
      <c r="A33651" s="2">
        <v>33646</v>
      </c>
      <c r="B33651" s="11" t="str">
        <f>"200801006993"</f>
        <v>200801006993</v>
      </c>
    </row>
    <row r="33652" spans="1:2" x14ac:dyDescent="0.25">
      <c r="A33652" s="2">
        <v>33647</v>
      </c>
      <c r="B33652" s="11" t="str">
        <f>"200801007121"</f>
        <v>200801007121</v>
      </c>
    </row>
    <row r="33653" spans="1:2" x14ac:dyDescent="0.25">
      <c r="A33653" s="2">
        <v>33648</v>
      </c>
      <c r="B33653" s="11" t="str">
        <f>"200801007186"</f>
        <v>200801007186</v>
      </c>
    </row>
    <row r="33654" spans="1:2" x14ac:dyDescent="0.25">
      <c r="A33654" s="2">
        <v>33649</v>
      </c>
      <c r="B33654" s="11" t="str">
        <f>"200801007227"</f>
        <v>200801007227</v>
      </c>
    </row>
    <row r="33655" spans="1:2" x14ac:dyDescent="0.25">
      <c r="A33655" s="2">
        <v>33650</v>
      </c>
      <c r="B33655" s="11" t="str">
        <f>"200801007367"</f>
        <v>200801007367</v>
      </c>
    </row>
    <row r="33656" spans="1:2" x14ac:dyDescent="0.25">
      <c r="A33656" s="2">
        <v>33651</v>
      </c>
      <c r="B33656" s="11" t="str">
        <f>"200801007412"</f>
        <v>200801007412</v>
      </c>
    </row>
    <row r="33657" spans="1:2" x14ac:dyDescent="0.25">
      <c r="A33657" s="2">
        <v>33652</v>
      </c>
      <c r="B33657" s="11" t="str">
        <f>"200801007415"</f>
        <v>200801007415</v>
      </c>
    </row>
    <row r="33658" spans="1:2" x14ac:dyDescent="0.25">
      <c r="A33658" s="2">
        <v>33653</v>
      </c>
      <c r="B33658" s="11" t="str">
        <f>"200801007493"</f>
        <v>200801007493</v>
      </c>
    </row>
    <row r="33659" spans="1:2" x14ac:dyDescent="0.25">
      <c r="A33659" s="2">
        <v>33654</v>
      </c>
      <c r="B33659" s="11" t="str">
        <f>"200801007522"</f>
        <v>200801007522</v>
      </c>
    </row>
    <row r="33660" spans="1:2" x14ac:dyDescent="0.25">
      <c r="A33660" s="2">
        <v>33655</v>
      </c>
      <c r="B33660" s="11" t="str">
        <f>"200801007557"</f>
        <v>200801007557</v>
      </c>
    </row>
    <row r="33661" spans="1:2" x14ac:dyDescent="0.25">
      <c r="A33661" s="2">
        <v>33656</v>
      </c>
      <c r="B33661" s="11" t="str">
        <f>"200801007793"</f>
        <v>200801007793</v>
      </c>
    </row>
    <row r="33662" spans="1:2" x14ac:dyDescent="0.25">
      <c r="A33662" s="2">
        <v>33657</v>
      </c>
      <c r="B33662" s="11" t="str">
        <f>"200801007804"</f>
        <v>200801007804</v>
      </c>
    </row>
    <row r="33663" spans="1:2" x14ac:dyDescent="0.25">
      <c r="A33663" s="2">
        <v>33658</v>
      </c>
      <c r="B33663" s="11" t="str">
        <f>"200801007820"</f>
        <v>200801007820</v>
      </c>
    </row>
    <row r="33664" spans="1:2" x14ac:dyDescent="0.25">
      <c r="A33664" s="2">
        <v>33659</v>
      </c>
      <c r="B33664" s="11" t="str">
        <f>"200801007902"</f>
        <v>200801007902</v>
      </c>
    </row>
    <row r="33665" spans="1:2" x14ac:dyDescent="0.25">
      <c r="A33665" s="2">
        <v>33660</v>
      </c>
      <c r="B33665" s="11" t="str">
        <f>"200801007919"</f>
        <v>200801007919</v>
      </c>
    </row>
    <row r="33666" spans="1:2" x14ac:dyDescent="0.25">
      <c r="A33666" s="2">
        <v>33661</v>
      </c>
      <c r="B33666" s="11" t="str">
        <f>"200801007980"</f>
        <v>200801007980</v>
      </c>
    </row>
    <row r="33667" spans="1:2" x14ac:dyDescent="0.25">
      <c r="A33667" s="2">
        <v>33662</v>
      </c>
      <c r="B33667" s="11" t="str">
        <f>"200801008045"</f>
        <v>200801008045</v>
      </c>
    </row>
    <row r="33668" spans="1:2" x14ac:dyDescent="0.25">
      <c r="A33668" s="2">
        <v>33663</v>
      </c>
      <c r="B33668" s="11" t="str">
        <f>"200801008073"</f>
        <v>200801008073</v>
      </c>
    </row>
    <row r="33669" spans="1:2" x14ac:dyDescent="0.25">
      <c r="A33669" s="2">
        <v>33664</v>
      </c>
      <c r="B33669" s="11" t="str">
        <f>"200801008083"</f>
        <v>200801008083</v>
      </c>
    </row>
    <row r="33670" spans="1:2" x14ac:dyDescent="0.25">
      <c r="A33670" s="2">
        <v>33665</v>
      </c>
      <c r="B33670" s="11" t="str">
        <f>"200801008119"</f>
        <v>200801008119</v>
      </c>
    </row>
    <row r="33671" spans="1:2" x14ac:dyDescent="0.25">
      <c r="A33671" s="2">
        <v>33666</v>
      </c>
      <c r="B33671" s="11" t="str">
        <f>"200801008194"</f>
        <v>200801008194</v>
      </c>
    </row>
    <row r="33672" spans="1:2" x14ac:dyDescent="0.25">
      <c r="A33672" s="2">
        <v>33667</v>
      </c>
      <c r="B33672" s="11" t="str">
        <f>"200801008241"</f>
        <v>200801008241</v>
      </c>
    </row>
    <row r="33673" spans="1:2" x14ac:dyDescent="0.25">
      <c r="A33673" s="2">
        <v>33668</v>
      </c>
      <c r="B33673" s="11" t="str">
        <f>"200801008253"</f>
        <v>200801008253</v>
      </c>
    </row>
    <row r="33674" spans="1:2" x14ac:dyDescent="0.25">
      <c r="A33674" s="2">
        <v>33669</v>
      </c>
      <c r="B33674" s="11" t="str">
        <f>"200801008292"</f>
        <v>200801008292</v>
      </c>
    </row>
    <row r="33675" spans="1:2" x14ac:dyDescent="0.25">
      <c r="A33675" s="2">
        <v>33670</v>
      </c>
      <c r="B33675" s="11" t="str">
        <f>"200801008295"</f>
        <v>200801008295</v>
      </c>
    </row>
    <row r="33676" spans="1:2" x14ac:dyDescent="0.25">
      <c r="A33676" s="2">
        <v>33671</v>
      </c>
      <c r="B33676" s="11" t="str">
        <f>"200801008327"</f>
        <v>200801008327</v>
      </c>
    </row>
    <row r="33677" spans="1:2" x14ac:dyDescent="0.25">
      <c r="A33677" s="2">
        <v>33672</v>
      </c>
      <c r="B33677" s="11" t="str">
        <f>"200801008337"</f>
        <v>200801008337</v>
      </c>
    </row>
    <row r="33678" spans="1:2" x14ac:dyDescent="0.25">
      <c r="A33678" s="2">
        <v>33673</v>
      </c>
      <c r="B33678" s="11" t="str">
        <f>"200801008358"</f>
        <v>200801008358</v>
      </c>
    </row>
    <row r="33679" spans="1:2" x14ac:dyDescent="0.25">
      <c r="A33679" s="2">
        <v>33674</v>
      </c>
      <c r="B33679" s="11" t="str">
        <f>"200801008369"</f>
        <v>200801008369</v>
      </c>
    </row>
    <row r="33680" spans="1:2" x14ac:dyDescent="0.25">
      <c r="A33680" s="2">
        <v>33675</v>
      </c>
      <c r="B33680" s="11" t="str">
        <f>"200801008377"</f>
        <v>200801008377</v>
      </c>
    </row>
    <row r="33681" spans="1:2" x14ac:dyDescent="0.25">
      <c r="A33681" s="2">
        <v>33676</v>
      </c>
      <c r="B33681" s="11" t="str">
        <f>"200801008437"</f>
        <v>200801008437</v>
      </c>
    </row>
    <row r="33682" spans="1:2" x14ac:dyDescent="0.25">
      <c r="A33682" s="2">
        <v>33677</v>
      </c>
      <c r="B33682" s="11" t="str">
        <f>"200801008474"</f>
        <v>200801008474</v>
      </c>
    </row>
    <row r="33683" spans="1:2" x14ac:dyDescent="0.25">
      <c r="A33683" s="2">
        <v>33678</v>
      </c>
      <c r="B33683" s="11" t="str">
        <f>"200801008476"</f>
        <v>200801008476</v>
      </c>
    </row>
    <row r="33684" spans="1:2" x14ac:dyDescent="0.25">
      <c r="A33684" s="2">
        <v>33679</v>
      </c>
      <c r="B33684" s="11" t="str">
        <f>"200801008555"</f>
        <v>200801008555</v>
      </c>
    </row>
    <row r="33685" spans="1:2" x14ac:dyDescent="0.25">
      <c r="A33685" s="2">
        <v>33680</v>
      </c>
      <c r="B33685" s="11" t="str">
        <f>"200801008603"</f>
        <v>200801008603</v>
      </c>
    </row>
    <row r="33686" spans="1:2" x14ac:dyDescent="0.25">
      <c r="A33686" s="2">
        <v>33681</v>
      </c>
      <c r="B33686" s="11" t="str">
        <f>"200801008609"</f>
        <v>200801008609</v>
      </c>
    </row>
    <row r="33687" spans="1:2" x14ac:dyDescent="0.25">
      <c r="A33687" s="2">
        <v>33682</v>
      </c>
      <c r="B33687" s="11" t="str">
        <f>"200801008640"</f>
        <v>200801008640</v>
      </c>
    </row>
    <row r="33688" spans="1:2" x14ac:dyDescent="0.25">
      <c r="A33688" s="2">
        <v>33683</v>
      </c>
      <c r="B33688" s="11" t="str">
        <f>"200801008658"</f>
        <v>200801008658</v>
      </c>
    </row>
    <row r="33689" spans="1:2" x14ac:dyDescent="0.25">
      <c r="A33689" s="2">
        <v>33684</v>
      </c>
      <c r="B33689" s="11" t="str">
        <f>"200801008681"</f>
        <v>200801008681</v>
      </c>
    </row>
    <row r="33690" spans="1:2" x14ac:dyDescent="0.25">
      <c r="A33690" s="2">
        <v>33685</v>
      </c>
      <c r="B33690" s="11" t="str">
        <f>"200801008737"</f>
        <v>200801008737</v>
      </c>
    </row>
    <row r="33691" spans="1:2" x14ac:dyDescent="0.25">
      <c r="A33691" s="2">
        <v>33686</v>
      </c>
      <c r="B33691" s="11" t="str">
        <f>"200801008916"</f>
        <v>200801008916</v>
      </c>
    </row>
    <row r="33692" spans="1:2" x14ac:dyDescent="0.25">
      <c r="A33692" s="2">
        <v>33687</v>
      </c>
      <c r="B33692" s="11" t="str">
        <f>"200801008920"</f>
        <v>200801008920</v>
      </c>
    </row>
    <row r="33693" spans="1:2" x14ac:dyDescent="0.25">
      <c r="A33693" s="2">
        <v>33688</v>
      </c>
      <c r="B33693" s="11" t="str">
        <f>"200801008946"</f>
        <v>200801008946</v>
      </c>
    </row>
    <row r="33694" spans="1:2" x14ac:dyDescent="0.25">
      <c r="A33694" s="2">
        <v>33689</v>
      </c>
      <c r="B33694" s="11" t="str">
        <f>"200801008954"</f>
        <v>200801008954</v>
      </c>
    </row>
    <row r="33695" spans="1:2" x14ac:dyDescent="0.25">
      <c r="A33695" s="2">
        <v>33690</v>
      </c>
      <c r="B33695" s="11" t="str">
        <f>"200801008990"</f>
        <v>200801008990</v>
      </c>
    </row>
    <row r="33696" spans="1:2" x14ac:dyDescent="0.25">
      <c r="A33696" s="2">
        <v>33691</v>
      </c>
      <c r="B33696" s="11" t="str">
        <f>"200801009008"</f>
        <v>200801009008</v>
      </c>
    </row>
    <row r="33697" spans="1:2" x14ac:dyDescent="0.25">
      <c r="A33697" s="2">
        <v>33692</v>
      </c>
      <c r="B33697" s="11" t="str">
        <f>"200801009122"</f>
        <v>200801009122</v>
      </c>
    </row>
    <row r="33698" spans="1:2" x14ac:dyDescent="0.25">
      <c r="A33698" s="2">
        <v>33693</v>
      </c>
      <c r="B33698" s="11" t="str">
        <f>"200801009145"</f>
        <v>200801009145</v>
      </c>
    </row>
    <row r="33699" spans="1:2" x14ac:dyDescent="0.25">
      <c r="A33699" s="2">
        <v>33694</v>
      </c>
      <c r="B33699" s="11" t="str">
        <f>"200801009147"</f>
        <v>200801009147</v>
      </c>
    </row>
    <row r="33700" spans="1:2" x14ac:dyDescent="0.25">
      <c r="A33700" s="2">
        <v>33695</v>
      </c>
      <c r="B33700" s="11" t="str">
        <f>"200801009233"</f>
        <v>200801009233</v>
      </c>
    </row>
    <row r="33701" spans="1:2" x14ac:dyDescent="0.25">
      <c r="A33701" s="2">
        <v>33696</v>
      </c>
      <c r="B33701" s="11" t="str">
        <f>"200801009364"</f>
        <v>200801009364</v>
      </c>
    </row>
    <row r="33702" spans="1:2" x14ac:dyDescent="0.25">
      <c r="A33702" s="2">
        <v>33697</v>
      </c>
      <c r="B33702" s="11" t="str">
        <f>"200801009382"</f>
        <v>200801009382</v>
      </c>
    </row>
    <row r="33703" spans="1:2" x14ac:dyDescent="0.25">
      <c r="A33703" s="2">
        <v>33698</v>
      </c>
      <c r="B33703" s="11" t="str">
        <f>"200801009404"</f>
        <v>200801009404</v>
      </c>
    </row>
    <row r="33704" spans="1:2" x14ac:dyDescent="0.25">
      <c r="A33704" s="2">
        <v>33699</v>
      </c>
      <c r="B33704" s="11" t="str">
        <f>"200801009509"</f>
        <v>200801009509</v>
      </c>
    </row>
    <row r="33705" spans="1:2" x14ac:dyDescent="0.25">
      <c r="A33705" s="2">
        <v>33700</v>
      </c>
      <c r="B33705" s="11" t="str">
        <f>"200801009522"</f>
        <v>200801009522</v>
      </c>
    </row>
    <row r="33706" spans="1:2" x14ac:dyDescent="0.25">
      <c r="A33706" s="2">
        <v>33701</v>
      </c>
      <c r="B33706" s="11" t="str">
        <f>"200801009524"</f>
        <v>200801009524</v>
      </c>
    </row>
    <row r="33707" spans="1:2" x14ac:dyDescent="0.25">
      <c r="A33707" s="2">
        <v>33702</v>
      </c>
      <c r="B33707" s="11" t="str">
        <f>"200801009569"</f>
        <v>200801009569</v>
      </c>
    </row>
    <row r="33708" spans="1:2" x14ac:dyDescent="0.25">
      <c r="A33708" s="2">
        <v>33703</v>
      </c>
      <c r="B33708" s="11" t="str">
        <f>"200801009601"</f>
        <v>200801009601</v>
      </c>
    </row>
    <row r="33709" spans="1:2" x14ac:dyDescent="0.25">
      <c r="A33709" s="2">
        <v>33704</v>
      </c>
      <c r="B33709" s="11" t="str">
        <f>"200801009642"</f>
        <v>200801009642</v>
      </c>
    </row>
    <row r="33710" spans="1:2" x14ac:dyDescent="0.25">
      <c r="A33710" s="2">
        <v>33705</v>
      </c>
      <c r="B33710" s="11" t="str">
        <f>"200801009727"</f>
        <v>200801009727</v>
      </c>
    </row>
    <row r="33711" spans="1:2" x14ac:dyDescent="0.25">
      <c r="A33711" s="2">
        <v>33706</v>
      </c>
      <c r="B33711" s="11" t="str">
        <f>"200801009744"</f>
        <v>200801009744</v>
      </c>
    </row>
    <row r="33712" spans="1:2" x14ac:dyDescent="0.25">
      <c r="A33712" s="2">
        <v>33707</v>
      </c>
      <c r="B33712" s="11" t="str">
        <f>"200801009927"</f>
        <v>200801009927</v>
      </c>
    </row>
    <row r="33713" spans="1:2" x14ac:dyDescent="0.25">
      <c r="A33713" s="2">
        <v>33708</v>
      </c>
      <c r="B33713" s="11" t="str">
        <f>"200801009949"</f>
        <v>200801009949</v>
      </c>
    </row>
    <row r="33714" spans="1:2" x14ac:dyDescent="0.25">
      <c r="A33714" s="2">
        <v>33709</v>
      </c>
      <c r="B33714" s="11" t="str">
        <f>"200801009960"</f>
        <v>200801009960</v>
      </c>
    </row>
    <row r="33715" spans="1:2" x14ac:dyDescent="0.25">
      <c r="A33715" s="2">
        <v>33710</v>
      </c>
      <c r="B33715" s="11" t="str">
        <f>"200801009990"</f>
        <v>200801009990</v>
      </c>
    </row>
    <row r="33716" spans="1:2" x14ac:dyDescent="0.25">
      <c r="A33716" s="2">
        <v>33711</v>
      </c>
      <c r="B33716" s="11" t="str">
        <f>"200801010002"</f>
        <v>200801010002</v>
      </c>
    </row>
    <row r="33717" spans="1:2" x14ac:dyDescent="0.25">
      <c r="A33717" s="2">
        <v>33712</v>
      </c>
      <c r="B33717" s="11" t="str">
        <f>"200801010069"</f>
        <v>200801010069</v>
      </c>
    </row>
    <row r="33718" spans="1:2" x14ac:dyDescent="0.25">
      <c r="A33718" s="2">
        <v>33713</v>
      </c>
      <c r="B33718" s="11" t="str">
        <f>"200801010084"</f>
        <v>200801010084</v>
      </c>
    </row>
    <row r="33719" spans="1:2" x14ac:dyDescent="0.25">
      <c r="A33719" s="2">
        <v>33714</v>
      </c>
      <c r="B33719" s="11" t="str">
        <f>"200801010175"</f>
        <v>200801010175</v>
      </c>
    </row>
    <row r="33720" spans="1:2" x14ac:dyDescent="0.25">
      <c r="A33720" s="2">
        <v>33715</v>
      </c>
      <c r="B33720" s="11" t="str">
        <f>"200801010181"</f>
        <v>200801010181</v>
      </c>
    </row>
    <row r="33721" spans="1:2" x14ac:dyDescent="0.25">
      <c r="A33721" s="2">
        <v>33716</v>
      </c>
      <c r="B33721" s="11" t="str">
        <f>"200801010275"</f>
        <v>200801010275</v>
      </c>
    </row>
    <row r="33722" spans="1:2" x14ac:dyDescent="0.25">
      <c r="A33722" s="2">
        <v>33717</v>
      </c>
      <c r="B33722" s="11" t="str">
        <f>"200801010296"</f>
        <v>200801010296</v>
      </c>
    </row>
    <row r="33723" spans="1:2" x14ac:dyDescent="0.25">
      <c r="A33723" s="2">
        <v>33718</v>
      </c>
      <c r="B33723" s="11" t="str">
        <f>"200801010300"</f>
        <v>200801010300</v>
      </c>
    </row>
    <row r="33724" spans="1:2" x14ac:dyDescent="0.25">
      <c r="A33724" s="2">
        <v>33719</v>
      </c>
      <c r="B33724" s="11" t="str">
        <f>"200801010372"</f>
        <v>200801010372</v>
      </c>
    </row>
    <row r="33725" spans="1:2" x14ac:dyDescent="0.25">
      <c r="A33725" s="2">
        <v>33720</v>
      </c>
      <c r="B33725" s="11" t="str">
        <f>"200801010406"</f>
        <v>200801010406</v>
      </c>
    </row>
    <row r="33726" spans="1:2" x14ac:dyDescent="0.25">
      <c r="A33726" s="2">
        <v>33721</v>
      </c>
      <c r="B33726" s="11" t="str">
        <f>"200801010415"</f>
        <v>200801010415</v>
      </c>
    </row>
    <row r="33727" spans="1:2" x14ac:dyDescent="0.25">
      <c r="A33727" s="2">
        <v>33722</v>
      </c>
      <c r="B33727" s="11" t="str">
        <f>"200801010475"</f>
        <v>200801010475</v>
      </c>
    </row>
    <row r="33728" spans="1:2" x14ac:dyDescent="0.25">
      <c r="A33728" s="2">
        <v>33723</v>
      </c>
      <c r="B33728" s="11" t="str">
        <f>"200801010484"</f>
        <v>200801010484</v>
      </c>
    </row>
    <row r="33729" spans="1:2" x14ac:dyDescent="0.25">
      <c r="A33729" s="2">
        <v>33724</v>
      </c>
      <c r="B33729" s="11" t="str">
        <f>"200801010494"</f>
        <v>200801010494</v>
      </c>
    </row>
    <row r="33730" spans="1:2" x14ac:dyDescent="0.25">
      <c r="A33730" s="2">
        <v>33725</v>
      </c>
      <c r="B33730" s="11" t="str">
        <f>"200801010569"</f>
        <v>200801010569</v>
      </c>
    </row>
    <row r="33731" spans="1:2" x14ac:dyDescent="0.25">
      <c r="A33731" s="2">
        <v>33726</v>
      </c>
      <c r="B33731" s="11" t="str">
        <f>"200801010600"</f>
        <v>200801010600</v>
      </c>
    </row>
    <row r="33732" spans="1:2" x14ac:dyDescent="0.25">
      <c r="A33732" s="2">
        <v>33727</v>
      </c>
      <c r="B33732" s="11" t="str">
        <f>"200801010608"</f>
        <v>200801010608</v>
      </c>
    </row>
    <row r="33733" spans="1:2" x14ac:dyDescent="0.25">
      <c r="A33733" s="2">
        <v>33728</v>
      </c>
      <c r="B33733" s="11" t="str">
        <f>"200801010655"</f>
        <v>200801010655</v>
      </c>
    </row>
    <row r="33734" spans="1:2" x14ac:dyDescent="0.25">
      <c r="A33734" s="2">
        <v>33729</v>
      </c>
      <c r="B33734" s="11" t="str">
        <f>"200801010696"</f>
        <v>200801010696</v>
      </c>
    </row>
    <row r="33735" spans="1:2" x14ac:dyDescent="0.25">
      <c r="A33735" s="2">
        <v>33730</v>
      </c>
      <c r="B33735" s="11" t="str">
        <f>"200801010814"</f>
        <v>200801010814</v>
      </c>
    </row>
    <row r="33736" spans="1:2" x14ac:dyDescent="0.25">
      <c r="A33736" s="2">
        <v>33731</v>
      </c>
      <c r="B33736" s="11" t="str">
        <f>"200801010896"</f>
        <v>200801010896</v>
      </c>
    </row>
    <row r="33737" spans="1:2" x14ac:dyDescent="0.25">
      <c r="A33737" s="2">
        <v>33732</v>
      </c>
      <c r="B33737" s="11" t="str">
        <f>"200801010921"</f>
        <v>200801010921</v>
      </c>
    </row>
    <row r="33738" spans="1:2" x14ac:dyDescent="0.25">
      <c r="A33738" s="2">
        <v>33733</v>
      </c>
      <c r="B33738" s="11" t="str">
        <f>"200801010922"</f>
        <v>200801010922</v>
      </c>
    </row>
    <row r="33739" spans="1:2" x14ac:dyDescent="0.25">
      <c r="A33739" s="2">
        <v>33734</v>
      </c>
      <c r="B33739" s="11" t="str">
        <f>"200801011033"</f>
        <v>200801011033</v>
      </c>
    </row>
    <row r="33740" spans="1:2" x14ac:dyDescent="0.25">
      <c r="A33740" s="2">
        <v>33735</v>
      </c>
      <c r="B33740" s="11" t="str">
        <f>"200801011061"</f>
        <v>200801011061</v>
      </c>
    </row>
    <row r="33741" spans="1:2" x14ac:dyDescent="0.25">
      <c r="A33741" s="2">
        <v>33736</v>
      </c>
      <c r="B33741" s="11" t="str">
        <f>"200801011120"</f>
        <v>200801011120</v>
      </c>
    </row>
    <row r="33742" spans="1:2" x14ac:dyDescent="0.25">
      <c r="A33742" s="2">
        <v>33737</v>
      </c>
      <c r="B33742" s="11" t="str">
        <f>"200801011130"</f>
        <v>200801011130</v>
      </c>
    </row>
    <row r="33743" spans="1:2" x14ac:dyDescent="0.25">
      <c r="A33743" s="2">
        <v>33738</v>
      </c>
      <c r="B33743" s="11" t="str">
        <f>"200801011135"</f>
        <v>200801011135</v>
      </c>
    </row>
    <row r="33744" spans="1:2" x14ac:dyDescent="0.25">
      <c r="A33744" s="2">
        <v>33739</v>
      </c>
      <c r="B33744" s="11" t="str">
        <f>"200801011284"</f>
        <v>200801011284</v>
      </c>
    </row>
    <row r="33745" spans="1:2" x14ac:dyDescent="0.25">
      <c r="A33745" s="2">
        <v>33740</v>
      </c>
      <c r="B33745" s="11" t="str">
        <f>"200801011288"</f>
        <v>200801011288</v>
      </c>
    </row>
    <row r="33746" spans="1:2" x14ac:dyDescent="0.25">
      <c r="A33746" s="2">
        <v>33741</v>
      </c>
      <c r="B33746" s="11" t="str">
        <f>"200801011364"</f>
        <v>200801011364</v>
      </c>
    </row>
    <row r="33747" spans="1:2" x14ac:dyDescent="0.25">
      <c r="A33747" s="2">
        <v>33742</v>
      </c>
      <c r="B33747" s="11" t="str">
        <f>"200801011491"</f>
        <v>200801011491</v>
      </c>
    </row>
    <row r="33748" spans="1:2" x14ac:dyDescent="0.25">
      <c r="A33748" s="2">
        <v>33743</v>
      </c>
      <c r="B33748" s="11" t="str">
        <f>"200801011529"</f>
        <v>200801011529</v>
      </c>
    </row>
    <row r="33749" spans="1:2" x14ac:dyDescent="0.25">
      <c r="A33749" s="2">
        <v>33744</v>
      </c>
      <c r="B33749" s="11" t="str">
        <f>"200801011563"</f>
        <v>200801011563</v>
      </c>
    </row>
    <row r="33750" spans="1:2" x14ac:dyDescent="0.25">
      <c r="A33750" s="2">
        <v>33745</v>
      </c>
      <c r="B33750" s="11" t="str">
        <f>"200801011577"</f>
        <v>200801011577</v>
      </c>
    </row>
    <row r="33751" spans="1:2" x14ac:dyDescent="0.25">
      <c r="A33751" s="2">
        <v>33746</v>
      </c>
      <c r="B33751" s="11" t="str">
        <f>"200801011581"</f>
        <v>200801011581</v>
      </c>
    </row>
    <row r="33752" spans="1:2" x14ac:dyDescent="0.25">
      <c r="A33752" s="2">
        <v>33747</v>
      </c>
      <c r="B33752" s="11" t="str">
        <f>"200801011600"</f>
        <v>200801011600</v>
      </c>
    </row>
    <row r="33753" spans="1:2" x14ac:dyDescent="0.25">
      <c r="A33753" s="2">
        <v>33748</v>
      </c>
      <c r="B33753" s="11" t="str">
        <f>"200801011614"</f>
        <v>200801011614</v>
      </c>
    </row>
    <row r="33754" spans="1:2" x14ac:dyDescent="0.25">
      <c r="A33754" s="2">
        <v>33749</v>
      </c>
      <c r="B33754" s="11" t="str">
        <f>"200801011644"</f>
        <v>200801011644</v>
      </c>
    </row>
    <row r="33755" spans="1:2" x14ac:dyDescent="0.25">
      <c r="A33755" s="2">
        <v>33750</v>
      </c>
      <c r="B33755" s="11" t="str">
        <f>"200801011673"</f>
        <v>200801011673</v>
      </c>
    </row>
    <row r="33756" spans="1:2" x14ac:dyDescent="0.25">
      <c r="A33756" s="2">
        <v>33751</v>
      </c>
      <c r="B33756" s="11" t="str">
        <f>"200801011681"</f>
        <v>200801011681</v>
      </c>
    </row>
    <row r="33757" spans="1:2" x14ac:dyDescent="0.25">
      <c r="A33757" s="2">
        <v>33752</v>
      </c>
      <c r="B33757" s="11" t="str">
        <f>"200801011687"</f>
        <v>200801011687</v>
      </c>
    </row>
    <row r="33758" spans="1:2" x14ac:dyDescent="0.25">
      <c r="A33758" s="2">
        <v>33753</v>
      </c>
      <c r="B33758" s="11" t="str">
        <f>"200801011703"</f>
        <v>200801011703</v>
      </c>
    </row>
    <row r="33759" spans="1:2" x14ac:dyDescent="0.25">
      <c r="A33759" s="2">
        <v>33754</v>
      </c>
      <c r="B33759" s="11" t="str">
        <f>"200801011818"</f>
        <v>200801011818</v>
      </c>
    </row>
    <row r="33760" spans="1:2" x14ac:dyDescent="0.25">
      <c r="A33760" s="2">
        <v>33755</v>
      </c>
      <c r="B33760" s="11" t="str">
        <f>"200801011854"</f>
        <v>200801011854</v>
      </c>
    </row>
    <row r="33761" spans="1:2" x14ac:dyDescent="0.25">
      <c r="A33761" s="2">
        <v>33756</v>
      </c>
      <c r="B33761" s="11" t="str">
        <f>"200802000097"</f>
        <v>200802000097</v>
      </c>
    </row>
    <row r="33762" spans="1:2" x14ac:dyDescent="0.25">
      <c r="A33762" s="2">
        <v>33757</v>
      </c>
      <c r="B33762" s="11" t="str">
        <f>"200802000212"</f>
        <v>200802000212</v>
      </c>
    </row>
    <row r="33763" spans="1:2" x14ac:dyDescent="0.25">
      <c r="A33763" s="2">
        <v>33758</v>
      </c>
      <c r="B33763" s="11" t="str">
        <f>"200802000229"</f>
        <v>200802000229</v>
      </c>
    </row>
    <row r="33764" spans="1:2" x14ac:dyDescent="0.25">
      <c r="A33764" s="2">
        <v>33759</v>
      </c>
      <c r="B33764" s="11" t="str">
        <f>"200802000274"</f>
        <v>200802000274</v>
      </c>
    </row>
    <row r="33765" spans="1:2" x14ac:dyDescent="0.25">
      <c r="A33765" s="2">
        <v>33760</v>
      </c>
      <c r="B33765" s="11" t="str">
        <f>"200802000278"</f>
        <v>200802000278</v>
      </c>
    </row>
    <row r="33766" spans="1:2" x14ac:dyDescent="0.25">
      <c r="A33766" s="2">
        <v>33761</v>
      </c>
      <c r="B33766" s="11" t="str">
        <f>"200802000307"</f>
        <v>200802000307</v>
      </c>
    </row>
    <row r="33767" spans="1:2" x14ac:dyDescent="0.25">
      <c r="A33767" s="2">
        <v>33762</v>
      </c>
      <c r="B33767" s="11" t="str">
        <f>"200802000426"</f>
        <v>200802000426</v>
      </c>
    </row>
    <row r="33768" spans="1:2" x14ac:dyDescent="0.25">
      <c r="A33768" s="2">
        <v>33763</v>
      </c>
      <c r="B33768" s="11" t="str">
        <f>"200802000444"</f>
        <v>200802000444</v>
      </c>
    </row>
    <row r="33769" spans="1:2" x14ac:dyDescent="0.25">
      <c r="A33769" s="2">
        <v>33764</v>
      </c>
      <c r="B33769" s="11" t="str">
        <f>"200802000446"</f>
        <v>200802000446</v>
      </c>
    </row>
    <row r="33770" spans="1:2" x14ac:dyDescent="0.25">
      <c r="A33770" s="2">
        <v>33765</v>
      </c>
      <c r="B33770" s="11" t="str">
        <f>"200802000517"</f>
        <v>200802000517</v>
      </c>
    </row>
    <row r="33771" spans="1:2" x14ac:dyDescent="0.25">
      <c r="A33771" s="2">
        <v>33766</v>
      </c>
      <c r="B33771" s="11" t="str">
        <f>"200802000597"</f>
        <v>200802000597</v>
      </c>
    </row>
    <row r="33772" spans="1:2" x14ac:dyDescent="0.25">
      <c r="A33772" s="2">
        <v>33767</v>
      </c>
      <c r="B33772" s="11" t="str">
        <f>"200802000598"</f>
        <v>200802000598</v>
      </c>
    </row>
    <row r="33773" spans="1:2" x14ac:dyDescent="0.25">
      <c r="A33773" s="2">
        <v>33768</v>
      </c>
      <c r="B33773" s="11" t="str">
        <f>"200802000634"</f>
        <v>200802000634</v>
      </c>
    </row>
    <row r="33774" spans="1:2" x14ac:dyDescent="0.25">
      <c r="A33774" s="2">
        <v>33769</v>
      </c>
      <c r="B33774" s="11" t="str">
        <f>"200802000789"</f>
        <v>200802000789</v>
      </c>
    </row>
    <row r="33775" spans="1:2" x14ac:dyDescent="0.25">
      <c r="A33775" s="2">
        <v>33770</v>
      </c>
      <c r="B33775" s="11" t="str">
        <f>"200802000797"</f>
        <v>200802000797</v>
      </c>
    </row>
    <row r="33776" spans="1:2" x14ac:dyDescent="0.25">
      <c r="A33776" s="2">
        <v>33771</v>
      </c>
      <c r="B33776" s="11" t="str">
        <f>"200802000843"</f>
        <v>200802000843</v>
      </c>
    </row>
    <row r="33777" spans="1:2" x14ac:dyDescent="0.25">
      <c r="A33777" s="2">
        <v>33772</v>
      </c>
      <c r="B33777" s="11" t="str">
        <f>"200802000896"</f>
        <v>200802000896</v>
      </c>
    </row>
    <row r="33778" spans="1:2" x14ac:dyDescent="0.25">
      <c r="A33778" s="2">
        <v>33773</v>
      </c>
      <c r="B33778" s="11" t="str">
        <f>"200802000904"</f>
        <v>200802000904</v>
      </c>
    </row>
    <row r="33779" spans="1:2" x14ac:dyDescent="0.25">
      <c r="A33779" s="2">
        <v>33774</v>
      </c>
      <c r="B33779" s="11" t="str">
        <f>"200802000931"</f>
        <v>200802000931</v>
      </c>
    </row>
    <row r="33780" spans="1:2" x14ac:dyDescent="0.25">
      <c r="A33780" s="2">
        <v>33775</v>
      </c>
      <c r="B33780" s="11" t="str">
        <f>"200802000971"</f>
        <v>200802000971</v>
      </c>
    </row>
    <row r="33781" spans="1:2" x14ac:dyDescent="0.25">
      <c r="A33781" s="2">
        <v>33776</v>
      </c>
      <c r="B33781" s="11" t="str">
        <f>"200802001041"</f>
        <v>200802001041</v>
      </c>
    </row>
    <row r="33782" spans="1:2" x14ac:dyDescent="0.25">
      <c r="A33782" s="2">
        <v>33777</v>
      </c>
      <c r="B33782" s="11" t="str">
        <f>"200802001068"</f>
        <v>200802001068</v>
      </c>
    </row>
    <row r="33783" spans="1:2" x14ac:dyDescent="0.25">
      <c r="A33783" s="2">
        <v>33778</v>
      </c>
      <c r="B33783" s="11" t="str">
        <f>"200802001171"</f>
        <v>200802001171</v>
      </c>
    </row>
    <row r="33784" spans="1:2" x14ac:dyDescent="0.25">
      <c r="A33784" s="2">
        <v>33779</v>
      </c>
      <c r="B33784" s="11" t="str">
        <f>"200802001207"</f>
        <v>200802001207</v>
      </c>
    </row>
    <row r="33785" spans="1:2" x14ac:dyDescent="0.25">
      <c r="A33785" s="2">
        <v>33780</v>
      </c>
      <c r="B33785" s="11" t="str">
        <f>"200802001242"</f>
        <v>200802001242</v>
      </c>
    </row>
    <row r="33786" spans="1:2" x14ac:dyDescent="0.25">
      <c r="A33786" s="2">
        <v>33781</v>
      </c>
      <c r="B33786" s="11" t="str">
        <f>"200802001268"</f>
        <v>200802001268</v>
      </c>
    </row>
    <row r="33787" spans="1:2" x14ac:dyDescent="0.25">
      <c r="A33787" s="2">
        <v>33782</v>
      </c>
      <c r="B33787" s="11" t="str">
        <f>"200802001337"</f>
        <v>200802001337</v>
      </c>
    </row>
    <row r="33788" spans="1:2" x14ac:dyDescent="0.25">
      <c r="A33788" s="2">
        <v>33783</v>
      </c>
      <c r="B33788" s="11" t="str">
        <f>"200802001340"</f>
        <v>200802001340</v>
      </c>
    </row>
    <row r="33789" spans="1:2" x14ac:dyDescent="0.25">
      <c r="A33789" s="2">
        <v>33784</v>
      </c>
      <c r="B33789" s="11" t="str">
        <f>"200802001352"</f>
        <v>200802001352</v>
      </c>
    </row>
    <row r="33790" spans="1:2" x14ac:dyDescent="0.25">
      <c r="A33790" s="2">
        <v>33785</v>
      </c>
      <c r="B33790" s="11" t="str">
        <f>"200802001382"</f>
        <v>200802001382</v>
      </c>
    </row>
    <row r="33791" spans="1:2" x14ac:dyDescent="0.25">
      <c r="A33791" s="2">
        <v>33786</v>
      </c>
      <c r="B33791" s="11" t="str">
        <f>"200802001517"</f>
        <v>200802001517</v>
      </c>
    </row>
    <row r="33792" spans="1:2" x14ac:dyDescent="0.25">
      <c r="A33792" s="2">
        <v>33787</v>
      </c>
      <c r="B33792" s="11" t="str">
        <f>"200802001567"</f>
        <v>200802001567</v>
      </c>
    </row>
    <row r="33793" spans="1:2" x14ac:dyDescent="0.25">
      <c r="A33793" s="2">
        <v>33788</v>
      </c>
      <c r="B33793" s="11" t="str">
        <f>"200802001692"</f>
        <v>200802001692</v>
      </c>
    </row>
    <row r="33794" spans="1:2" x14ac:dyDescent="0.25">
      <c r="A33794" s="2">
        <v>33789</v>
      </c>
      <c r="B33794" s="11" t="str">
        <f>"200802001709"</f>
        <v>200802001709</v>
      </c>
    </row>
    <row r="33795" spans="1:2" x14ac:dyDescent="0.25">
      <c r="A33795" s="2">
        <v>33790</v>
      </c>
      <c r="B33795" s="11" t="str">
        <f>"200802001882"</f>
        <v>200802001882</v>
      </c>
    </row>
    <row r="33796" spans="1:2" x14ac:dyDescent="0.25">
      <c r="A33796" s="2">
        <v>33791</v>
      </c>
      <c r="B33796" s="11" t="str">
        <f>"200802001938"</f>
        <v>200802001938</v>
      </c>
    </row>
    <row r="33797" spans="1:2" x14ac:dyDescent="0.25">
      <c r="A33797" s="2">
        <v>33792</v>
      </c>
      <c r="B33797" s="11" t="str">
        <f>"200802001951"</f>
        <v>200802001951</v>
      </c>
    </row>
    <row r="33798" spans="1:2" x14ac:dyDescent="0.25">
      <c r="A33798" s="2">
        <v>33793</v>
      </c>
      <c r="B33798" s="11" t="str">
        <f>"200802002113"</f>
        <v>200802002113</v>
      </c>
    </row>
    <row r="33799" spans="1:2" x14ac:dyDescent="0.25">
      <c r="A33799" s="2">
        <v>33794</v>
      </c>
      <c r="B33799" s="11" t="str">
        <f>"200802002121"</f>
        <v>200802002121</v>
      </c>
    </row>
    <row r="33800" spans="1:2" x14ac:dyDescent="0.25">
      <c r="A33800" s="2">
        <v>33795</v>
      </c>
      <c r="B33800" s="11" t="str">
        <f>"200802002201"</f>
        <v>200802002201</v>
      </c>
    </row>
    <row r="33801" spans="1:2" x14ac:dyDescent="0.25">
      <c r="A33801" s="2">
        <v>33796</v>
      </c>
      <c r="B33801" s="11" t="str">
        <f>"200802002223"</f>
        <v>200802002223</v>
      </c>
    </row>
    <row r="33802" spans="1:2" x14ac:dyDescent="0.25">
      <c r="A33802" s="2">
        <v>33797</v>
      </c>
      <c r="B33802" s="11" t="str">
        <f>"200802002272"</f>
        <v>200802002272</v>
      </c>
    </row>
    <row r="33803" spans="1:2" x14ac:dyDescent="0.25">
      <c r="A33803" s="2">
        <v>33798</v>
      </c>
      <c r="B33803" s="11" t="str">
        <f>"200802002435"</f>
        <v>200802002435</v>
      </c>
    </row>
    <row r="33804" spans="1:2" x14ac:dyDescent="0.25">
      <c r="A33804" s="2">
        <v>33799</v>
      </c>
      <c r="B33804" s="11" t="str">
        <f>"200802002457"</f>
        <v>200802002457</v>
      </c>
    </row>
    <row r="33805" spans="1:2" x14ac:dyDescent="0.25">
      <c r="A33805" s="2">
        <v>33800</v>
      </c>
      <c r="B33805" s="11" t="str">
        <f>"200802002492"</f>
        <v>200802002492</v>
      </c>
    </row>
    <row r="33806" spans="1:2" x14ac:dyDescent="0.25">
      <c r="A33806" s="2">
        <v>33801</v>
      </c>
      <c r="B33806" s="11" t="str">
        <f>"200802002589"</f>
        <v>200802002589</v>
      </c>
    </row>
    <row r="33807" spans="1:2" x14ac:dyDescent="0.25">
      <c r="A33807" s="2">
        <v>33802</v>
      </c>
      <c r="B33807" s="11" t="str">
        <f>"200802002640"</f>
        <v>200802002640</v>
      </c>
    </row>
    <row r="33808" spans="1:2" x14ac:dyDescent="0.25">
      <c r="A33808" s="2">
        <v>33803</v>
      </c>
      <c r="B33808" s="11" t="str">
        <f>"200802002643"</f>
        <v>200802002643</v>
      </c>
    </row>
    <row r="33809" spans="1:2" x14ac:dyDescent="0.25">
      <c r="A33809" s="2">
        <v>33804</v>
      </c>
      <c r="B33809" s="11" t="str">
        <f>"200802002676"</f>
        <v>200802002676</v>
      </c>
    </row>
    <row r="33810" spans="1:2" x14ac:dyDescent="0.25">
      <c r="A33810" s="2">
        <v>33805</v>
      </c>
      <c r="B33810" s="11" t="str">
        <f>"200802002728"</f>
        <v>200802002728</v>
      </c>
    </row>
    <row r="33811" spans="1:2" x14ac:dyDescent="0.25">
      <c r="A33811" s="2">
        <v>33806</v>
      </c>
      <c r="B33811" s="11" t="str">
        <f>"200802002738"</f>
        <v>200802002738</v>
      </c>
    </row>
    <row r="33812" spans="1:2" x14ac:dyDescent="0.25">
      <c r="A33812" s="2">
        <v>33807</v>
      </c>
      <c r="B33812" s="11" t="str">
        <f>"200802002744"</f>
        <v>200802002744</v>
      </c>
    </row>
    <row r="33813" spans="1:2" x14ac:dyDescent="0.25">
      <c r="A33813" s="2">
        <v>33808</v>
      </c>
      <c r="B33813" s="11" t="str">
        <f>"200802002812"</f>
        <v>200802002812</v>
      </c>
    </row>
    <row r="33814" spans="1:2" x14ac:dyDescent="0.25">
      <c r="A33814" s="2">
        <v>33809</v>
      </c>
      <c r="B33814" s="11" t="str">
        <f>"200802002912"</f>
        <v>200802002912</v>
      </c>
    </row>
    <row r="33815" spans="1:2" x14ac:dyDescent="0.25">
      <c r="A33815" s="2">
        <v>33810</v>
      </c>
      <c r="B33815" s="11" t="str">
        <f>"200802002922"</f>
        <v>200802002922</v>
      </c>
    </row>
    <row r="33816" spans="1:2" x14ac:dyDescent="0.25">
      <c r="A33816" s="2">
        <v>33811</v>
      </c>
      <c r="B33816" s="11" t="str">
        <f>"200802002951"</f>
        <v>200802002951</v>
      </c>
    </row>
    <row r="33817" spans="1:2" x14ac:dyDescent="0.25">
      <c r="A33817" s="2">
        <v>33812</v>
      </c>
      <c r="B33817" s="11" t="str">
        <f>"200802003004"</f>
        <v>200802003004</v>
      </c>
    </row>
    <row r="33818" spans="1:2" x14ac:dyDescent="0.25">
      <c r="A33818" s="2">
        <v>33813</v>
      </c>
      <c r="B33818" s="11" t="str">
        <f>"200802003028"</f>
        <v>200802003028</v>
      </c>
    </row>
    <row r="33819" spans="1:2" x14ac:dyDescent="0.25">
      <c r="A33819" s="2">
        <v>33814</v>
      </c>
      <c r="B33819" s="11" t="str">
        <f>"200802003102"</f>
        <v>200802003102</v>
      </c>
    </row>
    <row r="33820" spans="1:2" x14ac:dyDescent="0.25">
      <c r="A33820" s="2">
        <v>33815</v>
      </c>
      <c r="B33820" s="11" t="str">
        <f>"200802003129"</f>
        <v>200802003129</v>
      </c>
    </row>
    <row r="33821" spans="1:2" x14ac:dyDescent="0.25">
      <c r="A33821" s="2">
        <v>33816</v>
      </c>
      <c r="B33821" s="11" t="str">
        <f>"200802003155"</f>
        <v>200802003155</v>
      </c>
    </row>
    <row r="33822" spans="1:2" x14ac:dyDescent="0.25">
      <c r="A33822" s="2">
        <v>33817</v>
      </c>
      <c r="B33822" s="11" t="str">
        <f>"200802003319"</f>
        <v>200802003319</v>
      </c>
    </row>
    <row r="33823" spans="1:2" x14ac:dyDescent="0.25">
      <c r="A33823" s="2">
        <v>33818</v>
      </c>
      <c r="B33823" s="11" t="str">
        <f>"200802003339"</f>
        <v>200802003339</v>
      </c>
    </row>
    <row r="33824" spans="1:2" x14ac:dyDescent="0.25">
      <c r="A33824" s="2">
        <v>33819</v>
      </c>
      <c r="B33824" s="11" t="str">
        <f>"200802003372"</f>
        <v>200802003372</v>
      </c>
    </row>
    <row r="33825" spans="1:2" x14ac:dyDescent="0.25">
      <c r="A33825" s="2">
        <v>33820</v>
      </c>
      <c r="B33825" s="11" t="str">
        <f>"200802003431"</f>
        <v>200802003431</v>
      </c>
    </row>
    <row r="33826" spans="1:2" x14ac:dyDescent="0.25">
      <c r="A33826" s="2">
        <v>33821</v>
      </c>
      <c r="B33826" s="11" t="str">
        <f>"200802003439"</f>
        <v>200802003439</v>
      </c>
    </row>
    <row r="33827" spans="1:2" x14ac:dyDescent="0.25">
      <c r="A33827" s="2">
        <v>33822</v>
      </c>
      <c r="B33827" s="11" t="str">
        <f>"200802003516"</f>
        <v>200802003516</v>
      </c>
    </row>
    <row r="33828" spans="1:2" x14ac:dyDescent="0.25">
      <c r="A33828" s="2">
        <v>33823</v>
      </c>
      <c r="B33828" s="11" t="str">
        <f>"200802003646"</f>
        <v>200802003646</v>
      </c>
    </row>
    <row r="33829" spans="1:2" x14ac:dyDescent="0.25">
      <c r="A33829" s="2">
        <v>33824</v>
      </c>
      <c r="B33829" s="11" t="str">
        <f>"200802003659"</f>
        <v>200802003659</v>
      </c>
    </row>
    <row r="33830" spans="1:2" x14ac:dyDescent="0.25">
      <c r="A33830" s="2">
        <v>33825</v>
      </c>
      <c r="B33830" s="11" t="str">
        <f>"200802003808"</f>
        <v>200802003808</v>
      </c>
    </row>
    <row r="33831" spans="1:2" x14ac:dyDescent="0.25">
      <c r="A33831" s="2">
        <v>33826</v>
      </c>
      <c r="B33831" s="11" t="str">
        <f>"200802003834"</f>
        <v>200802003834</v>
      </c>
    </row>
    <row r="33832" spans="1:2" x14ac:dyDescent="0.25">
      <c r="A33832" s="2">
        <v>33827</v>
      </c>
      <c r="B33832" s="11" t="str">
        <f>"200802003927"</f>
        <v>200802003927</v>
      </c>
    </row>
    <row r="33833" spans="1:2" x14ac:dyDescent="0.25">
      <c r="A33833" s="2">
        <v>33828</v>
      </c>
      <c r="B33833" s="11" t="str">
        <f>"200802003965"</f>
        <v>200802003965</v>
      </c>
    </row>
    <row r="33834" spans="1:2" x14ac:dyDescent="0.25">
      <c r="A33834" s="2">
        <v>33829</v>
      </c>
      <c r="B33834" s="11" t="str">
        <f>"200802004000"</f>
        <v>200802004000</v>
      </c>
    </row>
    <row r="33835" spans="1:2" x14ac:dyDescent="0.25">
      <c r="A33835" s="2">
        <v>33830</v>
      </c>
      <c r="B33835" s="11" t="str">
        <f>"200802004010"</f>
        <v>200802004010</v>
      </c>
    </row>
    <row r="33836" spans="1:2" x14ac:dyDescent="0.25">
      <c r="A33836" s="2">
        <v>33831</v>
      </c>
      <c r="B33836" s="11" t="str">
        <f>"200802004032"</f>
        <v>200802004032</v>
      </c>
    </row>
    <row r="33837" spans="1:2" x14ac:dyDescent="0.25">
      <c r="A33837" s="2">
        <v>33832</v>
      </c>
      <c r="B33837" s="11" t="str">
        <f>"200802004047"</f>
        <v>200802004047</v>
      </c>
    </row>
    <row r="33838" spans="1:2" x14ac:dyDescent="0.25">
      <c r="A33838" s="2">
        <v>33833</v>
      </c>
      <c r="B33838" s="11" t="str">
        <f>"200802004113"</f>
        <v>200802004113</v>
      </c>
    </row>
    <row r="33839" spans="1:2" x14ac:dyDescent="0.25">
      <c r="A33839" s="2">
        <v>33834</v>
      </c>
      <c r="B33839" s="11" t="str">
        <f>"200802004130"</f>
        <v>200802004130</v>
      </c>
    </row>
    <row r="33840" spans="1:2" x14ac:dyDescent="0.25">
      <c r="A33840" s="2">
        <v>33835</v>
      </c>
      <c r="B33840" s="11" t="str">
        <f>"200802004179"</f>
        <v>200802004179</v>
      </c>
    </row>
    <row r="33841" spans="1:2" x14ac:dyDescent="0.25">
      <c r="A33841" s="2">
        <v>33836</v>
      </c>
      <c r="B33841" s="11" t="str">
        <f>"200802004238"</f>
        <v>200802004238</v>
      </c>
    </row>
    <row r="33842" spans="1:2" x14ac:dyDescent="0.25">
      <c r="A33842" s="2">
        <v>33837</v>
      </c>
      <c r="B33842" s="11" t="str">
        <f>"200802004256"</f>
        <v>200802004256</v>
      </c>
    </row>
    <row r="33843" spans="1:2" x14ac:dyDescent="0.25">
      <c r="A33843" s="2">
        <v>33838</v>
      </c>
      <c r="B33843" s="11" t="str">
        <f>"200802004367"</f>
        <v>200802004367</v>
      </c>
    </row>
    <row r="33844" spans="1:2" x14ac:dyDescent="0.25">
      <c r="A33844" s="2">
        <v>33839</v>
      </c>
      <c r="B33844" s="11" t="str">
        <f>"200802004401"</f>
        <v>200802004401</v>
      </c>
    </row>
    <row r="33845" spans="1:2" x14ac:dyDescent="0.25">
      <c r="A33845" s="2">
        <v>33840</v>
      </c>
      <c r="B33845" s="11" t="str">
        <f>"200802004546"</f>
        <v>200802004546</v>
      </c>
    </row>
    <row r="33846" spans="1:2" x14ac:dyDescent="0.25">
      <c r="A33846" s="2">
        <v>33841</v>
      </c>
      <c r="B33846" s="11" t="str">
        <f>"200802004711"</f>
        <v>200802004711</v>
      </c>
    </row>
    <row r="33847" spans="1:2" x14ac:dyDescent="0.25">
      <c r="A33847" s="2">
        <v>33842</v>
      </c>
      <c r="B33847" s="11" t="str">
        <f>"200802004712"</f>
        <v>200802004712</v>
      </c>
    </row>
    <row r="33848" spans="1:2" x14ac:dyDescent="0.25">
      <c r="A33848" s="2">
        <v>33843</v>
      </c>
      <c r="B33848" s="11" t="str">
        <f>"200802004776"</f>
        <v>200802004776</v>
      </c>
    </row>
    <row r="33849" spans="1:2" x14ac:dyDescent="0.25">
      <c r="A33849" s="2">
        <v>33844</v>
      </c>
      <c r="B33849" s="11" t="str">
        <f>"200802004786"</f>
        <v>200802004786</v>
      </c>
    </row>
    <row r="33850" spans="1:2" x14ac:dyDescent="0.25">
      <c r="A33850" s="2">
        <v>33845</v>
      </c>
      <c r="B33850" s="11" t="str">
        <f>"200802004804"</f>
        <v>200802004804</v>
      </c>
    </row>
    <row r="33851" spans="1:2" x14ac:dyDescent="0.25">
      <c r="A33851" s="2">
        <v>33846</v>
      </c>
      <c r="B33851" s="11" t="str">
        <f>"200802004805"</f>
        <v>200802004805</v>
      </c>
    </row>
    <row r="33852" spans="1:2" x14ac:dyDescent="0.25">
      <c r="A33852" s="2">
        <v>33847</v>
      </c>
      <c r="B33852" s="11" t="str">
        <f>"200802004836"</f>
        <v>200802004836</v>
      </c>
    </row>
    <row r="33853" spans="1:2" x14ac:dyDescent="0.25">
      <c r="A33853" s="2">
        <v>33848</v>
      </c>
      <c r="B33853" s="11" t="str">
        <f>"200802004859"</f>
        <v>200802004859</v>
      </c>
    </row>
    <row r="33854" spans="1:2" x14ac:dyDescent="0.25">
      <c r="A33854" s="2">
        <v>33849</v>
      </c>
      <c r="B33854" s="11" t="str">
        <f>"200802004985"</f>
        <v>200802004985</v>
      </c>
    </row>
    <row r="33855" spans="1:2" x14ac:dyDescent="0.25">
      <c r="A33855" s="2">
        <v>33850</v>
      </c>
      <c r="B33855" s="11" t="str">
        <f>"200802004987"</f>
        <v>200802004987</v>
      </c>
    </row>
    <row r="33856" spans="1:2" x14ac:dyDescent="0.25">
      <c r="A33856" s="2">
        <v>33851</v>
      </c>
      <c r="B33856" s="11" t="str">
        <f>"200802005023"</f>
        <v>200802005023</v>
      </c>
    </row>
    <row r="33857" spans="1:2" x14ac:dyDescent="0.25">
      <c r="A33857" s="2">
        <v>33852</v>
      </c>
      <c r="B33857" s="11" t="str">
        <f>"200802005047"</f>
        <v>200802005047</v>
      </c>
    </row>
    <row r="33858" spans="1:2" x14ac:dyDescent="0.25">
      <c r="A33858" s="2">
        <v>33853</v>
      </c>
      <c r="B33858" s="11" t="str">
        <f>"200802005130"</f>
        <v>200802005130</v>
      </c>
    </row>
    <row r="33859" spans="1:2" x14ac:dyDescent="0.25">
      <c r="A33859" s="2">
        <v>33854</v>
      </c>
      <c r="B33859" s="11" t="str">
        <f>"200802005138"</f>
        <v>200802005138</v>
      </c>
    </row>
    <row r="33860" spans="1:2" x14ac:dyDescent="0.25">
      <c r="A33860" s="2">
        <v>33855</v>
      </c>
      <c r="B33860" s="11" t="str">
        <f>"200802005173"</f>
        <v>200802005173</v>
      </c>
    </row>
    <row r="33861" spans="1:2" x14ac:dyDescent="0.25">
      <c r="A33861" s="2">
        <v>33856</v>
      </c>
      <c r="B33861" s="11" t="str">
        <f>"200802005283"</f>
        <v>200802005283</v>
      </c>
    </row>
    <row r="33862" spans="1:2" x14ac:dyDescent="0.25">
      <c r="A33862" s="2">
        <v>33857</v>
      </c>
      <c r="B33862" s="11" t="str">
        <f>"200802005285"</f>
        <v>200802005285</v>
      </c>
    </row>
    <row r="33863" spans="1:2" x14ac:dyDescent="0.25">
      <c r="A33863" s="2">
        <v>33858</v>
      </c>
      <c r="B33863" s="11" t="str">
        <f>"200802005313"</f>
        <v>200802005313</v>
      </c>
    </row>
    <row r="33864" spans="1:2" x14ac:dyDescent="0.25">
      <c r="A33864" s="2">
        <v>33859</v>
      </c>
      <c r="B33864" s="11" t="str">
        <f>"200802005379"</f>
        <v>200802005379</v>
      </c>
    </row>
    <row r="33865" spans="1:2" x14ac:dyDescent="0.25">
      <c r="A33865" s="2">
        <v>33860</v>
      </c>
      <c r="B33865" s="11" t="str">
        <f>"200802005630"</f>
        <v>200802005630</v>
      </c>
    </row>
    <row r="33866" spans="1:2" x14ac:dyDescent="0.25">
      <c r="A33866" s="2">
        <v>33861</v>
      </c>
      <c r="B33866" s="11" t="str">
        <f>"200802005807"</f>
        <v>200802005807</v>
      </c>
    </row>
    <row r="33867" spans="1:2" x14ac:dyDescent="0.25">
      <c r="A33867" s="2">
        <v>33862</v>
      </c>
      <c r="B33867" s="11" t="str">
        <f>"200802005833"</f>
        <v>200802005833</v>
      </c>
    </row>
    <row r="33868" spans="1:2" x14ac:dyDescent="0.25">
      <c r="A33868" s="2">
        <v>33863</v>
      </c>
      <c r="B33868" s="11" t="str">
        <f>"200802005989"</f>
        <v>200802005989</v>
      </c>
    </row>
    <row r="33869" spans="1:2" x14ac:dyDescent="0.25">
      <c r="A33869" s="2">
        <v>33864</v>
      </c>
      <c r="B33869" s="11" t="str">
        <f>"200802006009"</f>
        <v>200802006009</v>
      </c>
    </row>
    <row r="33870" spans="1:2" x14ac:dyDescent="0.25">
      <c r="A33870" s="2">
        <v>33865</v>
      </c>
      <c r="B33870" s="11" t="str">
        <f>"200802006105"</f>
        <v>200802006105</v>
      </c>
    </row>
    <row r="33871" spans="1:2" x14ac:dyDescent="0.25">
      <c r="A33871" s="2">
        <v>33866</v>
      </c>
      <c r="B33871" s="11" t="str">
        <f>"200802006182"</f>
        <v>200802006182</v>
      </c>
    </row>
    <row r="33872" spans="1:2" x14ac:dyDescent="0.25">
      <c r="A33872" s="2">
        <v>33867</v>
      </c>
      <c r="B33872" s="11" t="str">
        <f>"200802006242"</f>
        <v>200802006242</v>
      </c>
    </row>
    <row r="33873" spans="1:2" x14ac:dyDescent="0.25">
      <c r="A33873" s="2">
        <v>33868</v>
      </c>
      <c r="B33873" s="11" t="str">
        <f>"200802006243"</f>
        <v>200802006243</v>
      </c>
    </row>
    <row r="33874" spans="1:2" x14ac:dyDescent="0.25">
      <c r="A33874" s="2">
        <v>33869</v>
      </c>
      <c r="B33874" s="11" t="str">
        <f>"200802006245"</f>
        <v>200802006245</v>
      </c>
    </row>
    <row r="33875" spans="1:2" x14ac:dyDescent="0.25">
      <c r="A33875" s="2">
        <v>33870</v>
      </c>
      <c r="B33875" s="11" t="str">
        <f>"200802006295"</f>
        <v>200802006295</v>
      </c>
    </row>
    <row r="33876" spans="1:2" x14ac:dyDescent="0.25">
      <c r="A33876" s="2">
        <v>33871</v>
      </c>
      <c r="B33876" s="11" t="str">
        <f>"200802006312"</f>
        <v>200802006312</v>
      </c>
    </row>
    <row r="33877" spans="1:2" x14ac:dyDescent="0.25">
      <c r="A33877" s="2">
        <v>33872</v>
      </c>
      <c r="B33877" s="11" t="str">
        <f>"200802006438"</f>
        <v>200802006438</v>
      </c>
    </row>
    <row r="33878" spans="1:2" x14ac:dyDescent="0.25">
      <c r="A33878" s="2">
        <v>33873</v>
      </c>
      <c r="B33878" s="11" t="str">
        <f>"200802006555"</f>
        <v>200802006555</v>
      </c>
    </row>
    <row r="33879" spans="1:2" x14ac:dyDescent="0.25">
      <c r="A33879" s="2">
        <v>33874</v>
      </c>
      <c r="B33879" s="11" t="str">
        <f>"200802006602"</f>
        <v>200802006602</v>
      </c>
    </row>
    <row r="33880" spans="1:2" x14ac:dyDescent="0.25">
      <c r="A33880" s="2">
        <v>33875</v>
      </c>
      <c r="B33880" s="11" t="str">
        <f>"200802006644"</f>
        <v>200802006644</v>
      </c>
    </row>
    <row r="33881" spans="1:2" x14ac:dyDescent="0.25">
      <c r="A33881" s="2">
        <v>33876</v>
      </c>
      <c r="B33881" s="11" t="str">
        <f>"200802006736"</f>
        <v>200802006736</v>
      </c>
    </row>
    <row r="33882" spans="1:2" x14ac:dyDescent="0.25">
      <c r="A33882" s="2">
        <v>33877</v>
      </c>
      <c r="B33882" s="11" t="str">
        <f>"200802006744"</f>
        <v>200802006744</v>
      </c>
    </row>
    <row r="33883" spans="1:2" x14ac:dyDescent="0.25">
      <c r="A33883" s="2">
        <v>33878</v>
      </c>
      <c r="B33883" s="11" t="str">
        <f>"200802006844"</f>
        <v>200802006844</v>
      </c>
    </row>
    <row r="33884" spans="1:2" x14ac:dyDescent="0.25">
      <c r="A33884" s="2">
        <v>33879</v>
      </c>
      <c r="B33884" s="11" t="str">
        <f>"200802006859"</f>
        <v>200802006859</v>
      </c>
    </row>
    <row r="33885" spans="1:2" x14ac:dyDescent="0.25">
      <c r="A33885" s="2">
        <v>33880</v>
      </c>
      <c r="B33885" s="11" t="str">
        <f>"200802006939"</f>
        <v>200802006939</v>
      </c>
    </row>
    <row r="33886" spans="1:2" x14ac:dyDescent="0.25">
      <c r="A33886" s="2">
        <v>33881</v>
      </c>
      <c r="B33886" s="11" t="str">
        <f>"200802007006"</f>
        <v>200802007006</v>
      </c>
    </row>
    <row r="33887" spans="1:2" x14ac:dyDescent="0.25">
      <c r="A33887" s="2">
        <v>33882</v>
      </c>
      <c r="B33887" s="11" t="str">
        <f>"200802007013"</f>
        <v>200802007013</v>
      </c>
    </row>
    <row r="33888" spans="1:2" x14ac:dyDescent="0.25">
      <c r="A33888" s="2">
        <v>33883</v>
      </c>
      <c r="B33888" s="11" t="str">
        <f>"200802007076"</f>
        <v>200802007076</v>
      </c>
    </row>
    <row r="33889" spans="1:2" x14ac:dyDescent="0.25">
      <c r="A33889" s="2">
        <v>33884</v>
      </c>
      <c r="B33889" s="11" t="str">
        <f>"200802007102"</f>
        <v>200802007102</v>
      </c>
    </row>
    <row r="33890" spans="1:2" x14ac:dyDescent="0.25">
      <c r="A33890" s="2">
        <v>33885</v>
      </c>
      <c r="B33890" s="11" t="str">
        <f>"200802007156"</f>
        <v>200802007156</v>
      </c>
    </row>
    <row r="33891" spans="1:2" x14ac:dyDescent="0.25">
      <c r="A33891" s="2">
        <v>33886</v>
      </c>
      <c r="B33891" s="11" t="str">
        <f>"200802007174"</f>
        <v>200802007174</v>
      </c>
    </row>
    <row r="33892" spans="1:2" x14ac:dyDescent="0.25">
      <c r="A33892" s="2">
        <v>33887</v>
      </c>
      <c r="B33892" s="11" t="str">
        <f>"200802007181"</f>
        <v>200802007181</v>
      </c>
    </row>
    <row r="33893" spans="1:2" x14ac:dyDescent="0.25">
      <c r="A33893" s="2">
        <v>33888</v>
      </c>
      <c r="B33893" s="11" t="str">
        <f>"200802007255"</f>
        <v>200802007255</v>
      </c>
    </row>
    <row r="33894" spans="1:2" x14ac:dyDescent="0.25">
      <c r="A33894" s="2">
        <v>33889</v>
      </c>
      <c r="B33894" s="11" t="str">
        <f>"200802007271"</f>
        <v>200802007271</v>
      </c>
    </row>
    <row r="33895" spans="1:2" x14ac:dyDescent="0.25">
      <c r="A33895" s="2">
        <v>33890</v>
      </c>
      <c r="B33895" s="11" t="str">
        <f>"200802007309"</f>
        <v>200802007309</v>
      </c>
    </row>
    <row r="33896" spans="1:2" x14ac:dyDescent="0.25">
      <c r="A33896" s="2">
        <v>33891</v>
      </c>
      <c r="B33896" s="11" t="str">
        <f>"200802007376"</f>
        <v>200802007376</v>
      </c>
    </row>
    <row r="33897" spans="1:2" x14ac:dyDescent="0.25">
      <c r="A33897" s="2">
        <v>33892</v>
      </c>
      <c r="B33897" s="11" t="str">
        <f>"200802007383"</f>
        <v>200802007383</v>
      </c>
    </row>
    <row r="33898" spans="1:2" x14ac:dyDescent="0.25">
      <c r="A33898" s="2">
        <v>33893</v>
      </c>
      <c r="B33898" s="11" t="str">
        <f>"200802007455"</f>
        <v>200802007455</v>
      </c>
    </row>
    <row r="33899" spans="1:2" x14ac:dyDescent="0.25">
      <c r="A33899" s="2">
        <v>33894</v>
      </c>
      <c r="B33899" s="11" t="str">
        <f>"200802007494"</f>
        <v>200802007494</v>
      </c>
    </row>
    <row r="33900" spans="1:2" x14ac:dyDescent="0.25">
      <c r="A33900" s="2">
        <v>33895</v>
      </c>
      <c r="B33900" s="11" t="str">
        <f>"200802007523"</f>
        <v>200802007523</v>
      </c>
    </row>
    <row r="33901" spans="1:2" x14ac:dyDescent="0.25">
      <c r="A33901" s="2">
        <v>33896</v>
      </c>
      <c r="B33901" s="11" t="str">
        <f>"200802007595"</f>
        <v>200802007595</v>
      </c>
    </row>
    <row r="33902" spans="1:2" x14ac:dyDescent="0.25">
      <c r="A33902" s="2">
        <v>33897</v>
      </c>
      <c r="B33902" s="11" t="str">
        <f>"200802007614"</f>
        <v>200802007614</v>
      </c>
    </row>
    <row r="33903" spans="1:2" x14ac:dyDescent="0.25">
      <c r="A33903" s="2">
        <v>33898</v>
      </c>
      <c r="B33903" s="11" t="str">
        <f>"200802007655"</f>
        <v>200802007655</v>
      </c>
    </row>
    <row r="33904" spans="1:2" x14ac:dyDescent="0.25">
      <c r="A33904" s="2">
        <v>33899</v>
      </c>
      <c r="B33904" s="11" t="str">
        <f>"200802007658"</f>
        <v>200802007658</v>
      </c>
    </row>
    <row r="33905" spans="1:2" x14ac:dyDescent="0.25">
      <c r="A33905" s="2">
        <v>33900</v>
      </c>
      <c r="B33905" s="11" t="str">
        <f>"200802007705"</f>
        <v>200802007705</v>
      </c>
    </row>
    <row r="33906" spans="1:2" x14ac:dyDescent="0.25">
      <c r="A33906" s="2">
        <v>33901</v>
      </c>
      <c r="B33906" s="11" t="str">
        <f>"200802007822"</f>
        <v>200802007822</v>
      </c>
    </row>
    <row r="33907" spans="1:2" x14ac:dyDescent="0.25">
      <c r="A33907" s="2">
        <v>33902</v>
      </c>
      <c r="B33907" s="11" t="str">
        <f>"200802007864"</f>
        <v>200802007864</v>
      </c>
    </row>
    <row r="33908" spans="1:2" x14ac:dyDescent="0.25">
      <c r="A33908" s="2">
        <v>33903</v>
      </c>
      <c r="B33908" s="11" t="str">
        <f>"200802007992"</f>
        <v>200802007992</v>
      </c>
    </row>
    <row r="33909" spans="1:2" x14ac:dyDescent="0.25">
      <c r="A33909" s="2">
        <v>33904</v>
      </c>
      <c r="B33909" s="11" t="str">
        <f>"200802008039"</f>
        <v>200802008039</v>
      </c>
    </row>
    <row r="33910" spans="1:2" x14ac:dyDescent="0.25">
      <c r="A33910" s="2">
        <v>33905</v>
      </c>
      <c r="B33910" s="11" t="str">
        <f>"200802008118"</f>
        <v>200802008118</v>
      </c>
    </row>
    <row r="33911" spans="1:2" x14ac:dyDescent="0.25">
      <c r="A33911" s="2">
        <v>33906</v>
      </c>
      <c r="B33911" s="11" t="str">
        <f>"200802008153"</f>
        <v>200802008153</v>
      </c>
    </row>
    <row r="33912" spans="1:2" x14ac:dyDescent="0.25">
      <c r="A33912" s="2">
        <v>33907</v>
      </c>
      <c r="B33912" s="11" t="str">
        <f>"200802008204"</f>
        <v>200802008204</v>
      </c>
    </row>
    <row r="33913" spans="1:2" x14ac:dyDescent="0.25">
      <c r="A33913" s="2">
        <v>33908</v>
      </c>
      <c r="B33913" s="11" t="str">
        <f>"200802008209"</f>
        <v>200802008209</v>
      </c>
    </row>
    <row r="33914" spans="1:2" x14ac:dyDescent="0.25">
      <c r="A33914" s="2">
        <v>33909</v>
      </c>
      <c r="B33914" s="11" t="str">
        <f>"200802008318"</f>
        <v>200802008318</v>
      </c>
    </row>
    <row r="33915" spans="1:2" x14ac:dyDescent="0.25">
      <c r="A33915" s="2">
        <v>33910</v>
      </c>
      <c r="B33915" s="11" t="str">
        <f>"200802008358"</f>
        <v>200802008358</v>
      </c>
    </row>
    <row r="33916" spans="1:2" x14ac:dyDescent="0.25">
      <c r="A33916" s="2">
        <v>33911</v>
      </c>
      <c r="B33916" s="11" t="str">
        <f>"200802008360"</f>
        <v>200802008360</v>
      </c>
    </row>
    <row r="33917" spans="1:2" x14ac:dyDescent="0.25">
      <c r="A33917" s="2">
        <v>33912</v>
      </c>
      <c r="B33917" s="11" t="str">
        <f>"200802008408"</f>
        <v>200802008408</v>
      </c>
    </row>
    <row r="33918" spans="1:2" x14ac:dyDescent="0.25">
      <c r="A33918" s="2">
        <v>33913</v>
      </c>
      <c r="B33918" s="11" t="str">
        <f>"200802008558"</f>
        <v>200802008558</v>
      </c>
    </row>
    <row r="33919" spans="1:2" x14ac:dyDescent="0.25">
      <c r="A33919" s="2">
        <v>33914</v>
      </c>
      <c r="B33919" s="11" t="str">
        <f>"200802008571"</f>
        <v>200802008571</v>
      </c>
    </row>
    <row r="33920" spans="1:2" x14ac:dyDescent="0.25">
      <c r="A33920" s="2">
        <v>33915</v>
      </c>
      <c r="B33920" s="11" t="str">
        <f>"200802008616"</f>
        <v>200802008616</v>
      </c>
    </row>
    <row r="33921" spans="1:2" x14ac:dyDescent="0.25">
      <c r="A33921" s="2">
        <v>33916</v>
      </c>
      <c r="B33921" s="11" t="str">
        <f>"200802008672"</f>
        <v>200802008672</v>
      </c>
    </row>
    <row r="33922" spans="1:2" x14ac:dyDescent="0.25">
      <c r="A33922" s="2">
        <v>33917</v>
      </c>
      <c r="B33922" s="11" t="str">
        <f>"200802008727"</f>
        <v>200802008727</v>
      </c>
    </row>
    <row r="33923" spans="1:2" x14ac:dyDescent="0.25">
      <c r="A33923" s="2">
        <v>33918</v>
      </c>
      <c r="B33923" s="11" t="str">
        <f>"200802008833"</f>
        <v>200802008833</v>
      </c>
    </row>
    <row r="33924" spans="1:2" x14ac:dyDescent="0.25">
      <c r="A33924" s="2">
        <v>33919</v>
      </c>
      <c r="B33924" s="11" t="str">
        <f>"200802009008"</f>
        <v>200802009008</v>
      </c>
    </row>
    <row r="33925" spans="1:2" x14ac:dyDescent="0.25">
      <c r="A33925" s="2">
        <v>33920</v>
      </c>
      <c r="B33925" s="11" t="str">
        <f>"200802009024"</f>
        <v>200802009024</v>
      </c>
    </row>
    <row r="33926" spans="1:2" x14ac:dyDescent="0.25">
      <c r="A33926" s="2">
        <v>33921</v>
      </c>
      <c r="B33926" s="11" t="str">
        <f>"200802009034"</f>
        <v>200802009034</v>
      </c>
    </row>
    <row r="33927" spans="1:2" x14ac:dyDescent="0.25">
      <c r="A33927" s="2">
        <v>33922</v>
      </c>
      <c r="B33927" s="11" t="str">
        <f>"200802009088"</f>
        <v>200802009088</v>
      </c>
    </row>
    <row r="33928" spans="1:2" x14ac:dyDescent="0.25">
      <c r="A33928" s="2">
        <v>33923</v>
      </c>
      <c r="B33928" s="11" t="str">
        <f>"200802009171"</f>
        <v>200802009171</v>
      </c>
    </row>
    <row r="33929" spans="1:2" x14ac:dyDescent="0.25">
      <c r="A33929" s="2">
        <v>33924</v>
      </c>
      <c r="B33929" s="11" t="str">
        <f>"200802009198"</f>
        <v>200802009198</v>
      </c>
    </row>
    <row r="33930" spans="1:2" x14ac:dyDescent="0.25">
      <c r="A33930" s="2">
        <v>33925</v>
      </c>
      <c r="B33930" s="11" t="str">
        <f>"200802009207"</f>
        <v>200802009207</v>
      </c>
    </row>
    <row r="33931" spans="1:2" x14ac:dyDescent="0.25">
      <c r="A33931" s="2">
        <v>33926</v>
      </c>
      <c r="B33931" s="11" t="str">
        <f>"200802009257"</f>
        <v>200802009257</v>
      </c>
    </row>
    <row r="33932" spans="1:2" x14ac:dyDescent="0.25">
      <c r="A33932" s="2">
        <v>33927</v>
      </c>
      <c r="B33932" s="11" t="str">
        <f>"200802009265"</f>
        <v>200802009265</v>
      </c>
    </row>
    <row r="33933" spans="1:2" x14ac:dyDescent="0.25">
      <c r="A33933" s="2">
        <v>33928</v>
      </c>
      <c r="B33933" s="11" t="str">
        <f>"200802009283"</f>
        <v>200802009283</v>
      </c>
    </row>
    <row r="33934" spans="1:2" x14ac:dyDescent="0.25">
      <c r="A33934" s="2">
        <v>33929</v>
      </c>
      <c r="B33934" s="11" t="str">
        <f>"200802009427"</f>
        <v>200802009427</v>
      </c>
    </row>
    <row r="33935" spans="1:2" x14ac:dyDescent="0.25">
      <c r="A33935" s="2">
        <v>33930</v>
      </c>
      <c r="B33935" s="11" t="str">
        <f>"200802009444"</f>
        <v>200802009444</v>
      </c>
    </row>
    <row r="33936" spans="1:2" x14ac:dyDescent="0.25">
      <c r="A33936" s="2">
        <v>33931</v>
      </c>
      <c r="B33936" s="11" t="str">
        <f>"200802009539"</f>
        <v>200802009539</v>
      </c>
    </row>
    <row r="33937" spans="1:2" x14ac:dyDescent="0.25">
      <c r="A33937" s="2">
        <v>33932</v>
      </c>
      <c r="B33937" s="11" t="str">
        <f>"200802009558"</f>
        <v>200802009558</v>
      </c>
    </row>
    <row r="33938" spans="1:2" x14ac:dyDescent="0.25">
      <c r="A33938" s="2">
        <v>33933</v>
      </c>
      <c r="B33938" s="11" t="str">
        <f>"200802009619"</f>
        <v>200802009619</v>
      </c>
    </row>
    <row r="33939" spans="1:2" x14ac:dyDescent="0.25">
      <c r="A33939" s="2">
        <v>33934</v>
      </c>
      <c r="B33939" s="11" t="str">
        <f>"200802009820"</f>
        <v>200802009820</v>
      </c>
    </row>
    <row r="33940" spans="1:2" x14ac:dyDescent="0.25">
      <c r="A33940" s="2">
        <v>33935</v>
      </c>
      <c r="B33940" s="11" t="str">
        <f>"200802009846"</f>
        <v>200802009846</v>
      </c>
    </row>
    <row r="33941" spans="1:2" x14ac:dyDescent="0.25">
      <c r="A33941" s="2">
        <v>33936</v>
      </c>
      <c r="B33941" s="11" t="str">
        <f>"200802009856"</f>
        <v>200802009856</v>
      </c>
    </row>
    <row r="33942" spans="1:2" x14ac:dyDescent="0.25">
      <c r="A33942" s="2">
        <v>33937</v>
      </c>
      <c r="B33942" s="11" t="str">
        <f>"200802009951"</f>
        <v>200802009951</v>
      </c>
    </row>
    <row r="33943" spans="1:2" x14ac:dyDescent="0.25">
      <c r="A33943" s="2">
        <v>33938</v>
      </c>
      <c r="B33943" s="11" t="str">
        <f>"200802010034"</f>
        <v>200802010034</v>
      </c>
    </row>
    <row r="33944" spans="1:2" x14ac:dyDescent="0.25">
      <c r="A33944" s="2">
        <v>33939</v>
      </c>
      <c r="B33944" s="11" t="str">
        <f>"200802010069"</f>
        <v>200802010069</v>
      </c>
    </row>
    <row r="33945" spans="1:2" x14ac:dyDescent="0.25">
      <c r="A33945" s="2">
        <v>33940</v>
      </c>
      <c r="B33945" s="11" t="str">
        <f>"200802010204"</f>
        <v>200802010204</v>
      </c>
    </row>
    <row r="33946" spans="1:2" x14ac:dyDescent="0.25">
      <c r="A33946" s="2">
        <v>33941</v>
      </c>
      <c r="B33946" s="11" t="str">
        <f>"200802010230"</f>
        <v>200802010230</v>
      </c>
    </row>
    <row r="33947" spans="1:2" x14ac:dyDescent="0.25">
      <c r="A33947" s="2">
        <v>33942</v>
      </c>
      <c r="B33947" s="11" t="str">
        <f>"200802010243"</f>
        <v>200802010243</v>
      </c>
    </row>
    <row r="33948" spans="1:2" x14ac:dyDescent="0.25">
      <c r="A33948" s="2">
        <v>33943</v>
      </c>
      <c r="B33948" s="11" t="str">
        <f>"200802010267"</f>
        <v>200802010267</v>
      </c>
    </row>
    <row r="33949" spans="1:2" x14ac:dyDescent="0.25">
      <c r="A33949" s="2">
        <v>33944</v>
      </c>
      <c r="B33949" s="11" t="str">
        <f>"200802010452"</f>
        <v>200802010452</v>
      </c>
    </row>
    <row r="33950" spans="1:2" x14ac:dyDescent="0.25">
      <c r="A33950" s="2">
        <v>33945</v>
      </c>
      <c r="B33950" s="11" t="str">
        <f>"200802010474"</f>
        <v>200802010474</v>
      </c>
    </row>
    <row r="33951" spans="1:2" x14ac:dyDescent="0.25">
      <c r="A33951" s="2">
        <v>33946</v>
      </c>
      <c r="B33951" s="11" t="str">
        <f>"200802010515"</f>
        <v>200802010515</v>
      </c>
    </row>
    <row r="33952" spans="1:2" x14ac:dyDescent="0.25">
      <c r="A33952" s="2">
        <v>33947</v>
      </c>
      <c r="B33952" s="11" t="str">
        <f>"200802010604"</f>
        <v>200802010604</v>
      </c>
    </row>
    <row r="33953" spans="1:2" x14ac:dyDescent="0.25">
      <c r="A33953" s="2">
        <v>33948</v>
      </c>
      <c r="B33953" s="11" t="str">
        <f>"200802010670"</f>
        <v>200802010670</v>
      </c>
    </row>
    <row r="33954" spans="1:2" x14ac:dyDescent="0.25">
      <c r="A33954" s="2">
        <v>33949</v>
      </c>
      <c r="B33954" s="11" t="str">
        <f>"200802010697"</f>
        <v>200802010697</v>
      </c>
    </row>
    <row r="33955" spans="1:2" x14ac:dyDescent="0.25">
      <c r="A33955" s="2">
        <v>33950</v>
      </c>
      <c r="B33955" s="11" t="str">
        <f>"200802010757"</f>
        <v>200802010757</v>
      </c>
    </row>
    <row r="33956" spans="1:2" x14ac:dyDescent="0.25">
      <c r="A33956" s="2">
        <v>33951</v>
      </c>
      <c r="B33956" s="11" t="str">
        <f>"200802010842"</f>
        <v>200802010842</v>
      </c>
    </row>
    <row r="33957" spans="1:2" x14ac:dyDescent="0.25">
      <c r="A33957" s="2">
        <v>33952</v>
      </c>
      <c r="B33957" s="11" t="str">
        <f>"200802010944"</f>
        <v>200802010944</v>
      </c>
    </row>
    <row r="33958" spans="1:2" x14ac:dyDescent="0.25">
      <c r="A33958" s="2">
        <v>33953</v>
      </c>
      <c r="B33958" s="11" t="str">
        <f>"200802010983"</f>
        <v>200802010983</v>
      </c>
    </row>
    <row r="33959" spans="1:2" x14ac:dyDescent="0.25">
      <c r="A33959" s="2">
        <v>33954</v>
      </c>
      <c r="B33959" s="11" t="str">
        <f>"200802011126"</f>
        <v>200802011126</v>
      </c>
    </row>
    <row r="33960" spans="1:2" x14ac:dyDescent="0.25">
      <c r="A33960" s="2">
        <v>33955</v>
      </c>
      <c r="B33960" s="11" t="str">
        <f>"200802011164"</f>
        <v>200802011164</v>
      </c>
    </row>
    <row r="33961" spans="1:2" x14ac:dyDescent="0.25">
      <c r="A33961" s="2">
        <v>33956</v>
      </c>
      <c r="B33961" s="11" t="str">
        <f>"200802011187"</f>
        <v>200802011187</v>
      </c>
    </row>
    <row r="33962" spans="1:2" x14ac:dyDescent="0.25">
      <c r="A33962" s="2">
        <v>33957</v>
      </c>
      <c r="B33962" s="11" t="str">
        <f>"200802011204"</f>
        <v>200802011204</v>
      </c>
    </row>
    <row r="33963" spans="1:2" x14ac:dyDescent="0.25">
      <c r="A33963" s="2">
        <v>33958</v>
      </c>
      <c r="B33963" s="11" t="str">
        <f>"200802011214"</f>
        <v>200802011214</v>
      </c>
    </row>
    <row r="33964" spans="1:2" x14ac:dyDescent="0.25">
      <c r="A33964" s="2">
        <v>33959</v>
      </c>
      <c r="B33964" s="11" t="str">
        <f>"200802011232"</f>
        <v>200802011232</v>
      </c>
    </row>
    <row r="33965" spans="1:2" x14ac:dyDescent="0.25">
      <c r="A33965" s="2">
        <v>33960</v>
      </c>
      <c r="B33965" s="11" t="str">
        <f>"200802011248"</f>
        <v>200802011248</v>
      </c>
    </row>
    <row r="33966" spans="1:2" x14ac:dyDescent="0.25">
      <c r="A33966" s="2">
        <v>33961</v>
      </c>
      <c r="B33966" s="11" t="str">
        <f>"200802011299"</f>
        <v>200802011299</v>
      </c>
    </row>
    <row r="33967" spans="1:2" x14ac:dyDescent="0.25">
      <c r="A33967" s="2">
        <v>33962</v>
      </c>
      <c r="B33967" s="11" t="str">
        <f>"200802011304"</f>
        <v>200802011304</v>
      </c>
    </row>
    <row r="33968" spans="1:2" x14ac:dyDescent="0.25">
      <c r="A33968" s="2">
        <v>33963</v>
      </c>
      <c r="B33968" s="11" t="str">
        <f>"200802011316"</f>
        <v>200802011316</v>
      </c>
    </row>
    <row r="33969" spans="1:2" x14ac:dyDescent="0.25">
      <c r="A33969" s="2">
        <v>33964</v>
      </c>
      <c r="B33969" s="11" t="str">
        <f>"200802011411"</f>
        <v>200802011411</v>
      </c>
    </row>
    <row r="33970" spans="1:2" x14ac:dyDescent="0.25">
      <c r="A33970" s="2">
        <v>33965</v>
      </c>
      <c r="B33970" s="11" t="str">
        <f>"200802011420"</f>
        <v>200802011420</v>
      </c>
    </row>
    <row r="33971" spans="1:2" x14ac:dyDescent="0.25">
      <c r="A33971" s="2">
        <v>33966</v>
      </c>
      <c r="B33971" s="11" t="str">
        <f>"200802011453"</f>
        <v>200802011453</v>
      </c>
    </row>
    <row r="33972" spans="1:2" x14ac:dyDescent="0.25">
      <c r="A33972" s="2">
        <v>33967</v>
      </c>
      <c r="B33972" s="11" t="str">
        <f>"200802011601"</f>
        <v>200802011601</v>
      </c>
    </row>
    <row r="33973" spans="1:2" x14ac:dyDescent="0.25">
      <c r="A33973" s="2">
        <v>33968</v>
      </c>
      <c r="B33973" s="11" t="str">
        <f>"200802011821"</f>
        <v>200802011821</v>
      </c>
    </row>
    <row r="33974" spans="1:2" x14ac:dyDescent="0.25">
      <c r="A33974" s="2">
        <v>33969</v>
      </c>
      <c r="B33974" s="11" t="str">
        <f>"200802011837"</f>
        <v>200802011837</v>
      </c>
    </row>
    <row r="33975" spans="1:2" x14ac:dyDescent="0.25">
      <c r="A33975" s="2">
        <v>33970</v>
      </c>
      <c r="B33975" s="11" t="str">
        <f>"200802011844"</f>
        <v>200802011844</v>
      </c>
    </row>
    <row r="33976" spans="1:2" x14ac:dyDescent="0.25">
      <c r="A33976" s="2">
        <v>33971</v>
      </c>
      <c r="B33976" s="11" t="str">
        <f>"200802011891"</f>
        <v>200802011891</v>
      </c>
    </row>
    <row r="33977" spans="1:2" x14ac:dyDescent="0.25">
      <c r="A33977" s="2">
        <v>33972</v>
      </c>
      <c r="B33977" s="11" t="str">
        <f>"200802011898"</f>
        <v>200802011898</v>
      </c>
    </row>
    <row r="33978" spans="1:2" x14ac:dyDescent="0.25">
      <c r="A33978" s="2">
        <v>33973</v>
      </c>
      <c r="B33978" s="11" t="str">
        <f>"200802011964"</f>
        <v>200802011964</v>
      </c>
    </row>
    <row r="33979" spans="1:2" x14ac:dyDescent="0.25">
      <c r="A33979" s="2">
        <v>33974</v>
      </c>
      <c r="B33979" s="11" t="str">
        <f>"200802011976"</f>
        <v>200802011976</v>
      </c>
    </row>
    <row r="33980" spans="1:2" x14ac:dyDescent="0.25">
      <c r="A33980" s="2">
        <v>33975</v>
      </c>
      <c r="B33980" s="11" t="str">
        <f>"200802012068"</f>
        <v>200802012068</v>
      </c>
    </row>
    <row r="33981" spans="1:2" x14ac:dyDescent="0.25">
      <c r="A33981" s="2">
        <v>33976</v>
      </c>
      <c r="B33981" s="11" t="str">
        <f>"200802012135"</f>
        <v>200802012135</v>
      </c>
    </row>
    <row r="33982" spans="1:2" x14ac:dyDescent="0.25">
      <c r="A33982" s="2">
        <v>33977</v>
      </c>
      <c r="B33982" s="11" t="str">
        <f>"200802012163"</f>
        <v>200802012163</v>
      </c>
    </row>
    <row r="33983" spans="1:2" x14ac:dyDescent="0.25">
      <c r="A33983" s="2">
        <v>33978</v>
      </c>
      <c r="B33983" s="11" t="str">
        <f>"200802012167"</f>
        <v>200802012167</v>
      </c>
    </row>
    <row r="33984" spans="1:2" x14ac:dyDescent="0.25">
      <c r="A33984" s="2">
        <v>33979</v>
      </c>
      <c r="B33984" s="11" t="str">
        <f>"200802012198"</f>
        <v>200802012198</v>
      </c>
    </row>
    <row r="33985" spans="1:2" x14ac:dyDescent="0.25">
      <c r="A33985" s="2">
        <v>33980</v>
      </c>
      <c r="B33985" s="11" t="str">
        <f>"200802012225"</f>
        <v>200802012225</v>
      </c>
    </row>
    <row r="33986" spans="1:2" x14ac:dyDescent="0.25">
      <c r="A33986" s="2">
        <v>33981</v>
      </c>
      <c r="B33986" s="11" t="str">
        <f>"200802012230"</f>
        <v>200802012230</v>
      </c>
    </row>
    <row r="33987" spans="1:2" x14ac:dyDescent="0.25">
      <c r="A33987" s="2">
        <v>33982</v>
      </c>
      <c r="B33987" s="11" t="str">
        <f>"200802012234"</f>
        <v>200802012234</v>
      </c>
    </row>
    <row r="33988" spans="1:2" x14ac:dyDescent="0.25">
      <c r="A33988" s="2">
        <v>33983</v>
      </c>
      <c r="B33988" s="11" t="str">
        <f>"200803000060"</f>
        <v>200803000060</v>
      </c>
    </row>
    <row r="33989" spans="1:2" x14ac:dyDescent="0.25">
      <c r="A33989" s="2">
        <v>33984</v>
      </c>
      <c r="B33989" s="11" t="str">
        <f>"200803000102"</f>
        <v>200803000102</v>
      </c>
    </row>
    <row r="33990" spans="1:2" x14ac:dyDescent="0.25">
      <c r="A33990" s="2">
        <v>33985</v>
      </c>
      <c r="B33990" s="11" t="str">
        <f>"200803000119"</f>
        <v>200803000119</v>
      </c>
    </row>
    <row r="33991" spans="1:2" x14ac:dyDescent="0.25">
      <c r="A33991" s="2">
        <v>33986</v>
      </c>
      <c r="B33991" s="11" t="str">
        <f>"200803000145"</f>
        <v>200803000145</v>
      </c>
    </row>
    <row r="33992" spans="1:2" x14ac:dyDescent="0.25">
      <c r="A33992" s="2">
        <v>33987</v>
      </c>
      <c r="B33992" s="11" t="str">
        <f>"200803000221"</f>
        <v>200803000221</v>
      </c>
    </row>
    <row r="33993" spans="1:2" x14ac:dyDescent="0.25">
      <c r="A33993" s="2">
        <v>33988</v>
      </c>
      <c r="B33993" s="11" t="str">
        <f>"200803000233"</f>
        <v>200803000233</v>
      </c>
    </row>
    <row r="33994" spans="1:2" x14ac:dyDescent="0.25">
      <c r="A33994" s="2">
        <v>33989</v>
      </c>
      <c r="B33994" s="11" t="str">
        <f>"200803000291"</f>
        <v>200803000291</v>
      </c>
    </row>
    <row r="33995" spans="1:2" x14ac:dyDescent="0.25">
      <c r="A33995" s="2">
        <v>33990</v>
      </c>
      <c r="B33995" s="11" t="str">
        <f>"200803000387"</f>
        <v>200803000387</v>
      </c>
    </row>
    <row r="33996" spans="1:2" x14ac:dyDescent="0.25">
      <c r="A33996" s="2">
        <v>33991</v>
      </c>
      <c r="B33996" s="11" t="str">
        <f>"200803000390"</f>
        <v>200803000390</v>
      </c>
    </row>
    <row r="33997" spans="1:2" x14ac:dyDescent="0.25">
      <c r="A33997" s="2">
        <v>33992</v>
      </c>
      <c r="B33997" s="11" t="str">
        <f>"200803000419"</f>
        <v>200803000419</v>
      </c>
    </row>
    <row r="33998" spans="1:2" x14ac:dyDescent="0.25">
      <c r="A33998" s="2">
        <v>33993</v>
      </c>
      <c r="B33998" s="11" t="str">
        <f>"200803000422"</f>
        <v>200803000422</v>
      </c>
    </row>
    <row r="33999" spans="1:2" x14ac:dyDescent="0.25">
      <c r="A33999" s="2">
        <v>33994</v>
      </c>
      <c r="B33999" s="11" t="str">
        <f>"200803000437"</f>
        <v>200803000437</v>
      </c>
    </row>
    <row r="34000" spans="1:2" x14ac:dyDescent="0.25">
      <c r="A34000" s="2">
        <v>33995</v>
      </c>
      <c r="B34000" s="11" t="str">
        <f>"200803000487"</f>
        <v>200803000487</v>
      </c>
    </row>
    <row r="34001" spans="1:2" x14ac:dyDescent="0.25">
      <c r="A34001" s="2">
        <v>33996</v>
      </c>
      <c r="B34001" s="11" t="str">
        <f>"200803000491"</f>
        <v>200803000491</v>
      </c>
    </row>
    <row r="34002" spans="1:2" x14ac:dyDescent="0.25">
      <c r="A34002" s="2">
        <v>33997</v>
      </c>
      <c r="B34002" s="11" t="str">
        <f>"200803000521"</f>
        <v>200803000521</v>
      </c>
    </row>
    <row r="34003" spans="1:2" x14ac:dyDescent="0.25">
      <c r="A34003" s="2">
        <v>33998</v>
      </c>
      <c r="B34003" s="11" t="str">
        <f>"200803000547"</f>
        <v>200803000547</v>
      </c>
    </row>
    <row r="34004" spans="1:2" x14ac:dyDescent="0.25">
      <c r="A34004" s="2">
        <v>33999</v>
      </c>
      <c r="B34004" s="11" t="str">
        <f>"200803000560"</f>
        <v>200803000560</v>
      </c>
    </row>
    <row r="34005" spans="1:2" x14ac:dyDescent="0.25">
      <c r="A34005" s="2">
        <v>34000</v>
      </c>
      <c r="B34005" s="11" t="str">
        <f>"200803000621"</f>
        <v>200803000621</v>
      </c>
    </row>
    <row r="34006" spans="1:2" x14ac:dyDescent="0.25">
      <c r="A34006" s="2">
        <v>34001</v>
      </c>
      <c r="B34006" s="11" t="str">
        <f>"200803000640"</f>
        <v>200803000640</v>
      </c>
    </row>
    <row r="34007" spans="1:2" x14ac:dyDescent="0.25">
      <c r="A34007" s="2">
        <v>34002</v>
      </c>
      <c r="B34007" s="11" t="str">
        <f>"200803000667"</f>
        <v>200803000667</v>
      </c>
    </row>
    <row r="34008" spans="1:2" x14ac:dyDescent="0.25">
      <c r="A34008" s="2">
        <v>34003</v>
      </c>
      <c r="B34008" s="11" t="str">
        <f>"200803000694"</f>
        <v>200803000694</v>
      </c>
    </row>
    <row r="34009" spans="1:2" x14ac:dyDescent="0.25">
      <c r="A34009" s="2">
        <v>34004</v>
      </c>
      <c r="B34009" s="11" t="str">
        <f>"200803000748"</f>
        <v>200803000748</v>
      </c>
    </row>
    <row r="34010" spans="1:2" x14ac:dyDescent="0.25">
      <c r="A34010" s="2">
        <v>34005</v>
      </c>
      <c r="B34010" s="11" t="str">
        <f>"200803000776"</f>
        <v>200803000776</v>
      </c>
    </row>
    <row r="34011" spans="1:2" x14ac:dyDescent="0.25">
      <c r="A34011" s="2">
        <v>34006</v>
      </c>
      <c r="B34011" s="11" t="str">
        <f>"200803000892"</f>
        <v>200803000892</v>
      </c>
    </row>
    <row r="34012" spans="1:2" x14ac:dyDescent="0.25">
      <c r="A34012" s="2">
        <v>34007</v>
      </c>
      <c r="B34012" s="11" t="str">
        <f>"200803000902"</f>
        <v>200803000902</v>
      </c>
    </row>
    <row r="34013" spans="1:2" x14ac:dyDescent="0.25">
      <c r="A34013" s="2">
        <v>34008</v>
      </c>
      <c r="B34013" s="11" t="str">
        <f>"200803000990"</f>
        <v>200803000990</v>
      </c>
    </row>
    <row r="34014" spans="1:2" x14ac:dyDescent="0.25">
      <c r="A34014" s="2">
        <v>34009</v>
      </c>
      <c r="B34014" s="11" t="str">
        <f>"200803001006"</f>
        <v>200803001006</v>
      </c>
    </row>
    <row r="34015" spans="1:2" x14ac:dyDescent="0.25">
      <c r="A34015" s="2">
        <v>34010</v>
      </c>
      <c r="B34015" s="11" t="str">
        <f>"200803001066"</f>
        <v>200803001066</v>
      </c>
    </row>
    <row r="34016" spans="1:2" x14ac:dyDescent="0.25">
      <c r="A34016" s="2">
        <v>34011</v>
      </c>
      <c r="B34016" s="11" t="str">
        <f>"200804000117"</f>
        <v>200804000117</v>
      </c>
    </row>
    <row r="34017" spans="1:2" x14ac:dyDescent="0.25">
      <c r="A34017" s="2">
        <v>34012</v>
      </c>
      <c r="B34017" s="11" t="str">
        <f>"200804000159"</f>
        <v>200804000159</v>
      </c>
    </row>
    <row r="34018" spans="1:2" x14ac:dyDescent="0.25">
      <c r="A34018" s="2">
        <v>34013</v>
      </c>
      <c r="B34018" s="11" t="str">
        <f>"200804000220"</f>
        <v>200804000220</v>
      </c>
    </row>
    <row r="34019" spans="1:2" x14ac:dyDescent="0.25">
      <c r="A34019" s="2">
        <v>34014</v>
      </c>
      <c r="B34019" s="11" t="str">
        <f>"200804000229"</f>
        <v>200804000229</v>
      </c>
    </row>
    <row r="34020" spans="1:2" x14ac:dyDescent="0.25">
      <c r="A34020" s="2">
        <v>34015</v>
      </c>
      <c r="B34020" s="11" t="str">
        <f>"200804000260"</f>
        <v>200804000260</v>
      </c>
    </row>
    <row r="34021" spans="1:2" x14ac:dyDescent="0.25">
      <c r="A34021" s="2">
        <v>34016</v>
      </c>
      <c r="B34021" s="11" t="str">
        <f>"200804000264"</f>
        <v>200804000264</v>
      </c>
    </row>
    <row r="34022" spans="1:2" x14ac:dyDescent="0.25">
      <c r="A34022" s="2">
        <v>34017</v>
      </c>
      <c r="B34022" s="11" t="str">
        <f>"200804000280"</f>
        <v>200804000280</v>
      </c>
    </row>
    <row r="34023" spans="1:2" x14ac:dyDescent="0.25">
      <c r="A34023" s="2">
        <v>34018</v>
      </c>
      <c r="B34023" s="11" t="str">
        <f>"200804000289"</f>
        <v>200804000289</v>
      </c>
    </row>
    <row r="34024" spans="1:2" x14ac:dyDescent="0.25">
      <c r="A34024" s="2">
        <v>34019</v>
      </c>
      <c r="B34024" s="11" t="str">
        <f>"200804000300"</f>
        <v>200804000300</v>
      </c>
    </row>
    <row r="34025" spans="1:2" x14ac:dyDescent="0.25">
      <c r="A34025" s="2">
        <v>34020</v>
      </c>
      <c r="B34025" s="11" t="str">
        <f>"200804000326"</f>
        <v>200804000326</v>
      </c>
    </row>
    <row r="34026" spans="1:2" x14ac:dyDescent="0.25">
      <c r="A34026" s="2">
        <v>34021</v>
      </c>
      <c r="B34026" s="11" t="str">
        <f>"200804000357"</f>
        <v>200804000357</v>
      </c>
    </row>
    <row r="34027" spans="1:2" x14ac:dyDescent="0.25">
      <c r="A34027" s="2">
        <v>34022</v>
      </c>
      <c r="B34027" s="11" t="str">
        <f>"200804000370"</f>
        <v>200804000370</v>
      </c>
    </row>
    <row r="34028" spans="1:2" x14ac:dyDescent="0.25">
      <c r="A34028" s="2">
        <v>34023</v>
      </c>
      <c r="B34028" s="11" t="str">
        <f>"200804000372"</f>
        <v>200804000372</v>
      </c>
    </row>
    <row r="34029" spans="1:2" x14ac:dyDescent="0.25">
      <c r="A34029" s="2">
        <v>34024</v>
      </c>
      <c r="B34029" s="11" t="str">
        <f>"200804000377"</f>
        <v>200804000377</v>
      </c>
    </row>
    <row r="34030" spans="1:2" x14ac:dyDescent="0.25">
      <c r="A34030" s="2">
        <v>34025</v>
      </c>
      <c r="B34030" s="11" t="str">
        <f>"200804000425"</f>
        <v>200804000425</v>
      </c>
    </row>
    <row r="34031" spans="1:2" x14ac:dyDescent="0.25">
      <c r="A34031" s="2">
        <v>34026</v>
      </c>
      <c r="B34031" s="11" t="str">
        <f>"200804000437"</f>
        <v>200804000437</v>
      </c>
    </row>
    <row r="34032" spans="1:2" x14ac:dyDescent="0.25">
      <c r="A34032" s="2">
        <v>34027</v>
      </c>
      <c r="B34032" s="11" t="str">
        <f>"200804000462"</f>
        <v>200804000462</v>
      </c>
    </row>
    <row r="34033" spans="1:2" x14ac:dyDescent="0.25">
      <c r="A34033" s="2">
        <v>34028</v>
      </c>
      <c r="B34033" s="11" t="str">
        <f>"200804000497"</f>
        <v>200804000497</v>
      </c>
    </row>
    <row r="34034" spans="1:2" x14ac:dyDescent="0.25">
      <c r="A34034" s="2">
        <v>34029</v>
      </c>
      <c r="B34034" s="11" t="str">
        <f>"200804000546"</f>
        <v>200804000546</v>
      </c>
    </row>
    <row r="34035" spans="1:2" x14ac:dyDescent="0.25">
      <c r="A34035" s="2">
        <v>34030</v>
      </c>
      <c r="B34035" s="11" t="str">
        <f>"200804000564"</f>
        <v>200804000564</v>
      </c>
    </row>
    <row r="34036" spans="1:2" x14ac:dyDescent="0.25">
      <c r="A34036" s="2">
        <v>34031</v>
      </c>
      <c r="B34036" s="11" t="str">
        <f>"200804000576"</f>
        <v>200804000576</v>
      </c>
    </row>
    <row r="34037" spans="1:2" x14ac:dyDescent="0.25">
      <c r="A34037" s="2">
        <v>34032</v>
      </c>
      <c r="B34037" s="11" t="str">
        <f>"200804000613"</f>
        <v>200804000613</v>
      </c>
    </row>
    <row r="34038" spans="1:2" x14ac:dyDescent="0.25">
      <c r="A34038" s="2">
        <v>34033</v>
      </c>
      <c r="B34038" s="11" t="str">
        <f>"200804000633"</f>
        <v>200804000633</v>
      </c>
    </row>
    <row r="34039" spans="1:2" x14ac:dyDescent="0.25">
      <c r="A34039" s="2">
        <v>34034</v>
      </c>
      <c r="B34039" s="11" t="str">
        <f>"200804000686"</f>
        <v>200804000686</v>
      </c>
    </row>
    <row r="34040" spans="1:2" x14ac:dyDescent="0.25">
      <c r="A34040" s="2">
        <v>34035</v>
      </c>
      <c r="B34040" s="11" t="str">
        <f>"200804000723"</f>
        <v>200804000723</v>
      </c>
    </row>
    <row r="34041" spans="1:2" x14ac:dyDescent="0.25">
      <c r="A34041" s="2">
        <v>34036</v>
      </c>
      <c r="B34041" s="11" t="str">
        <f>"200804000791"</f>
        <v>200804000791</v>
      </c>
    </row>
    <row r="34042" spans="1:2" x14ac:dyDescent="0.25">
      <c r="A34042" s="2">
        <v>34037</v>
      </c>
      <c r="B34042" s="11" t="str">
        <f>"200804000799"</f>
        <v>200804000799</v>
      </c>
    </row>
    <row r="34043" spans="1:2" x14ac:dyDescent="0.25">
      <c r="A34043" s="2">
        <v>34038</v>
      </c>
      <c r="B34043" s="11" t="str">
        <f>"200804000809"</f>
        <v>200804000809</v>
      </c>
    </row>
    <row r="34044" spans="1:2" x14ac:dyDescent="0.25">
      <c r="A34044" s="2">
        <v>34039</v>
      </c>
      <c r="B34044" s="11" t="str">
        <f>"200804000842"</f>
        <v>200804000842</v>
      </c>
    </row>
    <row r="34045" spans="1:2" x14ac:dyDescent="0.25">
      <c r="A34045" s="2">
        <v>34040</v>
      </c>
      <c r="B34045" s="11" t="str">
        <f>"200804000862"</f>
        <v>200804000862</v>
      </c>
    </row>
    <row r="34046" spans="1:2" x14ac:dyDescent="0.25">
      <c r="A34046" s="2">
        <v>34041</v>
      </c>
      <c r="B34046" s="11" t="str">
        <f>"200804000913"</f>
        <v>200804000913</v>
      </c>
    </row>
    <row r="34047" spans="1:2" x14ac:dyDescent="0.25">
      <c r="A34047" s="2">
        <v>34042</v>
      </c>
      <c r="B34047" s="11" t="str">
        <f>"200804000925"</f>
        <v>200804000925</v>
      </c>
    </row>
    <row r="34048" spans="1:2" x14ac:dyDescent="0.25">
      <c r="A34048" s="2">
        <v>34043</v>
      </c>
      <c r="B34048" s="11" t="str">
        <f>"200804000938"</f>
        <v>200804000938</v>
      </c>
    </row>
    <row r="34049" spans="1:2" x14ac:dyDescent="0.25">
      <c r="A34049" s="2">
        <v>34044</v>
      </c>
      <c r="B34049" s="11" t="str">
        <f>"200804001034"</f>
        <v>200804001034</v>
      </c>
    </row>
    <row r="34050" spans="1:2" x14ac:dyDescent="0.25">
      <c r="A34050" s="2">
        <v>34045</v>
      </c>
      <c r="B34050" s="11" t="str">
        <f>"200805000051"</f>
        <v>200805000051</v>
      </c>
    </row>
    <row r="34051" spans="1:2" x14ac:dyDescent="0.25">
      <c r="A34051" s="2">
        <v>34046</v>
      </c>
      <c r="B34051" s="11" t="str">
        <f>"200805000071"</f>
        <v>200805000071</v>
      </c>
    </row>
    <row r="34052" spans="1:2" x14ac:dyDescent="0.25">
      <c r="A34052" s="2">
        <v>34047</v>
      </c>
      <c r="B34052" s="11" t="str">
        <f>"200805000081"</f>
        <v>200805000081</v>
      </c>
    </row>
    <row r="34053" spans="1:2" x14ac:dyDescent="0.25">
      <c r="A34053" s="2">
        <v>34048</v>
      </c>
      <c r="B34053" s="11" t="str">
        <f>"200805000083"</f>
        <v>200805000083</v>
      </c>
    </row>
    <row r="34054" spans="1:2" x14ac:dyDescent="0.25">
      <c r="A34054" s="2">
        <v>34049</v>
      </c>
      <c r="B34054" s="11" t="str">
        <f>"200805000088"</f>
        <v>200805000088</v>
      </c>
    </row>
    <row r="34055" spans="1:2" x14ac:dyDescent="0.25">
      <c r="A34055" s="2">
        <v>34050</v>
      </c>
      <c r="B34055" s="11" t="str">
        <f>"200805000091"</f>
        <v>200805000091</v>
      </c>
    </row>
    <row r="34056" spans="1:2" x14ac:dyDescent="0.25">
      <c r="A34056" s="2">
        <v>34051</v>
      </c>
      <c r="B34056" s="11" t="str">
        <f>"200805000098"</f>
        <v>200805000098</v>
      </c>
    </row>
    <row r="34057" spans="1:2" x14ac:dyDescent="0.25">
      <c r="A34057" s="2">
        <v>34052</v>
      </c>
      <c r="B34057" s="11" t="str">
        <f>"200805000104"</f>
        <v>200805000104</v>
      </c>
    </row>
    <row r="34058" spans="1:2" x14ac:dyDescent="0.25">
      <c r="A34058" s="2">
        <v>34053</v>
      </c>
      <c r="B34058" s="11" t="str">
        <f>"200805000244"</f>
        <v>200805000244</v>
      </c>
    </row>
    <row r="34059" spans="1:2" x14ac:dyDescent="0.25">
      <c r="A34059" s="2">
        <v>34054</v>
      </c>
      <c r="B34059" s="11" t="str">
        <f>"200805000282"</f>
        <v>200805000282</v>
      </c>
    </row>
    <row r="34060" spans="1:2" x14ac:dyDescent="0.25">
      <c r="A34060" s="2">
        <v>34055</v>
      </c>
      <c r="B34060" s="11" t="str">
        <f>"200805000325"</f>
        <v>200805000325</v>
      </c>
    </row>
    <row r="34061" spans="1:2" x14ac:dyDescent="0.25">
      <c r="A34061" s="2">
        <v>34056</v>
      </c>
      <c r="B34061" s="11" t="str">
        <f>"200805000346"</f>
        <v>200805000346</v>
      </c>
    </row>
    <row r="34062" spans="1:2" x14ac:dyDescent="0.25">
      <c r="A34062" s="2">
        <v>34057</v>
      </c>
      <c r="B34062" s="11" t="str">
        <f>"200805000349"</f>
        <v>200805000349</v>
      </c>
    </row>
    <row r="34063" spans="1:2" x14ac:dyDescent="0.25">
      <c r="A34063" s="2">
        <v>34058</v>
      </c>
      <c r="B34063" s="11" t="str">
        <f>"200805000386"</f>
        <v>200805000386</v>
      </c>
    </row>
    <row r="34064" spans="1:2" x14ac:dyDescent="0.25">
      <c r="A34064" s="2">
        <v>34059</v>
      </c>
      <c r="B34064" s="11" t="str">
        <f>"200805000391"</f>
        <v>200805000391</v>
      </c>
    </row>
    <row r="34065" spans="1:2" x14ac:dyDescent="0.25">
      <c r="A34065" s="2">
        <v>34060</v>
      </c>
      <c r="B34065" s="11" t="str">
        <f>"200805000396"</f>
        <v>200805000396</v>
      </c>
    </row>
    <row r="34066" spans="1:2" x14ac:dyDescent="0.25">
      <c r="A34066" s="2">
        <v>34061</v>
      </c>
      <c r="B34066" s="11" t="str">
        <f>"200805000405"</f>
        <v>200805000405</v>
      </c>
    </row>
    <row r="34067" spans="1:2" x14ac:dyDescent="0.25">
      <c r="A34067" s="2">
        <v>34062</v>
      </c>
      <c r="B34067" s="11" t="str">
        <f>"200805000413"</f>
        <v>200805000413</v>
      </c>
    </row>
    <row r="34068" spans="1:2" x14ac:dyDescent="0.25">
      <c r="A34068" s="2">
        <v>34063</v>
      </c>
      <c r="B34068" s="11" t="str">
        <f>"200805000437"</f>
        <v>200805000437</v>
      </c>
    </row>
    <row r="34069" spans="1:2" x14ac:dyDescent="0.25">
      <c r="A34069" s="2">
        <v>34064</v>
      </c>
      <c r="B34069" s="11" t="str">
        <f>"200805000540"</f>
        <v>200805000540</v>
      </c>
    </row>
    <row r="34070" spans="1:2" x14ac:dyDescent="0.25">
      <c r="A34070" s="2">
        <v>34065</v>
      </c>
      <c r="B34070" s="11" t="str">
        <f>"200805000570"</f>
        <v>200805000570</v>
      </c>
    </row>
    <row r="34071" spans="1:2" x14ac:dyDescent="0.25">
      <c r="A34071" s="2">
        <v>34066</v>
      </c>
      <c r="B34071" s="11" t="str">
        <f>"200805000576"</f>
        <v>200805000576</v>
      </c>
    </row>
    <row r="34072" spans="1:2" x14ac:dyDescent="0.25">
      <c r="A34072" s="2">
        <v>34067</v>
      </c>
      <c r="B34072" s="11" t="str">
        <f>"200805000600"</f>
        <v>200805000600</v>
      </c>
    </row>
    <row r="34073" spans="1:2" x14ac:dyDescent="0.25">
      <c r="A34073" s="2">
        <v>34068</v>
      </c>
      <c r="B34073" s="11" t="str">
        <f>"200805000623"</f>
        <v>200805000623</v>
      </c>
    </row>
    <row r="34074" spans="1:2" x14ac:dyDescent="0.25">
      <c r="A34074" s="2">
        <v>34069</v>
      </c>
      <c r="B34074" s="11" t="str">
        <f>"200805000635"</f>
        <v>200805000635</v>
      </c>
    </row>
    <row r="34075" spans="1:2" x14ac:dyDescent="0.25">
      <c r="A34075" s="2">
        <v>34070</v>
      </c>
      <c r="B34075" s="11" t="str">
        <f>"200805000683"</f>
        <v>200805000683</v>
      </c>
    </row>
    <row r="34076" spans="1:2" x14ac:dyDescent="0.25">
      <c r="A34076" s="2">
        <v>34071</v>
      </c>
      <c r="B34076" s="11" t="str">
        <f>"200805000697"</f>
        <v>200805000697</v>
      </c>
    </row>
    <row r="34077" spans="1:2" x14ac:dyDescent="0.25">
      <c r="A34077" s="2">
        <v>34072</v>
      </c>
      <c r="B34077" s="11" t="str">
        <f>"200805000709"</f>
        <v>200805000709</v>
      </c>
    </row>
    <row r="34078" spans="1:2" x14ac:dyDescent="0.25">
      <c r="A34078" s="2">
        <v>34073</v>
      </c>
      <c r="B34078" s="11" t="str">
        <f>"200805000821"</f>
        <v>200805000821</v>
      </c>
    </row>
    <row r="34079" spans="1:2" x14ac:dyDescent="0.25">
      <c r="A34079" s="2">
        <v>34074</v>
      </c>
      <c r="B34079" s="11" t="str">
        <f>"200805000829"</f>
        <v>200805000829</v>
      </c>
    </row>
    <row r="34080" spans="1:2" x14ac:dyDescent="0.25">
      <c r="A34080" s="2">
        <v>34075</v>
      </c>
      <c r="B34080" s="11" t="str">
        <f>"200805000846"</f>
        <v>200805000846</v>
      </c>
    </row>
    <row r="34081" spans="1:2" x14ac:dyDescent="0.25">
      <c r="A34081" s="2">
        <v>34076</v>
      </c>
      <c r="B34081" s="11" t="str">
        <f>"200805000862"</f>
        <v>200805000862</v>
      </c>
    </row>
    <row r="34082" spans="1:2" x14ac:dyDescent="0.25">
      <c r="A34082" s="2">
        <v>34077</v>
      </c>
      <c r="B34082" s="11" t="str">
        <f>"200805000918"</f>
        <v>200805000918</v>
      </c>
    </row>
    <row r="34083" spans="1:2" x14ac:dyDescent="0.25">
      <c r="A34083" s="2">
        <v>34078</v>
      </c>
      <c r="B34083" s="11" t="str">
        <f>"200805001003"</f>
        <v>200805001003</v>
      </c>
    </row>
    <row r="34084" spans="1:2" x14ac:dyDescent="0.25">
      <c r="A34084" s="2">
        <v>34079</v>
      </c>
      <c r="B34084" s="11" t="str">
        <f>"200805001043"</f>
        <v>200805001043</v>
      </c>
    </row>
    <row r="34085" spans="1:2" x14ac:dyDescent="0.25">
      <c r="A34085" s="2">
        <v>34080</v>
      </c>
      <c r="B34085" s="11" t="str">
        <f>"200805001061"</f>
        <v>200805001061</v>
      </c>
    </row>
    <row r="34086" spans="1:2" x14ac:dyDescent="0.25">
      <c r="A34086" s="2">
        <v>34081</v>
      </c>
      <c r="B34086" s="11" t="str">
        <f>"200805001189"</f>
        <v>200805001189</v>
      </c>
    </row>
    <row r="34087" spans="1:2" x14ac:dyDescent="0.25">
      <c r="A34087" s="2">
        <v>34082</v>
      </c>
      <c r="B34087" s="11" t="str">
        <f>"200805001212"</f>
        <v>200805001212</v>
      </c>
    </row>
    <row r="34088" spans="1:2" x14ac:dyDescent="0.25">
      <c r="A34088" s="2">
        <v>34083</v>
      </c>
      <c r="B34088" s="11" t="str">
        <f>"200805001246"</f>
        <v>200805001246</v>
      </c>
    </row>
    <row r="34089" spans="1:2" x14ac:dyDescent="0.25">
      <c r="A34089" s="2">
        <v>34084</v>
      </c>
      <c r="B34089" s="11" t="str">
        <f>"200805001302"</f>
        <v>200805001302</v>
      </c>
    </row>
    <row r="34090" spans="1:2" x14ac:dyDescent="0.25">
      <c r="A34090" s="2">
        <v>34085</v>
      </c>
      <c r="B34090" s="11" t="str">
        <f>"200805001345"</f>
        <v>200805001345</v>
      </c>
    </row>
    <row r="34091" spans="1:2" x14ac:dyDescent="0.25">
      <c r="A34091" s="2">
        <v>34086</v>
      </c>
      <c r="B34091" s="11" t="str">
        <f>"200806000167"</f>
        <v>200806000167</v>
      </c>
    </row>
    <row r="34092" spans="1:2" x14ac:dyDescent="0.25">
      <c r="A34092" s="2">
        <v>34087</v>
      </c>
      <c r="B34092" s="11" t="str">
        <f>"200806000193"</f>
        <v>200806000193</v>
      </c>
    </row>
    <row r="34093" spans="1:2" x14ac:dyDescent="0.25">
      <c r="A34093" s="2">
        <v>34088</v>
      </c>
      <c r="B34093" s="11" t="str">
        <f>"200806000238"</f>
        <v>200806000238</v>
      </c>
    </row>
    <row r="34094" spans="1:2" x14ac:dyDescent="0.25">
      <c r="A34094" s="2">
        <v>34089</v>
      </c>
      <c r="B34094" s="11" t="str">
        <f>"200806000267"</f>
        <v>200806000267</v>
      </c>
    </row>
    <row r="34095" spans="1:2" x14ac:dyDescent="0.25">
      <c r="A34095" s="2">
        <v>34090</v>
      </c>
      <c r="B34095" s="11" t="str">
        <f>"200806000293"</f>
        <v>200806000293</v>
      </c>
    </row>
    <row r="34096" spans="1:2" x14ac:dyDescent="0.25">
      <c r="A34096" s="2">
        <v>34091</v>
      </c>
      <c r="B34096" s="11" t="str">
        <f>"200806000300"</f>
        <v>200806000300</v>
      </c>
    </row>
    <row r="34097" spans="1:2" x14ac:dyDescent="0.25">
      <c r="A34097" s="2">
        <v>34092</v>
      </c>
      <c r="B34097" s="11" t="str">
        <f>"200806000394"</f>
        <v>200806000394</v>
      </c>
    </row>
    <row r="34098" spans="1:2" x14ac:dyDescent="0.25">
      <c r="A34098" s="2">
        <v>34093</v>
      </c>
      <c r="B34098" s="11" t="str">
        <f>"200806000454"</f>
        <v>200806000454</v>
      </c>
    </row>
    <row r="34099" spans="1:2" x14ac:dyDescent="0.25">
      <c r="A34099" s="2">
        <v>34094</v>
      </c>
      <c r="B34099" s="11" t="str">
        <f>"200806000510"</f>
        <v>200806000510</v>
      </c>
    </row>
    <row r="34100" spans="1:2" x14ac:dyDescent="0.25">
      <c r="A34100" s="2">
        <v>34095</v>
      </c>
      <c r="B34100" s="11" t="str">
        <f>"200806000558"</f>
        <v>200806000558</v>
      </c>
    </row>
    <row r="34101" spans="1:2" x14ac:dyDescent="0.25">
      <c r="A34101" s="2">
        <v>34096</v>
      </c>
      <c r="B34101" s="11" t="str">
        <f>"200806000619"</f>
        <v>200806000619</v>
      </c>
    </row>
    <row r="34102" spans="1:2" x14ac:dyDescent="0.25">
      <c r="A34102" s="2">
        <v>34097</v>
      </c>
      <c r="B34102" s="11" t="str">
        <f>"200806000686"</f>
        <v>200806000686</v>
      </c>
    </row>
    <row r="34103" spans="1:2" x14ac:dyDescent="0.25">
      <c r="A34103" s="2">
        <v>34098</v>
      </c>
      <c r="B34103" s="11" t="str">
        <f>"200806000699"</f>
        <v>200806000699</v>
      </c>
    </row>
    <row r="34104" spans="1:2" x14ac:dyDescent="0.25">
      <c r="A34104" s="2">
        <v>34099</v>
      </c>
      <c r="B34104" s="11" t="str">
        <f>"200806000750"</f>
        <v>200806000750</v>
      </c>
    </row>
    <row r="34105" spans="1:2" x14ac:dyDescent="0.25">
      <c r="A34105" s="2">
        <v>34100</v>
      </c>
      <c r="B34105" s="11" t="str">
        <f>"200806000813"</f>
        <v>200806000813</v>
      </c>
    </row>
    <row r="34106" spans="1:2" x14ac:dyDescent="0.25">
      <c r="A34106" s="2">
        <v>34101</v>
      </c>
      <c r="B34106" s="11" t="str">
        <f>"200806000944"</f>
        <v>200806000944</v>
      </c>
    </row>
    <row r="34107" spans="1:2" x14ac:dyDescent="0.25">
      <c r="A34107" s="2">
        <v>34102</v>
      </c>
      <c r="B34107" s="11" t="str">
        <f>"200807000010"</f>
        <v>200807000010</v>
      </c>
    </row>
    <row r="34108" spans="1:2" x14ac:dyDescent="0.25">
      <c r="A34108" s="2">
        <v>34103</v>
      </c>
      <c r="B34108" s="11" t="str">
        <f>"200807000055"</f>
        <v>200807000055</v>
      </c>
    </row>
    <row r="34109" spans="1:2" x14ac:dyDescent="0.25">
      <c r="A34109" s="2">
        <v>34104</v>
      </c>
      <c r="B34109" s="11" t="str">
        <f>"200807000097"</f>
        <v>200807000097</v>
      </c>
    </row>
    <row r="34110" spans="1:2" x14ac:dyDescent="0.25">
      <c r="A34110" s="2">
        <v>34105</v>
      </c>
      <c r="B34110" s="11" t="str">
        <f>"200807000113"</f>
        <v>200807000113</v>
      </c>
    </row>
    <row r="34111" spans="1:2" x14ac:dyDescent="0.25">
      <c r="A34111" s="2">
        <v>34106</v>
      </c>
      <c r="B34111" s="11" t="str">
        <f>"200807000123"</f>
        <v>200807000123</v>
      </c>
    </row>
    <row r="34112" spans="1:2" x14ac:dyDescent="0.25">
      <c r="A34112" s="2">
        <v>34107</v>
      </c>
      <c r="B34112" s="11" t="str">
        <f>"200807000176"</f>
        <v>200807000176</v>
      </c>
    </row>
    <row r="34113" spans="1:2" x14ac:dyDescent="0.25">
      <c r="A34113" s="2">
        <v>34108</v>
      </c>
      <c r="B34113" s="11" t="str">
        <f>"200807000199"</f>
        <v>200807000199</v>
      </c>
    </row>
    <row r="34114" spans="1:2" x14ac:dyDescent="0.25">
      <c r="A34114" s="2">
        <v>34109</v>
      </c>
      <c r="B34114" s="11" t="str">
        <f>"200807000202"</f>
        <v>200807000202</v>
      </c>
    </row>
    <row r="34115" spans="1:2" x14ac:dyDescent="0.25">
      <c r="A34115" s="2">
        <v>34110</v>
      </c>
      <c r="B34115" s="11" t="str">
        <f>"200807000209"</f>
        <v>200807000209</v>
      </c>
    </row>
    <row r="34116" spans="1:2" x14ac:dyDescent="0.25">
      <c r="A34116" s="2">
        <v>34111</v>
      </c>
      <c r="B34116" s="11" t="str">
        <f>"200807000342"</f>
        <v>200807000342</v>
      </c>
    </row>
    <row r="34117" spans="1:2" x14ac:dyDescent="0.25">
      <c r="A34117" s="2">
        <v>34112</v>
      </c>
      <c r="B34117" s="11" t="str">
        <f>"200807000385"</f>
        <v>200807000385</v>
      </c>
    </row>
    <row r="34118" spans="1:2" x14ac:dyDescent="0.25">
      <c r="A34118" s="2">
        <v>34113</v>
      </c>
      <c r="B34118" s="11" t="str">
        <f>"200807000387"</f>
        <v>200807000387</v>
      </c>
    </row>
    <row r="34119" spans="1:2" x14ac:dyDescent="0.25">
      <c r="A34119" s="2">
        <v>34114</v>
      </c>
      <c r="B34119" s="11" t="str">
        <f>"200807000473"</f>
        <v>200807000473</v>
      </c>
    </row>
    <row r="34120" spans="1:2" x14ac:dyDescent="0.25">
      <c r="A34120" s="2">
        <v>34115</v>
      </c>
      <c r="B34120" s="11" t="str">
        <f>"200807000482"</f>
        <v>200807000482</v>
      </c>
    </row>
    <row r="34121" spans="1:2" x14ac:dyDescent="0.25">
      <c r="A34121" s="2">
        <v>34116</v>
      </c>
      <c r="B34121" s="11" t="str">
        <f>"200807000530"</f>
        <v>200807000530</v>
      </c>
    </row>
    <row r="34122" spans="1:2" x14ac:dyDescent="0.25">
      <c r="A34122" s="2">
        <v>34117</v>
      </c>
      <c r="B34122" s="11" t="str">
        <f>"200807000600"</f>
        <v>200807000600</v>
      </c>
    </row>
    <row r="34123" spans="1:2" x14ac:dyDescent="0.25">
      <c r="A34123" s="2">
        <v>34118</v>
      </c>
      <c r="B34123" s="11" t="str">
        <f>"200807000619"</f>
        <v>200807000619</v>
      </c>
    </row>
    <row r="34124" spans="1:2" x14ac:dyDescent="0.25">
      <c r="A34124" s="2">
        <v>34119</v>
      </c>
      <c r="B34124" s="11" t="str">
        <f>"200807000640"</f>
        <v>200807000640</v>
      </c>
    </row>
    <row r="34125" spans="1:2" x14ac:dyDescent="0.25">
      <c r="A34125" s="2">
        <v>34120</v>
      </c>
      <c r="B34125" s="11" t="str">
        <f>"200807000666"</f>
        <v>200807000666</v>
      </c>
    </row>
    <row r="34126" spans="1:2" x14ac:dyDescent="0.25">
      <c r="A34126" s="2">
        <v>34121</v>
      </c>
      <c r="B34126" s="11" t="str">
        <f>"200807000703"</f>
        <v>200807000703</v>
      </c>
    </row>
    <row r="34127" spans="1:2" x14ac:dyDescent="0.25">
      <c r="A34127" s="2">
        <v>34122</v>
      </c>
      <c r="B34127" s="11" t="str">
        <f>"200807000740"</f>
        <v>200807000740</v>
      </c>
    </row>
    <row r="34128" spans="1:2" x14ac:dyDescent="0.25">
      <c r="A34128" s="2">
        <v>34123</v>
      </c>
      <c r="B34128" s="11" t="str">
        <f>"200807000848"</f>
        <v>200807000848</v>
      </c>
    </row>
    <row r="34129" spans="1:2" x14ac:dyDescent="0.25">
      <c r="A34129" s="2">
        <v>34124</v>
      </c>
      <c r="B34129" s="11" t="str">
        <f>"200807000970"</f>
        <v>200807000970</v>
      </c>
    </row>
    <row r="34130" spans="1:2" x14ac:dyDescent="0.25">
      <c r="A34130" s="2">
        <v>34125</v>
      </c>
      <c r="B34130" s="11" t="str">
        <f>"200808000004"</f>
        <v>200808000004</v>
      </c>
    </row>
    <row r="34131" spans="1:2" x14ac:dyDescent="0.25">
      <c r="A34131" s="2">
        <v>34126</v>
      </c>
      <c r="B34131" s="11" t="str">
        <f>"200808000025"</f>
        <v>200808000025</v>
      </c>
    </row>
    <row r="34132" spans="1:2" x14ac:dyDescent="0.25">
      <c r="A34132" s="2">
        <v>34127</v>
      </c>
      <c r="B34132" s="11" t="str">
        <f>"200808000055"</f>
        <v>200808000055</v>
      </c>
    </row>
    <row r="34133" spans="1:2" x14ac:dyDescent="0.25">
      <c r="A34133" s="2">
        <v>34128</v>
      </c>
      <c r="B34133" s="11" t="str">
        <f>"200808000106"</f>
        <v>200808000106</v>
      </c>
    </row>
    <row r="34134" spans="1:2" x14ac:dyDescent="0.25">
      <c r="A34134" s="2">
        <v>34129</v>
      </c>
      <c r="B34134" s="11" t="str">
        <f>"200808000155"</f>
        <v>200808000155</v>
      </c>
    </row>
    <row r="34135" spans="1:2" x14ac:dyDescent="0.25">
      <c r="A34135" s="2">
        <v>34130</v>
      </c>
      <c r="B34135" s="11" t="str">
        <f>"200808000201"</f>
        <v>200808000201</v>
      </c>
    </row>
    <row r="34136" spans="1:2" x14ac:dyDescent="0.25">
      <c r="A34136" s="2">
        <v>34131</v>
      </c>
      <c r="B34136" s="11" t="str">
        <f>"200808000429"</f>
        <v>200808000429</v>
      </c>
    </row>
    <row r="34137" spans="1:2" x14ac:dyDescent="0.25">
      <c r="A34137" s="2">
        <v>34132</v>
      </c>
      <c r="B34137" s="11" t="str">
        <f>"200808000460"</f>
        <v>200808000460</v>
      </c>
    </row>
    <row r="34138" spans="1:2" x14ac:dyDescent="0.25">
      <c r="A34138" s="2">
        <v>34133</v>
      </c>
      <c r="B34138" s="11" t="str">
        <f>"200808000507"</f>
        <v>200808000507</v>
      </c>
    </row>
    <row r="34139" spans="1:2" x14ac:dyDescent="0.25">
      <c r="A34139" s="2">
        <v>34134</v>
      </c>
      <c r="B34139" s="11" t="str">
        <f>"200808000566"</f>
        <v>200808000566</v>
      </c>
    </row>
    <row r="34140" spans="1:2" x14ac:dyDescent="0.25">
      <c r="A34140" s="2">
        <v>34135</v>
      </c>
      <c r="B34140" s="11" t="str">
        <f>"200808000588"</f>
        <v>200808000588</v>
      </c>
    </row>
    <row r="34141" spans="1:2" x14ac:dyDescent="0.25">
      <c r="A34141" s="2">
        <v>34136</v>
      </c>
      <c r="B34141" s="11" t="str">
        <f>"200808000646"</f>
        <v>200808000646</v>
      </c>
    </row>
    <row r="34142" spans="1:2" x14ac:dyDescent="0.25">
      <c r="A34142" s="2">
        <v>34137</v>
      </c>
      <c r="B34142" s="11" t="str">
        <f>"200808000719"</f>
        <v>200808000719</v>
      </c>
    </row>
    <row r="34143" spans="1:2" x14ac:dyDescent="0.25">
      <c r="A34143" s="2">
        <v>34138</v>
      </c>
      <c r="B34143" s="11" t="str">
        <f>"200808000728"</f>
        <v>200808000728</v>
      </c>
    </row>
    <row r="34144" spans="1:2" x14ac:dyDescent="0.25">
      <c r="A34144" s="2">
        <v>34139</v>
      </c>
      <c r="B34144" s="11" t="str">
        <f>"200808000753"</f>
        <v>200808000753</v>
      </c>
    </row>
    <row r="34145" spans="1:2" x14ac:dyDescent="0.25">
      <c r="A34145" s="2">
        <v>34140</v>
      </c>
      <c r="B34145" s="11" t="str">
        <f>"200809000049"</f>
        <v>200809000049</v>
      </c>
    </row>
    <row r="34146" spans="1:2" x14ac:dyDescent="0.25">
      <c r="A34146" s="2">
        <v>34141</v>
      </c>
      <c r="B34146" s="11" t="str">
        <f>"200809000122"</f>
        <v>200809000122</v>
      </c>
    </row>
    <row r="34147" spans="1:2" x14ac:dyDescent="0.25">
      <c r="A34147" s="2">
        <v>34142</v>
      </c>
      <c r="B34147" s="11" t="str">
        <f>"200809000124"</f>
        <v>200809000124</v>
      </c>
    </row>
    <row r="34148" spans="1:2" x14ac:dyDescent="0.25">
      <c r="A34148" s="2">
        <v>34143</v>
      </c>
      <c r="B34148" s="11" t="str">
        <f>"200809000140"</f>
        <v>200809000140</v>
      </c>
    </row>
    <row r="34149" spans="1:2" x14ac:dyDescent="0.25">
      <c r="A34149" s="2">
        <v>34144</v>
      </c>
      <c r="B34149" s="11" t="str">
        <f>"200809000208"</f>
        <v>200809000208</v>
      </c>
    </row>
    <row r="34150" spans="1:2" x14ac:dyDescent="0.25">
      <c r="A34150" s="2">
        <v>34145</v>
      </c>
      <c r="B34150" s="11" t="str">
        <f>"200809000230"</f>
        <v>200809000230</v>
      </c>
    </row>
    <row r="34151" spans="1:2" x14ac:dyDescent="0.25">
      <c r="A34151" s="2">
        <v>34146</v>
      </c>
      <c r="B34151" s="11" t="str">
        <f>"200809000238"</f>
        <v>200809000238</v>
      </c>
    </row>
    <row r="34152" spans="1:2" x14ac:dyDescent="0.25">
      <c r="A34152" s="2">
        <v>34147</v>
      </c>
      <c r="B34152" s="11" t="str">
        <f>"200809000290"</f>
        <v>200809000290</v>
      </c>
    </row>
    <row r="34153" spans="1:2" x14ac:dyDescent="0.25">
      <c r="A34153" s="2">
        <v>34148</v>
      </c>
      <c r="B34153" s="11" t="str">
        <f>"200809000305"</f>
        <v>200809000305</v>
      </c>
    </row>
    <row r="34154" spans="1:2" x14ac:dyDescent="0.25">
      <c r="A34154" s="2">
        <v>34149</v>
      </c>
      <c r="B34154" s="11" t="str">
        <f>"200809000401"</f>
        <v>200809000401</v>
      </c>
    </row>
    <row r="34155" spans="1:2" x14ac:dyDescent="0.25">
      <c r="A34155" s="2">
        <v>34150</v>
      </c>
      <c r="B34155" s="11" t="str">
        <f>"200809000448"</f>
        <v>200809000448</v>
      </c>
    </row>
    <row r="34156" spans="1:2" x14ac:dyDescent="0.25">
      <c r="A34156" s="2">
        <v>34151</v>
      </c>
      <c r="B34156" s="11" t="str">
        <f>"200809000578"</f>
        <v>200809000578</v>
      </c>
    </row>
    <row r="34157" spans="1:2" x14ac:dyDescent="0.25">
      <c r="A34157" s="2">
        <v>34152</v>
      </c>
      <c r="B34157" s="11" t="str">
        <f>"200809000665"</f>
        <v>200809000665</v>
      </c>
    </row>
    <row r="34158" spans="1:2" x14ac:dyDescent="0.25">
      <c r="A34158" s="2">
        <v>34153</v>
      </c>
      <c r="B34158" s="11" t="str">
        <f>"200809000699"</f>
        <v>200809000699</v>
      </c>
    </row>
    <row r="34159" spans="1:2" x14ac:dyDescent="0.25">
      <c r="A34159" s="2">
        <v>34154</v>
      </c>
      <c r="B34159" s="11" t="str">
        <f>"200809000782"</f>
        <v>200809000782</v>
      </c>
    </row>
    <row r="34160" spans="1:2" x14ac:dyDescent="0.25">
      <c r="A34160" s="2">
        <v>34155</v>
      </c>
      <c r="B34160" s="11" t="str">
        <f>"200809000793"</f>
        <v>200809000793</v>
      </c>
    </row>
    <row r="34161" spans="1:2" x14ac:dyDescent="0.25">
      <c r="A34161" s="2">
        <v>34156</v>
      </c>
      <c r="B34161" s="11" t="str">
        <f>"200809000861"</f>
        <v>200809000861</v>
      </c>
    </row>
    <row r="34162" spans="1:2" x14ac:dyDescent="0.25">
      <c r="A34162" s="2">
        <v>34157</v>
      </c>
      <c r="B34162" s="11" t="str">
        <f>"200809000877"</f>
        <v>200809000877</v>
      </c>
    </row>
    <row r="34163" spans="1:2" x14ac:dyDescent="0.25">
      <c r="A34163" s="2">
        <v>34158</v>
      </c>
      <c r="B34163" s="11" t="str">
        <f>"200809000906"</f>
        <v>200809000906</v>
      </c>
    </row>
    <row r="34164" spans="1:2" x14ac:dyDescent="0.25">
      <c r="A34164" s="2">
        <v>34159</v>
      </c>
      <c r="B34164" s="11" t="str">
        <f>"200809000969"</f>
        <v>200809000969</v>
      </c>
    </row>
    <row r="34165" spans="1:2" x14ac:dyDescent="0.25">
      <c r="A34165" s="2">
        <v>34160</v>
      </c>
      <c r="B34165" s="11" t="str">
        <f>"200809000978"</f>
        <v>200809000978</v>
      </c>
    </row>
    <row r="34166" spans="1:2" x14ac:dyDescent="0.25">
      <c r="A34166" s="2">
        <v>34161</v>
      </c>
      <c r="B34166" s="11" t="str">
        <f>"200809000981"</f>
        <v>200809000981</v>
      </c>
    </row>
    <row r="34167" spans="1:2" x14ac:dyDescent="0.25">
      <c r="A34167" s="2">
        <v>34162</v>
      </c>
      <c r="B34167" s="11" t="str">
        <f>"200809001013"</f>
        <v>200809001013</v>
      </c>
    </row>
    <row r="34168" spans="1:2" x14ac:dyDescent="0.25">
      <c r="A34168" s="2">
        <v>34163</v>
      </c>
      <c r="B34168" s="11" t="str">
        <f>"200809001019"</f>
        <v>200809001019</v>
      </c>
    </row>
    <row r="34169" spans="1:2" x14ac:dyDescent="0.25">
      <c r="A34169" s="2">
        <v>34164</v>
      </c>
      <c r="B34169" s="11" t="str">
        <f>"200809001075"</f>
        <v>200809001075</v>
      </c>
    </row>
    <row r="34170" spans="1:2" x14ac:dyDescent="0.25">
      <c r="A34170" s="2">
        <v>34165</v>
      </c>
      <c r="B34170" s="11" t="str">
        <f>"200809001149"</f>
        <v>200809001149</v>
      </c>
    </row>
    <row r="34171" spans="1:2" x14ac:dyDescent="0.25">
      <c r="A34171" s="2">
        <v>34166</v>
      </c>
      <c r="B34171" s="11" t="str">
        <f>"200810000035"</f>
        <v>200810000035</v>
      </c>
    </row>
    <row r="34172" spans="1:2" x14ac:dyDescent="0.25">
      <c r="A34172" s="2">
        <v>34167</v>
      </c>
      <c r="B34172" s="11" t="str">
        <f>"200810000112"</f>
        <v>200810000112</v>
      </c>
    </row>
    <row r="34173" spans="1:2" x14ac:dyDescent="0.25">
      <c r="A34173" s="2">
        <v>34168</v>
      </c>
      <c r="B34173" s="11" t="str">
        <f>"200810000274"</f>
        <v>200810000274</v>
      </c>
    </row>
    <row r="34174" spans="1:2" x14ac:dyDescent="0.25">
      <c r="A34174" s="2">
        <v>34169</v>
      </c>
      <c r="B34174" s="11" t="str">
        <f>"200810000297"</f>
        <v>200810000297</v>
      </c>
    </row>
    <row r="34175" spans="1:2" x14ac:dyDescent="0.25">
      <c r="A34175" s="2">
        <v>34170</v>
      </c>
      <c r="B34175" s="11" t="str">
        <f>"200810000333"</f>
        <v>200810000333</v>
      </c>
    </row>
    <row r="34176" spans="1:2" x14ac:dyDescent="0.25">
      <c r="A34176" s="2">
        <v>34171</v>
      </c>
      <c r="B34176" s="11" t="str">
        <f>"200810000349"</f>
        <v>200810000349</v>
      </c>
    </row>
    <row r="34177" spans="1:2" x14ac:dyDescent="0.25">
      <c r="A34177" s="2">
        <v>34172</v>
      </c>
      <c r="B34177" s="11" t="str">
        <f>"200810000390"</f>
        <v>200810000390</v>
      </c>
    </row>
    <row r="34178" spans="1:2" x14ac:dyDescent="0.25">
      <c r="A34178" s="2">
        <v>34173</v>
      </c>
      <c r="B34178" s="11" t="str">
        <f>"200810000406"</f>
        <v>200810000406</v>
      </c>
    </row>
    <row r="34179" spans="1:2" x14ac:dyDescent="0.25">
      <c r="A34179" s="2">
        <v>34174</v>
      </c>
      <c r="B34179" s="11" t="str">
        <f>"200810000415"</f>
        <v>200810000415</v>
      </c>
    </row>
    <row r="34180" spans="1:2" x14ac:dyDescent="0.25">
      <c r="A34180" s="2">
        <v>34175</v>
      </c>
      <c r="B34180" s="11" t="str">
        <f>"200810000421"</f>
        <v>200810000421</v>
      </c>
    </row>
    <row r="34181" spans="1:2" x14ac:dyDescent="0.25">
      <c r="A34181" s="2">
        <v>34176</v>
      </c>
      <c r="B34181" s="11" t="str">
        <f>"200810000582"</f>
        <v>200810000582</v>
      </c>
    </row>
    <row r="34182" spans="1:2" x14ac:dyDescent="0.25">
      <c r="A34182" s="2">
        <v>34177</v>
      </c>
      <c r="B34182" s="11" t="str">
        <f>"200810000640"</f>
        <v>200810000640</v>
      </c>
    </row>
    <row r="34183" spans="1:2" x14ac:dyDescent="0.25">
      <c r="A34183" s="2">
        <v>34178</v>
      </c>
      <c r="B34183" s="11" t="str">
        <f>"200810000680"</f>
        <v>200810000680</v>
      </c>
    </row>
    <row r="34184" spans="1:2" x14ac:dyDescent="0.25">
      <c r="A34184" s="2">
        <v>34179</v>
      </c>
      <c r="B34184" s="11" t="str">
        <f>"200810000738"</f>
        <v>200810000738</v>
      </c>
    </row>
    <row r="34185" spans="1:2" x14ac:dyDescent="0.25">
      <c r="A34185" s="2">
        <v>34180</v>
      </c>
      <c r="B34185" s="11" t="str">
        <f>"200810000757"</f>
        <v>200810000757</v>
      </c>
    </row>
    <row r="34186" spans="1:2" x14ac:dyDescent="0.25">
      <c r="A34186" s="2">
        <v>34181</v>
      </c>
      <c r="B34186" s="11" t="str">
        <f>"200810000773"</f>
        <v>200810000773</v>
      </c>
    </row>
    <row r="34187" spans="1:2" x14ac:dyDescent="0.25">
      <c r="A34187" s="2">
        <v>34182</v>
      </c>
      <c r="B34187" s="11" t="str">
        <f>"200810000784"</f>
        <v>200810000784</v>
      </c>
    </row>
    <row r="34188" spans="1:2" x14ac:dyDescent="0.25">
      <c r="A34188" s="2">
        <v>34183</v>
      </c>
      <c r="B34188" s="11" t="str">
        <f>"200810000801"</f>
        <v>200810000801</v>
      </c>
    </row>
    <row r="34189" spans="1:2" x14ac:dyDescent="0.25">
      <c r="A34189" s="2">
        <v>34184</v>
      </c>
      <c r="B34189" s="11" t="str">
        <f>"200810000822"</f>
        <v>200810000822</v>
      </c>
    </row>
    <row r="34190" spans="1:2" x14ac:dyDescent="0.25">
      <c r="A34190" s="2">
        <v>34185</v>
      </c>
      <c r="B34190" s="11" t="str">
        <f>"200810000836"</f>
        <v>200810000836</v>
      </c>
    </row>
    <row r="34191" spans="1:2" x14ac:dyDescent="0.25">
      <c r="A34191" s="2">
        <v>34186</v>
      </c>
      <c r="B34191" s="11" t="str">
        <f>"200810000949"</f>
        <v>200810000949</v>
      </c>
    </row>
    <row r="34192" spans="1:2" x14ac:dyDescent="0.25">
      <c r="A34192" s="2">
        <v>34187</v>
      </c>
      <c r="B34192" s="11" t="str">
        <f>"200810000961"</f>
        <v>200810000961</v>
      </c>
    </row>
    <row r="34193" spans="1:2" x14ac:dyDescent="0.25">
      <c r="A34193" s="2">
        <v>34188</v>
      </c>
      <c r="B34193" s="11" t="str">
        <f>"200810000967"</f>
        <v>200810000967</v>
      </c>
    </row>
    <row r="34194" spans="1:2" x14ac:dyDescent="0.25">
      <c r="A34194" s="2">
        <v>34189</v>
      </c>
      <c r="B34194" s="11" t="str">
        <f>"200810001028"</f>
        <v>200810001028</v>
      </c>
    </row>
    <row r="34195" spans="1:2" x14ac:dyDescent="0.25">
      <c r="A34195" s="2">
        <v>34190</v>
      </c>
      <c r="B34195" s="11" t="str">
        <f>"200810001082"</f>
        <v>200810001082</v>
      </c>
    </row>
    <row r="34196" spans="1:2" x14ac:dyDescent="0.25">
      <c r="A34196" s="2">
        <v>34191</v>
      </c>
      <c r="B34196" s="11" t="str">
        <f>"200811000072"</f>
        <v>200811000072</v>
      </c>
    </row>
    <row r="34197" spans="1:2" x14ac:dyDescent="0.25">
      <c r="A34197" s="2">
        <v>34192</v>
      </c>
      <c r="B34197" s="11" t="str">
        <f>"200811000134"</f>
        <v>200811000134</v>
      </c>
    </row>
    <row r="34198" spans="1:2" x14ac:dyDescent="0.25">
      <c r="A34198" s="2">
        <v>34193</v>
      </c>
      <c r="B34198" s="11" t="str">
        <f>"200811000218"</f>
        <v>200811000218</v>
      </c>
    </row>
    <row r="34199" spans="1:2" x14ac:dyDescent="0.25">
      <c r="A34199" s="2">
        <v>34194</v>
      </c>
      <c r="B34199" s="11" t="str">
        <f>"200811000235"</f>
        <v>200811000235</v>
      </c>
    </row>
    <row r="34200" spans="1:2" x14ac:dyDescent="0.25">
      <c r="A34200" s="2">
        <v>34195</v>
      </c>
      <c r="B34200" s="11" t="str">
        <f>"200811000238"</f>
        <v>200811000238</v>
      </c>
    </row>
    <row r="34201" spans="1:2" x14ac:dyDescent="0.25">
      <c r="A34201" s="2">
        <v>34196</v>
      </c>
      <c r="B34201" s="11" t="str">
        <f>"200811000253"</f>
        <v>200811000253</v>
      </c>
    </row>
    <row r="34202" spans="1:2" x14ac:dyDescent="0.25">
      <c r="A34202" s="2">
        <v>34197</v>
      </c>
      <c r="B34202" s="11" t="str">
        <f>"200811000264"</f>
        <v>200811000264</v>
      </c>
    </row>
    <row r="34203" spans="1:2" x14ac:dyDescent="0.25">
      <c r="A34203" s="2">
        <v>34198</v>
      </c>
      <c r="B34203" s="11" t="str">
        <f>"200811000268"</f>
        <v>200811000268</v>
      </c>
    </row>
    <row r="34204" spans="1:2" x14ac:dyDescent="0.25">
      <c r="A34204" s="2">
        <v>34199</v>
      </c>
      <c r="B34204" s="11" t="str">
        <f>"200811000328"</f>
        <v>200811000328</v>
      </c>
    </row>
    <row r="34205" spans="1:2" x14ac:dyDescent="0.25">
      <c r="A34205" s="2">
        <v>34200</v>
      </c>
      <c r="B34205" s="11" t="str">
        <f>"200811000375"</f>
        <v>200811000375</v>
      </c>
    </row>
    <row r="34206" spans="1:2" x14ac:dyDescent="0.25">
      <c r="A34206" s="2">
        <v>34201</v>
      </c>
      <c r="B34206" s="11" t="str">
        <f>"200811000431"</f>
        <v>200811000431</v>
      </c>
    </row>
    <row r="34207" spans="1:2" x14ac:dyDescent="0.25">
      <c r="A34207" s="2">
        <v>34202</v>
      </c>
      <c r="B34207" s="11" t="str">
        <f>"200811000436"</f>
        <v>200811000436</v>
      </c>
    </row>
    <row r="34208" spans="1:2" x14ac:dyDescent="0.25">
      <c r="A34208" s="2">
        <v>34203</v>
      </c>
      <c r="B34208" s="11" t="str">
        <f>"200811000440"</f>
        <v>200811000440</v>
      </c>
    </row>
    <row r="34209" spans="1:2" x14ac:dyDescent="0.25">
      <c r="A34209" s="2">
        <v>34204</v>
      </c>
      <c r="B34209" s="11" t="str">
        <f>"200811000550"</f>
        <v>200811000550</v>
      </c>
    </row>
    <row r="34210" spans="1:2" x14ac:dyDescent="0.25">
      <c r="A34210" s="2">
        <v>34205</v>
      </c>
      <c r="B34210" s="11" t="str">
        <f>"200811000559"</f>
        <v>200811000559</v>
      </c>
    </row>
    <row r="34211" spans="1:2" x14ac:dyDescent="0.25">
      <c r="A34211" s="2">
        <v>34206</v>
      </c>
      <c r="B34211" s="11" t="str">
        <f>"200811000614"</f>
        <v>200811000614</v>
      </c>
    </row>
    <row r="34212" spans="1:2" x14ac:dyDescent="0.25">
      <c r="A34212" s="2">
        <v>34207</v>
      </c>
      <c r="B34212" s="11" t="str">
        <f>"200811000651"</f>
        <v>200811000651</v>
      </c>
    </row>
    <row r="34213" spans="1:2" x14ac:dyDescent="0.25">
      <c r="A34213" s="2">
        <v>34208</v>
      </c>
      <c r="B34213" s="11" t="str">
        <f>"200811000710"</f>
        <v>200811000710</v>
      </c>
    </row>
    <row r="34214" spans="1:2" x14ac:dyDescent="0.25">
      <c r="A34214" s="2">
        <v>34209</v>
      </c>
      <c r="B34214" s="11" t="str">
        <f>"200811000761"</f>
        <v>200811000761</v>
      </c>
    </row>
    <row r="34215" spans="1:2" x14ac:dyDescent="0.25">
      <c r="A34215" s="2">
        <v>34210</v>
      </c>
      <c r="B34215" s="11" t="str">
        <f>"200811000763"</f>
        <v>200811000763</v>
      </c>
    </row>
    <row r="34216" spans="1:2" x14ac:dyDescent="0.25">
      <c r="A34216" s="2">
        <v>34211</v>
      </c>
      <c r="B34216" s="11" t="str">
        <f>"200811000764"</f>
        <v>200811000764</v>
      </c>
    </row>
    <row r="34217" spans="1:2" x14ac:dyDescent="0.25">
      <c r="A34217" s="2">
        <v>34212</v>
      </c>
      <c r="B34217" s="11" t="str">
        <f>"200811000856"</f>
        <v>200811000856</v>
      </c>
    </row>
    <row r="34218" spans="1:2" x14ac:dyDescent="0.25">
      <c r="A34218" s="2">
        <v>34213</v>
      </c>
      <c r="B34218" s="11" t="str">
        <f>"200811000917"</f>
        <v>200811000917</v>
      </c>
    </row>
    <row r="34219" spans="1:2" x14ac:dyDescent="0.25">
      <c r="A34219" s="2">
        <v>34214</v>
      </c>
      <c r="B34219" s="11" t="str">
        <f>"200811001002"</f>
        <v>200811001002</v>
      </c>
    </row>
    <row r="34220" spans="1:2" x14ac:dyDescent="0.25">
      <c r="A34220" s="2">
        <v>34215</v>
      </c>
      <c r="B34220" s="11" t="str">
        <f>"200811001014"</f>
        <v>200811001014</v>
      </c>
    </row>
    <row r="34221" spans="1:2" x14ac:dyDescent="0.25">
      <c r="A34221" s="2">
        <v>34216</v>
      </c>
      <c r="B34221" s="11" t="str">
        <f>"200811001080"</f>
        <v>200811001080</v>
      </c>
    </row>
    <row r="34222" spans="1:2" x14ac:dyDescent="0.25">
      <c r="A34222" s="2">
        <v>34217</v>
      </c>
      <c r="B34222" s="11" t="str">
        <f>"200811001094"</f>
        <v>200811001094</v>
      </c>
    </row>
    <row r="34223" spans="1:2" x14ac:dyDescent="0.25">
      <c r="A34223" s="2">
        <v>34218</v>
      </c>
      <c r="B34223" s="11" t="str">
        <f>"200811001197"</f>
        <v>200811001197</v>
      </c>
    </row>
    <row r="34224" spans="1:2" x14ac:dyDescent="0.25">
      <c r="A34224" s="2">
        <v>34219</v>
      </c>
      <c r="B34224" s="11" t="str">
        <f>"200811001264"</f>
        <v>200811001264</v>
      </c>
    </row>
    <row r="34225" spans="1:2" x14ac:dyDescent="0.25">
      <c r="A34225" s="2">
        <v>34220</v>
      </c>
      <c r="B34225" s="11" t="str">
        <f>"200811001325"</f>
        <v>200811001325</v>
      </c>
    </row>
    <row r="34226" spans="1:2" x14ac:dyDescent="0.25">
      <c r="A34226" s="2">
        <v>34221</v>
      </c>
      <c r="B34226" s="11" t="str">
        <f>"200811001396"</f>
        <v>200811001396</v>
      </c>
    </row>
    <row r="34227" spans="1:2" x14ac:dyDescent="0.25">
      <c r="A34227" s="2">
        <v>34222</v>
      </c>
      <c r="B34227" s="11" t="str">
        <f>"200811001416"</f>
        <v>200811001416</v>
      </c>
    </row>
    <row r="34228" spans="1:2" x14ac:dyDescent="0.25">
      <c r="A34228" s="2">
        <v>34223</v>
      </c>
      <c r="B34228" s="11" t="str">
        <f>"200811001419"</f>
        <v>200811001419</v>
      </c>
    </row>
    <row r="34229" spans="1:2" x14ac:dyDescent="0.25">
      <c r="A34229" s="2">
        <v>34224</v>
      </c>
      <c r="B34229" s="11" t="str">
        <f>"200811001427"</f>
        <v>200811001427</v>
      </c>
    </row>
    <row r="34230" spans="1:2" x14ac:dyDescent="0.25">
      <c r="A34230" s="2">
        <v>34225</v>
      </c>
      <c r="B34230" s="11" t="str">
        <f>"200811001446"</f>
        <v>200811001446</v>
      </c>
    </row>
    <row r="34231" spans="1:2" x14ac:dyDescent="0.25">
      <c r="A34231" s="2">
        <v>34226</v>
      </c>
      <c r="B34231" s="11" t="str">
        <f>"200811001497"</f>
        <v>200811001497</v>
      </c>
    </row>
    <row r="34232" spans="1:2" x14ac:dyDescent="0.25">
      <c r="A34232" s="2">
        <v>34227</v>
      </c>
      <c r="B34232" s="11" t="str">
        <f>"200811001547"</f>
        <v>200811001547</v>
      </c>
    </row>
    <row r="34233" spans="1:2" x14ac:dyDescent="0.25">
      <c r="A34233" s="2">
        <v>34228</v>
      </c>
      <c r="B34233" s="11" t="str">
        <f>"200811001612"</f>
        <v>200811001612</v>
      </c>
    </row>
    <row r="34234" spans="1:2" x14ac:dyDescent="0.25">
      <c r="A34234" s="2">
        <v>34229</v>
      </c>
      <c r="B34234" s="11" t="str">
        <f>"200811001660"</f>
        <v>200811001660</v>
      </c>
    </row>
    <row r="34235" spans="1:2" x14ac:dyDescent="0.25">
      <c r="A34235" s="2">
        <v>34230</v>
      </c>
      <c r="B34235" s="11" t="str">
        <f>"200811001661"</f>
        <v>200811001661</v>
      </c>
    </row>
    <row r="34236" spans="1:2" x14ac:dyDescent="0.25">
      <c r="A34236" s="2">
        <v>34231</v>
      </c>
      <c r="B34236" s="11" t="str">
        <f>"200811001717"</f>
        <v>200811001717</v>
      </c>
    </row>
    <row r="34237" spans="1:2" x14ac:dyDescent="0.25">
      <c r="A34237" s="2">
        <v>34232</v>
      </c>
      <c r="B34237" s="11" t="str">
        <f>"200812000099"</f>
        <v>200812000099</v>
      </c>
    </row>
    <row r="34238" spans="1:2" x14ac:dyDescent="0.25">
      <c r="A34238" s="2">
        <v>34233</v>
      </c>
      <c r="B34238" s="11" t="str">
        <f>"200812000116"</f>
        <v>200812000116</v>
      </c>
    </row>
    <row r="34239" spans="1:2" x14ac:dyDescent="0.25">
      <c r="A34239" s="2">
        <v>34234</v>
      </c>
      <c r="B34239" s="11" t="str">
        <f>"200812000135"</f>
        <v>200812000135</v>
      </c>
    </row>
    <row r="34240" spans="1:2" x14ac:dyDescent="0.25">
      <c r="A34240" s="2">
        <v>34235</v>
      </c>
      <c r="B34240" s="11" t="str">
        <f>"200812000158"</f>
        <v>200812000158</v>
      </c>
    </row>
    <row r="34241" spans="1:2" x14ac:dyDescent="0.25">
      <c r="A34241" s="2">
        <v>34236</v>
      </c>
      <c r="B34241" s="11" t="str">
        <f>"200812000209"</f>
        <v>200812000209</v>
      </c>
    </row>
    <row r="34242" spans="1:2" x14ac:dyDescent="0.25">
      <c r="A34242" s="2">
        <v>34237</v>
      </c>
      <c r="B34242" s="11" t="str">
        <f>"200812000215"</f>
        <v>200812000215</v>
      </c>
    </row>
    <row r="34243" spans="1:2" x14ac:dyDescent="0.25">
      <c r="A34243" s="2">
        <v>34238</v>
      </c>
      <c r="B34243" s="11" t="str">
        <f>"200812000217"</f>
        <v>200812000217</v>
      </c>
    </row>
    <row r="34244" spans="1:2" x14ac:dyDescent="0.25">
      <c r="A34244" s="2">
        <v>34239</v>
      </c>
      <c r="B34244" s="11" t="str">
        <f>"200812000269"</f>
        <v>200812000269</v>
      </c>
    </row>
    <row r="34245" spans="1:2" x14ac:dyDescent="0.25">
      <c r="A34245" s="2">
        <v>34240</v>
      </c>
      <c r="B34245" s="11" t="str">
        <f>"200812000281"</f>
        <v>200812000281</v>
      </c>
    </row>
    <row r="34246" spans="1:2" x14ac:dyDescent="0.25">
      <c r="A34246" s="2">
        <v>34241</v>
      </c>
      <c r="B34246" s="11" t="str">
        <f>"200812000289"</f>
        <v>200812000289</v>
      </c>
    </row>
    <row r="34247" spans="1:2" x14ac:dyDescent="0.25">
      <c r="A34247" s="2">
        <v>34242</v>
      </c>
      <c r="B34247" s="11" t="str">
        <f>"200812000305"</f>
        <v>200812000305</v>
      </c>
    </row>
    <row r="34248" spans="1:2" x14ac:dyDescent="0.25">
      <c r="A34248" s="2">
        <v>34243</v>
      </c>
      <c r="B34248" s="11" t="str">
        <f>"200812000322"</f>
        <v>200812000322</v>
      </c>
    </row>
    <row r="34249" spans="1:2" x14ac:dyDescent="0.25">
      <c r="A34249" s="2">
        <v>34244</v>
      </c>
      <c r="B34249" s="11" t="str">
        <f>"200812000449"</f>
        <v>200812000449</v>
      </c>
    </row>
    <row r="34250" spans="1:2" x14ac:dyDescent="0.25">
      <c r="A34250" s="2">
        <v>34245</v>
      </c>
      <c r="B34250" s="11" t="str">
        <f>"200812000478"</f>
        <v>200812000478</v>
      </c>
    </row>
    <row r="34251" spans="1:2" x14ac:dyDescent="0.25">
      <c r="A34251" s="2">
        <v>34246</v>
      </c>
      <c r="B34251" s="11" t="str">
        <f>"200812000540"</f>
        <v>200812000540</v>
      </c>
    </row>
    <row r="34252" spans="1:2" x14ac:dyDescent="0.25">
      <c r="A34252" s="2">
        <v>34247</v>
      </c>
      <c r="B34252" s="11" t="str">
        <f>"200812000593"</f>
        <v>200812000593</v>
      </c>
    </row>
    <row r="34253" spans="1:2" x14ac:dyDescent="0.25">
      <c r="A34253" s="2">
        <v>34248</v>
      </c>
      <c r="B34253" s="11" t="str">
        <f>"200812000661"</f>
        <v>200812000661</v>
      </c>
    </row>
    <row r="34254" spans="1:2" x14ac:dyDescent="0.25">
      <c r="A34254" s="2">
        <v>34249</v>
      </c>
      <c r="B34254" s="11" t="str">
        <f>"200812000694"</f>
        <v>200812000694</v>
      </c>
    </row>
    <row r="34255" spans="1:2" x14ac:dyDescent="0.25">
      <c r="A34255" s="2">
        <v>34250</v>
      </c>
      <c r="B34255" s="11" t="str">
        <f>"200812000697"</f>
        <v>200812000697</v>
      </c>
    </row>
    <row r="34256" spans="1:2" x14ac:dyDescent="0.25">
      <c r="A34256" s="2">
        <v>34251</v>
      </c>
      <c r="B34256" s="11" t="str">
        <f>"200812000723"</f>
        <v>200812000723</v>
      </c>
    </row>
    <row r="34257" spans="1:2" x14ac:dyDescent="0.25">
      <c r="A34257" s="2">
        <v>34252</v>
      </c>
      <c r="B34257" s="11" t="str">
        <f>"200812000761"</f>
        <v>200812000761</v>
      </c>
    </row>
    <row r="34258" spans="1:2" x14ac:dyDescent="0.25">
      <c r="A34258" s="2">
        <v>34253</v>
      </c>
      <c r="B34258" s="11" t="str">
        <f>"200812000781"</f>
        <v>200812000781</v>
      </c>
    </row>
    <row r="34259" spans="1:2" x14ac:dyDescent="0.25">
      <c r="A34259" s="2">
        <v>34254</v>
      </c>
      <c r="B34259" s="11" t="str">
        <f>"200812000797"</f>
        <v>200812000797</v>
      </c>
    </row>
    <row r="34260" spans="1:2" x14ac:dyDescent="0.25">
      <c r="A34260" s="2">
        <v>34255</v>
      </c>
      <c r="B34260" s="11" t="str">
        <f>"200812000824"</f>
        <v>200812000824</v>
      </c>
    </row>
    <row r="34261" spans="1:2" x14ac:dyDescent="0.25">
      <c r="A34261" s="2">
        <v>34256</v>
      </c>
      <c r="B34261" s="11" t="str">
        <f>"200812000866"</f>
        <v>200812000866</v>
      </c>
    </row>
    <row r="34262" spans="1:2" x14ac:dyDescent="0.25">
      <c r="A34262" s="2">
        <v>34257</v>
      </c>
      <c r="B34262" s="11" t="str">
        <f>"200812000877"</f>
        <v>200812000877</v>
      </c>
    </row>
    <row r="34263" spans="1:2" x14ac:dyDescent="0.25">
      <c r="A34263" s="2">
        <v>34258</v>
      </c>
      <c r="B34263" s="11" t="str">
        <f>"200812000907"</f>
        <v>200812000907</v>
      </c>
    </row>
    <row r="34264" spans="1:2" x14ac:dyDescent="0.25">
      <c r="A34264" s="2">
        <v>34259</v>
      </c>
      <c r="B34264" s="11" t="str">
        <f>"200812000914"</f>
        <v>200812000914</v>
      </c>
    </row>
    <row r="34265" spans="1:2" x14ac:dyDescent="0.25">
      <c r="A34265" s="2">
        <v>34260</v>
      </c>
      <c r="B34265" s="11" t="str">
        <f>"200812000968"</f>
        <v>200812000968</v>
      </c>
    </row>
    <row r="34266" spans="1:2" x14ac:dyDescent="0.25">
      <c r="A34266" s="2">
        <v>34261</v>
      </c>
      <c r="B34266" s="11" t="str">
        <f>"200812001066"</f>
        <v>200812001066</v>
      </c>
    </row>
    <row r="34267" spans="1:2" x14ac:dyDescent="0.25">
      <c r="A34267" s="2">
        <v>34262</v>
      </c>
      <c r="B34267" s="11" t="str">
        <f>"200812001083"</f>
        <v>200812001083</v>
      </c>
    </row>
    <row r="34268" spans="1:2" x14ac:dyDescent="0.25">
      <c r="A34268" s="2">
        <v>34263</v>
      </c>
      <c r="B34268" s="11" t="str">
        <f>"200901000011"</f>
        <v>200901000011</v>
      </c>
    </row>
    <row r="34269" spans="1:2" x14ac:dyDescent="0.25">
      <c r="A34269" s="2">
        <v>34264</v>
      </c>
      <c r="B34269" s="11" t="str">
        <f>"200901000022"</f>
        <v>200901000022</v>
      </c>
    </row>
    <row r="34270" spans="1:2" x14ac:dyDescent="0.25">
      <c r="A34270" s="2">
        <v>34265</v>
      </c>
      <c r="B34270" s="11" t="str">
        <f>"200901000042"</f>
        <v>200901000042</v>
      </c>
    </row>
    <row r="34271" spans="1:2" x14ac:dyDescent="0.25">
      <c r="A34271" s="2">
        <v>34266</v>
      </c>
      <c r="B34271" s="11" t="str">
        <f>"200901000055"</f>
        <v>200901000055</v>
      </c>
    </row>
    <row r="34272" spans="1:2" x14ac:dyDescent="0.25">
      <c r="A34272" s="2">
        <v>34267</v>
      </c>
      <c r="B34272" s="11" t="str">
        <f>"200901000130"</f>
        <v>200901000130</v>
      </c>
    </row>
    <row r="34273" spans="1:2" x14ac:dyDescent="0.25">
      <c r="A34273" s="2">
        <v>34268</v>
      </c>
      <c r="B34273" s="11" t="str">
        <f>"200901000175"</f>
        <v>200901000175</v>
      </c>
    </row>
    <row r="34274" spans="1:2" x14ac:dyDescent="0.25">
      <c r="A34274" s="2">
        <v>34269</v>
      </c>
      <c r="B34274" s="11" t="str">
        <f>"200901000186"</f>
        <v>200901000186</v>
      </c>
    </row>
    <row r="34275" spans="1:2" x14ac:dyDescent="0.25">
      <c r="A34275" s="2">
        <v>34270</v>
      </c>
      <c r="B34275" s="11" t="str">
        <f>"200901000351"</f>
        <v>200901000351</v>
      </c>
    </row>
    <row r="34276" spans="1:2" x14ac:dyDescent="0.25">
      <c r="A34276" s="2">
        <v>34271</v>
      </c>
      <c r="B34276" s="11" t="str">
        <f>"200901000411"</f>
        <v>200901000411</v>
      </c>
    </row>
    <row r="34277" spans="1:2" x14ac:dyDescent="0.25">
      <c r="A34277" s="2">
        <v>34272</v>
      </c>
      <c r="B34277" s="11" t="str">
        <f>"200901000416"</f>
        <v>200901000416</v>
      </c>
    </row>
    <row r="34278" spans="1:2" x14ac:dyDescent="0.25">
      <c r="A34278" s="2">
        <v>34273</v>
      </c>
      <c r="B34278" s="11" t="str">
        <f>"200901000571"</f>
        <v>200901000571</v>
      </c>
    </row>
    <row r="34279" spans="1:2" x14ac:dyDescent="0.25">
      <c r="A34279" s="2">
        <v>34274</v>
      </c>
      <c r="B34279" s="11" t="str">
        <f>"200901000581"</f>
        <v>200901000581</v>
      </c>
    </row>
    <row r="34280" spans="1:2" x14ac:dyDescent="0.25">
      <c r="A34280" s="2">
        <v>34275</v>
      </c>
      <c r="B34280" s="11" t="str">
        <f>"200901000639"</f>
        <v>200901000639</v>
      </c>
    </row>
    <row r="34281" spans="1:2" x14ac:dyDescent="0.25">
      <c r="A34281" s="2">
        <v>34276</v>
      </c>
      <c r="B34281" s="11" t="str">
        <f>"200901000641"</f>
        <v>200901000641</v>
      </c>
    </row>
    <row r="34282" spans="1:2" x14ac:dyDescent="0.25">
      <c r="A34282" s="2">
        <v>34277</v>
      </c>
      <c r="B34282" s="11" t="str">
        <f>"200901000687"</f>
        <v>200901000687</v>
      </c>
    </row>
    <row r="34283" spans="1:2" x14ac:dyDescent="0.25">
      <c r="A34283" s="2">
        <v>34278</v>
      </c>
      <c r="B34283" s="11" t="str">
        <f>"200901000698"</f>
        <v>200901000698</v>
      </c>
    </row>
    <row r="34284" spans="1:2" x14ac:dyDescent="0.25">
      <c r="A34284" s="2">
        <v>34279</v>
      </c>
      <c r="B34284" s="11" t="str">
        <f>"200901000752"</f>
        <v>200901000752</v>
      </c>
    </row>
    <row r="34285" spans="1:2" x14ac:dyDescent="0.25">
      <c r="A34285" s="2">
        <v>34280</v>
      </c>
      <c r="B34285" s="11" t="str">
        <f>"200901000879"</f>
        <v>200901000879</v>
      </c>
    </row>
    <row r="34286" spans="1:2" x14ac:dyDescent="0.25">
      <c r="A34286" s="2">
        <v>34281</v>
      </c>
      <c r="B34286" s="11" t="str">
        <f>"200901000885"</f>
        <v>200901000885</v>
      </c>
    </row>
    <row r="34287" spans="1:2" x14ac:dyDescent="0.25">
      <c r="A34287" s="2">
        <v>34282</v>
      </c>
      <c r="B34287" s="11" t="str">
        <f>"200901000945"</f>
        <v>200901000945</v>
      </c>
    </row>
    <row r="34288" spans="1:2" x14ac:dyDescent="0.25">
      <c r="A34288" s="2">
        <v>34283</v>
      </c>
      <c r="B34288" s="11" t="str">
        <f>"200901000991"</f>
        <v>200901000991</v>
      </c>
    </row>
    <row r="34289" spans="1:2" x14ac:dyDescent="0.25">
      <c r="A34289" s="2">
        <v>34284</v>
      </c>
      <c r="B34289" s="11" t="str">
        <f>"200902000024"</f>
        <v>200902000024</v>
      </c>
    </row>
    <row r="34290" spans="1:2" x14ac:dyDescent="0.25">
      <c r="A34290" s="2">
        <v>34285</v>
      </c>
      <c r="B34290" s="11" t="str">
        <f>"200902000038"</f>
        <v>200902000038</v>
      </c>
    </row>
    <row r="34291" spans="1:2" x14ac:dyDescent="0.25">
      <c r="A34291" s="2">
        <v>34286</v>
      </c>
      <c r="B34291" s="11" t="str">
        <f>"200902000085"</f>
        <v>200902000085</v>
      </c>
    </row>
    <row r="34292" spans="1:2" x14ac:dyDescent="0.25">
      <c r="A34292" s="2">
        <v>34287</v>
      </c>
      <c r="B34292" s="11" t="str">
        <f>"200902000106"</f>
        <v>200902000106</v>
      </c>
    </row>
    <row r="34293" spans="1:2" x14ac:dyDescent="0.25">
      <c r="A34293" s="2">
        <v>34288</v>
      </c>
      <c r="B34293" s="11" t="str">
        <f>"200902000123"</f>
        <v>200902000123</v>
      </c>
    </row>
    <row r="34294" spans="1:2" x14ac:dyDescent="0.25">
      <c r="A34294" s="2">
        <v>34289</v>
      </c>
      <c r="B34294" s="11" t="str">
        <f>"200902000156"</f>
        <v>200902000156</v>
      </c>
    </row>
    <row r="34295" spans="1:2" x14ac:dyDescent="0.25">
      <c r="A34295" s="2">
        <v>34290</v>
      </c>
      <c r="B34295" s="11" t="str">
        <f>"200902000200"</f>
        <v>200902000200</v>
      </c>
    </row>
    <row r="34296" spans="1:2" x14ac:dyDescent="0.25">
      <c r="A34296" s="2">
        <v>34291</v>
      </c>
      <c r="B34296" s="11" t="str">
        <f>"200902000240"</f>
        <v>200902000240</v>
      </c>
    </row>
    <row r="34297" spans="1:2" x14ac:dyDescent="0.25">
      <c r="A34297" s="2">
        <v>34292</v>
      </c>
      <c r="B34297" s="11" t="str">
        <f>"200902000272"</f>
        <v>200902000272</v>
      </c>
    </row>
    <row r="34298" spans="1:2" x14ac:dyDescent="0.25">
      <c r="A34298" s="2">
        <v>34293</v>
      </c>
      <c r="B34298" s="11" t="str">
        <f>"200902000276"</f>
        <v>200902000276</v>
      </c>
    </row>
    <row r="34299" spans="1:2" x14ac:dyDescent="0.25">
      <c r="A34299" s="2">
        <v>34294</v>
      </c>
      <c r="B34299" s="11" t="str">
        <f>"200902000305"</f>
        <v>200902000305</v>
      </c>
    </row>
    <row r="34300" spans="1:2" x14ac:dyDescent="0.25">
      <c r="A34300" s="2">
        <v>34295</v>
      </c>
      <c r="B34300" s="11" t="str">
        <f>"200902000321"</f>
        <v>200902000321</v>
      </c>
    </row>
    <row r="34301" spans="1:2" x14ac:dyDescent="0.25">
      <c r="A34301" s="2">
        <v>34296</v>
      </c>
      <c r="B34301" s="11" t="str">
        <f>"200902000382"</f>
        <v>200902000382</v>
      </c>
    </row>
    <row r="34302" spans="1:2" x14ac:dyDescent="0.25">
      <c r="A34302" s="2">
        <v>34297</v>
      </c>
      <c r="B34302" s="11" t="str">
        <f>"200902000416"</f>
        <v>200902000416</v>
      </c>
    </row>
    <row r="34303" spans="1:2" x14ac:dyDescent="0.25">
      <c r="A34303" s="2">
        <v>34298</v>
      </c>
      <c r="B34303" s="11" t="str">
        <f>"200902000440"</f>
        <v>200902000440</v>
      </c>
    </row>
    <row r="34304" spans="1:2" x14ac:dyDescent="0.25">
      <c r="A34304" s="2">
        <v>34299</v>
      </c>
      <c r="B34304" s="11" t="str">
        <f>"200902000483"</f>
        <v>200902000483</v>
      </c>
    </row>
    <row r="34305" spans="1:2" x14ac:dyDescent="0.25">
      <c r="A34305" s="2">
        <v>34300</v>
      </c>
      <c r="B34305" s="11" t="str">
        <f>"200902000541"</f>
        <v>200902000541</v>
      </c>
    </row>
    <row r="34306" spans="1:2" x14ac:dyDescent="0.25">
      <c r="A34306" s="2">
        <v>34301</v>
      </c>
      <c r="B34306" s="11" t="str">
        <f>"200902000648"</f>
        <v>200902000648</v>
      </c>
    </row>
    <row r="34307" spans="1:2" x14ac:dyDescent="0.25">
      <c r="A34307" s="2">
        <v>34302</v>
      </c>
      <c r="B34307" s="11" t="str">
        <f>"200902000708"</f>
        <v>200902000708</v>
      </c>
    </row>
    <row r="34308" spans="1:2" x14ac:dyDescent="0.25">
      <c r="A34308" s="2">
        <v>34303</v>
      </c>
      <c r="B34308" s="11" t="str">
        <f>"200902000738"</f>
        <v>200902000738</v>
      </c>
    </row>
    <row r="34309" spans="1:2" x14ac:dyDescent="0.25">
      <c r="A34309" s="2">
        <v>34304</v>
      </c>
      <c r="B34309" s="11" t="str">
        <f>"200903000126"</f>
        <v>200903000126</v>
      </c>
    </row>
    <row r="34310" spans="1:2" x14ac:dyDescent="0.25">
      <c r="A34310" s="2">
        <v>34305</v>
      </c>
      <c r="B34310" s="11" t="str">
        <f>"200903000277"</f>
        <v>200903000277</v>
      </c>
    </row>
    <row r="34311" spans="1:2" x14ac:dyDescent="0.25">
      <c r="A34311" s="2">
        <v>34306</v>
      </c>
      <c r="B34311" s="11" t="str">
        <f>"200903000315"</f>
        <v>200903000315</v>
      </c>
    </row>
    <row r="34312" spans="1:2" x14ac:dyDescent="0.25">
      <c r="A34312" s="2">
        <v>34307</v>
      </c>
      <c r="B34312" s="11" t="str">
        <f>"200903000338"</f>
        <v>200903000338</v>
      </c>
    </row>
    <row r="34313" spans="1:2" x14ac:dyDescent="0.25">
      <c r="A34313" s="2">
        <v>34308</v>
      </c>
      <c r="B34313" s="11" t="str">
        <f>"200903000385"</f>
        <v>200903000385</v>
      </c>
    </row>
    <row r="34314" spans="1:2" x14ac:dyDescent="0.25">
      <c r="A34314" s="2">
        <v>34309</v>
      </c>
      <c r="B34314" s="11" t="str">
        <f>"200903000401"</f>
        <v>200903000401</v>
      </c>
    </row>
    <row r="34315" spans="1:2" x14ac:dyDescent="0.25">
      <c r="A34315" s="2">
        <v>34310</v>
      </c>
      <c r="B34315" s="11" t="str">
        <f>"200903000407"</f>
        <v>200903000407</v>
      </c>
    </row>
    <row r="34316" spans="1:2" x14ac:dyDescent="0.25">
      <c r="A34316" s="2">
        <v>34311</v>
      </c>
      <c r="B34316" s="11" t="str">
        <f>"200903000431"</f>
        <v>200903000431</v>
      </c>
    </row>
    <row r="34317" spans="1:2" x14ac:dyDescent="0.25">
      <c r="A34317" s="2">
        <v>34312</v>
      </c>
      <c r="B34317" s="11" t="str">
        <f>"200903000463"</f>
        <v>200903000463</v>
      </c>
    </row>
    <row r="34318" spans="1:2" x14ac:dyDescent="0.25">
      <c r="A34318" s="2">
        <v>34313</v>
      </c>
      <c r="B34318" s="11" t="str">
        <f>"200903000538"</f>
        <v>200903000538</v>
      </c>
    </row>
    <row r="34319" spans="1:2" x14ac:dyDescent="0.25">
      <c r="A34319" s="2">
        <v>34314</v>
      </c>
      <c r="B34319" s="11" t="str">
        <f>"200903000546"</f>
        <v>200903000546</v>
      </c>
    </row>
    <row r="34320" spans="1:2" x14ac:dyDescent="0.25">
      <c r="A34320" s="2">
        <v>34315</v>
      </c>
      <c r="B34320" s="11" t="str">
        <f>"200903000572"</f>
        <v>200903000572</v>
      </c>
    </row>
    <row r="34321" spans="1:2" x14ac:dyDescent="0.25">
      <c r="A34321" s="2">
        <v>34316</v>
      </c>
      <c r="B34321" s="11" t="str">
        <f>"200903000592"</f>
        <v>200903000592</v>
      </c>
    </row>
    <row r="34322" spans="1:2" x14ac:dyDescent="0.25">
      <c r="A34322" s="2">
        <v>34317</v>
      </c>
      <c r="B34322" s="11" t="str">
        <f>"200903000604"</f>
        <v>200903000604</v>
      </c>
    </row>
    <row r="34323" spans="1:2" x14ac:dyDescent="0.25">
      <c r="A34323" s="2">
        <v>34318</v>
      </c>
      <c r="B34323" s="11" t="str">
        <f>"200903000693"</f>
        <v>200903000693</v>
      </c>
    </row>
    <row r="34324" spans="1:2" x14ac:dyDescent="0.25">
      <c r="A34324" s="2">
        <v>34319</v>
      </c>
      <c r="B34324" s="11" t="str">
        <f>"200903000794"</f>
        <v>200903000794</v>
      </c>
    </row>
    <row r="34325" spans="1:2" x14ac:dyDescent="0.25">
      <c r="A34325" s="2">
        <v>34320</v>
      </c>
      <c r="B34325" s="11" t="str">
        <f>"200903000814"</f>
        <v>200903000814</v>
      </c>
    </row>
    <row r="34326" spans="1:2" x14ac:dyDescent="0.25">
      <c r="A34326" s="2">
        <v>34321</v>
      </c>
      <c r="B34326" s="11" t="str">
        <f>"200904000008"</f>
        <v>200904000008</v>
      </c>
    </row>
    <row r="34327" spans="1:2" x14ac:dyDescent="0.25">
      <c r="A34327" s="2">
        <v>34322</v>
      </c>
      <c r="B34327" s="11" t="str">
        <f>"200904000049"</f>
        <v>200904000049</v>
      </c>
    </row>
    <row r="34328" spans="1:2" x14ac:dyDescent="0.25">
      <c r="A34328" s="2">
        <v>34323</v>
      </c>
      <c r="B34328" s="11" t="str">
        <f>"200904000066"</f>
        <v>200904000066</v>
      </c>
    </row>
    <row r="34329" spans="1:2" x14ac:dyDescent="0.25">
      <c r="A34329" s="2">
        <v>34324</v>
      </c>
      <c r="B34329" s="11" t="str">
        <f>"200904000111"</f>
        <v>200904000111</v>
      </c>
    </row>
    <row r="34330" spans="1:2" x14ac:dyDescent="0.25">
      <c r="A34330" s="2">
        <v>34325</v>
      </c>
      <c r="B34330" s="11" t="str">
        <f>"200904000141"</f>
        <v>200904000141</v>
      </c>
    </row>
    <row r="34331" spans="1:2" x14ac:dyDescent="0.25">
      <c r="A34331" s="2">
        <v>34326</v>
      </c>
      <c r="B34331" s="11" t="str">
        <f>"200904000159"</f>
        <v>200904000159</v>
      </c>
    </row>
    <row r="34332" spans="1:2" x14ac:dyDescent="0.25">
      <c r="A34332" s="2">
        <v>34327</v>
      </c>
      <c r="B34332" s="11" t="str">
        <f>"200904000181"</f>
        <v>200904000181</v>
      </c>
    </row>
    <row r="34333" spans="1:2" x14ac:dyDescent="0.25">
      <c r="A34333" s="2">
        <v>34328</v>
      </c>
      <c r="B34333" s="11" t="str">
        <f>"200904000225"</f>
        <v>200904000225</v>
      </c>
    </row>
    <row r="34334" spans="1:2" x14ac:dyDescent="0.25">
      <c r="A34334" s="2">
        <v>34329</v>
      </c>
      <c r="B34334" s="11" t="str">
        <f>"200904000249"</f>
        <v>200904000249</v>
      </c>
    </row>
    <row r="34335" spans="1:2" x14ac:dyDescent="0.25">
      <c r="A34335" s="2">
        <v>34330</v>
      </c>
      <c r="B34335" s="11" t="str">
        <f>"200904000290"</f>
        <v>200904000290</v>
      </c>
    </row>
    <row r="34336" spans="1:2" x14ac:dyDescent="0.25">
      <c r="A34336" s="2">
        <v>34331</v>
      </c>
      <c r="B34336" s="11" t="str">
        <f>"200904000296"</f>
        <v>200904000296</v>
      </c>
    </row>
    <row r="34337" spans="1:2" x14ac:dyDescent="0.25">
      <c r="A34337" s="2">
        <v>34332</v>
      </c>
      <c r="B34337" s="11" t="str">
        <f>"200904000397"</f>
        <v>200904000397</v>
      </c>
    </row>
    <row r="34338" spans="1:2" x14ac:dyDescent="0.25">
      <c r="A34338" s="2">
        <v>34333</v>
      </c>
      <c r="B34338" s="11" t="str">
        <f>"200904000459"</f>
        <v>200904000459</v>
      </c>
    </row>
    <row r="34339" spans="1:2" x14ac:dyDescent="0.25">
      <c r="A34339" s="2">
        <v>34334</v>
      </c>
      <c r="B34339" s="11" t="str">
        <f>"200904000486"</f>
        <v>200904000486</v>
      </c>
    </row>
    <row r="34340" spans="1:2" x14ac:dyDescent="0.25">
      <c r="A34340" s="2">
        <v>34335</v>
      </c>
      <c r="B34340" s="11" t="str">
        <f>"200904000488"</f>
        <v>200904000488</v>
      </c>
    </row>
    <row r="34341" spans="1:2" x14ac:dyDescent="0.25">
      <c r="A34341" s="2">
        <v>34336</v>
      </c>
      <c r="B34341" s="11" t="str">
        <f>"200904000537"</f>
        <v>200904000537</v>
      </c>
    </row>
    <row r="34342" spans="1:2" x14ac:dyDescent="0.25">
      <c r="A34342" s="2">
        <v>34337</v>
      </c>
      <c r="B34342" s="11" t="str">
        <f>"200904000565"</f>
        <v>200904000565</v>
      </c>
    </row>
    <row r="34343" spans="1:2" x14ac:dyDescent="0.25">
      <c r="A34343" s="2">
        <v>34338</v>
      </c>
      <c r="B34343" s="11" t="str">
        <f>"200905000002"</f>
        <v>200905000002</v>
      </c>
    </row>
    <row r="34344" spans="1:2" x14ac:dyDescent="0.25">
      <c r="A34344" s="2">
        <v>34339</v>
      </c>
      <c r="B34344" s="11" t="str">
        <f>"200905000008"</f>
        <v>200905000008</v>
      </c>
    </row>
    <row r="34345" spans="1:2" x14ac:dyDescent="0.25">
      <c r="A34345" s="2">
        <v>34340</v>
      </c>
      <c r="B34345" s="11" t="str">
        <f>"200905000095"</f>
        <v>200905000095</v>
      </c>
    </row>
    <row r="34346" spans="1:2" x14ac:dyDescent="0.25">
      <c r="A34346" s="2">
        <v>34341</v>
      </c>
      <c r="B34346" s="11" t="str">
        <f>"200905000113"</f>
        <v>200905000113</v>
      </c>
    </row>
    <row r="34347" spans="1:2" x14ac:dyDescent="0.25">
      <c r="A34347" s="2">
        <v>34342</v>
      </c>
      <c r="B34347" s="11" t="str">
        <f>"200905000152"</f>
        <v>200905000152</v>
      </c>
    </row>
    <row r="34348" spans="1:2" x14ac:dyDescent="0.25">
      <c r="A34348" s="2">
        <v>34343</v>
      </c>
      <c r="B34348" s="11" t="str">
        <f>"200905000192"</f>
        <v>200905000192</v>
      </c>
    </row>
    <row r="34349" spans="1:2" x14ac:dyDescent="0.25">
      <c r="A34349" s="2">
        <v>34344</v>
      </c>
      <c r="B34349" s="11" t="str">
        <f>"200905000453"</f>
        <v>200905000453</v>
      </c>
    </row>
    <row r="34350" spans="1:2" x14ac:dyDescent="0.25">
      <c r="A34350" s="2">
        <v>34345</v>
      </c>
      <c r="B34350" s="11" t="str">
        <f>"200905000465"</f>
        <v>200905000465</v>
      </c>
    </row>
    <row r="34351" spans="1:2" x14ac:dyDescent="0.25">
      <c r="A34351" s="2">
        <v>34346</v>
      </c>
      <c r="B34351" s="11" t="str">
        <f>"200905000519"</f>
        <v>200905000519</v>
      </c>
    </row>
    <row r="34352" spans="1:2" x14ac:dyDescent="0.25">
      <c r="A34352" s="2">
        <v>34347</v>
      </c>
      <c r="B34352" s="11" t="str">
        <f>"200905000541"</f>
        <v>200905000541</v>
      </c>
    </row>
    <row r="34353" spans="1:2" x14ac:dyDescent="0.25">
      <c r="A34353" s="2">
        <v>34348</v>
      </c>
      <c r="B34353" s="11" t="str">
        <f>"200905000611"</f>
        <v>200905000611</v>
      </c>
    </row>
    <row r="34354" spans="1:2" x14ac:dyDescent="0.25">
      <c r="A34354" s="2">
        <v>34349</v>
      </c>
      <c r="B34354" s="11" t="str">
        <f>"200905000632"</f>
        <v>200905000632</v>
      </c>
    </row>
    <row r="34355" spans="1:2" x14ac:dyDescent="0.25">
      <c r="A34355" s="2">
        <v>34350</v>
      </c>
      <c r="B34355" s="11" t="str">
        <f>"200905000640"</f>
        <v>200905000640</v>
      </c>
    </row>
    <row r="34356" spans="1:2" x14ac:dyDescent="0.25">
      <c r="A34356" s="2">
        <v>34351</v>
      </c>
      <c r="B34356" s="11" t="str">
        <f>"200905000654"</f>
        <v>200905000654</v>
      </c>
    </row>
    <row r="34357" spans="1:2" x14ac:dyDescent="0.25">
      <c r="A34357" s="2">
        <v>34352</v>
      </c>
      <c r="B34357" s="11" t="str">
        <f>"200905000683"</f>
        <v>200905000683</v>
      </c>
    </row>
    <row r="34358" spans="1:2" x14ac:dyDescent="0.25">
      <c r="A34358" s="2">
        <v>34353</v>
      </c>
      <c r="B34358" s="11" t="str">
        <f>"200906000002"</f>
        <v>200906000002</v>
      </c>
    </row>
    <row r="34359" spans="1:2" x14ac:dyDescent="0.25">
      <c r="A34359" s="2">
        <v>34354</v>
      </c>
      <c r="B34359" s="11" t="str">
        <f>"200906000096"</f>
        <v>200906000096</v>
      </c>
    </row>
    <row r="34360" spans="1:2" x14ac:dyDescent="0.25">
      <c r="A34360" s="2">
        <v>34355</v>
      </c>
      <c r="B34360" s="11" t="str">
        <f>"200906000099"</f>
        <v>200906000099</v>
      </c>
    </row>
    <row r="34361" spans="1:2" x14ac:dyDescent="0.25">
      <c r="A34361" s="2">
        <v>34356</v>
      </c>
      <c r="B34361" s="11" t="str">
        <f>"200906000115"</f>
        <v>200906000115</v>
      </c>
    </row>
    <row r="34362" spans="1:2" x14ac:dyDescent="0.25">
      <c r="A34362" s="2">
        <v>34357</v>
      </c>
      <c r="B34362" s="11" t="str">
        <f>"200906000143"</f>
        <v>200906000143</v>
      </c>
    </row>
    <row r="34363" spans="1:2" x14ac:dyDescent="0.25">
      <c r="A34363" s="2">
        <v>34358</v>
      </c>
      <c r="B34363" s="11" t="str">
        <f>"200906000178"</f>
        <v>200906000178</v>
      </c>
    </row>
    <row r="34364" spans="1:2" x14ac:dyDescent="0.25">
      <c r="A34364" s="2">
        <v>34359</v>
      </c>
      <c r="B34364" s="11" t="str">
        <f>"200906000189"</f>
        <v>200906000189</v>
      </c>
    </row>
    <row r="34365" spans="1:2" x14ac:dyDescent="0.25">
      <c r="A34365" s="2">
        <v>34360</v>
      </c>
      <c r="B34365" s="11" t="str">
        <f>"200906000233"</f>
        <v>200906000233</v>
      </c>
    </row>
    <row r="34366" spans="1:2" x14ac:dyDescent="0.25">
      <c r="A34366" s="2">
        <v>34361</v>
      </c>
      <c r="B34366" s="11" t="str">
        <f>"200906000257"</f>
        <v>200906000257</v>
      </c>
    </row>
    <row r="34367" spans="1:2" x14ac:dyDescent="0.25">
      <c r="A34367" s="2">
        <v>34362</v>
      </c>
      <c r="B34367" s="11" t="str">
        <f>"200906000293"</f>
        <v>200906000293</v>
      </c>
    </row>
    <row r="34368" spans="1:2" x14ac:dyDescent="0.25">
      <c r="A34368" s="2">
        <v>34363</v>
      </c>
      <c r="B34368" s="11" t="str">
        <f>"200906000295"</f>
        <v>200906000295</v>
      </c>
    </row>
    <row r="34369" spans="1:2" x14ac:dyDescent="0.25">
      <c r="A34369" s="2">
        <v>34364</v>
      </c>
      <c r="B34369" s="11" t="str">
        <f>"200906000320"</f>
        <v>200906000320</v>
      </c>
    </row>
    <row r="34370" spans="1:2" x14ac:dyDescent="0.25">
      <c r="A34370" s="2">
        <v>34365</v>
      </c>
      <c r="B34370" s="11" t="str">
        <f>"200906000321"</f>
        <v>200906000321</v>
      </c>
    </row>
    <row r="34371" spans="1:2" x14ac:dyDescent="0.25">
      <c r="A34371" s="2">
        <v>34366</v>
      </c>
      <c r="B34371" s="11" t="str">
        <f>"200906000364"</f>
        <v>200906000364</v>
      </c>
    </row>
    <row r="34372" spans="1:2" x14ac:dyDescent="0.25">
      <c r="A34372" s="2">
        <v>34367</v>
      </c>
      <c r="B34372" s="11" t="str">
        <f>"200906000383"</f>
        <v>200906000383</v>
      </c>
    </row>
    <row r="34373" spans="1:2" x14ac:dyDescent="0.25">
      <c r="A34373" s="2">
        <v>34368</v>
      </c>
      <c r="B34373" s="11" t="str">
        <f>"200906000393"</f>
        <v>200906000393</v>
      </c>
    </row>
    <row r="34374" spans="1:2" x14ac:dyDescent="0.25">
      <c r="A34374" s="2">
        <v>34369</v>
      </c>
      <c r="B34374" s="11" t="str">
        <f>"200906000526"</f>
        <v>200906000526</v>
      </c>
    </row>
    <row r="34375" spans="1:2" x14ac:dyDescent="0.25">
      <c r="A34375" s="2">
        <v>34370</v>
      </c>
      <c r="B34375" s="11" t="str">
        <f>"200906000673"</f>
        <v>200906000673</v>
      </c>
    </row>
    <row r="34376" spans="1:2" x14ac:dyDescent="0.25">
      <c r="A34376" s="2">
        <v>34371</v>
      </c>
      <c r="B34376" s="11" t="str">
        <f>"200907000050"</f>
        <v>200907000050</v>
      </c>
    </row>
    <row r="34377" spans="1:2" x14ac:dyDescent="0.25">
      <c r="A34377" s="2">
        <v>34372</v>
      </c>
      <c r="B34377" s="11" t="str">
        <f>"200907000051"</f>
        <v>200907000051</v>
      </c>
    </row>
    <row r="34378" spans="1:2" x14ac:dyDescent="0.25">
      <c r="A34378" s="2">
        <v>34373</v>
      </c>
      <c r="B34378" s="11" t="str">
        <f>"200907000063"</f>
        <v>200907000063</v>
      </c>
    </row>
    <row r="34379" spans="1:2" x14ac:dyDescent="0.25">
      <c r="A34379" s="2">
        <v>34374</v>
      </c>
      <c r="B34379" s="11" t="str">
        <f>"200907000084"</f>
        <v>200907000084</v>
      </c>
    </row>
    <row r="34380" spans="1:2" x14ac:dyDescent="0.25">
      <c r="A34380" s="2">
        <v>34375</v>
      </c>
      <c r="B34380" s="11" t="str">
        <f>"200907000105"</f>
        <v>200907000105</v>
      </c>
    </row>
    <row r="34381" spans="1:2" x14ac:dyDescent="0.25">
      <c r="A34381" s="2">
        <v>34376</v>
      </c>
      <c r="B34381" s="11" t="str">
        <f>"200907000142"</f>
        <v>200907000142</v>
      </c>
    </row>
    <row r="34382" spans="1:2" x14ac:dyDescent="0.25">
      <c r="A34382" s="2">
        <v>34377</v>
      </c>
      <c r="B34382" s="11" t="str">
        <f>"200907000169"</f>
        <v>200907000169</v>
      </c>
    </row>
    <row r="34383" spans="1:2" x14ac:dyDescent="0.25">
      <c r="A34383" s="2">
        <v>34378</v>
      </c>
      <c r="B34383" s="11" t="str">
        <f>"200907000245"</f>
        <v>200907000245</v>
      </c>
    </row>
    <row r="34384" spans="1:2" x14ac:dyDescent="0.25">
      <c r="A34384" s="2">
        <v>34379</v>
      </c>
      <c r="B34384" s="11" t="str">
        <f>"200907000264"</f>
        <v>200907000264</v>
      </c>
    </row>
    <row r="34385" spans="1:2" x14ac:dyDescent="0.25">
      <c r="A34385" s="2">
        <v>34380</v>
      </c>
      <c r="B34385" s="11" t="str">
        <f>"200907000296"</f>
        <v>200907000296</v>
      </c>
    </row>
    <row r="34386" spans="1:2" x14ac:dyDescent="0.25">
      <c r="A34386" s="2">
        <v>34381</v>
      </c>
      <c r="B34386" s="11" t="str">
        <f>"200907000298"</f>
        <v>200907000298</v>
      </c>
    </row>
    <row r="34387" spans="1:2" x14ac:dyDescent="0.25">
      <c r="A34387" s="2">
        <v>34382</v>
      </c>
      <c r="B34387" s="11" t="str">
        <f>"200907000321"</f>
        <v>200907000321</v>
      </c>
    </row>
    <row r="34388" spans="1:2" x14ac:dyDescent="0.25">
      <c r="A34388" s="2">
        <v>34383</v>
      </c>
      <c r="B34388" s="11" t="str">
        <f>"200907000345"</f>
        <v>200907000345</v>
      </c>
    </row>
    <row r="34389" spans="1:2" x14ac:dyDescent="0.25">
      <c r="A34389" s="2">
        <v>34384</v>
      </c>
      <c r="B34389" s="11" t="str">
        <f>"200907000396"</f>
        <v>200907000396</v>
      </c>
    </row>
    <row r="34390" spans="1:2" x14ac:dyDescent="0.25">
      <c r="A34390" s="2">
        <v>34385</v>
      </c>
      <c r="B34390" s="11" t="str">
        <f>"200907000412"</f>
        <v>200907000412</v>
      </c>
    </row>
    <row r="34391" spans="1:2" x14ac:dyDescent="0.25">
      <c r="A34391" s="2">
        <v>34386</v>
      </c>
      <c r="B34391" s="11" t="str">
        <f>"200907000494"</f>
        <v>200907000494</v>
      </c>
    </row>
    <row r="34392" spans="1:2" x14ac:dyDescent="0.25">
      <c r="A34392" s="2">
        <v>34387</v>
      </c>
      <c r="B34392" s="11" t="str">
        <f>"200907000546"</f>
        <v>200907000546</v>
      </c>
    </row>
    <row r="34393" spans="1:2" x14ac:dyDescent="0.25">
      <c r="A34393" s="2">
        <v>34388</v>
      </c>
      <c r="B34393" s="11" t="str">
        <f>"200907000549"</f>
        <v>200907000549</v>
      </c>
    </row>
    <row r="34394" spans="1:2" x14ac:dyDescent="0.25">
      <c r="A34394" s="2">
        <v>34389</v>
      </c>
      <c r="B34394" s="11" t="str">
        <f>"200907000551"</f>
        <v>200907000551</v>
      </c>
    </row>
    <row r="34395" spans="1:2" x14ac:dyDescent="0.25">
      <c r="A34395" s="2">
        <v>34390</v>
      </c>
      <c r="B34395" s="11" t="str">
        <f>"200908000039"</f>
        <v>200908000039</v>
      </c>
    </row>
    <row r="34396" spans="1:2" x14ac:dyDescent="0.25">
      <c r="A34396" s="2">
        <v>34391</v>
      </c>
      <c r="B34396" s="11" t="str">
        <f>"200908000052"</f>
        <v>200908000052</v>
      </c>
    </row>
    <row r="34397" spans="1:2" x14ac:dyDescent="0.25">
      <c r="A34397" s="2">
        <v>34392</v>
      </c>
      <c r="B34397" s="11" t="str">
        <f>"200908000099"</f>
        <v>200908000099</v>
      </c>
    </row>
    <row r="34398" spans="1:2" x14ac:dyDescent="0.25">
      <c r="A34398" s="2">
        <v>34393</v>
      </c>
      <c r="B34398" s="11" t="str">
        <f>"200908000147"</f>
        <v>200908000147</v>
      </c>
    </row>
    <row r="34399" spans="1:2" x14ac:dyDescent="0.25">
      <c r="A34399" s="2">
        <v>34394</v>
      </c>
      <c r="B34399" s="11" t="str">
        <f>"200908000211"</f>
        <v>200908000211</v>
      </c>
    </row>
    <row r="34400" spans="1:2" x14ac:dyDescent="0.25">
      <c r="A34400" s="2">
        <v>34395</v>
      </c>
      <c r="B34400" s="11" t="str">
        <f>"200908000228"</f>
        <v>200908000228</v>
      </c>
    </row>
    <row r="34401" spans="1:2" x14ac:dyDescent="0.25">
      <c r="A34401" s="2">
        <v>34396</v>
      </c>
      <c r="B34401" s="11" t="str">
        <f>"200908000269"</f>
        <v>200908000269</v>
      </c>
    </row>
    <row r="34402" spans="1:2" x14ac:dyDescent="0.25">
      <c r="A34402" s="2">
        <v>34397</v>
      </c>
      <c r="B34402" s="11" t="str">
        <f>"200908000308"</f>
        <v>200908000308</v>
      </c>
    </row>
    <row r="34403" spans="1:2" x14ac:dyDescent="0.25">
      <c r="A34403" s="2">
        <v>34398</v>
      </c>
      <c r="B34403" s="11" t="str">
        <f>"200908000377"</f>
        <v>200908000377</v>
      </c>
    </row>
    <row r="34404" spans="1:2" x14ac:dyDescent="0.25">
      <c r="A34404" s="2">
        <v>34399</v>
      </c>
      <c r="B34404" s="11" t="str">
        <f>"200908000379"</f>
        <v>200908000379</v>
      </c>
    </row>
    <row r="34405" spans="1:2" x14ac:dyDescent="0.25">
      <c r="A34405" s="2">
        <v>34400</v>
      </c>
      <c r="B34405" s="11" t="str">
        <f>"200909000002"</f>
        <v>200909000002</v>
      </c>
    </row>
    <row r="34406" spans="1:2" x14ac:dyDescent="0.25">
      <c r="A34406" s="2">
        <v>34401</v>
      </c>
      <c r="B34406" s="11" t="str">
        <f>"200909000097"</f>
        <v>200909000097</v>
      </c>
    </row>
    <row r="34407" spans="1:2" x14ac:dyDescent="0.25">
      <c r="A34407" s="2">
        <v>34402</v>
      </c>
      <c r="B34407" s="11" t="str">
        <f>"200909000103"</f>
        <v>200909000103</v>
      </c>
    </row>
    <row r="34408" spans="1:2" x14ac:dyDescent="0.25">
      <c r="A34408" s="2">
        <v>34403</v>
      </c>
      <c r="B34408" s="11" t="str">
        <f>"200909000104"</f>
        <v>200909000104</v>
      </c>
    </row>
    <row r="34409" spans="1:2" x14ac:dyDescent="0.25">
      <c r="A34409" s="2">
        <v>34404</v>
      </c>
      <c r="B34409" s="11" t="str">
        <f>"200909000123"</f>
        <v>200909000123</v>
      </c>
    </row>
    <row r="34410" spans="1:2" x14ac:dyDescent="0.25">
      <c r="A34410" s="2">
        <v>34405</v>
      </c>
      <c r="B34410" s="11" t="str">
        <f>"200909000172"</f>
        <v>200909000172</v>
      </c>
    </row>
    <row r="34411" spans="1:2" x14ac:dyDescent="0.25">
      <c r="A34411" s="2">
        <v>34406</v>
      </c>
      <c r="B34411" s="11" t="str">
        <f>"200909000228"</f>
        <v>200909000228</v>
      </c>
    </row>
    <row r="34412" spans="1:2" x14ac:dyDescent="0.25">
      <c r="A34412" s="2">
        <v>34407</v>
      </c>
      <c r="B34412" s="11" t="str">
        <f>"200909000302"</f>
        <v>200909000302</v>
      </c>
    </row>
    <row r="34413" spans="1:2" x14ac:dyDescent="0.25">
      <c r="A34413" s="2">
        <v>34408</v>
      </c>
      <c r="B34413" s="11" t="str">
        <f>"200909000309"</f>
        <v>200909000309</v>
      </c>
    </row>
    <row r="34414" spans="1:2" x14ac:dyDescent="0.25">
      <c r="A34414" s="2">
        <v>34409</v>
      </c>
      <c r="B34414" s="11" t="str">
        <f>"200909000324"</f>
        <v>200909000324</v>
      </c>
    </row>
    <row r="34415" spans="1:2" x14ac:dyDescent="0.25">
      <c r="A34415" s="2">
        <v>34410</v>
      </c>
      <c r="B34415" s="11" t="str">
        <f>"200909000359"</f>
        <v>200909000359</v>
      </c>
    </row>
    <row r="34416" spans="1:2" x14ac:dyDescent="0.25">
      <c r="A34416" s="2">
        <v>34411</v>
      </c>
      <c r="B34416" s="11" t="str">
        <f>"200910000018"</f>
        <v>200910000018</v>
      </c>
    </row>
    <row r="34417" spans="1:2" x14ac:dyDescent="0.25">
      <c r="A34417" s="2">
        <v>34412</v>
      </c>
      <c r="B34417" s="11" t="str">
        <f>"200910000040"</f>
        <v>200910000040</v>
      </c>
    </row>
    <row r="34418" spans="1:2" x14ac:dyDescent="0.25">
      <c r="A34418" s="2">
        <v>34413</v>
      </c>
      <c r="B34418" s="11" t="str">
        <f>"200910000062"</f>
        <v>200910000062</v>
      </c>
    </row>
    <row r="34419" spans="1:2" x14ac:dyDescent="0.25">
      <c r="A34419" s="2">
        <v>34414</v>
      </c>
      <c r="B34419" s="11" t="str">
        <f>"200910000127"</f>
        <v>200910000127</v>
      </c>
    </row>
    <row r="34420" spans="1:2" x14ac:dyDescent="0.25">
      <c r="A34420" s="2">
        <v>34415</v>
      </c>
      <c r="B34420" s="11" t="str">
        <f>"200910000169"</f>
        <v>200910000169</v>
      </c>
    </row>
    <row r="34421" spans="1:2" x14ac:dyDescent="0.25">
      <c r="A34421" s="2">
        <v>34416</v>
      </c>
      <c r="B34421" s="11" t="str">
        <f>"200910000205"</f>
        <v>200910000205</v>
      </c>
    </row>
    <row r="34422" spans="1:2" x14ac:dyDescent="0.25">
      <c r="A34422" s="2">
        <v>34417</v>
      </c>
      <c r="B34422" s="11" t="str">
        <f>"200910000210"</f>
        <v>200910000210</v>
      </c>
    </row>
    <row r="34423" spans="1:2" x14ac:dyDescent="0.25">
      <c r="A34423" s="2">
        <v>34418</v>
      </c>
      <c r="B34423" s="11" t="str">
        <f>"200910000216"</f>
        <v>200910000216</v>
      </c>
    </row>
    <row r="34424" spans="1:2" x14ac:dyDescent="0.25">
      <c r="A34424" s="2">
        <v>34419</v>
      </c>
      <c r="B34424" s="11" t="str">
        <f>"200910000220"</f>
        <v>200910000220</v>
      </c>
    </row>
    <row r="34425" spans="1:2" x14ac:dyDescent="0.25">
      <c r="A34425" s="2">
        <v>34420</v>
      </c>
      <c r="B34425" s="11" t="str">
        <f>"200910000237"</f>
        <v>200910000237</v>
      </c>
    </row>
    <row r="34426" spans="1:2" x14ac:dyDescent="0.25">
      <c r="A34426" s="2">
        <v>34421</v>
      </c>
      <c r="B34426" s="11" t="str">
        <f>"200910000256"</f>
        <v>200910000256</v>
      </c>
    </row>
    <row r="34427" spans="1:2" x14ac:dyDescent="0.25">
      <c r="A34427" s="2">
        <v>34422</v>
      </c>
      <c r="B34427" s="11" t="str">
        <f>"200910000261"</f>
        <v>200910000261</v>
      </c>
    </row>
    <row r="34428" spans="1:2" x14ac:dyDescent="0.25">
      <c r="A34428" s="2">
        <v>34423</v>
      </c>
      <c r="B34428" s="11" t="str">
        <f>"200910000341"</f>
        <v>200910000341</v>
      </c>
    </row>
    <row r="34429" spans="1:2" x14ac:dyDescent="0.25">
      <c r="A34429" s="2">
        <v>34424</v>
      </c>
      <c r="B34429" s="11" t="str">
        <f>"200910000344"</f>
        <v>200910000344</v>
      </c>
    </row>
    <row r="34430" spans="1:2" x14ac:dyDescent="0.25">
      <c r="A34430" s="2">
        <v>34425</v>
      </c>
      <c r="B34430" s="11" t="str">
        <f>"200910000402"</f>
        <v>200910000402</v>
      </c>
    </row>
    <row r="34431" spans="1:2" x14ac:dyDescent="0.25">
      <c r="A34431" s="2">
        <v>34426</v>
      </c>
      <c r="B34431" s="11" t="str">
        <f>"200910000409"</f>
        <v>200910000409</v>
      </c>
    </row>
    <row r="34432" spans="1:2" x14ac:dyDescent="0.25">
      <c r="A34432" s="2">
        <v>34427</v>
      </c>
      <c r="B34432" s="11" t="str">
        <f>"200910000449"</f>
        <v>200910000449</v>
      </c>
    </row>
    <row r="34433" spans="1:2" x14ac:dyDescent="0.25">
      <c r="A34433" s="2">
        <v>34428</v>
      </c>
      <c r="B34433" s="11" t="str">
        <f>"200910000480"</f>
        <v>200910000480</v>
      </c>
    </row>
    <row r="34434" spans="1:2" x14ac:dyDescent="0.25">
      <c r="A34434" s="2">
        <v>34429</v>
      </c>
      <c r="B34434" s="11" t="str">
        <f>"200910000523"</f>
        <v>200910000523</v>
      </c>
    </row>
    <row r="34435" spans="1:2" x14ac:dyDescent="0.25">
      <c r="A34435" s="2">
        <v>34430</v>
      </c>
      <c r="B34435" s="11" t="str">
        <f>"200910000544"</f>
        <v>200910000544</v>
      </c>
    </row>
    <row r="34436" spans="1:2" x14ac:dyDescent="0.25">
      <c r="A34436" s="2">
        <v>34431</v>
      </c>
      <c r="B34436" s="11" t="str">
        <f>"200910000625"</f>
        <v>200910000625</v>
      </c>
    </row>
    <row r="34437" spans="1:2" x14ac:dyDescent="0.25">
      <c r="A34437" s="2">
        <v>34432</v>
      </c>
      <c r="B34437" s="11" t="str">
        <f>"200910000638"</f>
        <v>200910000638</v>
      </c>
    </row>
    <row r="34438" spans="1:2" x14ac:dyDescent="0.25">
      <c r="A34438" s="2">
        <v>34433</v>
      </c>
      <c r="B34438" s="11" t="str">
        <f>"200910000692"</f>
        <v>200910000692</v>
      </c>
    </row>
    <row r="34439" spans="1:2" x14ac:dyDescent="0.25">
      <c r="A34439" s="2">
        <v>34434</v>
      </c>
      <c r="B34439" s="11" t="str">
        <f>"200910000707"</f>
        <v>200910000707</v>
      </c>
    </row>
    <row r="34440" spans="1:2" x14ac:dyDescent="0.25">
      <c r="A34440" s="2">
        <v>34435</v>
      </c>
      <c r="B34440" s="11" t="str">
        <f>"200910000781"</f>
        <v>200910000781</v>
      </c>
    </row>
    <row r="34441" spans="1:2" x14ac:dyDescent="0.25">
      <c r="A34441" s="2">
        <v>34436</v>
      </c>
      <c r="B34441" s="11" t="str">
        <f>"200910000793"</f>
        <v>200910000793</v>
      </c>
    </row>
    <row r="34442" spans="1:2" x14ac:dyDescent="0.25">
      <c r="A34442" s="2">
        <v>34437</v>
      </c>
      <c r="B34442" s="11" t="str">
        <f>"200910000852"</f>
        <v>200910000852</v>
      </c>
    </row>
    <row r="34443" spans="1:2" x14ac:dyDescent="0.25">
      <c r="A34443" s="2">
        <v>34438</v>
      </c>
      <c r="B34443" s="11" t="str">
        <f>"200911000017"</f>
        <v>200911000017</v>
      </c>
    </row>
    <row r="34444" spans="1:2" x14ac:dyDescent="0.25">
      <c r="A34444" s="2">
        <v>34439</v>
      </c>
      <c r="B34444" s="11" t="str">
        <f>"200911000062"</f>
        <v>200911000062</v>
      </c>
    </row>
    <row r="34445" spans="1:2" x14ac:dyDescent="0.25">
      <c r="A34445" s="2">
        <v>34440</v>
      </c>
      <c r="B34445" s="11" t="str">
        <f>"200911000066"</f>
        <v>200911000066</v>
      </c>
    </row>
    <row r="34446" spans="1:2" x14ac:dyDescent="0.25">
      <c r="A34446" s="2">
        <v>34441</v>
      </c>
      <c r="B34446" s="11" t="str">
        <f>"200911000092"</f>
        <v>200911000092</v>
      </c>
    </row>
    <row r="34447" spans="1:2" x14ac:dyDescent="0.25">
      <c r="A34447" s="2">
        <v>34442</v>
      </c>
      <c r="B34447" s="11" t="str">
        <f>"200911000121"</f>
        <v>200911000121</v>
      </c>
    </row>
    <row r="34448" spans="1:2" x14ac:dyDescent="0.25">
      <c r="A34448" s="2">
        <v>34443</v>
      </c>
      <c r="B34448" s="11" t="str">
        <f>"200911000160"</f>
        <v>200911000160</v>
      </c>
    </row>
    <row r="34449" spans="1:2" x14ac:dyDescent="0.25">
      <c r="A34449" s="2">
        <v>34444</v>
      </c>
      <c r="B34449" s="11" t="str">
        <f>"200911000171"</f>
        <v>200911000171</v>
      </c>
    </row>
    <row r="34450" spans="1:2" x14ac:dyDescent="0.25">
      <c r="A34450" s="2">
        <v>34445</v>
      </c>
      <c r="B34450" s="11" t="str">
        <f>"200911000248"</f>
        <v>200911000248</v>
      </c>
    </row>
    <row r="34451" spans="1:2" x14ac:dyDescent="0.25">
      <c r="A34451" s="2">
        <v>34446</v>
      </c>
      <c r="B34451" s="11" t="str">
        <f>"200911000368"</f>
        <v>200911000368</v>
      </c>
    </row>
    <row r="34452" spans="1:2" x14ac:dyDescent="0.25">
      <c r="A34452" s="2">
        <v>34447</v>
      </c>
      <c r="B34452" s="11" t="str">
        <f>"200911000423"</f>
        <v>200911000423</v>
      </c>
    </row>
    <row r="34453" spans="1:2" x14ac:dyDescent="0.25">
      <c r="A34453" s="2">
        <v>34448</v>
      </c>
      <c r="B34453" s="11" t="str">
        <f>"200911000425"</f>
        <v>200911000425</v>
      </c>
    </row>
    <row r="34454" spans="1:2" x14ac:dyDescent="0.25">
      <c r="A34454" s="2">
        <v>34449</v>
      </c>
      <c r="B34454" s="11" t="str">
        <f>"200911000472"</f>
        <v>200911000472</v>
      </c>
    </row>
    <row r="34455" spans="1:2" x14ac:dyDescent="0.25">
      <c r="A34455" s="2">
        <v>34450</v>
      </c>
      <c r="B34455" s="11" t="str">
        <f>"200911000515"</f>
        <v>200911000515</v>
      </c>
    </row>
    <row r="34456" spans="1:2" x14ac:dyDescent="0.25">
      <c r="A34456" s="2">
        <v>34451</v>
      </c>
      <c r="B34456" s="11" t="str">
        <f>"200912000020"</f>
        <v>200912000020</v>
      </c>
    </row>
    <row r="34457" spans="1:2" x14ac:dyDescent="0.25">
      <c r="A34457" s="2">
        <v>34452</v>
      </c>
      <c r="B34457" s="11" t="str">
        <f>"200912000227"</f>
        <v>200912000227</v>
      </c>
    </row>
    <row r="34458" spans="1:2" x14ac:dyDescent="0.25">
      <c r="A34458" s="2">
        <v>34453</v>
      </c>
      <c r="B34458" s="11" t="str">
        <f>"200912000337"</f>
        <v>200912000337</v>
      </c>
    </row>
    <row r="34459" spans="1:2" x14ac:dyDescent="0.25">
      <c r="A34459" s="2">
        <v>34454</v>
      </c>
      <c r="B34459" s="11" t="str">
        <f>"201001000084"</f>
        <v>201001000084</v>
      </c>
    </row>
    <row r="34460" spans="1:2" x14ac:dyDescent="0.25">
      <c r="A34460" s="2">
        <v>34455</v>
      </c>
      <c r="B34460" s="11" t="str">
        <f>"201001000165"</f>
        <v>201001000165</v>
      </c>
    </row>
    <row r="34461" spans="1:2" x14ac:dyDescent="0.25">
      <c r="A34461" s="2">
        <v>34456</v>
      </c>
      <c r="B34461" s="11" t="str">
        <f>"201001000173"</f>
        <v>201001000173</v>
      </c>
    </row>
    <row r="34462" spans="1:2" x14ac:dyDescent="0.25">
      <c r="A34462" s="2">
        <v>34457</v>
      </c>
      <c r="B34462" s="11" t="str">
        <f>"201001000212"</f>
        <v>201001000212</v>
      </c>
    </row>
    <row r="34463" spans="1:2" x14ac:dyDescent="0.25">
      <c r="A34463" s="2">
        <v>34458</v>
      </c>
      <c r="B34463" s="11" t="str">
        <f>"201001000310"</f>
        <v>201001000310</v>
      </c>
    </row>
    <row r="34464" spans="1:2" x14ac:dyDescent="0.25">
      <c r="A34464" s="2">
        <v>34459</v>
      </c>
      <c r="B34464" s="11" t="str">
        <f>"201001000332"</f>
        <v>201001000332</v>
      </c>
    </row>
    <row r="34465" spans="1:2" x14ac:dyDescent="0.25">
      <c r="A34465" s="2">
        <v>34460</v>
      </c>
      <c r="B34465" s="11" t="str">
        <f>"201001000391"</f>
        <v>201001000391</v>
      </c>
    </row>
    <row r="34466" spans="1:2" x14ac:dyDescent="0.25">
      <c r="A34466" s="2">
        <v>34461</v>
      </c>
      <c r="B34466" s="11" t="str">
        <f>"201001000434"</f>
        <v>201001000434</v>
      </c>
    </row>
    <row r="34467" spans="1:2" x14ac:dyDescent="0.25">
      <c r="A34467" s="2">
        <v>34462</v>
      </c>
      <c r="B34467" s="11" t="str">
        <f>"201001000453"</f>
        <v>201001000453</v>
      </c>
    </row>
    <row r="34468" spans="1:2" x14ac:dyDescent="0.25">
      <c r="A34468" s="2">
        <v>34463</v>
      </c>
      <c r="B34468" s="11" t="str">
        <f>"201001000482"</f>
        <v>201001000482</v>
      </c>
    </row>
    <row r="34469" spans="1:2" x14ac:dyDescent="0.25">
      <c r="A34469" s="2">
        <v>34464</v>
      </c>
      <c r="B34469" s="11" t="str">
        <f>"201001000514"</f>
        <v>201001000514</v>
      </c>
    </row>
    <row r="34470" spans="1:2" x14ac:dyDescent="0.25">
      <c r="A34470" s="2">
        <v>34465</v>
      </c>
      <c r="B34470" s="11" t="str">
        <f>"201001000526"</f>
        <v>201001000526</v>
      </c>
    </row>
    <row r="34471" spans="1:2" x14ac:dyDescent="0.25">
      <c r="A34471" s="2">
        <v>34466</v>
      </c>
      <c r="B34471" s="11" t="str">
        <f>"201002000018"</f>
        <v>201002000018</v>
      </c>
    </row>
    <row r="34472" spans="1:2" x14ac:dyDescent="0.25">
      <c r="A34472" s="2">
        <v>34467</v>
      </c>
      <c r="B34472" s="11" t="str">
        <f>"201002000020"</f>
        <v>201002000020</v>
      </c>
    </row>
    <row r="34473" spans="1:2" x14ac:dyDescent="0.25">
      <c r="A34473" s="2">
        <v>34468</v>
      </c>
      <c r="B34473" s="11" t="str">
        <f>"201002000040"</f>
        <v>201002000040</v>
      </c>
    </row>
    <row r="34474" spans="1:2" x14ac:dyDescent="0.25">
      <c r="A34474" s="2">
        <v>34469</v>
      </c>
      <c r="B34474" s="11" t="str">
        <f>"201002000044"</f>
        <v>201002000044</v>
      </c>
    </row>
    <row r="34475" spans="1:2" x14ac:dyDescent="0.25">
      <c r="A34475" s="2">
        <v>34470</v>
      </c>
      <c r="B34475" s="11" t="str">
        <f>"201002000065"</f>
        <v>201002000065</v>
      </c>
    </row>
    <row r="34476" spans="1:2" x14ac:dyDescent="0.25">
      <c r="A34476" s="2">
        <v>34471</v>
      </c>
      <c r="B34476" s="11" t="str">
        <f>"201002000078"</f>
        <v>201002000078</v>
      </c>
    </row>
    <row r="34477" spans="1:2" x14ac:dyDescent="0.25">
      <c r="A34477" s="2">
        <v>34472</v>
      </c>
      <c r="B34477" s="11" t="str">
        <f>"201002000169"</f>
        <v>201002000169</v>
      </c>
    </row>
    <row r="34478" spans="1:2" x14ac:dyDescent="0.25">
      <c r="A34478" s="2">
        <v>34473</v>
      </c>
      <c r="B34478" s="11" t="str">
        <f>"201002000172"</f>
        <v>201002000172</v>
      </c>
    </row>
    <row r="34479" spans="1:2" x14ac:dyDescent="0.25">
      <c r="A34479" s="2">
        <v>34474</v>
      </c>
      <c r="B34479" s="11" t="str">
        <f>"201002000182"</f>
        <v>201002000182</v>
      </c>
    </row>
    <row r="34480" spans="1:2" x14ac:dyDescent="0.25">
      <c r="A34480" s="2">
        <v>34475</v>
      </c>
      <c r="B34480" s="11" t="str">
        <f>"201002000217"</f>
        <v>201002000217</v>
      </c>
    </row>
    <row r="34481" spans="1:2" x14ac:dyDescent="0.25">
      <c r="A34481" s="2">
        <v>34476</v>
      </c>
      <c r="B34481" s="11" t="str">
        <f>"201002000241"</f>
        <v>201002000241</v>
      </c>
    </row>
    <row r="34482" spans="1:2" x14ac:dyDescent="0.25">
      <c r="A34482" s="2">
        <v>34477</v>
      </c>
      <c r="B34482" s="11" t="str">
        <f>"201002000270"</f>
        <v>201002000270</v>
      </c>
    </row>
    <row r="34483" spans="1:2" x14ac:dyDescent="0.25">
      <c r="A34483" s="2">
        <v>34478</v>
      </c>
      <c r="B34483" s="11" t="str">
        <f>"201002000301"</f>
        <v>201002000301</v>
      </c>
    </row>
    <row r="34484" spans="1:2" x14ac:dyDescent="0.25">
      <c r="A34484" s="2">
        <v>34479</v>
      </c>
      <c r="B34484" s="11" t="str">
        <f>"201002000308"</f>
        <v>201002000308</v>
      </c>
    </row>
    <row r="34485" spans="1:2" x14ac:dyDescent="0.25">
      <c r="A34485" s="2">
        <v>34480</v>
      </c>
      <c r="B34485" s="11" t="str">
        <f>"201002000391"</f>
        <v>201002000391</v>
      </c>
    </row>
    <row r="34486" spans="1:2" x14ac:dyDescent="0.25">
      <c r="A34486" s="2">
        <v>34481</v>
      </c>
      <c r="B34486" s="11" t="str">
        <f>"201002000395"</f>
        <v>201002000395</v>
      </c>
    </row>
    <row r="34487" spans="1:2" x14ac:dyDescent="0.25">
      <c r="A34487" s="2">
        <v>34482</v>
      </c>
      <c r="B34487" s="11" t="str">
        <f>"201002000428"</f>
        <v>201002000428</v>
      </c>
    </row>
    <row r="34488" spans="1:2" x14ac:dyDescent="0.25">
      <c r="A34488" s="2">
        <v>34483</v>
      </c>
      <c r="B34488" s="11" t="str">
        <f>"201003000041"</f>
        <v>201003000041</v>
      </c>
    </row>
    <row r="34489" spans="1:2" x14ac:dyDescent="0.25">
      <c r="A34489" s="2">
        <v>34484</v>
      </c>
      <c r="B34489" s="11" t="str">
        <f>"201003000043"</f>
        <v>201003000043</v>
      </c>
    </row>
    <row r="34490" spans="1:2" x14ac:dyDescent="0.25">
      <c r="A34490" s="2">
        <v>34485</v>
      </c>
      <c r="B34490" s="11" t="str">
        <f>"201003000083"</f>
        <v>201003000083</v>
      </c>
    </row>
    <row r="34491" spans="1:2" x14ac:dyDescent="0.25">
      <c r="A34491" s="2">
        <v>34486</v>
      </c>
      <c r="B34491" s="11" t="str">
        <f>"201003000087"</f>
        <v>201003000087</v>
      </c>
    </row>
    <row r="34492" spans="1:2" x14ac:dyDescent="0.25">
      <c r="A34492" s="2">
        <v>34487</v>
      </c>
      <c r="B34492" s="11" t="str">
        <f>"201003000156"</f>
        <v>201003000156</v>
      </c>
    </row>
    <row r="34493" spans="1:2" x14ac:dyDescent="0.25">
      <c r="A34493" s="2">
        <v>34488</v>
      </c>
      <c r="B34493" s="11" t="str">
        <f>"201003000160"</f>
        <v>201003000160</v>
      </c>
    </row>
    <row r="34494" spans="1:2" x14ac:dyDescent="0.25">
      <c r="A34494" s="2">
        <v>34489</v>
      </c>
      <c r="B34494" s="11" t="str">
        <f>"201003000231"</f>
        <v>201003000231</v>
      </c>
    </row>
    <row r="34495" spans="1:2" x14ac:dyDescent="0.25">
      <c r="A34495" s="2">
        <v>34490</v>
      </c>
      <c r="B34495" s="11" t="str">
        <f>"201004000077"</f>
        <v>201004000077</v>
      </c>
    </row>
    <row r="34496" spans="1:2" x14ac:dyDescent="0.25">
      <c r="A34496" s="2">
        <v>34491</v>
      </c>
      <c r="B34496" s="11" t="str">
        <f>"201004000169"</f>
        <v>201004000169</v>
      </c>
    </row>
    <row r="34497" spans="1:2" x14ac:dyDescent="0.25">
      <c r="A34497" s="2">
        <v>34492</v>
      </c>
      <c r="B34497" s="11" t="str">
        <f>"201005000007"</f>
        <v>201005000007</v>
      </c>
    </row>
    <row r="34498" spans="1:2" x14ac:dyDescent="0.25">
      <c r="A34498" s="2">
        <v>34493</v>
      </c>
      <c r="B34498" s="11" t="str">
        <f>"201005000025"</f>
        <v>201005000025</v>
      </c>
    </row>
    <row r="34499" spans="1:2" x14ac:dyDescent="0.25">
      <c r="A34499" s="2">
        <v>34494</v>
      </c>
      <c r="B34499" s="11" t="str">
        <f>"201005000057"</f>
        <v>201005000057</v>
      </c>
    </row>
    <row r="34500" spans="1:2" x14ac:dyDescent="0.25">
      <c r="A34500" s="2">
        <v>34495</v>
      </c>
      <c r="B34500" s="11" t="str">
        <f>"201006000033"</f>
        <v>201006000033</v>
      </c>
    </row>
    <row r="34501" spans="1:2" x14ac:dyDescent="0.25">
      <c r="A34501" s="2">
        <v>34496</v>
      </c>
      <c r="B34501" s="11" t="str">
        <f>"201006000128"</f>
        <v>201006000128</v>
      </c>
    </row>
    <row r="34502" spans="1:2" x14ac:dyDescent="0.25">
      <c r="A34502" s="2">
        <v>34497</v>
      </c>
      <c r="B34502" s="11" t="str">
        <f>"201006000137"</f>
        <v>201006000137</v>
      </c>
    </row>
    <row r="34503" spans="1:2" x14ac:dyDescent="0.25">
      <c r="A34503" s="2">
        <v>34498</v>
      </c>
      <c r="B34503" s="11" t="str">
        <f>"201006000159"</f>
        <v>201006000159</v>
      </c>
    </row>
    <row r="34504" spans="1:2" x14ac:dyDescent="0.25">
      <c r="A34504" s="2">
        <v>34499</v>
      </c>
      <c r="B34504" s="11" t="str">
        <f>"201006000214"</f>
        <v>201006000214</v>
      </c>
    </row>
    <row r="34505" spans="1:2" x14ac:dyDescent="0.25">
      <c r="A34505" s="2">
        <v>34500</v>
      </c>
      <c r="B34505" s="11" t="str">
        <f>"201007000091"</f>
        <v>201007000091</v>
      </c>
    </row>
    <row r="34506" spans="1:2" x14ac:dyDescent="0.25">
      <c r="A34506" s="2">
        <v>34501</v>
      </c>
      <c r="B34506" s="11" t="str">
        <f>"201007000098"</f>
        <v>201007000098</v>
      </c>
    </row>
    <row r="34507" spans="1:2" x14ac:dyDescent="0.25">
      <c r="A34507" s="2">
        <v>34502</v>
      </c>
      <c r="B34507" s="11" t="str">
        <f>"201007000122"</f>
        <v>201007000122</v>
      </c>
    </row>
    <row r="34508" spans="1:2" x14ac:dyDescent="0.25">
      <c r="A34508" s="2">
        <v>34503</v>
      </c>
      <c r="B34508" s="11" t="str">
        <f>"201007000135"</f>
        <v>201007000135</v>
      </c>
    </row>
    <row r="34509" spans="1:2" x14ac:dyDescent="0.25">
      <c r="A34509" s="2">
        <v>34504</v>
      </c>
      <c r="B34509" s="11" t="str">
        <f>"201007000148"</f>
        <v>201007000148</v>
      </c>
    </row>
    <row r="34510" spans="1:2" x14ac:dyDescent="0.25">
      <c r="A34510" s="2">
        <v>34505</v>
      </c>
      <c r="B34510" s="11" t="str">
        <f>"201007000151"</f>
        <v>201007000151</v>
      </c>
    </row>
    <row r="34511" spans="1:2" x14ac:dyDescent="0.25">
      <c r="A34511" s="2">
        <v>34506</v>
      </c>
      <c r="B34511" s="11" t="str">
        <f>"201007000172"</f>
        <v>201007000172</v>
      </c>
    </row>
    <row r="34512" spans="1:2" x14ac:dyDescent="0.25">
      <c r="A34512" s="2">
        <v>34507</v>
      </c>
      <c r="B34512" s="11" t="str">
        <f>"201008000077"</f>
        <v>201008000077</v>
      </c>
    </row>
    <row r="34513" spans="1:2" x14ac:dyDescent="0.25">
      <c r="A34513" s="2">
        <v>34508</v>
      </c>
      <c r="B34513" s="11" t="str">
        <f>"201008000128"</f>
        <v>201008000128</v>
      </c>
    </row>
    <row r="34514" spans="1:2" x14ac:dyDescent="0.25">
      <c r="A34514" s="2">
        <v>34509</v>
      </c>
      <c r="B34514" s="11" t="str">
        <f>"201008000130"</f>
        <v>201008000130</v>
      </c>
    </row>
    <row r="34515" spans="1:2" x14ac:dyDescent="0.25">
      <c r="A34515" s="2">
        <v>34510</v>
      </c>
      <c r="B34515" s="11" t="str">
        <f>"201008000148"</f>
        <v>201008000148</v>
      </c>
    </row>
    <row r="34516" spans="1:2" x14ac:dyDescent="0.25">
      <c r="A34516" s="2">
        <v>34511</v>
      </c>
      <c r="B34516" s="11" t="str">
        <f>"201008000157"</f>
        <v>201008000157</v>
      </c>
    </row>
    <row r="34517" spans="1:2" x14ac:dyDescent="0.25">
      <c r="A34517" s="2">
        <v>34512</v>
      </c>
      <c r="B34517" s="11" t="str">
        <f>"201009000040"</f>
        <v>201009000040</v>
      </c>
    </row>
    <row r="34518" spans="1:2" x14ac:dyDescent="0.25">
      <c r="A34518" s="2">
        <v>34513</v>
      </c>
      <c r="B34518" s="11" t="str">
        <f>"201009000123"</f>
        <v>201009000123</v>
      </c>
    </row>
    <row r="34519" spans="1:2" x14ac:dyDescent="0.25">
      <c r="A34519" s="2">
        <v>34514</v>
      </c>
      <c r="B34519" s="11" t="str">
        <f>"201009000153"</f>
        <v>201009000153</v>
      </c>
    </row>
    <row r="34520" spans="1:2" x14ac:dyDescent="0.25">
      <c r="A34520" s="2">
        <v>34515</v>
      </c>
      <c r="B34520" s="11" t="str">
        <f>"201009000200"</f>
        <v>201009000200</v>
      </c>
    </row>
    <row r="34521" spans="1:2" x14ac:dyDescent="0.25">
      <c r="A34521" s="2">
        <v>34516</v>
      </c>
      <c r="B34521" s="11" t="str">
        <f>"201010000012"</f>
        <v>201010000012</v>
      </c>
    </row>
    <row r="34522" spans="1:2" x14ac:dyDescent="0.25">
      <c r="A34522" s="2">
        <v>34517</v>
      </c>
      <c r="B34522" s="11" t="str">
        <f>"201010000022"</f>
        <v>201010000022</v>
      </c>
    </row>
    <row r="34523" spans="1:2" x14ac:dyDescent="0.25">
      <c r="A34523" s="2">
        <v>34518</v>
      </c>
      <c r="B34523" s="11" t="str">
        <f>"201010000052"</f>
        <v>201010000052</v>
      </c>
    </row>
    <row r="34524" spans="1:2" x14ac:dyDescent="0.25">
      <c r="A34524" s="2">
        <v>34519</v>
      </c>
      <c r="B34524" s="11" t="str">
        <f>"201010000123"</f>
        <v>201010000123</v>
      </c>
    </row>
    <row r="34525" spans="1:2" x14ac:dyDescent="0.25">
      <c r="A34525" s="2">
        <v>34520</v>
      </c>
      <c r="B34525" s="11" t="str">
        <f>"201010000133"</f>
        <v>201010000133</v>
      </c>
    </row>
    <row r="34526" spans="1:2" x14ac:dyDescent="0.25">
      <c r="A34526" s="2">
        <v>34521</v>
      </c>
      <c r="B34526" s="11" t="str">
        <f>"201011000001"</f>
        <v>201011000001</v>
      </c>
    </row>
    <row r="34527" spans="1:2" x14ac:dyDescent="0.25">
      <c r="A34527" s="2">
        <v>34522</v>
      </c>
      <c r="B34527" s="11" t="str">
        <f>"201011000040"</f>
        <v>201011000040</v>
      </c>
    </row>
    <row r="34528" spans="1:2" x14ac:dyDescent="0.25">
      <c r="A34528" s="2">
        <v>34523</v>
      </c>
      <c r="B34528" s="11" t="str">
        <f>"201011000053"</f>
        <v>201011000053</v>
      </c>
    </row>
    <row r="34529" spans="1:2" x14ac:dyDescent="0.25">
      <c r="A34529" s="2">
        <v>34524</v>
      </c>
      <c r="B34529" s="11" t="str">
        <f>"201011000055"</f>
        <v>201011000055</v>
      </c>
    </row>
    <row r="34530" spans="1:2" x14ac:dyDescent="0.25">
      <c r="A34530" s="2">
        <v>34525</v>
      </c>
      <c r="B34530" s="11" t="str">
        <f>"201011000104"</f>
        <v>201011000104</v>
      </c>
    </row>
    <row r="34531" spans="1:2" x14ac:dyDescent="0.25">
      <c r="A34531" s="2">
        <v>34526</v>
      </c>
      <c r="B34531" s="11" t="str">
        <f>"201011000137"</f>
        <v>201011000137</v>
      </c>
    </row>
    <row r="34532" spans="1:2" x14ac:dyDescent="0.25">
      <c r="A34532" s="2">
        <v>34527</v>
      </c>
      <c r="B34532" s="11" t="str">
        <f>"201011000139"</f>
        <v>201011000139</v>
      </c>
    </row>
    <row r="34533" spans="1:2" x14ac:dyDescent="0.25">
      <c r="A34533" s="2">
        <v>34528</v>
      </c>
      <c r="B34533" s="11" t="str">
        <f>"201012000027"</f>
        <v>201012000027</v>
      </c>
    </row>
    <row r="34534" spans="1:2" x14ac:dyDescent="0.25">
      <c r="A34534" s="2">
        <v>34529</v>
      </c>
      <c r="B34534" s="11" t="str">
        <f>"201012000199"</f>
        <v>201012000199</v>
      </c>
    </row>
    <row r="34535" spans="1:2" x14ac:dyDescent="0.25">
      <c r="A34535" s="2">
        <v>34530</v>
      </c>
      <c r="B34535" s="11" t="str">
        <f>"201101000001"</f>
        <v>201101000001</v>
      </c>
    </row>
    <row r="34536" spans="1:2" x14ac:dyDescent="0.25">
      <c r="A34536" s="2">
        <v>34531</v>
      </c>
      <c r="B34536" s="11" t="str">
        <f>"201101000028"</f>
        <v>201101000028</v>
      </c>
    </row>
    <row r="34537" spans="1:2" x14ac:dyDescent="0.25">
      <c r="A34537" s="2">
        <v>34532</v>
      </c>
      <c r="B34537" s="11" t="str">
        <f>"201101000054"</f>
        <v>201101000054</v>
      </c>
    </row>
    <row r="34538" spans="1:2" x14ac:dyDescent="0.25">
      <c r="A34538" s="2">
        <v>34533</v>
      </c>
      <c r="B34538" s="11" t="str">
        <f>"201101000093"</f>
        <v>201101000093</v>
      </c>
    </row>
    <row r="34539" spans="1:2" x14ac:dyDescent="0.25">
      <c r="A34539" s="2">
        <v>34534</v>
      </c>
      <c r="B34539" s="11" t="str">
        <f>"201101000226"</f>
        <v>201101000226</v>
      </c>
    </row>
    <row r="34540" spans="1:2" x14ac:dyDescent="0.25">
      <c r="A34540" s="2">
        <v>34535</v>
      </c>
      <c r="B34540" s="11" t="str">
        <f>"201101000241"</f>
        <v>201101000241</v>
      </c>
    </row>
    <row r="34541" spans="1:2" x14ac:dyDescent="0.25">
      <c r="A34541" s="2">
        <v>34536</v>
      </c>
      <c r="B34541" s="11" t="str">
        <f>"201101000251"</f>
        <v>201101000251</v>
      </c>
    </row>
    <row r="34542" spans="1:2" x14ac:dyDescent="0.25">
      <c r="A34542" s="2">
        <v>34537</v>
      </c>
      <c r="B34542" s="11" t="str">
        <f>"201101000303"</f>
        <v>201101000303</v>
      </c>
    </row>
    <row r="34543" spans="1:2" x14ac:dyDescent="0.25">
      <c r="A34543" s="2">
        <v>34538</v>
      </c>
      <c r="B34543" s="11" t="str">
        <f>"201102000090"</f>
        <v>201102000090</v>
      </c>
    </row>
    <row r="34544" spans="1:2" x14ac:dyDescent="0.25">
      <c r="A34544" s="2">
        <v>34539</v>
      </c>
      <c r="B34544" s="11" t="str">
        <f>"201102000116"</f>
        <v>201102000116</v>
      </c>
    </row>
    <row r="34545" spans="1:2" x14ac:dyDescent="0.25">
      <c r="A34545" s="2">
        <v>34540</v>
      </c>
      <c r="B34545" s="11" t="str">
        <f>"201102000262"</f>
        <v>201102000262</v>
      </c>
    </row>
    <row r="34546" spans="1:2" x14ac:dyDescent="0.25">
      <c r="A34546" s="2">
        <v>34541</v>
      </c>
      <c r="B34546" s="11" t="str">
        <f>"201102000313"</f>
        <v>201102000313</v>
      </c>
    </row>
    <row r="34547" spans="1:2" x14ac:dyDescent="0.25">
      <c r="A34547" s="2">
        <v>34542</v>
      </c>
      <c r="B34547" s="11" t="str">
        <f>"201102000413"</f>
        <v>201102000413</v>
      </c>
    </row>
    <row r="34548" spans="1:2" x14ac:dyDescent="0.25">
      <c r="A34548" s="2">
        <v>34543</v>
      </c>
      <c r="B34548" s="11" t="str">
        <f>"201102000421"</f>
        <v>201102000421</v>
      </c>
    </row>
    <row r="34549" spans="1:2" x14ac:dyDescent="0.25">
      <c r="A34549" s="2">
        <v>34544</v>
      </c>
      <c r="B34549" s="11" t="str">
        <f>"201102000426"</f>
        <v>201102000426</v>
      </c>
    </row>
    <row r="34550" spans="1:2" x14ac:dyDescent="0.25">
      <c r="A34550" s="2">
        <v>34545</v>
      </c>
      <c r="B34550" s="11" t="str">
        <f>"201102000453"</f>
        <v>201102000453</v>
      </c>
    </row>
    <row r="34551" spans="1:2" x14ac:dyDescent="0.25">
      <c r="A34551" s="2">
        <v>34546</v>
      </c>
      <c r="B34551" s="11" t="str">
        <f>"201102000846"</f>
        <v>201102000846</v>
      </c>
    </row>
    <row r="34552" spans="1:2" x14ac:dyDescent="0.25">
      <c r="A34552" s="2">
        <v>34547</v>
      </c>
      <c r="B34552" s="11" t="str">
        <f>"201102000971"</f>
        <v>201102000971</v>
      </c>
    </row>
    <row r="34553" spans="1:2" x14ac:dyDescent="0.25">
      <c r="A34553" s="2">
        <v>34548</v>
      </c>
      <c r="B34553" s="11" t="str">
        <f>"201102000993"</f>
        <v>201102000993</v>
      </c>
    </row>
    <row r="34554" spans="1:2" x14ac:dyDescent="0.25">
      <c r="A34554" s="2">
        <v>34549</v>
      </c>
      <c r="B34554" s="11" t="str">
        <f>"201102001072"</f>
        <v>201102001072</v>
      </c>
    </row>
    <row r="34555" spans="1:2" x14ac:dyDescent="0.25">
      <c r="A34555" s="2">
        <v>34550</v>
      </c>
      <c r="B34555" s="11" t="str">
        <f>"201103000104"</f>
        <v>201103000104</v>
      </c>
    </row>
    <row r="34556" spans="1:2" x14ac:dyDescent="0.25">
      <c r="A34556" s="2">
        <v>34551</v>
      </c>
      <c r="B34556" s="11" t="str">
        <f>"201103000127"</f>
        <v>201103000127</v>
      </c>
    </row>
    <row r="34557" spans="1:2" x14ac:dyDescent="0.25">
      <c r="A34557" s="2">
        <v>34552</v>
      </c>
      <c r="B34557" s="11" t="str">
        <f>"201103000196"</f>
        <v>201103000196</v>
      </c>
    </row>
    <row r="34558" spans="1:2" x14ac:dyDescent="0.25">
      <c r="A34558" s="2">
        <v>34553</v>
      </c>
      <c r="B34558" s="11" t="str">
        <f>"201103000273"</f>
        <v>201103000273</v>
      </c>
    </row>
    <row r="34559" spans="1:2" x14ac:dyDescent="0.25">
      <c r="A34559" s="2">
        <v>34554</v>
      </c>
      <c r="B34559" s="11" t="str">
        <f>"201103000283"</f>
        <v>201103000283</v>
      </c>
    </row>
    <row r="34560" spans="1:2" x14ac:dyDescent="0.25">
      <c r="A34560" s="2">
        <v>34555</v>
      </c>
      <c r="B34560" s="11" t="str">
        <f>"201103000294"</f>
        <v>201103000294</v>
      </c>
    </row>
    <row r="34561" spans="1:2" x14ac:dyDescent="0.25">
      <c r="A34561" s="2">
        <v>34556</v>
      </c>
      <c r="B34561" s="11" t="str">
        <f>"201103000317"</f>
        <v>201103000317</v>
      </c>
    </row>
    <row r="34562" spans="1:2" x14ac:dyDescent="0.25">
      <c r="A34562" s="2">
        <v>34557</v>
      </c>
      <c r="B34562" s="11" t="str">
        <f>"201103000405"</f>
        <v>201103000405</v>
      </c>
    </row>
    <row r="34563" spans="1:2" x14ac:dyDescent="0.25">
      <c r="A34563" s="2">
        <v>34558</v>
      </c>
      <c r="B34563" s="11" t="str">
        <f>"201103000407"</f>
        <v>201103000407</v>
      </c>
    </row>
    <row r="34564" spans="1:2" x14ac:dyDescent="0.25">
      <c r="A34564" s="2">
        <v>34559</v>
      </c>
      <c r="B34564" s="11" t="str">
        <f>"201103000428"</f>
        <v>201103000428</v>
      </c>
    </row>
    <row r="34565" spans="1:2" x14ac:dyDescent="0.25">
      <c r="A34565" s="2">
        <v>34560</v>
      </c>
      <c r="B34565" s="11" t="str">
        <f>"201104000019"</f>
        <v>201104000019</v>
      </c>
    </row>
    <row r="34566" spans="1:2" x14ac:dyDescent="0.25">
      <c r="A34566" s="2">
        <v>34561</v>
      </c>
      <c r="B34566" s="11" t="str">
        <f>"201104000020"</f>
        <v>201104000020</v>
      </c>
    </row>
    <row r="34567" spans="1:2" x14ac:dyDescent="0.25">
      <c r="A34567" s="2">
        <v>34562</v>
      </c>
      <c r="B34567" s="11" t="str">
        <f>"201104000055"</f>
        <v>201104000055</v>
      </c>
    </row>
    <row r="34568" spans="1:2" x14ac:dyDescent="0.25">
      <c r="A34568" s="2">
        <v>34563</v>
      </c>
      <c r="B34568" s="11" t="str">
        <f>"201104000059"</f>
        <v>201104000059</v>
      </c>
    </row>
    <row r="34569" spans="1:2" x14ac:dyDescent="0.25">
      <c r="A34569" s="2">
        <v>34564</v>
      </c>
      <c r="B34569" s="11" t="str">
        <f>"201104000095"</f>
        <v>201104000095</v>
      </c>
    </row>
    <row r="34570" spans="1:2" x14ac:dyDescent="0.25">
      <c r="A34570" s="2">
        <v>34565</v>
      </c>
      <c r="B34570" s="11" t="str">
        <f>"201104000129"</f>
        <v>201104000129</v>
      </c>
    </row>
    <row r="34571" spans="1:2" x14ac:dyDescent="0.25">
      <c r="A34571" s="2">
        <v>34566</v>
      </c>
      <c r="B34571" s="11" t="str">
        <f>"201104000137"</f>
        <v>201104000137</v>
      </c>
    </row>
    <row r="34572" spans="1:2" x14ac:dyDescent="0.25">
      <c r="A34572" s="2">
        <v>34567</v>
      </c>
      <c r="B34572" s="11" t="str">
        <f>"201105000036"</f>
        <v>201105000036</v>
      </c>
    </row>
    <row r="34573" spans="1:2" x14ac:dyDescent="0.25">
      <c r="A34573" s="2">
        <v>34568</v>
      </c>
      <c r="B34573" s="11" t="str">
        <f>"201105000159"</f>
        <v>201105000159</v>
      </c>
    </row>
    <row r="34574" spans="1:2" x14ac:dyDescent="0.25">
      <c r="A34574" s="2">
        <v>34569</v>
      </c>
      <c r="B34574" s="11" t="str">
        <f>"201105000182"</f>
        <v>201105000182</v>
      </c>
    </row>
    <row r="34575" spans="1:2" x14ac:dyDescent="0.25">
      <c r="A34575" s="2">
        <v>34570</v>
      </c>
      <c r="B34575" s="11" t="str">
        <f>"201106000021"</f>
        <v>201106000021</v>
      </c>
    </row>
    <row r="34576" spans="1:2" x14ac:dyDescent="0.25">
      <c r="A34576" s="2">
        <v>34571</v>
      </c>
      <c r="B34576" s="11" t="str">
        <f>"201106000024"</f>
        <v>201106000024</v>
      </c>
    </row>
    <row r="34577" spans="1:2" x14ac:dyDescent="0.25">
      <c r="A34577" s="2">
        <v>34572</v>
      </c>
      <c r="B34577" s="11" t="str">
        <f>"201106000042"</f>
        <v>201106000042</v>
      </c>
    </row>
    <row r="34578" spans="1:2" x14ac:dyDescent="0.25">
      <c r="A34578" s="2">
        <v>34573</v>
      </c>
      <c r="B34578" s="11" t="str">
        <f>"201106000043"</f>
        <v>201106000043</v>
      </c>
    </row>
    <row r="34579" spans="1:2" x14ac:dyDescent="0.25">
      <c r="A34579" s="2">
        <v>34574</v>
      </c>
      <c r="B34579" s="11" t="str">
        <f>"201106000053"</f>
        <v>201106000053</v>
      </c>
    </row>
    <row r="34580" spans="1:2" x14ac:dyDescent="0.25">
      <c r="A34580" s="2">
        <v>34575</v>
      </c>
      <c r="B34580" s="11" t="str">
        <f>"201106000061"</f>
        <v>201106000061</v>
      </c>
    </row>
    <row r="34581" spans="1:2" x14ac:dyDescent="0.25">
      <c r="A34581" s="2">
        <v>34576</v>
      </c>
      <c r="B34581" s="11" t="str">
        <f>"201106000069"</f>
        <v>201106000069</v>
      </c>
    </row>
    <row r="34582" spans="1:2" x14ac:dyDescent="0.25">
      <c r="A34582" s="2">
        <v>34577</v>
      </c>
      <c r="B34582" s="11" t="str">
        <f>"201107000001"</f>
        <v>201107000001</v>
      </c>
    </row>
    <row r="34583" spans="1:2" x14ac:dyDescent="0.25">
      <c r="A34583" s="2">
        <v>34578</v>
      </c>
      <c r="B34583" s="11" t="str">
        <f>"201107000045"</f>
        <v>201107000045</v>
      </c>
    </row>
    <row r="34584" spans="1:2" x14ac:dyDescent="0.25">
      <c r="A34584" s="2">
        <v>34579</v>
      </c>
      <c r="B34584" s="11" t="str">
        <f>"201107000103"</f>
        <v>201107000103</v>
      </c>
    </row>
    <row r="34585" spans="1:2" x14ac:dyDescent="0.25">
      <c r="A34585" s="2">
        <v>34580</v>
      </c>
      <c r="B34585" s="11" t="str">
        <f>"201108000126"</f>
        <v>201108000126</v>
      </c>
    </row>
    <row r="34586" spans="1:2" x14ac:dyDescent="0.25">
      <c r="A34586" s="2">
        <v>34581</v>
      </c>
      <c r="B34586" s="11" t="str">
        <f>"201109000032"</f>
        <v>201109000032</v>
      </c>
    </row>
    <row r="34587" spans="1:2" x14ac:dyDescent="0.25">
      <c r="A34587" s="2">
        <v>34582</v>
      </c>
      <c r="B34587" s="11" t="str">
        <f>"201109000074"</f>
        <v>201109000074</v>
      </c>
    </row>
    <row r="34588" spans="1:2" x14ac:dyDescent="0.25">
      <c r="A34588" s="2">
        <v>34583</v>
      </c>
      <c r="B34588" s="11" t="str">
        <f>"201109000094"</f>
        <v>201109000094</v>
      </c>
    </row>
    <row r="34589" spans="1:2" x14ac:dyDescent="0.25">
      <c r="A34589" s="2">
        <v>34584</v>
      </c>
      <c r="B34589" s="11" t="str">
        <f>"201109000103"</f>
        <v>201109000103</v>
      </c>
    </row>
    <row r="34590" spans="1:2" x14ac:dyDescent="0.25">
      <c r="A34590" s="2">
        <v>34585</v>
      </c>
      <c r="B34590" s="11" t="str">
        <f>"201109000164"</f>
        <v>201109000164</v>
      </c>
    </row>
    <row r="34591" spans="1:2" x14ac:dyDescent="0.25">
      <c r="A34591" s="2">
        <v>34586</v>
      </c>
      <c r="B34591" s="11" t="str">
        <f>"201110000018"</f>
        <v>201110000018</v>
      </c>
    </row>
    <row r="34592" spans="1:2" x14ac:dyDescent="0.25">
      <c r="A34592" s="2">
        <v>34587</v>
      </c>
      <c r="B34592" s="11" t="str">
        <f>"201110000055"</f>
        <v>201110000055</v>
      </c>
    </row>
    <row r="34593" spans="1:2" x14ac:dyDescent="0.25">
      <c r="A34593" s="2">
        <v>34588</v>
      </c>
      <c r="B34593" s="11" t="str">
        <f>"201110000059"</f>
        <v>201110000059</v>
      </c>
    </row>
    <row r="34594" spans="1:2" x14ac:dyDescent="0.25">
      <c r="A34594" s="2">
        <v>34589</v>
      </c>
      <c r="B34594" s="11" t="str">
        <f>"201110000109"</f>
        <v>201110000109</v>
      </c>
    </row>
    <row r="34595" spans="1:2" x14ac:dyDescent="0.25">
      <c r="A34595" s="2">
        <v>34590</v>
      </c>
      <c r="B34595" s="11" t="str">
        <f>"201111000016"</f>
        <v>201111000016</v>
      </c>
    </row>
    <row r="34596" spans="1:2" x14ac:dyDescent="0.25">
      <c r="A34596" s="2">
        <v>34591</v>
      </c>
      <c r="B34596" s="11" t="str">
        <f>"201111000030"</f>
        <v>201111000030</v>
      </c>
    </row>
    <row r="34597" spans="1:2" x14ac:dyDescent="0.25">
      <c r="A34597" s="2">
        <v>34592</v>
      </c>
      <c r="B34597" s="11" t="str">
        <f>"201112000027"</f>
        <v>201112000027</v>
      </c>
    </row>
    <row r="34598" spans="1:2" x14ac:dyDescent="0.25">
      <c r="A34598" s="2">
        <v>34593</v>
      </c>
      <c r="B34598" s="11" t="str">
        <f>"201112000030"</f>
        <v>201112000030</v>
      </c>
    </row>
    <row r="34599" spans="1:2" x14ac:dyDescent="0.25">
      <c r="A34599" s="2">
        <v>34594</v>
      </c>
      <c r="B34599" s="11" t="str">
        <f>"201112000036"</f>
        <v>201112000036</v>
      </c>
    </row>
    <row r="34600" spans="1:2" x14ac:dyDescent="0.25">
      <c r="A34600" s="2">
        <v>34595</v>
      </c>
      <c r="B34600" s="11" t="str">
        <f>"201112000072"</f>
        <v>201112000072</v>
      </c>
    </row>
    <row r="34601" spans="1:2" x14ac:dyDescent="0.25">
      <c r="A34601" s="2">
        <v>34596</v>
      </c>
      <c r="B34601" s="11" t="str">
        <f>"201201000053"</f>
        <v>201201000053</v>
      </c>
    </row>
    <row r="34602" spans="1:2" x14ac:dyDescent="0.25">
      <c r="A34602" s="2">
        <v>34597</v>
      </c>
      <c r="B34602" s="11" t="str">
        <f>"201201000055"</f>
        <v>201201000055</v>
      </c>
    </row>
    <row r="34603" spans="1:2" x14ac:dyDescent="0.25">
      <c r="A34603" s="2">
        <v>34598</v>
      </c>
      <c r="B34603" s="11" t="str">
        <f>"201201000077"</f>
        <v>201201000077</v>
      </c>
    </row>
    <row r="34604" spans="1:2" x14ac:dyDescent="0.25">
      <c r="A34604" s="2">
        <v>34599</v>
      </c>
      <c r="B34604" s="11" t="str">
        <f>"201202000093"</f>
        <v>201202000093</v>
      </c>
    </row>
    <row r="34605" spans="1:2" x14ac:dyDescent="0.25">
      <c r="A34605" s="2">
        <v>34600</v>
      </c>
      <c r="B34605" s="11" t="str">
        <f>"201202000115"</f>
        <v>201202000115</v>
      </c>
    </row>
    <row r="34606" spans="1:2" x14ac:dyDescent="0.25">
      <c r="A34606" s="2">
        <v>34601</v>
      </c>
      <c r="B34606" s="11" t="str">
        <f>"201203000008"</f>
        <v>201203000008</v>
      </c>
    </row>
    <row r="34607" spans="1:2" x14ac:dyDescent="0.25">
      <c r="A34607" s="2">
        <v>34602</v>
      </c>
      <c r="B34607" s="11" t="str">
        <f>"201203000014"</f>
        <v>201203000014</v>
      </c>
    </row>
    <row r="34608" spans="1:2" x14ac:dyDescent="0.25">
      <c r="A34608" s="2">
        <v>34603</v>
      </c>
      <c r="B34608" s="11" t="str">
        <f>"201203000015"</f>
        <v>201203000015</v>
      </c>
    </row>
    <row r="34609" spans="1:2" x14ac:dyDescent="0.25">
      <c r="A34609" s="2">
        <v>34604</v>
      </c>
      <c r="B34609" s="11" t="str">
        <f>"201203000019"</f>
        <v>201203000019</v>
      </c>
    </row>
    <row r="34610" spans="1:2" x14ac:dyDescent="0.25">
      <c r="A34610" s="2">
        <v>34605</v>
      </c>
      <c r="B34610" s="11" t="str">
        <f>"201203000104"</f>
        <v>201203000104</v>
      </c>
    </row>
    <row r="34611" spans="1:2" x14ac:dyDescent="0.25">
      <c r="A34611" s="2">
        <v>34606</v>
      </c>
      <c r="B34611" s="11" t="str">
        <f>"201203000115"</f>
        <v>201203000115</v>
      </c>
    </row>
    <row r="34612" spans="1:2" x14ac:dyDescent="0.25">
      <c r="A34612" s="2">
        <v>34607</v>
      </c>
      <c r="B34612" s="11" t="str">
        <f>"201205000012"</f>
        <v>201205000012</v>
      </c>
    </row>
    <row r="34613" spans="1:2" x14ac:dyDescent="0.25">
      <c r="A34613" s="2">
        <v>34608</v>
      </c>
      <c r="B34613" s="11" t="str">
        <f>"201205000039"</f>
        <v>201205000039</v>
      </c>
    </row>
    <row r="34614" spans="1:2" x14ac:dyDescent="0.25">
      <c r="A34614" s="2">
        <v>34609</v>
      </c>
      <c r="B34614" s="11" t="str">
        <f>"201206000001"</f>
        <v>201206000001</v>
      </c>
    </row>
    <row r="34615" spans="1:2" x14ac:dyDescent="0.25">
      <c r="A34615" s="2">
        <v>34610</v>
      </c>
      <c r="B34615" s="11" t="str">
        <f>"201206000007"</f>
        <v>201206000007</v>
      </c>
    </row>
    <row r="34616" spans="1:2" x14ac:dyDescent="0.25">
      <c r="A34616" s="2">
        <v>34611</v>
      </c>
      <c r="B34616" s="11" t="str">
        <f>"201206000010"</f>
        <v>201206000010</v>
      </c>
    </row>
    <row r="34617" spans="1:2" x14ac:dyDescent="0.25">
      <c r="A34617" s="2">
        <v>34612</v>
      </c>
      <c r="B34617" s="11" t="str">
        <f>"201206000027"</f>
        <v>201206000027</v>
      </c>
    </row>
    <row r="34618" spans="1:2" x14ac:dyDescent="0.25">
      <c r="A34618" s="2">
        <v>34613</v>
      </c>
      <c r="B34618" s="11" t="str">
        <f>"201206000028"</f>
        <v>201206000028</v>
      </c>
    </row>
    <row r="34619" spans="1:2" x14ac:dyDescent="0.25">
      <c r="A34619" s="2">
        <v>34614</v>
      </c>
      <c r="B34619" s="11" t="str">
        <f>"201206000082"</f>
        <v>201206000082</v>
      </c>
    </row>
    <row r="34620" spans="1:2" x14ac:dyDescent="0.25">
      <c r="A34620" s="2">
        <v>34615</v>
      </c>
      <c r="B34620" s="11" t="str">
        <f>"201206000146"</f>
        <v>201206000146</v>
      </c>
    </row>
    <row r="34621" spans="1:2" x14ac:dyDescent="0.25">
      <c r="A34621" s="2">
        <v>34616</v>
      </c>
      <c r="B34621" s="11" t="str">
        <f>"201207000116"</f>
        <v>201207000116</v>
      </c>
    </row>
    <row r="34622" spans="1:2" x14ac:dyDescent="0.25">
      <c r="A34622" s="2">
        <v>34617</v>
      </c>
      <c r="B34622" s="11" t="str">
        <f>"201207000160"</f>
        <v>201207000160</v>
      </c>
    </row>
    <row r="34623" spans="1:2" x14ac:dyDescent="0.25">
      <c r="A34623" s="2">
        <v>34618</v>
      </c>
      <c r="B34623" s="11" t="str">
        <f>"201207000194"</f>
        <v>201207000194</v>
      </c>
    </row>
    <row r="34624" spans="1:2" x14ac:dyDescent="0.25">
      <c r="A34624" s="2">
        <v>34619</v>
      </c>
      <c r="B34624" s="11" t="str">
        <f>"201208000023"</f>
        <v>201208000023</v>
      </c>
    </row>
    <row r="34625" spans="1:2" x14ac:dyDescent="0.25">
      <c r="A34625" s="2">
        <v>34620</v>
      </c>
      <c r="B34625" s="11" t="str">
        <f>"201208000030"</f>
        <v>201208000030</v>
      </c>
    </row>
    <row r="34626" spans="1:2" x14ac:dyDescent="0.25">
      <c r="A34626" s="2">
        <v>34621</v>
      </c>
      <c r="B34626" s="11" t="str">
        <f>"201208000031"</f>
        <v>201208000031</v>
      </c>
    </row>
    <row r="34627" spans="1:2" x14ac:dyDescent="0.25">
      <c r="A34627" s="2">
        <v>34622</v>
      </c>
      <c r="B34627" s="11" t="str">
        <f>"201208000085"</f>
        <v>201208000085</v>
      </c>
    </row>
    <row r="34628" spans="1:2" x14ac:dyDescent="0.25">
      <c r="A34628" s="2">
        <v>34623</v>
      </c>
      <c r="B34628" s="11" t="str">
        <f>"201208000094"</f>
        <v>201208000094</v>
      </c>
    </row>
    <row r="34629" spans="1:2" x14ac:dyDescent="0.25">
      <c r="A34629" s="2">
        <v>34624</v>
      </c>
      <c r="B34629" s="11" t="str">
        <f>"201209000003"</f>
        <v>201209000003</v>
      </c>
    </row>
    <row r="34630" spans="1:2" x14ac:dyDescent="0.25">
      <c r="A34630" s="2">
        <v>34625</v>
      </c>
      <c r="B34630" s="11" t="str">
        <f>"201209000010"</f>
        <v>201209000010</v>
      </c>
    </row>
    <row r="34631" spans="1:2" x14ac:dyDescent="0.25">
      <c r="A34631" s="2">
        <v>34626</v>
      </c>
      <c r="B34631" s="11" t="str">
        <f>"201209000013"</f>
        <v>201209000013</v>
      </c>
    </row>
    <row r="34632" spans="1:2" x14ac:dyDescent="0.25">
      <c r="A34632" s="2">
        <v>34627</v>
      </c>
      <c r="B34632" s="11" t="str">
        <f>"201209000016"</f>
        <v>201209000016</v>
      </c>
    </row>
    <row r="34633" spans="1:2" x14ac:dyDescent="0.25">
      <c r="A34633" s="2">
        <v>34628</v>
      </c>
      <c r="B34633" s="11" t="str">
        <f>"201209000104"</f>
        <v>201209000104</v>
      </c>
    </row>
    <row r="34634" spans="1:2" x14ac:dyDescent="0.25">
      <c r="A34634" s="2">
        <v>34629</v>
      </c>
      <c r="B34634" s="11" t="str">
        <f>"201209000128"</f>
        <v>201209000128</v>
      </c>
    </row>
    <row r="34635" spans="1:2" x14ac:dyDescent="0.25">
      <c r="A34635" s="2">
        <v>34630</v>
      </c>
      <c r="B34635" s="11" t="str">
        <f>"201210000015"</f>
        <v>201210000015</v>
      </c>
    </row>
    <row r="34636" spans="1:2" x14ac:dyDescent="0.25">
      <c r="A34636" s="2">
        <v>34631</v>
      </c>
      <c r="B34636" s="11" t="str">
        <f>"201210000038"</f>
        <v>201210000038</v>
      </c>
    </row>
    <row r="34637" spans="1:2" x14ac:dyDescent="0.25">
      <c r="A34637" s="2">
        <v>34632</v>
      </c>
      <c r="B34637" s="11" t="str">
        <f>"201210000040"</f>
        <v>201210000040</v>
      </c>
    </row>
    <row r="34638" spans="1:2" x14ac:dyDescent="0.25">
      <c r="A34638" s="2">
        <v>34633</v>
      </c>
      <c r="B34638" s="11" t="str">
        <f>"201210000058"</f>
        <v>201210000058</v>
      </c>
    </row>
    <row r="34639" spans="1:2" x14ac:dyDescent="0.25">
      <c r="A34639" s="2">
        <v>34634</v>
      </c>
      <c r="B34639" s="11" t="str">
        <f>"201210000065"</f>
        <v>201210000065</v>
      </c>
    </row>
    <row r="34640" spans="1:2" x14ac:dyDescent="0.25">
      <c r="A34640" s="2">
        <v>34635</v>
      </c>
      <c r="B34640" s="11" t="str">
        <f>"201210000107"</f>
        <v>201210000107</v>
      </c>
    </row>
    <row r="34641" spans="1:2" x14ac:dyDescent="0.25">
      <c r="A34641" s="2">
        <v>34636</v>
      </c>
      <c r="B34641" s="11" t="str">
        <f>"201210000149"</f>
        <v>201210000149</v>
      </c>
    </row>
    <row r="34642" spans="1:2" x14ac:dyDescent="0.25">
      <c r="A34642" s="2">
        <v>34637</v>
      </c>
      <c r="B34642" s="11" t="str">
        <f>"201210000152"</f>
        <v>201210000152</v>
      </c>
    </row>
    <row r="34643" spans="1:2" x14ac:dyDescent="0.25">
      <c r="A34643" s="2">
        <v>34638</v>
      </c>
      <c r="B34643" s="11" t="str">
        <f>"201211000048"</f>
        <v>201211000048</v>
      </c>
    </row>
    <row r="34644" spans="1:2" x14ac:dyDescent="0.25">
      <c r="A34644" s="2">
        <v>34639</v>
      </c>
      <c r="B34644" s="11" t="str">
        <f>"201211000049"</f>
        <v>201211000049</v>
      </c>
    </row>
    <row r="34645" spans="1:2" x14ac:dyDescent="0.25">
      <c r="A34645" s="2">
        <v>34640</v>
      </c>
      <c r="B34645" s="11" t="str">
        <f>"201211000051"</f>
        <v>201211000051</v>
      </c>
    </row>
    <row r="34646" spans="1:2" x14ac:dyDescent="0.25">
      <c r="A34646" s="2">
        <v>34641</v>
      </c>
      <c r="B34646" s="11" t="str">
        <f>"201211000056"</f>
        <v>201211000056</v>
      </c>
    </row>
    <row r="34647" spans="1:2" x14ac:dyDescent="0.25">
      <c r="A34647" s="2">
        <v>34642</v>
      </c>
      <c r="B34647" s="11" t="str">
        <f>"201211000061"</f>
        <v>201211000061</v>
      </c>
    </row>
    <row r="34648" spans="1:2" x14ac:dyDescent="0.25">
      <c r="A34648" s="2">
        <v>34643</v>
      </c>
      <c r="B34648" s="11" t="str">
        <f>"201211000086"</f>
        <v>201211000086</v>
      </c>
    </row>
    <row r="34649" spans="1:2" x14ac:dyDescent="0.25">
      <c r="A34649" s="2">
        <v>34644</v>
      </c>
      <c r="B34649" s="11" t="str">
        <f>"201212000010"</f>
        <v>201212000010</v>
      </c>
    </row>
    <row r="34650" spans="1:2" x14ac:dyDescent="0.25">
      <c r="A34650" s="2">
        <v>34645</v>
      </c>
      <c r="B34650" s="11" t="str">
        <f>"201212000031"</f>
        <v>201212000031</v>
      </c>
    </row>
    <row r="34651" spans="1:2" x14ac:dyDescent="0.25">
      <c r="A34651" s="2">
        <v>34646</v>
      </c>
      <c r="B34651" s="11" t="str">
        <f>"201212000046"</f>
        <v>201212000046</v>
      </c>
    </row>
    <row r="34652" spans="1:2" x14ac:dyDescent="0.25">
      <c r="A34652" s="2">
        <v>34647</v>
      </c>
      <c r="B34652" s="11" t="str">
        <f>"201212000053"</f>
        <v>201212000053</v>
      </c>
    </row>
    <row r="34653" spans="1:2" x14ac:dyDescent="0.25">
      <c r="A34653" s="2">
        <v>34648</v>
      </c>
      <c r="B34653" s="11" t="str">
        <f>"201212000079"</f>
        <v>201212000079</v>
      </c>
    </row>
    <row r="34654" spans="1:2" x14ac:dyDescent="0.25">
      <c r="A34654" s="2">
        <v>34649</v>
      </c>
      <c r="B34654" s="11" t="str">
        <f>"201301000032"</f>
        <v>201301000032</v>
      </c>
    </row>
    <row r="34655" spans="1:2" x14ac:dyDescent="0.25">
      <c r="A34655" s="2">
        <v>34650</v>
      </c>
      <c r="B34655" s="11" t="str">
        <f>"201301000047"</f>
        <v>201301000047</v>
      </c>
    </row>
    <row r="34656" spans="1:2" x14ac:dyDescent="0.25">
      <c r="A34656" s="2">
        <v>34651</v>
      </c>
      <c r="B34656" s="11" t="str">
        <f>"201301000091"</f>
        <v>201301000091</v>
      </c>
    </row>
    <row r="34657" spans="1:2" x14ac:dyDescent="0.25">
      <c r="A34657" s="2">
        <v>34652</v>
      </c>
      <c r="B34657" s="11" t="str">
        <f>"201301000092"</f>
        <v>201301000092</v>
      </c>
    </row>
    <row r="34658" spans="1:2" x14ac:dyDescent="0.25">
      <c r="A34658" s="2">
        <v>34653</v>
      </c>
      <c r="B34658" s="11" t="str">
        <f>"201301000096"</f>
        <v>201301000096</v>
      </c>
    </row>
    <row r="34659" spans="1:2" x14ac:dyDescent="0.25">
      <c r="A34659" s="2">
        <v>34654</v>
      </c>
      <c r="B34659" s="11" t="str">
        <f>"201301000125"</f>
        <v>201301000125</v>
      </c>
    </row>
    <row r="34660" spans="1:2" x14ac:dyDescent="0.25">
      <c r="A34660" s="2">
        <v>34655</v>
      </c>
      <c r="B34660" s="11" t="str">
        <f>"201302000030"</f>
        <v>201302000030</v>
      </c>
    </row>
    <row r="34661" spans="1:2" x14ac:dyDescent="0.25">
      <c r="A34661" s="2">
        <v>34656</v>
      </c>
      <c r="B34661" s="11" t="str">
        <f>"201302000121"</f>
        <v>201302000121</v>
      </c>
    </row>
    <row r="34662" spans="1:2" x14ac:dyDescent="0.25">
      <c r="A34662" s="2">
        <v>34657</v>
      </c>
      <c r="B34662" s="11" t="str">
        <f>"201303000016"</f>
        <v>201303000016</v>
      </c>
    </row>
    <row r="34663" spans="1:2" x14ac:dyDescent="0.25">
      <c r="A34663" s="2">
        <v>34658</v>
      </c>
      <c r="B34663" s="11" t="str">
        <f>"201303000039"</f>
        <v>201303000039</v>
      </c>
    </row>
    <row r="34664" spans="1:2" x14ac:dyDescent="0.25">
      <c r="A34664" s="2">
        <v>34659</v>
      </c>
      <c r="B34664" s="11" t="str">
        <f>"201303000047"</f>
        <v>201303000047</v>
      </c>
    </row>
    <row r="34665" spans="1:2" x14ac:dyDescent="0.25">
      <c r="A34665" s="2">
        <v>34660</v>
      </c>
      <c r="B34665" s="11" t="str">
        <f>"201303000136"</f>
        <v>201303000136</v>
      </c>
    </row>
    <row r="34666" spans="1:2" x14ac:dyDescent="0.25">
      <c r="A34666" s="2">
        <v>34661</v>
      </c>
      <c r="B34666" s="11" t="str">
        <f>"201303000219"</f>
        <v>201303000219</v>
      </c>
    </row>
    <row r="34667" spans="1:2" x14ac:dyDescent="0.25">
      <c r="A34667" s="2">
        <v>34662</v>
      </c>
      <c r="B34667" s="11" t="str">
        <f>"201303000306"</f>
        <v>201303000306</v>
      </c>
    </row>
    <row r="34668" spans="1:2" x14ac:dyDescent="0.25">
      <c r="A34668" s="2">
        <v>34663</v>
      </c>
      <c r="B34668" s="11" t="str">
        <f>"201303000386"</f>
        <v>201303000386</v>
      </c>
    </row>
    <row r="34669" spans="1:2" x14ac:dyDescent="0.25">
      <c r="A34669" s="2">
        <v>34664</v>
      </c>
      <c r="B34669" s="11" t="str">
        <f>"201303000444"</f>
        <v>201303000444</v>
      </c>
    </row>
    <row r="34670" spans="1:2" x14ac:dyDescent="0.25">
      <c r="A34670" s="2">
        <v>34665</v>
      </c>
      <c r="B34670" s="11" t="str">
        <f>"201303000450"</f>
        <v>201303000450</v>
      </c>
    </row>
    <row r="34671" spans="1:2" x14ac:dyDescent="0.25">
      <c r="A34671" s="2">
        <v>34666</v>
      </c>
      <c r="B34671" s="11" t="str">
        <f>"201303000463"</f>
        <v>201303000463</v>
      </c>
    </row>
    <row r="34672" spans="1:2" x14ac:dyDescent="0.25">
      <c r="A34672" s="2">
        <v>34667</v>
      </c>
      <c r="B34672" s="11" t="str">
        <f>"201303000646"</f>
        <v>201303000646</v>
      </c>
    </row>
    <row r="34673" spans="1:2" x14ac:dyDescent="0.25">
      <c r="A34673" s="2">
        <v>34668</v>
      </c>
      <c r="B34673" s="11" t="str">
        <f>"201303000747"</f>
        <v>201303000747</v>
      </c>
    </row>
    <row r="34674" spans="1:2" x14ac:dyDescent="0.25">
      <c r="A34674" s="2">
        <v>34669</v>
      </c>
      <c r="B34674" s="11" t="str">
        <f>"201303000768"</f>
        <v>201303000768</v>
      </c>
    </row>
    <row r="34675" spans="1:2" x14ac:dyDescent="0.25">
      <c r="A34675" s="2">
        <v>34670</v>
      </c>
      <c r="B34675" s="11" t="str">
        <f>"201303000884"</f>
        <v>201303000884</v>
      </c>
    </row>
    <row r="34676" spans="1:2" x14ac:dyDescent="0.25">
      <c r="A34676" s="2">
        <v>34671</v>
      </c>
      <c r="B34676" s="11" t="str">
        <f>"201303000945"</f>
        <v>201303000945</v>
      </c>
    </row>
    <row r="34677" spans="1:2" x14ac:dyDescent="0.25">
      <c r="A34677" s="2">
        <v>34672</v>
      </c>
      <c r="B34677" s="11" t="str">
        <f>"201303000970"</f>
        <v>201303000970</v>
      </c>
    </row>
    <row r="34678" spans="1:2" x14ac:dyDescent="0.25">
      <c r="A34678" s="2">
        <v>34673</v>
      </c>
      <c r="B34678" s="11" t="str">
        <f>"201303000989"</f>
        <v>201303000989</v>
      </c>
    </row>
    <row r="34679" spans="1:2" x14ac:dyDescent="0.25">
      <c r="A34679" s="2">
        <v>34674</v>
      </c>
      <c r="B34679" s="11" t="str">
        <f>"201303001015"</f>
        <v>201303001015</v>
      </c>
    </row>
    <row r="34680" spans="1:2" x14ac:dyDescent="0.25">
      <c r="A34680" s="2">
        <v>34675</v>
      </c>
      <c r="B34680" s="11" t="str">
        <f>"201303001101"</f>
        <v>201303001101</v>
      </c>
    </row>
    <row r="34681" spans="1:2" x14ac:dyDescent="0.25">
      <c r="A34681" s="2">
        <v>34676</v>
      </c>
      <c r="B34681" s="11" t="str">
        <f>"201304000066"</f>
        <v>201304000066</v>
      </c>
    </row>
    <row r="34682" spans="1:2" x14ac:dyDescent="0.25">
      <c r="A34682" s="2">
        <v>34677</v>
      </c>
      <c r="B34682" s="11" t="str">
        <f>"201304000172"</f>
        <v>201304000172</v>
      </c>
    </row>
    <row r="34683" spans="1:2" x14ac:dyDescent="0.25">
      <c r="A34683" s="2">
        <v>34678</v>
      </c>
      <c r="B34683" s="11" t="str">
        <f>"201304000414"</f>
        <v>201304000414</v>
      </c>
    </row>
    <row r="34684" spans="1:2" x14ac:dyDescent="0.25">
      <c r="A34684" s="2">
        <v>34679</v>
      </c>
      <c r="B34684" s="11" t="str">
        <f>"201304000577"</f>
        <v>201304000577</v>
      </c>
    </row>
    <row r="34685" spans="1:2" x14ac:dyDescent="0.25">
      <c r="A34685" s="2">
        <v>34680</v>
      </c>
      <c r="B34685" s="11" t="str">
        <f>"201304000594"</f>
        <v>201304000594</v>
      </c>
    </row>
    <row r="34686" spans="1:2" x14ac:dyDescent="0.25">
      <c r="A34686" s="2">
        <v>34681</v>
      </c>
      <c r="B34686" s="11" t="str">
        <f>"201304000629"</f>
        <v>201304000629</v>
      </c>
    </row>
    <row r="34687" spans="1:2" x14ac:dyDescent="0.25">
      <c r="A34687" s="2">
        <v>34682</v>
      </c>
      <c r="B34687" s="11" t="str">
        <f>"201304000692"</f>
        <v>201304000692</v>
      </c>
    </row>
    <row r="34688" spans="1:2" x14ac:dyDescent="0.25">
      <c r="A34688" s="2">
        <v>34683</v>
      </c>
      <c r="B34688" s="11" t="str">
        <f>"201304000802"</f>
        <v>201304000802</v>
      </c>
    </row>
    <row r="34689" spans="1:2" x14ac:dyDescent="0.25">
      <c r="A34689" s="2">
        <v>34684</v>
      </c>
      <c r="B34689" s="11" t="str">
        <f>"201304000824"</f>
        <v>201304000824</v>
      </c>
    </row>
    <row r="34690" spans="1:2" x14ac:dyDescent="0.25">
      <c r="A34690" s="2">
        <v>34685</v>
      </c>
      <c r="B34690" s="11" t="str">
        <f>"201304000845"</f>
        <v>201304000845</v>
      </c>
    </row>
    <row r="34691" spans="1:2" x14ac:dyDescent="0.25">
      <c r="A34691" s="2">
        <v>34686</v>
      </c>
      <c r="B34691" s="11" t="str">
        <f>"201304000946"</f>
        <v>201304000946</v>
      </c>
    </row>
    <row r="34692" spans="1:2" x14ac:dyDescent="0.25">
      <c r="A34692" s="2">
        <v>34687</v>
      </c>
      <c r="B34692" s="11" t="str">
        <f>"201304000999"</f>
        <v>201304000999</v>
      </c>
    </row>
    <row r="34693" spans="1:2" x14ac:dyDescent="0.25">
      <c r="A34693" s="2">
        <v>34688</v>
      </c>
      <c r="B34693" s="11" t="str">
        <f>"201304001013"</f>
        <v>201304001013</v>
      </c>
    </row>
    <row r="34694" spans="1:2" x14ac:dyDescent="0.25">
      <c r="A34694" s="2">
        <v>34689</v>
      </c>
      <c r="B34694" s="11" t="str">
        <f>"201304001060"</f>
        <v>201304001060</v>
      </c>
    </row>
    <row r="34695" spans="1:2" x14ac:dyDescent="0.25">
      <c r="A34695" s="2">
        <v>34690</v>
      </c>
      <c r="B34695" s="11" t="str">
        <f>"201304001210"</f>
        <v>201304001210</v>
      </c>
    </row>
    <row r="34696" spans="1:2" x14ac:dyDescent="0.25">
      <c r="A34696" s="2">
        <v>34691</v>
      </c>
      <c r="B34696" s="11" t="str">
        <f>"201304001299"</f>
        <v>201304001299</v>
      </c>
    </row>
    <row r="34697" spans="1:2" x14ac:dyDescent="0.25">
      <c r="A34697" s="2">
        <v>34692</v>
      </c>
      <c r="B34697" s="11" t="str">
        <f>"201304001386"</f>
        <v>201304001386</v>
      </c>
    </row>
    <row r="34698" spans="1:2" x14ac:dyDescent="0.25">
      <c r="A34698" s="2">
        <v>34693</v>
      </c>
      <c r="B34698" s="11" t="str">
        <f>"201304001432"</f>
        <v>201304001432</v>
      </c>
    </row>
    <row r="34699" spans="1:2" x14ac:dyDescent="0.25">
      <c r="A34699" s="2">
        <v>34694</v>
      </c>
      <c r="B34699" s="11" t="str">
        <f>"201304001505"</f>
        <v>201304001505</v>
      </c>
    </row>
    <row r="34700" spans="1:2" x14ac:dyDescent="0.25">
      <c r="A34700" s="2">
        <v>34695</v>
      </c>
      <c r="B34700" s="11" t="str">
        <f>"201304001590"</f>
        <v>201304001590</v>
      </c>
    </row>
    <row r="34701" spans="1:2" x14ac:dyDescent="0.25">
      <c r="A34701" s="2">
        <v>34696</v>
      </c>
      <c r="B34701" s="11" t="str">
        <f>"201304001907"</f>
        <v>201304001907</v>
      </c>
    </row>
    <row r="34702" spans="1:2" x14ac:dyDescent="0.25">
      <c r="A34702" s="2">
        <v>34697</v>
      </c>
      <c r="B34702" s="11" t="str">
        <f>"201304001989"</f>
        <v>201304001989</v>
      </c>
    </row>
    <row r="34703" spans="1:2" x14ac:dyDescent="0.25">
      <c r="A34703" s="2">
        <v>34698</v>
      </c>
      <c r="B34703" s="11" t="str">
        <f>"201304002115"</f>
        <v>201304002115</v>
      </c>
    </row>
    <row r="34704" spans="1:2" x14ac:dyDescent="0.25">
      <c r="A34704" s="2">
        <v>34699</v>
      </c>
      <c r="B34704" s="11" t="str">
        <f>"201304002174"</f>
        <v>201304002174</v>
      </c>
    </row>
    <row r="34705" spans="1:2" x14ac:dyDescent="0.25">
      <c r="A34705" s="2">
        <v>34700</v>
      </c>
      <c r="B34705" s="11" t="str">
        <f>"201304002189"</f>
        <v>201304002189</v>
      </c>
    </row>
    <row r="34706" spans="1:2" x14ac:dyDescent="0.25">
      <c r="A34706" s="2">
        <v>34701</v>
      </c>
      <c r="B34706" s="11" t="str">
        <f>"201304002198"</f>
        <v>201304002198</v>
      </c>
    </row>
    <row r="34707" spans="1:2" x14ac:dyDescent="0.25">
      <c r="A34707" s="2">
        <v>34702</v>
      </c>
      <c r="B34707" s="11" t="str">
        <f>"201304002282"</f>
        <v>201304002282</v>
      </c>
    </row>
    <row r="34708" spans="1:2" x14ac:dyDescent="0.25">
      <c r="A34708" s="2">
        <v>34703</v>
      </c>
      <c r="B34708" s="11" t="str">
        <f>"201304002308"</f>
        <v>201304002308</v>
      </c>
    </row>
    <row r="34709" spans="1:2" x14ac:dyDescent="0.25">
      <c r="A34709" s="2">
        <v>34704</v>
      </c>
      <c r="B34709" s="11" t="str">
        <f>"201304002322"</f>
        <v>201304002322</v>
      </c>
    </row>
    <row r="34710" spans="1:2" x14ac:dyDescent="0.25">
      <c r="A34710" s="2">
        <v>34705</v>
      </c>
      <c r="B34710" s="11" t="str">
        <f>"201304002466"</f>
        <v>201304002466</v>
      </c>
    </row>
    <row r="34711" spans="1:2" x14ac:dyDescent="0.25">
      <c r="A34711" s="2">
        <v>34706</v>
      </c>
      <c r="B34711" s="11" t="str">
        <f>"201304002666"</f>
        <v>201304002666</v>
      </c>
    </row>
    <row r="34712" spans="1:2" x14ac:dyDescent="0.25">
      <c r="A34712" s="2">
        <v>34707</v>
      </c>
      <c r="B34712" s="11" t="str">
        <f>"201304002675"</f>
        <v>201304002675</v>
      </c>
    </row>
    <row r="34713" spans="1:2" x14ac:dyDescent="0.25">
      <c r="A34713" s="2">
        <v>34708</v>
      </c>
      <c r="B34713" s="11" t="str">
        <f>"201304002718"</f>
        <v>201304002718</v>
      </c>
    </row>
    <row r="34714" spans="1:2" x14ac:dyDescent="0.25">
      <c r="A34714" s="2">
        <v>34709</v>
      </c>
      <c r="B34714" s="11" t="str">
        <f>"201304002759"</f>
        <v>201304002759</v>
      </c>
    </row>
    <row r="34715" spans="1:2" x14ac:dyDescent="0.25">
      <c r="A34715" s="2">
        <v>34710</v>
      </c>
      <c r="B34715" s="11" t="str">
        <f>"201304002877"</f>
        <v>201304002877</v>
      </c>
    </row>
    <row r="34716" spans="1:2" x14ac:dyDescent="0.25">
      <c r="A34716" s="2">
        <v>34711</v>
      </c>
      <c r="B34716" s="11" t="str">
        <f>"201304003013"</f>
        <v>201304003013</v>
      </c>
    </row>
    <row r="34717" spans="1:2" x14ac:dyDescent="0.25">
      <c r="A34717" s="2">
        <v>34712</v>
      </c>
      <c r="B34717" s="11" t="str">
        <f>"201304003040"</f>
        <v>201304003040</v>
      </c>
    </row>
    <row r="34718" spans="1:2" x14ac:dyDescent="0.25">
      <c r="A34718" s="2">
        <v>34713</v>
      </c>
      <c r="B34718" s="11" t="str">
        <f>"201304003075"</f>
        <v>201304003075</v>
      </c>
    </row>
    <row r="34719" spans="1:2" x14ac:dyDescent="0.25">
      <c r="A34719" s="2">
        <v>34714</v>
      </c>
      <c r="B34719" s="11" t="str">
        <f>"201304003120"</f>
        <v>201304003120</v>
      </c>
    </row>
    <row r="34720" spans="1:2" x14ac:dyDescent="0.25">
      <c r="A34720" s="2">
        <v>34715</v>
      </c>
      <c r="B34720" s="11" t="str">
        <f>"201304003140"</f>
        <v>201304003140</v>
      </c>
    </row>
    <row r="34721" spans="1:2" x14ac:dyDescent="0.25">
      <c r="A34721" s="2">
        <v>34716</v>
      </c>
      <c r="B34721" s="11" t="str">
        <f>"201304003158"</f>
        <v>201304003158</v>
      </c>
    </row>
    <row r="34722" spans="1:2" x14ac:dyDescent="0.25">
      <c r="A34722" s="2">
        <v>34717</v>
      </c>
      <c r="B34722" s="11" t="str">
        <f>"201304003381"</f>
        <v>201304003381</v>
      </c>
    </row>
    <row r="34723" spans="1:2" x14ac:dyDescent="0.25">
      <c r="A34723" s="2">
        <v>34718</v>
      </c>
      <c r="B34723" s="11" t="str">
        <f>"201304003445"</f>
        <v>201304003445</v>
      </c>
    </row>
    <row r="34724" spans="1:2" x14ac:dyDescent="0.25">
      <c r="A34724" s="2">
        <v>34719</v>
      </c>
      <c r="B34724" s="11" t="str">
        <f>"201304003638"</f>
        <v>201304003638</v>
      </c>
    </row>
    <row r="34725" spans="1:2" x14ac:dyDescent="0.25">
      <c r="A34725" s="2">
        <v>34720</v>
      </c>
      <c r="B34725" s="11" t="str">
        <f>"201304003656"</f>
        <v>201304003656</v>
      </c>
    </row>
    <row r="34726" spans="1:2" x14ac:dyDescent="0.25">
      <c r="A34726" s="2">
        <v>34721</v>
      </c>
      <c r="B34726" s="11" t="str">
        <f>"201304003723"</f>
        <v>201304003723</v>
      </c>
    </row>
    <row r="34727" spans="1:2" x14ac:dyDescent="0.25">
      <c r="A34727" s="2">
        <v>34722</v>
      </c>
      <c r="B34727" s="11" t="str">
        <f>"201304003899"</f>
        <v>201304003899</v>
      </c>
    </row>
    <row r="34728" spans="1:2" x14ac:dyDescent="0.25">
      <c r="A34728" s="2">
        <v>34723</v>
      </c>
      <c r="B34728" s="11" t="str">
        <f>"201304003905"</f>
        <v>201304003905</v>
      </c>
    </row>
    <row r="34729" spans="1:2" x14ac:dyDescent="0.25">
      <c r="A34729" s="2">
        <v>34724</v>
      </c>
      <c r="B34729" s="11" t="str">
        <f>"201304004098"</f>
        <v>201304004098</v>
      </c>
    </row>
    <row r="34730" spans="1:2" x14ac:dyDescent="0.25">
      <c r="A34730" s="2">
        <v>34725</v>
      </c>
      <c r="B34730" s="11" t="str">
        <f>"201304004160"</f>
        <v>201304004160</v>
      </c>
    </row>
    <row r="34731" spans="1:2" x14ac:dyDescent="0.25">
      <c r="A34731" s="2">
        <v>34726</v>
      </c>
      <c r="B34731" s="11" t="str">
        <f>"201304004269"</f>
        <v>201304004269</v>
      </c>
    </row>
    <row r="34732" spans="1:2" x14ac:dyDescent="0.25">
      <c r="A34732" s="2">
        <v>34727</v>
      </c>
      <c r="B34732" s="11" t="str">
        <f>"201304004401"</f>
        <v>201304004401</v>
      </c>
    </row>
    <row r="34733" spans="1:2" x14ac:dyDescent="0.25">
      <c r="A34733" s="2">
        <v>34728</v>
      </c>
      <c r="B34733" s="11" t="str">
        <f>"201304004408"</f>
        <v>201304004408</v>
      </c>
    </row>
    <row r="34734" spans="1:2" x14ac:dyDescent="0.25">
      <c r="A34734" s="2">
        <v>34729</v>
      </c>
      <c r="B34734" s="11" t="str">
        <f>"201304004445"</f>
        <v>201304004445</v>
      </c>
    </row>
    <row r="34735" spans="1:2" x14ac:dyDescent="0.25">
      <c r="A34735" s="2">
        <v>34730</v>
      </c>
      <c r="B34735" s="11" t="str">
        <f>"201304004560"</f>
        <v>201304004560</v>
      </c>
    </row>
    <row r="34736" spans="1:2" x14ac:dyDescent="0.25">
      <c r="A34736" s="2">
        <v>34731</v>
      </c>
      <c r="B34736" s="11" t="str">
        <f>"201304004590"</f>
        <v>201304004590</v>
      </c>
    </row>
    <row r="34737" spans="1:2" x14ac:dyDescent="0.25">
      <c r="A34737" s="2">
        <v>34732</v>
      </c>
      <c r="B34737" s="11" t="str">
        <f>"201304004987"</f>
        <v>201304004987</v>
      </c>
    </row>
    <row r="34738" spans="1:2" x14ac:dyDescent="0.25">
      <c r="A34738" s="2">
        <v>34733</v>
      </c>
      <c r="B34738" s="11" t="str">
        <f>"201304004996"</f>
        <v>201304004996</v>
      </c>
    </row>
    <row r="34739" spans="1:2" x14ac:dyDescent="0.25">
      <c r="A34739" s="2">
        <v>34734</v>
      </c>
      <c r="B34739" s="11" t="str">
        <f>"201304005069"</f>
        <v>201304005069</v>
      </c>
    </row>
    <row r="34740" spans="1:2" x14ac:dyDescent="0.25">
      <c r="A34740" s="2">
        <v>34735</v>
      </c>
      <c r="B34740" s="11" t="str">
        <f>"201304005216"</f>
        <v>201304005216</v>
      </c>
    </row>
    <row r="34741" spans="1:2" x14ac:dyDescent="0.25">
      <c r="A34741" s="2">
        <v>34736</v>
      </c>
      <c r="B34741" s="11" t="str">
        <f>"201304005230"</f>
        <v>201304005230</v>
      </c>
    </row>
    <row r="34742" spans="1:2" x14ac:dyDescent="0.25">
      <c r="A34742" s="2">
        <v>34737</v>
      </c>
      <c r="B34742" s="11" t="str">
        <f>"201304005355"</f>
        <v>201304005355</v>
      </c>
    </row>
    <row r="34743" spans="1:2" x14ac:dyDescent="0.25">
      <c r="A34743" s="2">
        <v>34738</v>
      </c>
      <c r="B34743" s="11" t="str">
        <f>"201304005393"</f>
        <v>201304005393</v>
      </c>
    </row>
    <row r="34744" spans="1:2" x14ac:dyDescent="0.25">
      <c r="A34744" s="2">
        <v>34739</v>
      </c>
      <c r="B34744" s="11" t="str">
        <f>"201304005444"</f>
        <v>201304005444</v>
      </c>
    </row>
    <row r="34745" spans="1:2" x14ac:dyDescent="0.25">
      <c r="A34745" s="2">
        <v>34740</v>
      </c>
      <c r="B34745" s="11" t="str">
        <f>"201304005568"</f>
        <v>201304005568</v>
      </c>
    </row>
    <row r="34746" spans="1:2" x14ac:dyDescent="0.25">
      <c r="A34746" s="2">
        <v>34741</v>
      </c>
      <c r="B34746" s="11" t="str">
        <f>"201304005593"</f>
        <v>201304005593</v>
      </c>
    </row>
    <row r="34747" spans="1:2" x14ac:dyDescent="0.25">
      <c r="A34747" s="2">
        <v>34742</v>
      </c>
      <c r="B34747" s="11" t="str">
        <f>"201304005629"</f>
        <v>201304005629</v>
      </c>
    </row>
    <row r="34748" spans="1:2" x14ac:dyDescent="0.25">
      <c r="A34748" s="2">
        <v>34743</v>
      </c>
      <c r="B34748" s="11" t="str">
        <f>"201304005652"</f>
        <v>201304005652</v>
      </c>
    </row>
    <row r="34749" spans="1:2" x14ac:dyDescent="0.25">
      <c r="A34749" s="2">
        <v>34744</v>
      </c>
      <c r="B34749" s="11" t="str">
        <f>"201304005729"</f>
        <v>201304005729</v>
      </c>
    </row>
    <row r="34750" spans="1:2" x14ac:dyDescent="0.25">
      <c r="A34750" s="2">
        <v>34745</v>
      </c>
      <c r="B34750" s="11" t="str">
        <f>"201304005799"</f>
        <v>201304005799</v>
      </c>
    </row>
    <row r="34751" spans="1:2" x14ac:dyDescent="0.25">
      <c r="A34751" s="2">
        <v>34746</v>
      </c>
      <c r="B34751" s="11" t="str">
        <f>"201304006074"</f>
        <v>201304006074</v>
      </c>
    </row>
    <row r="34752" spans="1:2" x14ac:dyDescent="0.25">
      <c r="A34752" s="2">
        <v>34747</v>
      </c>
      <c r="B34752" s="11" t="str">
        <f>"201304006114"</f>
        <v>201304006114</v>
      </c>
    </row>
    <row r="34753" spans="1:2" x14ac:dyDescent="0.25">
      <c r="A34753" s="2">
        <v>34748</v>
      </c>
      <c r="B34753" s="11" t="str">
        <f>"201304006292"</f>
        <v>201304006292</v>
      </c>
    </row>
    <row r="34754" spans="1:2" x14ac:dyDescent="0.25">
      <c r="A34754" s="2">
        <v>34749</v>
      </c>
      <c r="B34754" s="11" t="str">
        <f>"201304006453"</f>
        <v>201304006453</v>
      </c>
    </row>
    <row r="34755" spans="1:2" x14ac:dyDescent="0.25">
      <c r="A34755" s="2">
        <v>34750</v>
      </c>
      <c r="B34755" s="11" t="str">
        <f>"201304006529"</f>
        <v>201304006529</v>
      </c>
    </row>
    <row r="34756" spans="1:2" x14ac:dyDescent="0.25">
      <c r="A34756" s="2">
        <v>34751</v>
      </c>
      <c r="B34756" s="11" t="str">
        <f>"201304006605"</f>
        <v>201304006605</v>
      </c>
    </row>
    <row r="34757" spans="1:2" x14ac:dyDescent="0.25">
      <c r="A34757" s="2">
        <v>34752</v>
      </c>
      <c r="B34757" s="11" t="str">
        <f>"201305000017"</f>
        <v>201305000017</v>
      </c>
    </row>
    <row r="34758" spans="1:2" x14ac:dyDescent="0.25">
      <c r="A34758" s="2">
        <v>34753</v>
      </c>
      <c r="B34758" s="11" t="str">
        <f>"201305000079"</f>
        <v>201305000079</v>
      </c>
    </row>
    <row r="34759" spans="1:2" x14ac:dyDescent="0.25">
      <c r="A34759" s="2">
        <v>34754</v>
      </c>
      <c r="B34759" s="11" t="str">
        <f>"201306000025"</f>
        <v>201306000025</v>
      </c>
    </row>
    <row r="34760" spans="1:2" x14ac:dyDescent="0.25">
      <c r="A34760" s="2">
        <v>34755</v>
      </c>
      <c r="B34760" s="11" t="str">
        <f>"201306000029"</f>
        <v>201306000029</v>
      </c>
    </row>
    <row r="34761" spans="1:2" x14ac:dyDescent="0.25">
      <c r="A34761" s="2">
        <v>34756</v>
      </c>
      <c r="B34761" s="11" t="str">
        <f>"201306000070"</f>
        <v>201306000070</v>
      </c>
    </row>
    <row r="34762" spans="1:2" x14ac:dyDescent="0.25">
      <c r="A34762" s="2">
        <v>34757</v>
      </c>
      <c r="B34762" s="11" t="str">
        <f>"201306000087"</f>
        <v>201306000087</v>
      </c>
    </row>
    <row r="34763" spans="1:2" x14ac:dyDescent="0.25">
      <c r="A34763" s="2">
        <v>34758</v>
      </c>
      <c r="B34763" s="11" t="str">
        <f>"201306000097"</f>
        <v>201306000097</v>
      </c>
    </row>
    <row r="34764" spans="1:2" x14ac:dyDescent="0.25">
      <c r="A34764" s="2">
        <v>34759</v>
      </c>
      <c r="B34764" s="11" t="str">
        <f>"201307000017"</f>
        <v>201307000017</v>
      </c>
    </row>
    <row r="34765" spans="1:2" x14ac:dyDescent="0.25">
      <c r="A34765" s="2">
        <v>34760</v>
      </c>
      <c r="B34765" s="11" t="str">
        <f>"201307000032"</f>
        <v>201307000032</v>
      </c>
    </row>
    <row r="34766" spans="1:2" x14ac:dyDescent="0.25">
      <c r="A34766" s="2">
        <v>34761</v>
      </c>
      <c r="B34766" s="11" t="str">
        <f>"201307000094"</f>
        <v>201307000094</v>
      </c>
    </row>
    <row r="34767" spans="1:2" x14ac:dyDescent="0.25">
      <c r="A34767" s="2">
        <v>34762</v>
      </c>
      <c r="B34767" s="11" t="str">
        <f>"201308000015"</f>
        <v>201308000015</v>
      </c>
    </row>
    <row r="34768" spans="1:2" x14ac:dyDescent="0.25">
      <c r="A34768" s="2">
        <v>34763</v>
      </c>
      <c r="B34768" s="11" t="str">
        <f>"201308000018"</f>
        <v>201308000018</v>
      </c>
    </row>
    <row r="34769" spans="1:2" x14ac:dyDescent="0.25">
      <c r="A34769" s="2">
        <v>34764</v>
      </c>
      <c r="B34769" s="11" t="str">
        <f>"201308000038"</f>
        <v>201308000038</v>
      </c>
    </row>
    <row r="34770" spans="1:2" x14ac:dyDescent="0.25">
      <c r="A34770" s="2">
        <v>34765</v>
      </c>
      <c r="B34770" s="11" t="str">
        <f>"201308000053"</f>
        <v>201308000053</v>
      </c>
    </row>
    <row r="34771" spans="1:2" x14ac:dyDescent="0.25">
      <c r="A34771" s="2">
        <v>34766</v>
      </c>
      <c r="B34771" s="11" t="str">
        <f>"201308000094"</f>
        <v>201308000094</v>
      </c>
    </row>
    <row r="34772" spans="1:2" x14ac:dyDescent="0.25">
      <c r="A34772" s="2">
        <v>34767</v>
      </c>
      <c r="B34772" s="11" t="str">
        <f>"201309000012"</f>
        <v>201309000012</v>
      </c>
    </row>
    <row r="34773" spans="1:2" x14ac:dyDescent="0.25">
      <c r="A34773" s="2">
        <v>34768</v>
      </c>
      <c r="B34773" s="11" t="str">
        <f>"201309000119"</f>
        <v>201309000119</v>
      </c>
    </row>
    <row r="34774" spans="1:2" x14ac:dyDescent="0.25">
      <c r="A34774" s="2">
        <v>34769</v>
      </c>
      <c r="B34774" s="11" t="str">
        <f>"201309000121"</f>
        <v>201309000121</v>
      </c>
    </row>
    <row r="34775" spans="1:2" x14ac:dyDescent="0.25">
      <c r="A34775" s="2">
        <v>34770</v>
      </c>
      <c r="B34775" s="11" t="str">
        <f>"201310000112"</f>
        <v>201310000112</v>
      </c>
    </row>
    <row r="34776" spans="1:2" x14ac:dyDescent="0.25">
      <c r="A34776" s="2">
        <v>34771</v>
      </c>
      <c r="B34776" s="11" t="str">
        <f>"201311000052"</f>
        <v>201311000052</v>
      </c>
    </row>
    <row r="34777" spans="1:2" x14ac:dyDescent="0.25">
      <c r="A34777" s="2">
        <v>34772</v>
      </c>
      <c r="B34777" s="11" t="str">
        <f>"201311000063"</f>
        <v>201311000063</v>
      </c>
    </row>
    <row r="34778" spans="1:2" x14ac:dyDescent="0.25">
      <c r="A34778" s="2">
        <v>34773</v>
      </c>
      <c r="B34778" s="11" t="str">
        <f>"201311000211"</f>
        <v>201311000211</v>
      </c>
    </row>
    <row r="34779" spans="1:2" x14ac:dyDescent="0.25">
      <c r="A34779" s="2">
        <v>34774</v>
      </c>
      <c r="B34779" s="11" t="str">
        <f>"201311000219"</f>
        <v>201311000219</v>
      </c>
    </row>
    <row r="34780" spans="1:2" x14ac:dyDescent="0.25">
      <c r="A34780" s="2">
        <v>34775</v>
      </c>
      <c r="B34780" s="11" t="str">
        <f>"201311000222"</f>
        <v>201311000222</v>
      </c>
    </row>
    <row r="34781" spans="1:2" x14ac:dyDescent="0.25">
      <c r="A34781" s="2">
        <v>34776</v>
      </c>
      <c r="B34781" s="11" t="str">
        <f>"201312000108"</f>
        <v>201312000108</v>
      </c>
    </row>
    <row r="34782" spans="1:2" x14ac:dyDescent="0.25">
      <c r="A34782" s="2">
        <v>34777</v>
      </c>
      <c r="B34782" s="11" t="str">
        <f>"201401000105"</f>
        <v>201401000105</v>
      </c>
    </row>
    <row r="34783" spans="1:2" x14ac:dyDescent="0.25">
      <c r="A34783" s="2">
        <v>34778</v>
      </c>
      <c r="B34783" s="11" t="str">
        <f>"201401000158"</f>
        <v>201401000158</v>
      </c>
    </row>
    <row r="34784" spans="1:2" x14ac:dyDescent="0.25">
      <c r="A34784" s="2">
        <v>34779</v>
      </c>
      <c r="B34784" s="11" t="str">
        <f>"201401000194"</f>
        <v>201401000194</v>
      </c>
    </row>
    <row r="34785" spans="1:2" x14ac:dyDescent="0.25">
      <c r="A34785" s="2">
        <v>34780</v>
      </c>
      <c r="B34785" s="11" t="str">
        <f>"201401000219"</f>
        <v>201401000219</v>
      </c>
    </row>
    <row r="34786" spans="1:2" x14ac:dyDescent="0.25">
      <c r="A34786" s="2">
        <v>34781</v>
      </c>
      <c r="B34786" s="11" t="str">
        <f>"201401000329"</f>
        <v>201401000329</v>
      </c>
    </row>
    <row r="34787" spans="1:2" x14ac:dyDescent="0.25">
      <c r="A34787" s="2">
        <v>34782</v>
      </c>
      <c r="B34787" s="11" t="str">
        <f>"201401000331"</f>
        <v>201401000331</v>
      </c>
    </row>
    <row r="34788" spans="1:2" x14ac:dyDescent="0.25">
      <c r="A34788" s="2">
        <v>34783</v>
      </c>
      <c r="B34788" s="11" t="str">
        <f>"201401000337"</f>
        <v>201401000337</v>
      </c>
    </row>
    <row r="34789" spans="1:2" x14ac:dyDescent="0.25">
      <c r="A34789" s="2">
        <v>34784</v>
      </c>
      <c r="B34789" s="11" t="str">
        <f>"201401000350"</f>
        <v>201401000350</v>
      </c>
    </row>
    <row r="34790" spans="1:2" x14ac:dyDescent="0.25">
      <c r="A34790" s="2">
        <v>34785</v>
      </c>
      <c r="B34790" s="11" t="str">
        <f>"201401000365"</f>
        <v>201401000365</v>
      </c>
    </row>
    <row r="34791" spans="1:2" x14ac:dyDescent="0.25">
      <c r="A34791" s="2">
        <v>34786</v>
      </c>
      <c r="B34791" s="11" t="str">
        <f>"201401000408"</f>
        <v>201401000408</v>
      </c>
    </row>
    <row r="34792" spans="1:2" x14ac:dyDescent="0.25">
      <c r="A34792" s="2">
        <v>34787</v>
      </c>
      <c r="B34792" s="11" t="str">
        <f>"201401000491"</f>
        <v>201401000491</v>
      </c>
    </row>
    <row r="34793" spans="1:2" x14ac:dyDescent="0.25">
      <c r="A34793" s="2">
        <v>34788</v>
      </c>
      <c r="B34793" s="11" t="str">
        <f>"201401000525"</f>
        <v>201401000525</v>
      </c>
    </row>
    <row r="34794" spans="1:2" x14ac:dyDescent="0.25">
      <c r="A34794" s="2">
        <v>34789</v>
      </c>
      <c r="B34794" s="11" t="str">
        <f>"201401000536"</f>
        <v>201401000536</v>
      </c>
    </row>
    <row r="34795" spans="1:2" x14ac:dyDescent="0.25">
      <c r="A34795" s="2">
        <v>34790</v>
      </c>
      <c r="B34795" s="11" t="str">
        <f>"201401000583"</f>
        <v>201401000583</v>
      </c>
    </row>
    <row r="34796" spans="1:2" x14ac:dyDescent="0.25">
      <c r="A34796" s="2">
        <v>34791</v>
      </c>
      <c r="B34796" s="11" t="str">
        <f>"201401000590"</f>
        <v>201401000590</v>
      </c>
    </row>
    <row r="34797" spans="1:2" x14ac:dyDescent="0.25">
      <c r="A34797" s="2">
        <v>34792</v>
      </c>
      <c r="B34797" s="11" t="str">
        <f>"201401000643"</f>
        <v>201401000643</v>
      </c>
    </row>
    <row r="34798" spans="1:2" x14ac:dyDescent="0.25">
      <c r="A34798" s="2">
        <v>34793</v>
      </c>
      <c r="B34798" s="11" t="str">
        <f>"201401000663"</f>
        <v>201401000663</v>
      </c>
    </row>
    <row r="34799" spans="1:2" x14ac:dyDescent="0.25">
      <c r="A34799" s="2">
        <v>34794</v>
      </c>
      <c r="B34799" s="11" t="str">
        <f>"201401000707"</f>
        <v>201401000707</v>
      </c>
    </row>
    <row r="34800" spans="1:2" x14ac:dyDescent="0.25">
      <c r="A34800" s="2">
        <v>34795</v>
      </c>
      <c r="B34800" s="11" t="str">
        <f>"201401000736"</f>
        <v>201401000736</v>
      </c>
    </row>
    <row r="34801" spans="1:2" x14ac:dyDescent="0.25">
      <c r="A34801" s="2">
        <v>34796</v>
      </c>
      <c r="B34801" s="11" t="str">
        <f>"201401000769"</f>
        <v>201401000769</v>
      </c>
    </row>
    <row r="34802" spans="1:2" x14ac:dyDescent="0.25">
      <c r="A34802" s="2">
        <v>34797</v>
      </c>
      <c r="B34802" s="11" t="str">
        <f>"201401000774"</f>
        <v>201401000774</v>
      </c>
    </row>
    <row r="34803" spans="1:2" x14ac:dyDescent="0.25">
      <c r="A34803" s="2">
        <v>34798</v>
      </c>
      <c r="B34803" s="11" t="str">
        <f>"201401000838"</f>
        <v>201401000838</v>
      </c>
    </row>
    <row r="34804" spans="1:2" x14ac:dyDescent="0.25">
      <c r="A34804" s="2">
        <v>34799</v>
      </c>
      <c r="B34804" s="11" t="str">
        <f>"201401000840"</f>
        <v>201401000840</v>
      </c>
    </row>
    <row r="34805" spans="1:2" x14ac:dyDescent="0.25">
      <c r="A34805" s="2">
        <v>34800</v>
      </c>
      <c r="B34805" s="11" t="str">
        <f>"201401000851"</f>
        <v>201401000851</v>
      </c>
    </row>
    <row r="34806" spans="1:2" x14ac:dyDescent="0.25">
      <c r="A34806" s="2">
        <v>34801</v>
      </c>
      <c r="B34806" s="11" t="str">
        <f>"201401000865"</f>
        <v>201401000865</v>
      </c>
    </row>
    <row r="34807" spans="1:2" x14ac:dyDescent="0.25">
      <c r="A34807" s="2">
        <v>34802</v>
      </c>
      <c r="B34807" s="11" t="str">
        <f>"201401000872"</f>
        <v>201401000872</v>
      </c>
    </row>
    <row r="34808" spans="1:2" x14ac:dyDescent="0.25">
      <c r="A34808" s="2">
        <v>34803</v>
      </c>
      <c r="B34808" s="11" t="str">
        <f>"201401000898"</f>
        <v>201401000898</v>
      </c>
    </row>
    <row r="34809" spans="1:2" x14ac:dyDescent="0.25">
      <c r="A34809" s="2">
        <v>34804</v>
      </c>
      <c r="B34809" s="11" t="str">
        <f>"201401000940"</f>
        <v>201401000940</v>
      </c>
    </row>
    <row r="34810" spans="1:2" x14ac:dyDescent="0.25">
      <c r="A34810" s="2">
        <v>34805</v>
      </c>
      <c r="B34810" s="11" t="str">
        <f>"201401000961"</f>
        <v>201401000961</v>
      </c>
    </row>
    <row r="34811" spans="1:2" x14ac:dyDescent="0.25">
      <c r="A34811" s="2">
        <v>34806</v>
      </c>
      <c r="B34811" s="11" t="str">
        <f>"201401000963"</f>
        <v>201401000963</v>
      </c>
    </row>
    <row r="34812" spans="1:2" x14ac:dyDescent="0.25">
      <c r="A34812" s="2">
        <v>34807</v>
      </c>
      <c r="B34812" s="11" t="str">
        <f>"201401001016"</f>
        <v>201401001016</v>
      </c>
    </row>
    <row r="34813" spans="1:2" x14ac:dyDescent="0.25">
      <c r="A34813" s="2">
        <v>34808</v>
      </c>
      <c r="B34813" s="11" t="str">
        <f>"201401001052"</f>
        <v>201401001052</v>
      </c>
    </row>
    <row r="34814" spans="1:2" x14ac:dyDescent="0.25">
      <c r="A34814" s="2">
        <v>34809</v>
      </c>
      <c r="B34814" s="11" t="str">
        <f>"201401001069"</f>
        <v>201401001069</v>
      </c>
    </row>
    <row r="34815" spans="1:2" x14ac:dyDescent="0.25">
      <c r="A34815" s="2">
        <v>34810</v>
      </c>
      <c r="B34815" s="11" t="str">
        <f>"201401001081"</f>
        <v>201401001081</v>
      </c>
    </row>
    <row r="34816" spans="1:2" x14ac:dyDescent="0.25">
      <c r="A34816" s="2">
        <v>34811</v>
      </c>
      <c r="B34816" s="11" t="str">
        <f>"201401001119"</f>
        <v>201401001119</v>
      </c>
    </row>
    <row r="34817" spans="1:2" x14ac:dyDescent="0.25">
      <c r="A34817" s="2">
        <v>34812</v>
      </c>
      <c r="B34817" s="11" t="str">
        <f>"201401001128"</f>
        <v>201401001128</v>
      </c>
    </row>
    <row r="34818" spans="1:2" x14ac:dyDescent="0.25">
      <c r="A34818" s="2">
        <v>34813</v>
      </c>
      <c r="B34818" s="11" t="str">
        <f>"201401001150"</f>
        <v>201401001150</v>
      </c>
    </row>
    <row r="34819" spans="1:2" x14ac:dyDescent="0.25">
      <c r="A34819" s="2">
        <v>34814</v>
      </c>
      <c r="B34819" s="11" t="str">
        <f>"201401001235"</f>
        <v>201401001235</v>
      </c>
    </row>
    <row r="34820" spans="1:2" x14ac:dyDescent="0.25">
      <c r="A34820" s="2">
        <v>34815</v>
      </c>
      <c r="B34820" s="11" t="str">
        <f>"201401001285"</f>
        <v>201401001285</v>
      </c>
    </row>
    <row r="34821" spans="1:2" x14ac:dyDescent="0.25">
      <c r="A34821" s="2">
        <v>34816</v>
      </c>
      <c r="B34821" s="11" t="str">
        <f>"201401001314"</f>
        <v>201401001314</v>
      </c>
    </row>
    <row r="34822" spans="1:2" x14ac:dyDescent="0.25">
      <c r="A34822" s="2">
        <v>34817</v>
      </c>
      <c r="B34822" s="11" t="str">
        <f>"201401001331"</f>
        <v>201401001331</v>
      </c>
    </row>
    <row r="34823" spans="1:2" x14ac:dyDescent="0.25">
      <c r="A34823" s="2">
        <v>34818</v>
      </c>
      <c r="B34823" s="11" t="str">
        <f>"201401001428"</f>
        <v>201401001428</v>
      </c>
    </row>
    <row r="34824" spans="1:2" x14ac:dyDescent="0.25">
      <c r="A34824" s="2">
        <v>34819</v>
      </c>
      <c r="B34824" s="11" t="str">
        <f>"201401001429"</f>
        <v>201401001429</v>
      </c>
    </row>
    <row r="34825" spans="1:2" x14ac:dyDescent="0.25">
      <c r="A34825" s="2">
        <v>34820</v>
      </c>
      <c r="B34825" s="11" t="str">
        <f>"201401001537"</f>
        <v>201401001537</v>
      </c>
    </row>
    <row r="34826" spans="1:2" x14ac:dyDescent="0.25">
      <c r="A34826" s="2">
        <v>34821</v>
      </c>
      <c r="B34826" s="11" t="str">
        <f>"201401001539"</f>
        <v>201401001539</v>
      </c>
    </row>
    <row r="34827" spans="1:2" x14ac:dyDescent="0.25">
      <c r="A34827" s="2">
        <v>34822</v>
      </c>
      <c r="B34827" s="11" t="str">
        <f>"201401001564"</f>
        <v>201401001564</v>
      </c>
    </row>
    <row r="34828" spans="1:2" x14ac:dyDescent="0.25">
      <c r="A34828" s="2">
        <v>34823</v>
      </c>
      <c r="B34828" s="11" t="str">
        <f>"201401001658"</f>
        <v>201401001658</v>
      </c>
    </row>
    <row r="34829" spans="1:2" x14ac:dyDescent="0.25">
      <c r="A34829" s="2">
        <v>34824</v>
      </c>
      <c r="B34829" s="11" t="str">
        <f>"201401001696"</f>
        <v>201401001696</v>
      </c>
    </row>
    <row r="34830" spans="1:2" x14ac:dyDescent="0.25">
      <c r="A34830" s="2">
        <v>34825</v>
      </c>
      <c r="B34830" s="11" t="str">
        <f>"201401001822"</f>
        <v>201401001822</v>
      </c>
    </row>
    <row r="34831" spans="1:2" x14ac:dyDescent="0.25">
      <c r="A34831" s="2">
        <v>34826</v>
      </c>
      <c r="B34831" s="11" t="str">
        <f>"201401001839"</f>
        <v>201401001839</v>
      </c>
    </row>
    <row r="34832" spans="1:2" x14ac:dyDescent="0.25">
      <c r="A34832" s="2">
        <v>34827</v>
      </c>
      <c r="B34832" s="11" t="str">
        <f>"201401001842"</f>
        <v>201401001842</v>
      </c>
    </row>
    <row r="34833" spans="1:2" x14ac:dyDescent="0.25">
      <c r="A34833" s="2">
        <v>34828</v>
      </c>
      <c r="B34833" s="11" t="str">
        <f>"201401001886"</f>
        <v>201401001886</v>
      </c>
    </row>
    <row r="34834" spans="1:2" x14ac:dyDescent="0.25">
      <c r="A34834" s="2">
        <v>34829</v>
      </c>
      <c r="B34834" s="11" t="str">
        <f>"201401001998"</f>
        <v>201401001998</v>
      </c>
    </row>
    <row r="34835" spans="1:2" x14ac:dyDescent="0.25">
      <c r="A34835" s="2">
        <v>34830</v>
      </c>
      <c r="B34835" s="11" t="str">
        <f>"201401002040"</f>
        <v>201401002040</v>
      </c>
    </row>
    <row r="34836" spans="1:2" x14ac:dyDescent="0.25">
      <c r="A34836" s="2">
        <v>34831</v>
      </c>
      <c r="B34836" s="11" t="str">
        <f>"201401002108"</f>
        <v>201401002108</v>
      </c>
    </row>
    <row r="34837" spans="1:2" x14ac:dyDescent="0.25">
      <c r="A34837" s="2">
        <v>34832</v>
      </c>
      <c r="B34837" s="11" t="str">
        <f>"201401002145"</f>
        <v>201401002145</v>
      </c>
    </row>
    <row r="34838" spans="1:2" x14ac:dyDescent="0.25">
      <c r="A34838" s="2">
        <v>34833</v>
      </c>
      <c r="B34838" s="11" t="str">
        <f>"201401002213"</f>
        <v>201401002213</v>
      </c>
    </row>
    <row r="34839" spans="1:2" x14ac:dyDescent="0.25">
      <c r="A34839" s="2">
        <v>34834</v>
      </c>
      <c r="B34839" s="11" t="str">
        <f>"201401002329"</f>
        <v>201401002329</v>
      </c>
    </row>
    <row r="34840" spans="1:2" x14ac:dyDescent="0.25">
      <c r="A34840" s="2">
        <v>34835</v>
      </c>
      <c r="B34840" s="11" t="str">
        <f>"201401002389"</f>
        <v>201401002389</v>
      </c>
    </row>
    <row r="34841" spans="1:2" x14ac:dyDescent="0.25">
      <c r="A34841" s="2">
        <v>34836</v>
      </c>
      <c r="B34841" s="11" t="str">
        <f>"201401002399"</f>
        <v>201401002399</v>
      </c>
    </row>
    <row r="34842" spans="1:2" x14ac:dyDescent="0.25">
      <c r="A34842" s="2">
        <v>34837</v>
      </c>
      <c r="B34842" s="11" t="str">
        <f>"201401002500"</f>
        <v>201401002500</v>
      </c>
    </row>
    <row r="34843" spans="1:2" x14ac:dyDescent="0.25">
      <c r="A34843" s="2">
        <v>34838</v>
      </c>
      <c r="B34843" s="11" t="str">
        <f>"201401002556"</f>
        <v>201401002556</v>
      </c>
    </row>
    <row r="34844" spans="1:2" x14ac:dyDescent="0.25">
      <c r="A34844" s="2">
        <v>34839</v>
      </c>
      <c r="B34844" s="11" t="str">
        <f>"201401002574"</f>
        <v>201401002574</v>
      </c>
    </row>
    <row r="34845" spans="1:2" x14ac:dyDescent="0.25">
      <c r="A34845" s="2">
        <v>34840</v>
      </c>
      <c r="B34845" s="11" t="str">
        <f>"201402000002"</f>
        <v>201402000002</v>
      </c>
    </row>
    <row r="34846" spans="1:2" x14ac:dyDescent="0.25">
      <c r="A34846" s="2">
        <v>34841</v>
      </c>
      <c r="B34846" s="11" t="str">
        <f>"201402000036"</f>
        <v>201402000036</v>
      </c>
    </row>
    <row r="34847" spans="1:2" x14ac:dyDescent="0.25">
      <c r="A34847" s="2">
        <v>34842</v>
      </c>
      <c r="B34847" s="11" t="str">
        <f>"201402000056"</f>
        <v>201402000056</v>
      </c>
    </row>
    <row r="34848" spans="1:2" x14ac:dyDescent="0.25">
      <c r="A34848" s="2">
        <v>34843</v>
      </c>
      <c r="B34848" s="11" t="str">
        <f>"201402000223"</f>
        <v>201402000223</v>
      </c>
    </row>
    <row r="34849" spans="1:2" x14ac:dyDescent="0.25">
      <c r="A34849" s="2">
        <v>34844</v>
      </c>
      <c r="B34849" s="11" t="str">
        <f>"201402000323"</f>
        <v>201402000323</v>
      </c>
    </row>
    <row r="34850" spans="1:2" x14ac:dyDescent="0.25">
      <c r="A34850" s="2">
        <v>34845</v>
      </c>
      <c r="B34850" s="11" t="str">
        <f>"201402000433"</f>
        <v>201402000433</v>
      </c>
    </row>
    <row r="34851" spans="1:2" x14ac:dyDescent="0.25">
      <c r="A34851" s="2">
        <v>34846</v>
      </c>
      <c r="B34851" s="11" t="str">
        <f>"201402000476"</f>
        <v>201402000476</v>
      </c>
    </row>
    <row r="34852" spans="1:2" x14ac:dyDescent="0.25">
      <c r="A34852" s="2">
        <v>34847</v>
      </c>
      <c r="B34852" s="11" t="str">
        <f>"201402000519"</f>
        <v>201402000519</v>
      </c>
    </row>
    <row r="34853" spans="1:2" x14ac:dyDescent="0.25">
      <c r="A34853" s="2">
        <v>34848</v>
      </c>
      <c r="B34853" s="11" t="str">
        <f>"201402000808"</f>
        <v>201402000808</v>
      </c>
    </row>
    <row r="34854" spans="1:2" x14ac:dyDescent="0.25">
      <c r="A34854" s="2">
        <v>34849</v>
      </c>
      <c r="B34854" s="11" t="str">
        <f>"201402000841"</f>
        <v>201402000841</v>
      </c>
    </row>
    <row r="34855" spans="1:2" x14ac:dyDescent="0.25">
      <c r="A34855" s="2">
        <v>34850</v>
      </c>
      <c r="B34855" s="11" t="str">
        <f>"201402000872"</f>
        <v>201402000872</v>
      </c>
    </row>
    <row r="34856" spans="1:2" x14ac:dyDescent="0.25">
      <c r="A34856" s="2">
        <v>34851</v>
      </c>
      <c r="B34856" s="11" t="str">
        <f>"201402000933"</f>
        <v>201402000933</v>
      </c>
    </row>
    <row r="34857" spans="1:2" x14ac:dyDescent="0.25">
      <c r="A34857" s="2">
        <v>34852</v>
      </c>
      <c r="B34857" s="11" t="str">
        <f>"201402000951"</f>
        <v>201402000951</v>
      </c>
    </row>
    <row r="34858" spans="1:2" x14ac:dyDescent="0.25">
      <c r="A34858" s="2">
        <v>34853</v>
      </c>
      <c r="B34858" s="11" t="str">
        <f>"201402000963"</f>
        <v>201402000963</v>
      </c>
    </row>
    <row r="34859" spans="1:2" x14ac:dyDescent="0.25">
      <c r="A34859" s="2">
        <v>34854</v>
      </c>
      <c r="B34859" s="11" t="str">
        <f>"201402000997"</f>
        <v>201402000997</v>
      </c>
    </row>
    <row r="34860" spans="1:2" x14ac:dyDescent="0.25">
      <c r="A34860" s="2">
        <v>34855</v>
      </c>
      <c r="B34860" s="11" t="str">
        <f>"201402001156"</f>
        <v>201402001156</v>
      </c>
    </row>
    <row r="34861" spans="1:2" x14ac:dyDescent="0.25">
      <c r="A34861" s="2">
        <v>34856</v>
      </c>
      <c r="B34861" s="11" t="str">
        <f>"201402001168"</f>
        <v>201402001168</v>
      </c>
    </row>
    <row r="34862" spans="1:2" x14ac:dyDescent="0.25">
      <c r="A34862" s="2">
        <v>34857</v>
      </c>
      <c r="B34862" s="11" t="str">
        <f>"201402001261"</f>
        <v>201402001261</v>
      </c>
    </row>
    <row r="34863" spans="1:2" x14ac:dyDescent="0.25">
      <c r="A34863" s="2">
        <v>34858</v>
      </c>
      <c r="B34863" s="11" t="str">
        <f>"201402001290"</f>
        <v>201402001290</v>
      </c>
    </row>
    <row r="34864" spans="1:2" x14ac:dyDescent="0.25">
      <c r="A34864" s="2">
        <v>34859</v>
      </c>
      <c r="B34864" s="11" t="str">
        <f>"201402001306"</f>
        <v>201402001306</v>
      </c>
    </row>
    <row r="34865" spans="1:2" x14ac:dyDescent="0.25">
      <c r="A34865" s="2">
        <v>34860</v>
      </c>
      <c r="B34865" s="11" t="str">
        <f>"201402001318"</f>
        <v>201402001318</v>
      </c>
    </row>
    <row r="34866" spans="1:2" x14ac:dyDescent="0.25">
      <c r="A34866" s="2">
        <v>34861</v>
      </c>
      <c r="B34866" s="11" t="str">
        <f>"201402001363"</f>
        <v>201402001363</v>
      </c>
    </row>
    <row r="34867" spans="1:2" x14ac:dyDescent="0.25">
      <c r="A34867" s="2">
        <v>34862</v>
      </c>
      <c r="B34867" s="11" t="str">
        <f>"201402001405"</f>
        <v>201402001405</v>
      </c>
    </row>
    <row r="34868" spans="1:2" x14ac:dyDescent="0.25">
      <c r="A34868" s="2">
        <v>34863</v>
      </c>
      <c r="B34868" s="11" t="str">
        <f>"201402001410"</f>
        <v>201402001410</v>
      </c>
    </row>
    <row r="34869" spans="1:2" x14ac:dyDescent="0.25">
      <c r="A34869" s="2">
        <v>34864</v>
      </c>
      <c r="B34869" s="11" t="str">
        <f>"201402001460"</f>
        <v>201402001460</v>
      </c>
    </row>
    <row r="34870" spans="1:2" x14ac:dyDescent="0.25">
      <c r="A34870" s="2">
        <v>34865</v>
      </c>
      <c r="B34870" s="11" t="str">
        <f>"201402001494"</f>
        <v>201402001494</v>
      </c>
    </row>
    <row r="34871" spans="1:2" x14ac:dyDescent="0.25">
      <c r="A34871" s="2">
        <v>34866</v>
      </c>
      <c r="B34871" s="11" t="str">
        <f>"201402001544"</f>
        <v>201402001544</v>
      </c>
    </row>
    <row r="34872" spans="1:2" x14ac:dyDescent="0.25">
      <c r="A34872" s="2">
        <v>34867</v>
      </c>
      <c r="B34872" s="11" t="str">
        <f>"201402001630"</f>
        <v>201402001630</v>
      </c>
    </row>
    <row r="34873" spans="1:2" x14ac:dyDescent="0.25">
      <c r="A34873" s="2">
        <v>34868</v>
      </c>
      <c r="B34873" s="11" t="str">
        <f>"201402001660"</f>
        <v>201402001660</v>
      </c>
    </row>
    <row r="34874" spans="1:2" x14ac:dyDescent="0.25">
      <c r="A34874" s="2">
        <v>34869</v>
      </c>
      <c r="B34874" s="11" t="str">
        <f>"201402001733"</f>
        <v>201402001733</v>
      </c>
    </row>
    <row r="34875" spans="1:2" x14ac:dyDescent="0.25">
      <c r="A34875" s="2">
        <v>34870</v>
      </c>
      <c r="B34875" s="11" t="str">
        <f>"201402001776"</f>
        <v>201402001776</v>
      </c>
    </row>
    <row r="34876" spans="1:2" x14ac:dyDescent="0.25">
      <c r="A34876" s="2">
        <v>34871</v>
      </c>
      <c r="B34876" s="11" t="str">
        <f>"201402001915"</f>
        <v>201402001915</v>
      </c>
    </row>
    <row r="34877" spans="1:2" x14ac:dyDescent="0.25">
      <c r="A34877" s="2">
        <v>34872</v>
      </c>
      <c r="B34877" s="11" t="str">
        <f>"201402002109"</f>
        <v>201402002109</v>
      </c>
    </row>
    <row r="34878" spans="1:2" x14ac:dyDescent="0.25">
      <c r="A34878" s="2">
        <v>34873</v>
      </c>
      <c r="B34878" s="11" t="str">
        <f>"201402002197"</f>
        <v>201402002197</v>
      </c>
    </row>
    <row r="34879" spans="1:2" x14ac:dyDescent="0.25">
      <c r="A34879" s="2">
        <v>34874</v>
      </c>
      <c r="B34879" s="11" t="str">
        <f>"201402002314"</f>
        <v>201402002314</v>
      </c>
    </row>
    <row r="34880" spans="1:2" x14ac:dyDescent="0.25">
      <c r="A34880" s="2">
        <v>34875</v>
      </c>
      <c r="B34880" s="11" t="str">
        <f>"201402002412"</f>
        <v>201402002412</v>
      </c>
    </row>
    <row r="34881" spans="1:2" x14ac:dyDescent="0.25">
      <c r="A34881" s="2">
        <v>34876</v>
      </c>
      <c r="B34881" s="11" t="str">
        <f>"201402002421"</f>
        <v>201402002421</v>
      </c>
    </row>
    <row r="34882" spans="1:2" x14ac:dyDescent="0.25">
      <c r="A34882" s="2">
        <v>34877</v>
      </c>
      <c r="B34882" s="11" t="str">
        <f>"201402002436"</f>
        <v>201402002436</v>
      </c>
    </row>
    <row r="34883" spans="1:2" x14ac:dyDescent="0.25">
      <c r="A34883" s="2">
        <v>34878</v>
      </c>
      <c r="B34883" s="11" t="str">
        <f>"201402002438"</f>
        <v>201402002438</v>
      </c>
    </row>
    <row r="34884" spans="1:2" x14ac:dyDescent="0.25">
      <c r="A34884" s="2">
        <v>34879</v>
      </c>
      <c r="B34884" s="11" t="str">
        <f>"201402002448"</f>
        <v>201402002448</v>
      </c>
    </row>
    <row r="34885" spans="1:2" x14ac:dyDescent="0.25">
      <c r="A34885" s="2">
        <v>34880</v>
      </c>
      <c r="B34885" s="11" t="str">
        <f>"201402002461"</f>
        <v>201402002461</v>
      </c>
    </row>
    <row r="34886" spans="1:2" x14ac:dyDescent="0.25">
      <c r="A34886" s="2">
        <v>34881</v>
      </c>
      <c r="B34886" s="11" t="str">
        <f>"201402002502"</f>
        <v>201402002502</v>
      </c>
    </row>
    <row r="34887" spans="1:2" x14ac:dyDescent="0.25">
      <c r="A34887" s="2">
        <v>34882</v>
      </c>
      <c r="B34887" s="11" t="str">
        <f>"201402002572"</f>
        <v>201402002572</v>
      </c>
    </row>
    <row r="34888" spans="1:2" x14ac:dyDescent="0.25">
      <c r="A34888" s="2">
        <v>34883</v>
      </c>
      <c r="B34888" s="11" t="str">
        <f>"201402002632"</f>
        <v>201402002632</v>
      </c>
    </row>
    <row r="34889" spans="1:2" x14ac:dyDescent="0.25">
      <c r="A34889" s="2">
        <v>34884</v>
      </c>
      <c r="B34889" s="11" t="str">
        <f>"201402002655"</f>
        <v>201402002655</v>
      </c>
    </row>
    <row r="34890" spans="1:2" x14ac:dyDescent="0.25">
      <c r="A34890" s="2">
        <v>34885</v>
      </c>
      <c r="B34890" s="11" t="str">
        <f>"201402002667"</f>
        <v>201402002667</v>
      </c>
    </row>
    <row r="34891" spans="1:2" x14ac:dyDescent="0.25">
      <c r="A34891" s="2">
        <v>34886</v>
      </c>
      <c r="B34891" s="11" t="str">
        <f>"201402002702"</f>
        <v>201402002702</v>
      </c>
    </row>
    <row r="34892" spans="1:2" x14ac:dyDescent="0.25">
      <c r="A34892" s="2">
        <v>34887</v>
      </c>
      <c r="B34892" s="11" t="str">
        <f>"201402002708"</f>
        <v>201402002708</v>
      </c>
    </row>
    <row r="34893" spans="1:2" x14ac:dyDescent="0.25">
      <c r="A34893" s="2">
        <v>34888</v>
      </c>
      <c r="B34893" s="11" t="str">
        <f>"201402002727"</f>
        <v>201402002727</v>
      </c>
    </row>
    <row r="34894" spans="1:2" x14ac:dyDescent="0.25">
      <c r="A34894" s="2">
        <v>34889</v>
      </c>
      <c r="B34894" s="11" t="str">
        <f>"201402002750"</f>
        <v>201402002750</v>
      </c>
    </row>
    <row r="34895" spans="1:2" x14ac:dyDescent="0.25">
      <c r="A34895" s="2">
        <v>34890</v>
      </c>
      <c r="B34895" s="11" t="str">
        <f>"201402002752"</f>
        <v>201402002752</v>
      </c>
    </row>
    <row r="34896" spans="1:2" x14ac:dyDescent="0.25">
      <c r="A34896" s="2">
        <v>34891</v>
      </c>
      <c r="B34896" s="11" t="str">
        <f>"201402002803"</f>
        <v>201402002803</v>
      </c>
    </row>
    <row r="34897" spans="1:2" x14ac:dyDescent="0.25">
      <c r="A34897" s="2">
        <v>34892</v>
      </c>
      <c r="B34897" s="11" t="str">
        <f>"201402002808"</f>
        <v>201402002808</v>
      </c>
    </row>
    <row r="34898" spans="1:2" x14ac:dyDescent="0.25">
      <c r="A34898" s="2">
        <v>34893</v>
      </c>
      <c r="B34898" s="11" t="str">
        <f>"201402002842"</f>
        <v>201402002842</v>
      </c>
    </row>
    <row r="34899" spans="1:2" x14ac:dyDescent="0.25">
      <c r="A34899" s="2">
        <v>34894</v>
      </c>
      <c r="B34899" s="11" t="str">
        <f>"201402002852"</f>
        <v>201402002852</v>
      </c>
    </row>
    <row r="34900" spans="1:2" x14ac:dyDescent="0.25">
      <c r="A34900" s="2">
        <v>34895</v>
      </c>
      <c r="B34900" s="11" t="str">
        <f>"201402002857"</f>
        <v>201402002857</v>
      </c>
    </row>
    <row r="34901" spans="1:2" x14ac:dyDescent="0.25">
      <c r="A34901" s="2">
        <v>34896</v>
      </c>
      <c r="B34901" s="11" t="str">
        <f>"201402002911"</f>
        <v>201402002911</v>
      </c>
    </row>
    <row r="34902" spans="1:2" x14ac:dyDescent="0.25">
      <c r="A34902" s="2">
        <v>34897</v>
      </c>
      <c r="B34902" s="11" t="str">
        <f>"201402002917"</f>
        <v>201402002917</v>
      </c>
    </row>
    <row r="34903" spans="1:2" x14ac:dyDescent="0.25">
      <c r="A34903" s="2">
        <v>34898</v>
      </c>
      <c r="B34903" s="11" t="str">
        <f>"201402002960"</f>
        <v>201402002960</v>
      </c>
    </row>
    <row r="34904" spans="1:2" x14ac:dyDescent="0.25">
      <c r="A34904" s="2">
        <v>34899</v>
      </c>
      <c r="B34904" s="11" t="str">
        <f>"201402003015"</f>
        <v>201402003015</v>
      </c>
    </row>
    <row r="34905" spans="1:2" x14ac:dyDescent="0.25">
      <c r="A34905" s="2">
        <v>34900</v>
      </c>
      <c r="B34905" s="11" t="str">
        <f>"201402003074"</f>
        <v>201402003074</v>
      </c>
    </row>
    <row r="34906" spans="1:2" x14ac:dyDescent="0.25">
      <c r="A34906" s="2">
        <v>34901</v>
      </c>
      <c r="B34906" s="11" t="str">
        <f>"201402003090"</f>
        <v>201402003090</v>
      </c>
    </row>
    <row r="34907" spans="1:2" x14ac:dyDescent="0.25">
      <c r="A34907" s="2">
        <v>34902</v>
      </c>
      <c r="B34907" s="11" t="str">
        <f>"201402003219"</f>
        <v>201402003219</v>
      </c>
    </row>
    <row r="34908" spans="1:2" x14ac:dyDescent="0.25">
      <c r="A34908" s="2">
        <v>34903</v>
      </c>
      <c r="B34908" s="11" t="str">
        <f>"201402003266"</f>
        <v>201402003266</v>
      </c>
    </row>
    <row r="34909" spans="1:2" x14ac:dyDescent="0.25">
      <c r="A34909" s="2">
        <v>34904</v>
      </c>
      <c r="B34909" s="11" t="str">
        <f>"201402003420"</f>
        <v>201402003420</v>
      </c>
    </row>
    <row r="34910" spans="1:2" x14ac:dyDescent="0.25">
      <c r="A34910" s="2">
        <v>34905</v>
      </c>
      <c r="B34910" s="11" t="str">
        <f>"201402003498"</f>
        <v>201402003498</v>
      </c>
    </row>
    <row r="34911" spans="1:2" x14ac:dyDescent="0.25">
      <c r="A34911" s="2">
        <v>34906</v>
      </c>
      <c r="B34911" s="11" t="str">
        <f>"201402003511"</f>
        <v>201402003511</v>
      </c>
    </row>
    <row r="34912" spans="1:2" x14ac:dyDescent="0.25">
      <c r="A34912" s="2">
        <v>34907</v>
      </c>
      <c r="B34912" s="11" t="str">
        <f>"201402003538"</f>
        <v>201402003538</v>
      </c>
    </row>
    <row r="34913" spans="1:2" x14ac:dyDescent="0.25">
      <c r="A34913" s="2">
        <v>34908</v>
      </c>
      <c r="B34913" s="11" t="str">
        <f>"201402003548"</f>
        <v>201402003548</v>
      </c>
    </row>
    <row r="34914" spans="1:2" x14ac:dyDescent="0.25">
      <c r="A34914" s="2">
        <v>34909</v>
      </c>
      <c r="B34914" s="11" t="str">
        <f>"201402003560"</f>
        <v>201402003560</v>
      </c>
    </row>
    <row r="34915" spans="1:2" x14ac:dyDescent="0.25">
      <c r="A34915" s="2">
        <v>34910</v>
      </c>
      <c r="B34915" s="11" t="str">
        <f>"201402003587"</f>
        <v>201402003587</v>
      </c>
    </row>
    <row r="34916" spans="1:2" x14ac:dyDescent="0.25">
      <c r="A34916" s="2">
        <v>34911</v>
      </c>
      <c r="B34916" s="11" t="str">
        <f>"201402003603"</f>
        <v>201402003603</v>
      </c>
    </row>
    <row r="34917" spans="1:2" x14ac:dyDescent="0.25">
      <c r="A34917" s="2">
        <v>34912</v>
      </c>
      <c r="B34917" s="11" t="str">
        <f>"201402003654"</f>
        <v>201402003654</v>
      </c>
    </row>
    <row r="34918" spans="1:2" x14ac:dyDescent="0.25">
      <c r="A34918" s="2">
        <v>34913</v>
      </c>
      <c r="B34918" s="11" t="str">
        <f>"201402003817"</f>
        <v>201402003817</v>
      </c>
    </row>
    <row r="34919" spans="1:2" x14ac:dyDescent="0.25">
      <c r="A34919" s="2">
        <v>34914</v>
      </c>
      <c r="B34919" s="11" t="str">
        <f>"201402003828"</f>
        <v>201402003828</v>
      </c>
    </row>
    <row r="34920" spans="1:2" x14ac:dyDescent="0.25">
      <c r="A34920" s="2">
        <v>34915</v>
      </c>
      <c r="B34920" s="11" t="str">
        <f>"201402003838"</f>
        <v>201402003838</v>
      </c>
    </row>
    <row r="34921" spans="1:2" x14ac:dyDescent="0.25">
      <c r="A34921" s="2">
        <v>34916</v>
      </c>
      <c r="B34921" s="11" t="str">
        <f>"201402003859"</f>
        <v>201402003859</v>
      </c>
    </row>
    <row r="34922" spans="1:2" x14ac:dyDescent="0.25">
      <c r="A34922" s="2">
        <v>34917</v>
      </c>
      <c r="B34922" s="11" t="str">
        <f>"201402003882"</f>
        <v>201402003882</v>
      </c>
    </row>
    <row r="34923" spans="1:2" x14ac:dyDescent="0.25">
      <c r="A34923" s="2">
        <v>34918</v>
      </c>
      <c r="B34923" s="11" t="str">
        <f>"201402003940"</f>
        <v>201402003940</v>
      </c>
    </row>
    <row r="34924" spans="1:2" x14ac:dyDescent="0.25">
      <c r="A34924" s="2">
        <v>34919</v>
      </c>
      <c r="B34924" s="11" t="str">
        <f>"201402004002"</f>
        <v>201402004002</v>
      </c>
    </row>
    <row r="34925" spans="1:2" x14ac:dyDescent="0.25">
      <c r="A34925" s="2">
        <v>34920</v>
      </c>
      <c r="B34925" s="11" t="str">
        <f>"201402004040"</f>
        <v>201402004040</v>
      </c>
    </row>
    <row r="34926" spans="1:2" x14ac:dyDescent="0.25">
      <c r="A34926" s="2">
        <v>34921</v>
      </c>
      <c r="B34926" s="11" t="str">
        <f>"201402004077"</f>
        <v>201402004077</v>
      </c>
    </row>
    <row r="34927" spans="1:2" x14ac:dyDescent="0.25">
      <c r="A34927" s="2">
        <v>34922</v>
      </c>
      <c r="B34927" s="11" t="str">
        <f>"201402004271"</f>
        <v>201402004271</v>
      </c>
    </row>
    <row r="34928" spans="1:2" x14ac:dyDescent="0.25">
      <c r="A34928" s="2">
        <v>34923</v>
      </c>
      <c r="B34928" s="11" t="str">
        <f>"201402004288"</f>
        <v>201402004288</v>
      </c>
    </row>
    <row r="34929" spans="1:2" x14ac:dyDescent="0.25">
      <c r="A34929" s="2">
        <v>34924</v>
      </c>
      <c r="B34929" s="11" t="str">
        <f>"201402004304"</f>
        <v>201402004304</v>
      </c>
    </row>
    <row r="34930" spans="1:2" x14ac:dyDescent="0.25">
      <c r="A34930" s="2">
        <v>34925</v>
      </c>
      <c r="B34930" s="11" t="str">
        <f>"201402004345"</f>
        <v>201402004345</v>
      </c>
    </row>
    <row r="34931" spans="1:2" x14ac:dyDescent="0.25">
      <c r="A34931" s="2">
        <v>34926</v>
      </c>
      <c r="B34931" s="11" t="str">
        <f>"201402004351"</f>
        <v>201402004351</v>
      </c>
    </row>
    <row r="34932" spans="1:2" x14ac:dyDescent="0.25">
      <c r="A34932" s="2">
        <v>34927</v>
      </c>
      <c r="B34932" s="11" t="str">
        <f>"201402004364"</f>
        <v>201402004364</v>
      </c>
    </row>
    <row r="34933" spans="1:2" x14ac:dyDescent="0.25">
      <c r="A34933" s="2">
        <v>34928</v>
      </c>
      <c r="B34933" s="11" t="str">
        <f>"201402004388"</f>
        <v>201402004388</v>
      </c>
    </row>
    <row r="34934" spans="1:2" x14ac:dyDescent="0.25">
      <c r="A34934" s="2">
        <v>34929</v>
      </c>
      <c r="B34934" s="11" t="str">
        <f>"201402004416"</f>
        <v>201402004416</v>
      </c>
    </row>
    <row r="34935" spans="1:2" x14ac:dyDescent="0.25">
      <c r="A34935" s="2">
        <v>34930</v>
      </c>
      <c r="B34935" s="11" t="str">
        <f>"201402004432"</f>
        <v>201402004432</v>
      </c>
    </row>
    <row r="34936" spans="1:2" x14ac:dyDescent="0.25">
      <c r="A34936" s="2">
        <v>34931</v>
      </c>
      <c r="B34936" s="11" t="str">
        <f>"201402004462"</f>
        <v>201402004462</v>
      </c>
    </row>
    <row r="34937" spans="1:2" x14ac:dyDescent="0.25">
      <c r="A34937" s="2">
        <v>34932</v>
      </c>
      <c r="B34937" s="11" t="str">
        <f>"201402004465"</f>
        <v>201402004465</v>
      </c>
    </row>
    <row r="34938" spans="1:2" x14ac:dyDescent="0.25">
      <c r="A34938" s="2">
        <v>34933</v>
      </c>
      <c r="B34938" s="11" t="str">
        <f>"201402004540"</f>
        <v>201402004540</v>
      </c>
    </row>
    <row r="34939" spans="1:2" x14ac:dyDescent="0.25">
      <c r="A34939" s="2">
        <v>34934</v>
      </c>
      <c r="B34939" s="11" t="str">
        <f>"201402004578"</f>
        <v>201402004578</v>
      </c>
    </row>
    <row r="34940" spans="1:2" x14ac:dyDescent="0.25">
      <c r="A34940" s="2">
        <v>34935</v>
      </c>
      <c r="B34940" s="11" t="str">
        <f>"201402004639"</f>
        <v>201402004639</v>
      </c>
    </row>
    <row r="34941" spans="1:2" x14ac:dyDescent="0.25">
      <c r="A34941" s="2">
        <v>34936</v>
      </c>
      <c r="B34941" s="11" t="str">
        <f>"201402004700"</f>
        <v>201402004700</v>
      </c>
    </row>
    <row r="34942" spans="1:2" x14ac:dyDescent="0.25">
      <c r="A34942" s="2">
        <v>34937</v>
      </c>
      <c r="B34942" s="11" t="str">
        <f>"201402004880"</f>
        <v>201402004880</v>
      </c>
    </row>
    <row r="34943" spans="1:2" x14ac:dyDescent="0.25">
      <c r="A34943" s="2">
        <v>34938</v>
      </c>
      <c r="B34943" s="11" t="str">
        <f>"201402004930"</f>
        <v>201402004930</v>
      </c>
    </row>
    <row r="34944" spans="1:2" x14ac:dyDescent="0.25">
      <c r="A34944" s="2">
        <v>34939</v>
      </c>
      <c r="B34944" s="11" t="str">
        <f>"201402005108"</f>
        <v>201402005108</v>
      </c>
    </row>
    <row r="34945" spans="1:2" x14ac:dyDescent="0.25">
      <c r="A34945" s="2">
        <v>34940</v>
      </c>
      <c r="B34945" s="11" t="str">
        <f>"201402005118"</f>
        <v>201402005118</v>
      </c>
    </row>
    <row r="34946" spans="1:2" x14ac:dyDescent="0.25">
      <c r="A34946" s="2">
        <v>34941</v>
      </c>
      <c r="B34946" s="11" t="str">
        <f>"201402005128"</f>
        <v>201402005128</v>
      </c>
    </row>
    <row r="34947" spans="1:2" x14ac:dyDescent="0.25">
      <c r="A34947" s="2">
        <v>34942</v>
      </c>
      <c r="B34947" s="11" t="str">
        <f>"201402005149"</f>
        <v>201402005149</v>
      </c>
    </row>
    <row r="34948" spans="1:2" x14ac:dyDescent="0.25">
      <c r="A34948" s="2">
        <v>34943</v>
      </c>
      <c r="B34948" s="11" t="str">
        <f>"201402005150"</f>
        <v>201402005150</v>
      </c>
    </row>
    <row r="34949" spans="1:2" x14ac:dyDescent="0.25">
      <c r="A34949" s="2">
        <v>34944</v>
      </c>
      <c r="B34949" s="11" t="str">
        <f>"201402005242"</f>
        <v>201402005242</v>
      </c>
    </row>
    <row r="34950" spans="1:2" x14ac:dyDescent="0.25">
      <c r="A34950" s="2">
        <v>34945</v>
      </c>
      <c r="B34950" s="11" t="str">
        <f>"201402005273"</f>
        <v>201402005273</v>
      </c>
    </row>
    <row r="34951" spans="1:2" x14ac:dyDescent="0.25">
      <c r="A34951" s="2">
        <v>34946</v>
      </c>
      <c r="B34951" s="11" t="str">
        <f>"201402005439"</f>
        <v>201402005439</v>
      </c>
    </row>
    <row r="34952" spans="1:2" x14ac:dyDescent="0.25">
      <c r="A34952" s="2">
        <v>34947</v>
      </c>
      <c r="B34952" s="11" t="str">
        <f>"201402005667"</f>
        <v>201402005667</v>
      </c>
    </row>
    <row r="34953" spans="1:2" x14ac:dyDescent="0.25">
      <c r="A34953" s="2">
        <v>34948</v>
      </c>
      <c r="B34953" s="11" t="str">
        <f>"201402005700"</f>
        <v>201402005700</v>
      </c>
    </row>
    <row r="34954" spans="1:2" x14ac:dyDescent="0.25">
      <c r="A34954" s="2">
        <v>34949</v>
      </c>
      <c r="B34954" s="11" t="str">
        <f>"201402005725"</f>
        <v>201402005725</v>
      </c>
    </row>
    <row r="34955" spans="1:2" x14ac:dyDescent="0.25">
      <c r="A34955" s="2">
        <v>34950</v>
      </c>
      <c r="B34955" s="11" t="str">
        <f>"201402005810"</f>
        <v>201402005810</v>
      </c>
    </row>
    <row r="34956" spans="1:2" x14ac:dyDescent="0.25">
      <c r="A34956" s="2">
        <v>34951</v>
      </c>
      <c r="B34956" s="11" t="str">
        <f>"201402005844"</f>
        <v>201402005844</v>
      </c>
    </row>
    <row r="34957" spans="1:2" x14ac:dyDescent="0.25">
      <c r="A34957" s="2">
        <v>34952</v>
      </c>
      <c r="B34957" s="11" t="str">
        <f>"201402005855"</f>
        <v>201402005855</v>
      </c>
    </row>
    <row r="34958" spans="1:2" x14ac:dyDescent="0.25">
      <c r="A34958" s="2">
        <v>34953</v>
      </c>
      <c r="B34958" s="11" t="str">
        <f>"201402005925"</f>
        <v>201402005925</v>
      </c>
    </row>
    <row r="34959" spans="1:2" x14ac:dyDescent="0.25">
      <c r="A34959" s="2">
        <v>34954</v>
      </c>
      <c r="B34959" s="11" t="str">
        <f>"201402006030"</f>
        <v>201402006030</v>
      </c>
    </row>
    <row r="34960" spans="1:2" x14ac:dyDescent="0.25">
      <c r="A34960" s="2">
        <v>34955</v>
      </c>
      <c r="B34960" s="11" t="str">
        <f>"201402006122"</f>
        <v>201402006122</v>
      </c>
    </row>
    <row r="34961" spans="1:2" x14ac:dyDescent="0.25">
      <c r="A34961" s="2">
        <v>34956</v>
      </c>
      <c r="B34961" s="11" t="str">
        <f>"201402006142"</f>
        <v>201402006142</v>
      </c>
    </row>
    <row r="34962" spans="1:2" x14ac:dyDescent="0.25">
      <c r="A34962" s="2">
        <v>34957</v>
      </c>
      <c r="B34962" s="11" t="str">
        <f>"201402006167"</f>
        <v>201402006167</v>
      </c>
    </row>
    <row r="34963" spans="1:2" x14ac:dyDescent="0.25">
      <c r="A34963" s="2">
        <v>34958</v>
      </c>
      <c r="B34963" s="11" t="str">
        <f>"201402006218"</f>
        <v>201402006218</v>
      </c>
    </row>
    <row r="34964" spans="1:2" x14ac:dyDescent="0.25">
      <c r="A34964" s="2">
        <v>34959</v>
      </c>
      <c r="B34964" s="11" t="str">
        <f>"201402006246"</f>
        <v>201402006246</v>
      </c>
    </row>
    <row r="34965" spans="1:2" x14ac:dyDescent="0.25">
      <c r="A34965" s="2">
        <v>34960</v>
      </c>
      <c r="B34965" s="11" t="str">
        <f>"201402006268"</f>
        <v>201402006268</v>
      </c>
    </row>
    <row r="34966" spans="1:2" x14ac:dyDescent="0.25">
      <c r="A34966" s="2">
        <v>34961</v>
      </c>
      <c r="B34966" s="11" t="str">
        <f>"201402006359"</f>
        <v>201402006359</v>
      </c>
    </row>
    <row r="34967" spans="1:2" x14ac:dyDescent="0.25">
      <c r="A34967" s="2">
        <v>34962</v>
      </c>
      <c r="B34967" s="11" t="str">
        <f>"201402006383"</f>
        <v>201402006383</v>
      </c>
    </row>
    <row r="34968" spans="1:2" x14ac:dyDescent="0.25">
      <c r="A34968" s="2">
        <v>34963</v>
      </c>
      <c r="B34968" s="11" t="str">
        <f>"201402006470"</f>
        <v>201402006470</v>
      </c>
    </row>
    <row r="34969" spans="1:2" x14ac:dyDescent="0.25">
      <c r="A34969" s="2">
        <v>34964</v>
      </c>
      <c r="B34969" s="11" t="str">
        <f>"201402006479"</f>
        <v>201402006479</v>
      </c>
    </row>
    <row r="34970" spans="1:2" x14ac:dyDescent="0.25">
      <c r="A34970" s="2">
        <v>34965</v>
      </c>
      <c r="B34970" s="11" t="str">
        <f>"201402006481"</f>
        <v>201402006481</v>
      </c>
    </row>
    <row r="34971" spans="1:2" x14ac:dyDescent="0.25">
      <c r="A34971" s="2">
        <v>34966</v>
      </c>
      <c r="B34971" s="11" t="str">
        <f>"201402006578"</f>
        <v>201402006578</v>
      </c>
    </row>
    <row r="34972" spans="1:2" x14ac:dyDescent="0.25">
      <c r="A34972" s="2">
        <v>34967</v>
      </c>
      <c r="B34972" s="11" t="str">
        <f>"201402006613"</f>
        <v>201402006613</v>
      </c>
    </row>
    <row r="34973" spans="1:2" x14ac:dyDescent="0.25">
      <c r="A34973" s="2">
        <v>34968</v>
      </c>
      <c r="B34973" s="11" t="str">
        <f>"201402006660"</f>
        <v>201402006660</v>
      </c>
    </row>
    <row r="34974" spans="1:2" x14ac:dyDescent="0.25">
      <c r="A34974" s="2">
        <v>34969</v>
      </c>
      <c r="B34974" s="11" t="str">
        <f>"201402006681"</f>
        <v>201402006681</v>
      </c>
    </row>
    <row r="34975" spans="1:2" x14ac:dyDescent="0.25">
      <c r="A34975" s="2">
        <v>34970</v>
      </c>
      <c r="B34975" s="11" t="str">
        <f>"201402006917"</f>
        <v>201402006917</v>
      </c>
    </row>
    <row r="34976" spans="1:2" x14ac:dyDescent="0.25">
      <c r="A34976" s="2">
        <v>34971</v>
      </c>
      <c r="B34976" s="11" t="str">
        <f>"201402006946"</f>
        <v>201402006946</v>
      </c>
    </row>
    <row r="34977" spans="1:2" x14ac:dyDescent="0.25">
      <c r="A34977" s="2">
        <v>34972</v>
      </c>
      <c r="B34977" s="11" t="str">
        <f>"201402006970"</f>
        <v>201402006970</v>
      </c>
    </row>
    <row r="34978" spans="1:2" x14ac:dyDescent="0.25">
      <c r="A34978" s="2">
        <v>34973</v>
      </c>
      <c r="B34978" s="11" t="str">
        <f>"201402007004"</f>
        <v>201402007004</v>
      </c>
    </row>
    <row r="34979" spans="1:2" x14ac:dyDescent="0.25">
      <c r="A34979" s="2">
        <v>34974</v>
      </c>
      <c r="B34979" s="11" t="str">
        <f>"201402007030"</f>
        <v>201402007030</v>
      </c>
    </row>
    <row r="34980" spans="1:2" x14ac:dyDescent="0.25">
      <c r="A34980" s="2">
        <v>34975</v>
      </c>
      <c r="B34980" s="11" t="str">
        <f>"201402007036"</f>
        <v>201402007036</v>
      </c>
    </row>
    <row r="34981" spans="1:2" x14ac:dyDescent="0.25">
      <c r="A34981" s="2">
        <v>34976</v>
      </c>
      <c r="B34981" s="11" t="str">
        <f>"201402007064"</f>
        <v>201402007064</v>
      </c>
    </row>
    <row r="34982" spans="1:2" x14ac:dyDescent="0.25">
      <c r="A34982" s="2">
        <v>34977</v>
      </c>
      <c r="B34982" s="11" t="str">
        <f>"201402007080"</f>
        <v>201402007080</v>
      </c>
    </row>
    <row r="34983" spans="1:2" x14ac:dyDescent="0.25">
      <c r="A34983" s="2">
        <v>34978</v>
      </c>
      <c r="B34983" s="11" t="str">
        <f>"201402007093"</f>
        <v>201402007093</v>
      </c>
    </row>
    <row r="34984" spans="1:2" x14ac:dyDescent="0.25">
      <c r="A34984" s="2">
        <v>34979</v>
      </c>
      <c r="B34984" s="11" t="str">
        <f>"201402007117"</f>
        <v>201402007117</v>
      </c>
    </row>
    <row r="34985" spans="1:2" x14ac:dyDescent="0.25">
      <c r="A34985" s="2">
        <v>34980</v>
      </c>
      <c r="B34985" s="11" t="str">
        <f>"201402007159"</f>
        <v>201402007159</v>
      </c>
    </row>
    <row r="34986" spans="1:2" x14ac:dyDescent="0.25">
      <c r="A34986" s="2">
        <v>34981</v>
      </c>
      <c r="B34986" s="11" t="str">
        <f>"201402007175"</f>
        <v>201402007175</v>
      </c>
    </row>
    <row r="34987" spans="1:2" x14ac:dyDescent="0.25">
      <c r="A34987" s="2">
        <v>34982</v>
      </c>
      <c r="B34987" s="11" t="str">
        <f>"201402007225"</f>
        <v>201402007225</v>
      </c>
    </row>
    <row r="34988" spans="1:2" x14ac:dyDescent="0.25">
      <c r="A34988" s="2">
        <v>34983</v>
      </c>
      <c r="B34988" s="11" t="str">
        <f>"201402007234"</f>
        <v>201402007234</v>
      </c>
    </row>
    <row r="34989" spans="1:2" x14ac:dyDescent="0.25">
      <c r="A34989" s="2">
        <v>34984</v>
      </c>
      <c r="B34989" s="11" t="str">
        <f>"201402007291"</f>
        <v>201402007291</v>
      </c>
    </row>
    <row r="34990" spans="1:2" x14ac:dyDescent="0.25">
      <c r="A34990" s="2">
        <v>34985</v>
      </c>
      <c r="B34990" s="11" t="str">
        <f>"201402007368"</f>
        <v>201402007368</v>
      </c>
    </row>
    <row r="34991" spans="1:2" x14ac:dyDescent="0.25">
      <c r="A34991" s="2">
        <v>34986</v>
      </c>
      <c r="B34991" s="11" t="str">
        <f>"201402007393"</f>
        <v>201402007393</v>
      </c>
    </row>
    <row r="34992" spans="1:2" x14ac:dyDescent="0.25">
      <c r="A34992" s="2">
        <v>34987</v>
      </c>
      <c r="B34992" s="11" t="str">
        <f>"201402007406"</f>
        <v>201402007406</v>
      </c>
    </row>
    <row r="34993" spans="1:2" x14ac:dyDescent="0.25">
      <c r="A34993" s="2">
        <v>34988</v>
      </c>
      <c r="B34993" s="11" t="str">
        <f>"201402007410"</f>
        <v>201402007410</v>
      </c>
    </row>
    <row r="34994" spans="1:2" x14ac:dyDescent="0.25">
      <c r="A34994" s="2">
        <v>34989</v>
      </c>
      <c r="B34994" s="11" t="str">
        <f>"201402007424"</f>
        <v>201402007424</v>
      </c>
    </row>
    <row r="34995" spans="1:2" x14ac:dyDescent="0.25">
      <c r="A34995" s="2">
        <v>34990</v>
      </c>
      <c r="B34995" s="11" t="str">
        <f>"201402007483"</f>
        <v>201402007483</v>
      </c>
    </row>
    <row r="34996" spans="1:2" x14ac:dyDescent="0.25">
      <c r="A34996" s="2">
        <v>34991</v>
      </c>
      <c r="B34996" s="11" t="str">
        <f>"201402007534"</f>
        <v>201402007534</v>
      </c>
    </row>
    <row r="34997" spans="1:2" x14ac:dyDescent="0.25">
      <c r="A34997" s="2">
        <v>34992</v>
      </c>
      <c r="B34997" s="11" t="str">
        <f>"201402007637"</f>
        <v>201402007637</v>
      </c>
    </row>
    <row r="34998" spans="1:2" x14ac:dyDescent="0.25">
      <c r="A34998" s="2">
        <v>34993</v>
      </c>
      <c r="B34998" s="11" t="str">
        <f>"201402007645"</f>
        <v>201402007645</v>
      </c>
    </row>
    <row r="34999" spans="1:2" x14ac:dyDescent="0.25">
      <c r="A34999" s="2">
        <v>34994</v>
      </c>
      <c r="B34999" s="11" t="str">
        <f>"201402007671"</f>
        <v>201402007671</v>
      </c>
    </row>
    <row r="35000" spans="1:2" x14ac:dyDescent="0.25">
      <c r="A35000" s="2">
        <v>34995</v>
      </c>
      <c r="B35000" s="11" t="str">
        <f>"201402007701"</f>
        <v>201402007701</v>
      </c>
    </row>
    <row r="35001" spans="1:2" x14ac:dyDescent="0.25">
      <c r="A35001" s="2">
        <v>34996</v>
      </c>
      <c r="B35001" s="11" t="str">
        <f>"201402007716"</f>
        <v>201402007716</v>
      </c>
    </row>
    <row r="35002" spans="1:2" x14ac:dyDescent="0.25">
      <c r="A35002" s="2">
        <v>34997</v>
      </c>
      <c r="B35002" s="11" t="str">
        <f>"201402007719"</f>
        <v>201402007719</v>
      </c>
    </row>
    <row r="35003" spans="1:2" x14ac:dyDescent="0.25">
      <c r="A35003" s="2">
        <v>34998</v>
      </c>
      <c r="B35003" s="11" t="str">
        <f>"201402007720"</f>
        <v>201402007720</v>
      </c>
    </row>
    <row r="35004" spans="1:2" x14ac:dyDescent="0.25">
      <c r="A35004" s="2">
        <v>34999</v>
      </c>
      <c r="B35004" s="11" t="str">
        <f>"201402007925"</f>
        <v>201402007925</v>
      </c>
    </row>
    <row r="35005" spans="1:2" x14ac:dyDescent="0.25">
      <c r="A35005" s="2">
        <v>35000</v>
      </c>
      <c r="B35005" s="11" t="str">
        <f>"201402007930"</f>
        <v>201402007930</v>
      </c>
    </row>
    <row r="35006" spans="1:2" x14ac:dyDescent="0.25">
      <c r="A35006" s="2">
        <v>35001</v>
      </c>
      <c r="B35006" s="11" t="str">
        <f>"201402007934"</f>
        <v>201402007934</v>
      </c>
    </row>
    <row r="35007" spans="1:2" x14ac:dyDescent="0.25">
      <c r="A35007" s="2">
        <v>35002</v>
      </c>
      <c r="B35007" s="11" t="str">
        <f>"201402007941"</f>
        <v>201402007941</v>
      </c>
    </row>
    <row r="35008" spans="1:2" x14ac:dyDescent="0.25">
      <c r="A35008" s="2">
        <v>35003</v>
      </c>
      <c r="B35008" s="11" t="str">
        <f>"201402007980"</f>
        <v>201402007980</v>
      </c>
    </row>
    <row r="35009" spans="1:2" x14ac:dyDescent="0.25">
      <c r="A35009" s="2">
        <v>35004</v>
      </c>
      <c r="B35009" s="11" t="str">
        <f>"201402008041"</f>
        <v>201402008041</v>
      </c>
    </row>
    <row r="35010" spans="1:2" x14ac:dyDescent="0.25">
      <c r="A35010" s="2">
        <v>35005</v>
      </c>
      <c r="B35010" s="11" t="str">
        <f>"201402008082"</f>
        <v>201402008082</v>
      </c>
    </row>
    <row r="35011" spans="1:2" x14ac:dyDescent="0.25">
      <c r="A35011" s="2">
        <v>35006</v>
      </c>
      <c r="B35011" s="11" t="str">
        <f>"201402008112"</f>
        <v>201402008112</v>
      </c>
    </row>
    <row r="35012" spans="1:2" x14ac:dyDescent="0.25">
      <c r="A35012" s="2">
        <v>35007</v>
      </c>
      <c r="B35012" s="11" t="str">
        <f>"201402008142"</f>
        <v>201402008142</v>
      </c>
    </row>
    <row r="35013" spans="1:2" x14ac:dyDescent="0.25">
      <c r="A35013" s="2">
        <v>35008</v>
      </c>
      <c r="B35013" s="11" t="str">
        <f>"201402008150"</f>
        <v>201402008150</v>
      </c>
    </row>
    <row r="35014" spans="1:2" x14ac:dyDescent="0.25">
      <c r="A35014" s="2">
        <v>35009</v>
      </c>
      <c r="B35014" s="11" t="str">
        <f>"201402008209"</f>
        <v>201402008209</v>
      </c>
    </row>
    <row r="35015" spans="1:2" x14ac:dyDescent="0.25">
      <c r="A35015" s="2">
        <v>35010</v>
      </c>
      <c r="B35015" s="11" t="str">
        <f>"201402008232"</f>
        <v>201402008232</v>
      </c>
    </row>
    <row r="35016" spans="1:2" x14ac:dyDescent="0.25">
      <c r="A35016" s="2">
        <v>35011</v>
      </c>
      <c r="B35016" s="11" t="str">
        <f>"201402008249"</f>
        <v>201402008249</v>
      </c>
    </row>
    <row r="35017" spans="1:2" x14ac:dyDescent="0.25">
      <c r="A35017" s="2">
        <v>35012</v>
      </c>
      <c r="B35017" s="11" t="str">
        <f>"201402008269"</f>
        <v>201402008269</v>
      </c>
    </row>
    <row r="35018" spans="1:2" x14ac:dyDescent="0.25">
      <c r="A35018" s="2">
        <v>35013</v>
      </c>
      <c r="B35018" s="11" t="str">
        <f>"201402008276"</f>
        <v>201402008276</v>
      </c>
    </row>
    <row r="35019" spans="1:2" x14ac:dyDescent="0.25">
      <c r="A35019" s="2">
        <v>35014</v>
      </c>
      <c r="B35019" s="11" t="str">
        <f>"201402008281"</f>
        <v>201402008281</v>
      </c>
    </row>
    <row r="35020" spans="1:2" x14ac:dyDescent="0.25">
      <c r="A35020" s="2">
        <v>35015</v>
      </c>
      <c r="B35020" s="11" t="str">
        <f>"201402008335"</f>
        <v>201402008335</v>
      </c>
    </row>
    <row r="35021" spans="1:2" x14ac:dyDescent="0.25">
      <c r="A35021" s="2">
        <v>35016</v>
      </c>
      <c r="B35021" s="11" t="str">
        <f>"201402008399"</f>
        <v>201402008399</v>
      </c>
    </row>
    <row r="35022" spans="1:2" x14ac:dyDescent="0.25">
      <c r="A35022" s="2">
        <v>35017</v>
      </c>
      <c r="B35022" s="11" t="str">
        <f>"201402008418"</f>
        <v>201402008418</v>
      </c>
    </row>
    <row r="35023" spans="1:2" x14ac:dyDescent="0.25">
      <c r="A35023" s="2">
        <v>35018</v>
      </c>
      <c r="B35023" s="11" t="str">
        <f>"201402008419"</f>
        <v>201402008419</v>
      </c>
    </row>
    <row r="35024" spans="1:2" x14ac:dyDescent="0.25">
      <c r="A35024" s="2">
        <v>35019</v>
      </c>
      <c r="B35024" s="11" t="str">
        <f>"201402008452"</f>
        <v>201402008452</v>
      </c>
    </row>
    <row r="35025" spans="1:2" x14ac:dyDescent="0.25">
      <c r="A35025" s="2">
        <v>35020</v>
      </c>
      <c r="B35025" s="11" t="str">
        <f>"201402008565"</f>
        <v>201402008565</v>
      </c>
    </row>
    <row r="35026" spans="1:2" x14ac:dyDescent="0.25">
      <c r="A35026" s="2">
        <v>35021</v>
      </c>
      <c r="B35026" s="11" t="str">
        <f>"201402008585"</f>
        <v>201402008585</v>
      </c>
    </row>
    <row r="35027" spans="1:2" x14ac:dyDescent="0.25">
      <c r="A35027" s="2">
        <v>35022</v>
      </c>
      <c r="B35027" s="11" t="str">
        <f>"201402008629"</f>
        <v>201402008629</v>
      </c>
    </row>
    <row r="35028" spans="1:2" x14ac:dyDescent="0.25">
      <c r="A35028" s="2">
        <v>35023</v>
      </c>
      <c r="B35028" s="11" t="str">
        <f>"201402008680"</f>
        <v>201402008680</v>
      </c>
    </row>
    <row r="35029" spans="1:2" x14ac:dyDescent="0.25">
      <c r="A35029" s="2">
        <v>35024</v>
      </c>
      <c r="B35029" s="11" t="str">
        <f>"201402008727"</f>
        <v>201402008727</v>
      </c>
    </row>
    <row r="35030" spans="1:2" x14ac:dyDescent="0.25">
      <c r="A35030" s="2">
        <v>35025</v>
      </c>
      <c r="B35030" s="11" t="str">
        <f>"201402008823"</f>
        <v>201402008823</v>
      </c>
    </row>
    <row r="35031" spans="1:2" x14ac:dyDescent="0.25">
      <c r="A35031" s="2">
        <v>35026</v>
      </c>
      <c r="B35031" s="11" t="str">
        <f>"201402008937"</f>
        <v>201402008937</v>
      </c>
    </row>
    <row r="35032" spans="1:2" x14ac:dyDescent="0.25">
      <c r="A35032" s="2">
        <v>35027</v>
      </c>
      <c r="B35032" s="11" t="str">
        <f>"201402008973"</f>
        <v>201402008973</v>
      </c>
    </row>
    <row r="35033" spans="1:2" x14ac:dyDescent="0.25">
      <c r="A35033" s="2">
        <v>35028</v>
      </c>
      <c r="B35033" s="11" t="str">
        <f>"201402009098"</f>
        <v>201402009098</v>
      </c>
    </row>
    <row r="35034" spans="1:2" x14ac:dyDescent="0.25">
      <c r="A35034" s="2">
        <v>35029</v>
      </c>
      <c r="B35034" s="11" t="str">
        <f>"201402009113"</f>
        <v>201402009113</v>
      </c>
    </row>
    <row r="35035" spans="1:2" x14ac:dyDescent="0.25">
      <c r="A35035" s="2">
        <v>35030</v>
      </c>
      <c r="B35035" s="11" t="str">
        <f>"201402009124"</f>
        <v>201402009124</v>
      </c>
    </row>
    <row r="35036" spans="1:2" x14ac:dyDescent="0.25">
      <c r="A35036" s="2">
        <v>35031</v>
      </c>
      <c r="B35036" s="11" t="str">
        <f>"201402009158"</f>
        <v>201402009158</v>
      </c>
    </row>
    <row r="35037" spans="1:2" x14ac:dyDescent="0.25">
      <c r="A35037" s="2">
        <v>35032</v>
      </c>
      <c r="B35037" s="11" t="str">
        <f>"201402009219"</f>
        <v>201402009219</v>
      </c>
    </row>
    <row r="35038" spans="1:2" x14ac:dyDescent="0.25">
      <c r="A35038" s="2">
        <v>35033</v>
      </c>
      <c r="B35038" s="11" t="str">
        <f>"201402009235"</f>
        <v>201402009235</v>
      </c>
    </row>
    <row r="35039" spans="1:2" x14ac:dyDescent="0.25">
      <c r="A35039" s="2">
        <v>35034</v>
      </c>
      <c r="B35039" s="11" t="str">
        <f>"201402009252"</f>
        <v>201402009252</v>
      </c>
    </row>
    <row r="35040" spans="1:2" x14ac:dyDescent="0.25">
      <c r="A35040" s="2">
        <v>35035</v>
      </c>
      <c r="B35040" s="11" t="str">
        <f>"201402009283"</f>
        <v>201402009283</v>
      </c>
    </row>
    <row r="35041" spans="1:2" x14ac:dyDescent="0.25">
      <c r="A35041" s="2">
        <v>35036</v>
      </c>
      <c r="B35041" s="11" t="str">
        <f>"201402009403"</f>
        <v>201402009403</v>
      </c>
    </row>
    <row r="35042" spans="1:2" x14ac:dyDescent="0.25">
      <c r="A35042" s="2">
        <v>35037</v>
      </c>
      <c r="B35042" s="11" t="str">
        <f>"201402009482"</f>
        <v>201402009482</v>
      </c>
    </row>
    <row r="35043" spans="1:2" x14ac:dyDescent="0.25">
      <c r="A35043" s="2">
        <v>35038</v>
      </c>
      <c r="B35043" s="11" t="str">
        <f>"201402009520"</f>
        <v>201402009520</v>
      </c>
    </row>
    <row r="35044" spans="1:2" x14ac:dyDescent="0.25">
      <c r="A35044" s="2">
        <v>35039</v>
      </c>
      <c r="B35044" s="11" t="str">
        <f>"201402009529"</f>
        <v>201402009529</v>
      </c>
    </row>
    <row r="35045" spans="1:2" x14ac:dyDescent="0.25">
      <c r="A35045" s="2">
        <v>35040</v>
      </c>
      <c r="B35045" s="11" t="str">
        <f>"201402009548"</f>
        <v>201402009548</v>
      </c>
    </row>
    <row r="35046" spans="1:2" x14ac:dyDescent="0.25">
      <c r="A35046" s="2">
        <v>35041</v>
      </c>
      <c r="B35046" s="11" t="str">
        <f>"201402009603"</f>
        <v>201402009603</v>
      </c>
    </row>
    <row r="35047" spans="1:2" x14ac:dyDescent="0.25">
      <c r="A35047" s="2">
        <v>35042</v>
      </c>
      <c r="B35047" s="11" t="str">
        <f>"201402009604"</f>
        <v>201402009604</v>
      </c>
    </row>
    <row r="35048" spans="1:2" x14ac:dyDescent="0.25">
      <c r="A35048" s="2">
        <v>35043</v>
      </c>
      <c r="B35048" s="11" t="str">
        <f>"201402009628"</f>
        <v>201402009628</v>
      </c>
    </row>
    <row r="35049" spans="1:2" x14ac:dyDescent="0.25">
      <c r="A35049" s="2">
        <v>35044</v>
      </c>
      <c r="B35049" s="11" t="str">
        <f>"201402009691"</f>
        <v>201402009691</v>
      </c>
    </row>
    <row r="35050" spans="1:2" x14ac:dyDescent="0.25">
      <c r="A35050" s="2">
        <v>35045</v>
      </c>
      <c r="B35050" s="11" t="str">
        <f>"201402009738"</f>
        <v>201402009738</v>
      </c>
    </row>
    <row r="35051" spans="1:2" x14ac:dyDescent="0.25">
      <c r="A35051" s="2">
        <v>35046</v>
      </c>
      <c r="B35051" s="11" t="str">
        <f>"201402009746"</f>
        <v>201402009746</v>
      </c>
    </row>
    <row r="35052" spans="1:2" x14ac:dyDescent="0.25">
      <c r="A35052" s="2">
        <v>35047</v>
      </c>
      <c r="B35052" s="11" t="str">
        <f>"201402009785"</f>
        <v>201402009785</v>
      </c>
    </row>
    <row r="35053" spans="1:2" x14ac:dyDescent="0.25">
      <c r="A35053" s="2">
        <v>35048</v>
      </c>
      <c r="B35053" s="11" t="str">
        <f>"201402009954"</f>
        <v>201402009954</v>
      </c>
    </row>
    <row r="35054" spans="1:2" x14ac:dyDescent="0.25">
      <c r="A35054" s="2">
        <v>35049</v>
      </c>
      <c r="B35054" s="11" t="str">
        <f>"201402009964"</f>
        <v>201402009964</v>
      </c>
    </row>
    <row r="35055" spans="1:2" x14ac:dyDescent="0.25">
      <c r="A35055" s="2">
        <v>35050</v>
      </c>
      <c r="B35055" s="11" t="str">
        <f>"201402009986"</f>
        <v>201402009986</v>
      </c>
    </row>
    <row r="35056" spans="1:2" x14ac:dyDescent="0.25">
      <c r="A35056" s="2">
        <v>35051</v>
      </c>
      <c r="B35056" s="11" t="str">
        <f>"201402010003"</f>
        <v>201402010003</v>
      </c>
    </row>
    <row r="35057" spans="1:2" x14ac:dyDescent="0.25">
      <c r="A35057" s="2">
        <v>35052</v>
      </c>
      <c r="B35057" s="11" t="str">
        <f>"201402010013"</f>
        <v>201402010013</v>
      </c>
    </row>
    <row r="35058" spans="1:2" x14ac:dyDescent="0.25">
      <c r="A35058" s="2">
        <v>35053</v>
      </c>
      <c r="B35058" s="11" t="str">
        <f>"201402010024"</f>
        <v>201402010024</v>
      </c>
    </row>
    <row r="35059" spans="1:2" x14ac:dyDescent="0.25">
      <c r="A35059" s="2">
        <v>35054</v>
      </c>
      <c r="B35059" s="11" t="str">
        <f>"201402010109"</f>
        <v>201402010109</v>
      </c>
    </row>
    <row r="35060" spans="1:2" x14ac:dyDescent="0.25">
      <c r="A35060" s="2">
        <v>35055</v>
      </c>
      <c r="B35060" s="11" t="str">
        <f>"201402010139"</f>
        <v>201402010139</v>
      </c>
    </row>
    <row r="35061" spans="1:2" x14ac:dyDescent="0.25">
      <c r="A35061" s="2">
        <v>35056</v>
      </c>
      <c r="B35061" s="11" t="str">
        <f>"201402010162"</f>
        <v>201402010162</v>
      </c>
    </row>
    <row r="35062" spans="1:2" x14ac:dyDescent="0.25">
      <c r="A35062" s="2">
        <v>35057</v>
      </c>
      <c r="B35062" s="11" t="str">
        <f>"201402010180"</f>
        <v>201402010180</v>
      </c>
    </row>
    <row r="35063" spans="1:2" x14ac:dyDescent="0.25">
      <c r="A35063" s="2">
        <v>35058</v>
      </c>
      <c r="B35063" s="11" t="str">
        <f>"201402010205"</f>
        <v>201402010205</v>
      </c>
    </row>
    <row r="35064" spans="1:2" x14ac:dyDescent="0.25">
      <c r="A35064" s="2">
        <v>35059</v>
      </c>
      <c r="B35064" s="11" t="str">
        <f>"201402010237"</f>
        <v>201402010237</v>
      </c>
    </row>
    <row r="35065" spans="1:2" x14ac:dyDescent="0.25">
      <c r="A35065" s="2">
        <v>35060</v>
      </c>
      <c r="B35065" s="11" t="str">
        <f>"201402010269"</f>
        <v>201402010269</v>
      </c>
    </row>
    <row r="35066" spans="1:2" x14ac:dyDescent="0.25">
      <c r="A35066" s="2">
        <v>35061</v>
      </c>
      <c r="B35066" s="11" t="str">
        <f>"201402010282"</f>
        <v>201402010282</v>
      </c>
    </row>
    <row r="35067" spans="1:2" x14ac:dyDescent="0.25">
      <c r="A35067" s="2">
        <v>35062</v>
      </c>
      <c r="B35067" s="11" t="str">
        <f>"201402010294"</f>
        <v>201402010294</v>
      </c>
    </row>
    <row r="35068" spans="1:2" x14ac:dyDescent="0.25">
      <c r="A35068" s="2">
        <v>35063</v>
      </c>
      <c r="B35068" s="11" t="str">
        <f>"201402010439"</f>
        <v>201402010439</v>
      </c>
    </row>
    <row r="35069" spans="1:2" x14ac:dyDescent="0.25">
      <c r="A35069" s="2">
        <v>35064</v>
      </c>
      <c r="B35069" s="11" t="str">
        <f>"201402010450"</f>
        <v>201402010450</v>
      </c>
    </row>
    <row r="35070" spans="1:2" x14ac:dyDescent="0.25">
      <c r="A35070" s="2">
        <v>35065</v>
      </c>
      <c r="B35070" s="11" t="str">
        <f>"201402010553"</f>
        <v>201402010553</v>
      </c>
    </row>
    <row r="35071" spans="1:2" x14ac:dyDescent="0.25">
      <c r="A35071" s="2">
        <v>35066</v>
      </c>
      <c r="B35071" s="11" t="str">
        <f>"201402010605"</f>
        <v>201402010605</v>
      </c>
    </row>
    <row r="35072" spans="1:2" x14ac:dyDescent="0.25">
      <c r="A35072" s="2">
        <v>35067</v>
      </c>
      <c r="B35072" s="11" t="str">
        <f>"201402010636"</f>
        <v>201402010636</v>
      </c>
    </row>
    <row r="35073" spans="1:2" x14ac:dyDescent="0.25">
      <c r="A35073" s="2">
        <v>35068</v>
      </c>
      <c r="B35073" s="11" t="str">
        <f>"201402010672"</f>
        <v>201402010672</v>
      </c>
    </row>
    <row r="35074" spans="1:2" x14ac:dyDescent="0.25">
      <c r="A35074" s="2">
        <v>35069</v>
      </c>
      <c r="B35074" s="11" t="str">
        <f>"201402010749"</f>
        <v>201402010749</v>
      </c>
    </row>
    <row r="35075" spans="1:2" x14ac:dyDescent="0.25">
      <c r="A35075" s="2">
        <v>35070</v>
      </c>
      <c r="B35075" s="11" t="str">
        <f>"201402010818"</f>
        <v>201402010818</v>
      </c>
    </row>
    <row r="35076" spans="1:2" x14ac:dyDescent="0.25">
      <c r="A35076" s="2">
        <v>35071</v>
      </c>
      <c r="B35076" s="11" t="str">
        <f>"201402010936"</f>
        <v>201402010936</v>
      </c>
    </row>
    <row r="35077" spans="1:2" x14ac:dyDescent="0.25">
      <c r="A35077" s="2">
        <v>35072</v>
      </c>
      <c r="B35077" s="11" t="str">
        <f>"201402010962"</f>
        <v>201402010962</v>
      </c>
    </row>
    <row r="35078" spans="1:2" x14ac:dyDescent="0.25">
      <c r="A35078" s="2">
        <v>35073</v>
      </c>
      <c r="B35078" s="11" t="str">
        <f>"201402010964"</f>
        <v>201402010964</v>
      </c>
    </row>
    <row r="35079" spans="1:2" x14ac:dyDescent="0.25">
      <c r="A35079" s="2">
        <v>35074</v>
      </c>
      <c r="B35079" s="11" t="str">
        <f>"201402011020"</f>
        <v>201402011020</v>
      </c>
    </row>
    <row r="35080" spans="1:2" x14ac:dyDescent="0.25">
      <c r="A35080" s="2">
        <v>35075</v>
      </c>
      <c r="B35080" s="11" t="str">
        <f>"201402011055"</f>
        <v>201402011055</v>
      </c>
    </row>
    <row r="35081" spans="1:2" x14ac:dyDescent="0.25">
      <c r="A35081" s="2">
        <v>35076</v>
      </c>
      <c r="B35081" s="11" t="str">
        <f>"201402011142"</f>
        <v>201402011142</v>
      </c>
    </row>
    <row r="35082" spans="1:2" x14ac:dyDescent="0.25">
      <c r="A35082" s="2">
        <v>35077</v>
      </c>
      <c r="B35082" s="11" t="str">
        <f>"201402011146"</f>
        <v>201402011146</v>
      </c>
    </row>
    <row r="35083" spans="1:2" x14ac:dyDescent="0.25">
      <c r="A35083" s="2">
        <v>35078</v>
      </c>
      <c r="B35083" s="11" t="str">
        <f>"201402011283"</f>
        <v>201402011283</v>
      </c>
    </row>
    <row r="35084" spans="1:2" x14ac:dyDescent="0.25">
      <c r="A35084" s="2">
        <v>35079</v>
      </c>
      <c r="B35084" s="11" t="str">
        <f>"201402011334"</f>
        <v>201402011334</v>
      </c>
    </row>
    <row r="35085" spans="1:2" x14ac:dyDescent="0.25">
      <c r="A35085" s="2">
        <v>35080</v>
      </c>
      <c r="B35085" s="11" t="str">
        <f>"201402011361"</f>
        <v>201402011361</v>
      </c>
    </row>
    <row r="35086" spans="1:2" x14ac:dyDescent="0.25">
      <c r="A35086" s="2">
        <v>35081</v>
      </c>
      <c r="B35086" s="11" t="str">
        <f>"201402011391"</f>
        <v>201402011391</v>
      </c>
    </row>
    <row r="35087" spans="1:2" x14ac:dyDescent="0.25">
      <c r="A35087" s="2">
        <v>35082</v>
      </c>
      <c r="B35087" s="11" t="str">
        <f>"201402011430"</f>
        <v>201402011430</v>
      </c>
    </row>
    <row r="35088" spans="1:2" x14ac:dyDescent="0.25">
      <c r="A35088" s="2">
        <v>35083</v>
      </c>
      <c r="B35088" s="11" t="str">
        <f>"201402011497"</f>
        <v>201402011497</v>
      </c>
    </row>
    <row r="35089" spans="1:2" x14ac:dyDescent="0.25">
      <c r="A35089" s="2">
        <v>35084</v>
      </c>
      <c r="B35089" s="11" t="str">
        <f>"201402011507"</f>
        <v>201402011507</v>
      </c>
    </row>
    <row r="35090" spans="1:2" x14ac:dyDescent="0.25">
      <c r="A35090" s="2">
        <v>35085</v>
      </c>
      <c r="B35090" s="11" t="str">
        <f>"201402011615"</f>
        <v>201402011615</v>
      </c>
    </row>
    <row r="35091" spans="1:2" x14ac:dyDescent="0.25">
      <c r="A35091" s="2">
        <v>35086</v>
      </c>
      <c r="B35091" s="11" t="str">
        <f>"201402011669"</f>
        <v>201402011669</v>
      </c>
    </row>
    <row r="35092" spans="1:2" x14ac:dyDescent="0.25">
      <c r="A35092" s="2">
        <v>35087</v>
      </c>
      <c r="B35092" s="11" t="str">
        <f>"201402011763"</f>
        <v>201402011763</v>
      </c>
    </row>
    <row r="35093" spans="1:2" x14ac:dyDescent="0.25">
      <c r="A35093" s="2">
        <v>35088</v>
      </c>
      <c r="B35093" s="11" t="str">
        <f>"201402011782"</f>
        <v>201402011782</v>
      </c>
    </row>
    <row r="35094" spans="1:2" x14ac:dyDescent="0.25">
      <c r="A35094" s="2">
        <v>35089</v>
      </c>
      <c r="B35094" s="11" t="str">
        <f>"201402011840"</f>
        <v>201402011840</v>
      </c>
    </row>
    <row r="35095" spans="1:2" x14ac:dyDescent="0.25">
      <c r="A35095" s="2">
        <v>35090</v>
      </c>
      <c r="B35095" s="11" t="str">
        <f>"201402011907"</f>
        <v>201402011907</v>
      </c>
    </row>
    <row r="35096" spans="1:2" x14ac:dyDescent="0.25">
      <c r="A35096" s="2">
        <v>35091</v>
      </c>
      <c r="B35096" s="11" t="str">
        <f>"201402011997"</f>
        <v>201402011997</v>
      </c>
    </row>
    <row r="35097" spans="1:2" x14ac:dyDescent="0.25">
      <c r="A35097" s="2">
        <v>35092</v>
      </c>
      <c r="B35097" s="11" t="str">
        <f>"201402012074"</f>
        <v>201402012074</v>
      </c>
    </row>
    <row r="35098" spans="1:2" x14ac:dyDescent="0.25">
      <c r="A35098" s="2">
        <v>35093</v>
      </c>
      <c r="B35098" s="11" t="str">
        <f>"201402012097"</f>
        <v>201402012097</v>
      </c>
    </row>
    <row r="35099" spans="1:2" x14ac:dyDescent="0.25">
      <c r="A35099" s="2">
        <v>35094</v>
      </c>
      <c r="B35099" s="11" t="str">
        <f>"201402012109"</f>
        <v>201402012109</v>
      </c>
    </row>
    <row r="35100" spans="1:2" x14ac:dyDescent="0.25">
      <c r="A35100" s="2">
        <v>35095</v>
      </c>
      <c r="B35100" s="11" t="str">
        <f>"201402012118"</f>
        <v>201402012118</v>
      </c>
    </row>
    <row r="35101" spans="1:2" x14ac:dyDescent="0.25">
      <c r="A35101" s="2">
        <v>35096</v>
      </c>
      <c r="B35101" s="11" t="str">
        <f>"201402012131"</f>
        <v>201402012131</v>
      </c>
    </row>
    <row r="35102" spans="1:2" x14ac:dyDescent="0.25">
      <c r="A35102" s="2">
        <v>35097</v>
      </c>
      <c r="B35102" s="11" t="str">
        <f>"201402012138"</f>
        <v>201402012138</v>
      </c>
    </row>
    <row r="35103" spans="1:2" x14ac:dyDescent="0.25">
      <c r="A35103" s="2">
        <v>35098</v>
      </c>
      <c r="B35103" s="11" t="str">
        <f>"201402012148"</f>
        <v>201402012148</v>
      </c>
    </row>
    <row r="35104" spans="1:2" x14ac:dyDescent="0.25">
      <c r="A35104" s="2">
        <v>35099</v>
      </c>
      <c r="B35104" s="11" t="str">
        <f>"201402012328"</f>
        <v>201402012328</v>
      </c>
    </row>
    <row r="35105" spans="1:2" x14ac:dyDescent="0.25">
      <c r="A35105" s="2">
        <v>35100</v>
      </c>
      <c r="B35105" s="11" t="str">
        <f>"201402012330"</f>
        <v>201402012330</v>
      </c>
    </row>
    <row r="35106" spans="1:2" x14ac:dyDescent="0.25">
      <c r="A35106" s="2">
        <v>35101</v>
      </c>
      <c r="B35106" s="11" t="str">
        <f>"201402012393"</f>
        <v>201402012393</v>
      </c>
    </row>
    <row r="35107" spans="1:2" x14ac:dyDescent="0.25">
      <c r="A35107" s="2">
        <v>35102</v>
      </c>
      <c r="B35107" s="11" t="str">
        <f>"201402012484"</f>
        <v>201402012484</v>
      </c>
    </row>
    <row r="35108" spans="1:2" x14ac:dyDescent="0.25">
      <c r="A35108" s="2">
        <v>35103</v>
      </c>
      <c r="B35108" s="11" t="str">
        <f>"201403000004"</f>
        <v>201403000004</v>
      </c>
    </row>
    <row r="35109" spans="1:2" x14ac:dyDescent="0.25">
      <c r="A35109" s="2">
        <v>35104</v>
      </c>
      <c r="B35109" s="11" t="str">
        <f>"201403000020"</f>
        <v>201403000020</v>
      </c>
    </row>
    <row r="35110" spans="1:2" x14ac:dyDescent="0.25">
      <c r="A35110" s="2">
        <v>35105</v>
      </c>
      <c r="B35110" s="11" t="str">
        <f>"201403000184"</f>
        <v>201403000184</v>
      </c>
    </row>
    <row r="35111" spans="1:2" x14ac:dyDescent="0.25">
      <c r="A35111" s="2">
        <v>35106</v>
      </c>
      <c r="B35111" s="11" t="str">
        <f>"201403000191"</f>
        <v>201403000191</v>
      </c>
    </row>
    <row r="35112" spans="1:2" x14ac:dyDescent="0.25">
      <c r="A35112" s="2">
        <v>35107</v>
      </c>
      <c r="B35112" s="11" t="str">
        <f>"201403000200"</f>
        <v>201403000200</v>
      </c>
    </row>
    <row r="35113" spans="1:2" x14ac:dyDescent="0.25">
      <c r="A35113" s="2">
        <v>35108</v>
      </c>
      <c r="B35113" s="11" t="str">
        <f>"201403000240"</f>
        <v>201403000240</v>
      </c>
    </row>
    <row r="35114" spans="1:2" x14ac:dyDescent="0.25">
      <c r="A35114" s="2">
        <v>35109</v>
      </c>
      <c r="B35114" s="11" t="str">
        <f>"201404000023"</f>
        <v>201404000023</v>
      </c>
    </row>
    <row r="35115" spans="1:2" x14ac:dyDescent="0.25">
      <c r="A35115" s="2">
        <v>35110</v>
      </c>
      <c r="B35115" s="11" t="str">
        <f>"201404000082"</f>
        <v>201404000082</v>
      </c>
    </row>
    <row r="35116" spans="1:2" x14ac:dyDescent="0.25">
      <c r="A35116" s="2">
        <v>35111</v>
      </c>
      <c r="B35116" s="11" t="str">
        <f>"201404000085"</f>
        <v>201404000085</v>
      </c>
    </row>
    <row r="35117" spans="1:2" x14ac:dyDescent="0.25">
      <c r="A35117" s="2">
        <v>35112</v>
      </c>
      <c r="B35117" s="11" t="str">
        <f>"201404000088"</f>
        <v>201404000088</v>
      </c>
    </row>
    <row r="35118" spans="1:2" x14ac:dyDescent="0.25">
      <c r="A35118" s="2">
        <v>35113</v>
      </c>
      <c r="B35118" s="11" t="str">
        <f>"201404000137"</f>
        <v>201404000137</v>
      </c>
    </row>
    <row r="35119" spans="1:2" x14ac:dyDescent="0.25">
      <c r="A35119" s="2">
        <v>35114</v>
      </c>
      <c r="B35119" s="11" t="str">
        <f>"201405000053"</f>
        <v>201405000053</v>
      </c>
    </row>
    <row r="35120" spans="1:2" x14ac:dyDescent="0.25">
      <c r="A35120" s="2">
        <v>35115</v>
      </c>
      <c r="B35120" s="11" t="str">
        <f>"201405000061"</f>
        <v>201405000061</v>
      </c>
    </row>
    <row r="35121" spans="1:2" x14ac:dyDescent="0.25">
      <c r="A35121" s="2">
        <v>35116</v>
      </c>
      <c r="B35121" s="11" t="str">
        <f>"201405000073"</f>
        <v>201405000073</v>
      </c>
    </row>
    <row r="35122" spans="1:2" x14ac:dyDescent="0.25">
      <c r="A35122" s="2">
        <v>35117</v>
      </c>
      <c r="B35122" s="11" t="str">
        <f>"201405000086"</f>
        <v>201405000086</v>
      </c>
    </row>
    <row r="35123" spans="1:2" x14ac:dyDescent="0.25">
      <c r="A35123" s="2">
        <v>35118</v>
      </c>
      <c r="B35123" s="11" t="str">
        <f>"201405000127"</f>
        <v>201405000127</v>
      </c>
    </row>
    <row r="35124" spans="1:2" x14ac:dyDescent="0.25">
      <c r="A35124" s="2">
        <v>35119</v>
      </c>
      <c r="B35124" s="11" t="str">
        <f>"201405000129"</f>
        <v>201405000129</v>
      </c>
    </row>
    <row r="35125" spans="1:2" x14ac:dyDescent="0.25">
      <c r="A35125" s="2">
        <v>35120</v>
      </c>
      <c r="B35125" s="11" t="str">
        <f>"201405000152"</f>
        <v>201405000152</v>
      </c>
    </row>
    <row r="35126" spans="1:2" x14ac:dyDescent="0.25">
      <c r="A35126" s="2">
        <v>35121</v>
      </c>
      <c r="B35126" s="11" t="str">
        <f>"201405000154"</f>
        <v>201405000154</v>
      </c>
    </row>
    <row r="35127" spans="1:2" x14ac:dyDescent="0.25">
      <c r="A35127" s="2">
        <v>35122</v>
      </c>
      <c r="B35127" s="11" t="str">
        <f>"201405000195"</f>
        <v>201405000195</v>
      </c>
    </row>
    <row r="35128" spans="1:2" x14ac:dyDescent="0.25">
      <c r="A35128" s="2">
        <v>35123</v>
      </c>
      <c r="B35128" s="11" t="str">
        <f>"201405000216"</f>
        <v>201405000216</v>
      </c>
    </row>
    <row r="35129" spans="1:2" x14ac:dyDescent="0.25">
      <c r="A35129" s="2">
        <v>35124</v>
      </c>
      <c r="B35129" s="11" t="str">
        <f>"201405000228"</f>
        <v>201405000228</v>
      </c>
    </row>
    <row r="35130" spans="1:2" x14ac:dyDescent="0.25">
      <c r="A35130" s="2">
        <v>35125</v>
      </c>
      <c r="B35130" s="11" t="str">
        <f>"201405000271"</f>
        <v>201405000271</v>
      </c>
    </row>
    <row r="35131" spans="1:2" x14ac:dyDescent="0.25">
      <c r="A35131" s="2">
        <v>35126</v>
      </c>
      <c r="B35131" s="11" t="str">
        <f>"201405000360"</f>
        <v>201405000360</v>
      </c>
    </row>
    <row r="35132" spans="1:2" x14ac:dyDescent="0.25">
      <c r="A35132" s="2">
        <v>35127</v>
      </c>
      <c r="B35132" s="11" t="str">
        <f>"201405000368"</f>
        <v>201405000368</v>
      </c>
    </row>
    <row r="35133" spans="1:2" x14ac:dyDescent="0.25">
      <c r="A35133" s="2">
        <v>35128</v>
      </c>
      <c r="B35133" s="11" t="str">
        <f>"201405000414"</f>
        <v>201405000414</v>
      </c>
    </row>
    <row r="35134" spans="1:2" x14ac:dyDescent="0.25">
      <c r="A35134" s="2">
        <v>35129</v>
      </c>
      <c r="B35134" s="11" t="str">
        <f>"201405000434"</f>
        <v>201405000434</v>
      </c>
    </row>
    <row r="35135" spans="1:2" x14ac:dyDescent="0.25">
      <c r="A35135" s="2">
        <v>35130</v>
      </c>
      <c r="B35135" s="11" t="str">
        <f>"201405000462"</f>
        <v>201405000462</v>
      </c>
    </row>
    <row r="35136" spans="1:2" x14ac:dyDescent="0.25">
      <c r="A35136" s="2">
        <v>35131</v>
      </c>
      <c r="B35136" s="11" t="str">
        <f>"201405000473"</f>
        <v>201405000473</v>
      </c>
    </row>
    <row r="35137" spans="1:2" x14ac:dyDescent="0.25">
      <c r="A35137" s="2">
        <v>35132</v>
      </c>
      <c r="B35137" s="11" t="str">
        <f>"201405000478"</f>
        <v>201405000478</v>
      </c>
    </row>
    <row r="35138" spans="1:2" x14ac:dyDescent="0.25">
      <c r="A35138" s="2">
        <v>35133</v>
      </c>
      <c r="B35138" s="11" t="str">
        <f>"201405000481"</f>
        <v>201405000481</v>
      </c>
    </row>
    <row r="35139" spans="1:2" x14ac:dyDescent="0.25">
      <c r="A35139" s="2">
        <v>35134</v>
      </c>
      <c r="B35139" s="11" t="str">
        <f>"201405000505"</f>
        <v>201405000505</v>
      </c>
    </row>
    <row r="35140" spans="1:2" x14ac:dyDescent="0.25">
      <c r="A35140" s="2">
        <v>35135</v>
      </c>
      <c r="B35140" s="11" t="str">
        <f>"201405000509"</f>
        <v>201405000509</v>
      </c>
    </row>
    <row r="35141" spans="1:2" x14ac:dyDescent="0.25">
      <c r="A35141" s="2">
        <v>35136</v>
      </c>
      <c r="B35141" s="11" t="str">
        <f>"201405000523"</f>
        <v>201405000523</v>
      </c>
    </row>
    <row r="35142" spans="1:2" x14ac:dyDescent="0.25">
      <c r="A35142" s="2">
        <v>35137</v>
      </c>
      <c r="B35142" s="11" t="str">
        <f>"201405000541"</f>
        <v>201405000541</v>
      </c>
    </row>
    <row r="35143" spans="1:2" x14ac:dyDescent="0.25">
      <c r="A35143" s="2">
        <v>35138</v>
      </c>
      <c r="B35143" s="11" t="str">
        <f>"201405000562"</f>
        <v>201405000562</v>
      </c>
    </row>
    <row r="35144" spans="1:2" x14ac:dyDescent="0.25">
      <c r="A35144" s="2">
        <v>35139</v>
      </c>
      <c r="B35144" s="11" t="str">
        <f>"201405000593"</f>
        <v>201405000593</v>
      </c>
    </row>
    <row r="35145" spans="1:2" x14ac:dyDescent="0.25">
      <c r="A35145" s="2">
        <v>35140</v>
      </c>
      <c r="B35145" s="11" t="str">
        <f>"201405000607"</f>
        <v>201405000607</v>
      </c>
    </row>
    <row r="35146" spans="1:2" x14ac:dyDescent="0.25">
      <c r="A35146" s="2">
        <v>35141</v>
      </c>
      <c r="B35146" s="11" t="str">
        <f>"201405000609"</f>
        <v>201405000609</v>
      </c>
    </row>
    <row r="35147" spans="1:2" x14ac:dyDescent="0.25">
      <c r="A35147" s="2">
        <v>35142</v>
      </c>
      <c r="B35147" s="11" t="str">
        <f>"201405000664"</f>
        <v>201405000664</v>
      </c>
    </row>
    <row r="35148" spans="1:2" x14ac:dyDescent="0.25">
      <c r="A35148" s="2">
        <v>35143</v>
      </c>
      <c r="B35148" s="11" t="str">
        <f>"201405000667"</f>
        <v>201405000667</v>
      </c>
    </row>
    <row r="35149" spans="1:2" x14ac:dyDescent="0.25">
      <c r="A35149" s="2">
        <v>35144</v>
      </c>
      <c r="B35149" s="11" t="str">
        <f>"201405000680"</f>
        <v>201405000680</v>
      </c>
    </row>
    <row r="35150" spans="1:2" x14ac:dyDescent="0.25">
      <c r="A35150" s="2">
        <v>35145</v>
      </c>
      <c r="B35150" s="11" t="str">
        <f>"201405000682"</f>
        <v>201405000682</v>
      </c>
    </row>
    <row r="35151" spans="1:2" x14ac:dyDescent="0.25">
      <c r="A35151" s="2">
        <v>35146</v>
      </c>
      <c r="B35151" s="11" t="str">
        <f>"201405000700"</f>
        <v>201405000700</v>
      </c>
    </row>
    <row r="35152" spans="1:2" x14ac:dyDescent="0.25">
      <c r="A35152" s="2">
        <v>35147</v>
      </c>
      <c r="B35152" s="11" t="str">
        <f>"201405000720"</f>
        <v>201405000720</v>
      </c>
    </row>
    <row r="35153" spans="1:2" x14ac:dyDescent="0.25">
      <c r="A35153" s="2">
        <v>35148</v>
      </c>
      <c r="B35153" s="11" t="str">
        <f>"201405000722"</f>
        <v>201405000722</v>
      </c>
    </row>
    <row r="35154" spans="1:2" x14ac:dyDescent="0.25">
      <c r="A35154" s="2">
        <v>35149</v>
      </c>
      <c r="B35154" s="11" t="str">
        <f>"201405000729"</f>
        <v>201405000729</v>
      </c>
    </row>
    <row r="35155" spans="1:2" x14ac:dyDescent="0.25">
      <c r="A35155" s="2">
        <v>35150</v>
      </c>
      <c r="B35155" s="11" t="str">
        <f>"201405000767"</f>
        <v>201405000767</v>
      </c>
    </row>
    <row r="35156" spans="1:2" x14ac:dyDescent="0.25">
      <c r="A35156" s="2">
        <v>35151</v>
      </c>
      <c r="B35156" s="11" t="str">
        <f>"201405000806"</f>
        <v>201405000806</v>
      </c>
    </row>
    <row r="35157" spans="1:2" x14ac:dyDescent="0.25">
      <c r="A35157" s="2">
        <v>35152</v>
      </c>
      <c r="B35157" s="11" t="str">
        <f>"201405000830"</f>
        <v>201405000830</v>
      </c>
    </row>
    <row r="35158" spans="1:2" x14ac:dyDescent="0.25">
      <c r="A35158" s="2">
        <v>35153</v>
      </c>
      <c r="B35158" s="11" t="str">
        <f>"201405000895"</f>
        <v>201405000895</v>
      </c>
    </row>
    <row r="35159" spans="1:2" x14ac:dyDescent="0.25">
      <c r="A35159" s="2">
        <v>35154</v>
      </c>
      <c r="B35159" s="11" t="str">
        <f>"201405000912"</f>
        <v>201405000912</v>
      </c>
    </row>
    <row r="35160" spans="1:2" x14ac:dyDescent="0.25">
      <c r="A35160" s="2">
        <v>35155</v>
      </c>
      <c r="B35160" s="11" t="str">
        <f>"201405000915"</f>
        <v>201405000915</v>
      </c>
    </row>
    <row r="35161" spans="1:2" x14ac:dyDescent="0.25">
      <c r="A35161" s="2">
        <v>35156</v>
      </c>
      <c r="B35161" s="11" t="str">
        <f>"201405000917"</f>
        <v>201405000917</v>
      </c>
    </row>
    <row r="35162" spans="1:2" x14ac:dyDescent="0.25">
      <c r="A35162" s="2">
        <v>35157</v>
      </c>
      <c r="B35162" s="11" t="str">
        <f>"201405000994"</f>
        <v>201405000994</v>
      </c>
    </row>
    <row r="35163" spans="1:2" x14ac:dyDescent="0.25">
      <c r="A35163" s="2">
        <v>35158</v>
      </c>
      <c r="B35163" s="11" t="str">
        <f>"201405001040"</f>
        <v>201405001040</v>
      </c>
    </row>
    <row r="35164" spans="1:2" x14ac:dyDescent="0.25">
      <c r="A35164" s="2">
        <v>35159</v>
      </c>
      <c r="B35164" s="11" t="str">
        <f>"201405001041"</f>
        <v>201405001041</v>
      </c>
    </row>
    <row r="35165" spans="1:2" x14ac:dyDescent="0.25">
      <c r="A35165" s="2">
        <v>35160</v>
      </c>
      <c r="B35165" s="11" t="str">
        <f>"201405001043"</f>
        <v>201405001043</v>
      </c>
    </row>
    <row r="35166" spans="1:2" x14ac:dyDescent="0.25">
      <c r="A35166" s="2">
        <v>35161</v>
      </c>
      <c r="B35166" s="11" t="str">
        <f>"201405001048"</f>
        <v>201405001048</v>
      </c>
    </row>
    <row r="35167" spans="1:2" x14ac:dyDescent="0.25">
      <c r="A35167" s="2">
        <v>35162</v>
      </c>
      <c r="B35167" s="11" t="str">
        <f>"201405001092"</f>
        <v>201405001092</v>
      </c>
    </row>
    <row r="35168" spans="1:2" x14ac:dyDescent="0.25">
      <c r="A35168" s="2">
        <v>35163</v>
      </c>
      <c r="B35168" s="11" t="str">
        <f>"201405001129"</f>
        <v>201405001129</v>
      </c>
    </row>
    <row r="35169" spans="1:2" x14ac:dyDescent="0.25">
      <c r="A35169" s="2">
        <v>35164</v>
      </c>
      <c r="B35169" s="11" t="str">
        <f>"201405001177"</f>
        <v>201405001177</v>
      </c>
    </row>
    <row r="35170" spans="1:2" x14ac:dyDescent="0.25">
      <c r="A35170" s="2">
        <v>35165</v>
      </c>
      <c r="B35170" s="11" t="str">
        <f>"201405001201"</f>
        <v>201405001201</v>
      </c>
    </row>
    <row r="35171" spans="1:2" x14ac:dyDescent="0.25">
      <c r="A35171" s="2">
        <v>35166</v>
      </c>
      <c r="B35171" s="11" t="str">
        <f>"201405001209"</f>
        <v>201405001209</v>
      </c>
    </row>
    <row r="35172" spans="1:2" x14ac:dyDescent="0.25">
      <c r="A35172" s="2">
        <v>35167</v>
      </c>
      <c r="B35172" s="11" t="str">
        <f>"201405001216"</f>
        <v>201405001216</v>
      </c>
    </row>
    <row r="35173" spans="1:2" x14ac:dyDescent="0.25">
      <c r="A35173" s="2">
        <v>35168</v>
      </c>
      <c r="B35173" s="11" t="str">
        <f>"201405001225"</f>
        <v>201405001225</v>
      </c>
    </row>
    <row r="35174" spans="1:2" x14ac:dyDescent="0.25">
      <c r="A35174" s="2">
        <v>35169</v>
      </c>
      <c r="B35174" s="11" t="str">
        <f>"201405001231"</f>
        <v>201405001231</v>
      </c>
    </row>
    <row r="35175" spans="1:2" x14ac:dyDescent="0.25">
      <c r="A35175" s="2">
        <v>35170</v>
      </c>
      <c r="B35175" s="11" t="str">
        <f>"201405001266"</f>
        <v>201405001266</v>
      </c>
    </row>
    <row r="35176" spans="1:2" x14ac:dyDescent="0.25">
      <c r="A35176" s="2">
        <v>35171</v>
      </c>
      <c r="B35176" s="11" t="str">
        <f>"201405001283"</f>
        <v>201405001283</v>
      </c>
    </row>
    <row r="35177" spans="1:2" x14ac:dyDescent="0.25">
      <c r="A35177" s="2">
        <v>35172</v>
      </c>
      <c r="B35177" s="11" t="str">
        <f>"201405001322"</f>
        <v>201405001322</v>
      </c>
    </row>
    <row r="35178" spans="1:2" x14ac:dyDescent="0.25">
      <c r="A35178" s="2">
        <v>35173</v>
      </c>
      <c r="B35178" s="11" t="str">
        <f>"201405001332"</f>
        <v>201405001332</v>
      </c>
    </row>
    <row r="35179" spans="1:2" x14ac:dyDescent="0.25">
      <c r="A35179" s="2">
        <v>35174</v>
      </c>
      <c r="B35179" s="11" t="str">
        <f>"201405001342"</f>
        <v>201405001342</v>
      </c>
    </row>
    <row r="35180" spans="1:2" x14ac:dyDescent="0.25">
      <c r="A35180" s="2">
        <v>35175</v>
      </c>
      <c r="B35180" s="11" t="str">
        <f>"201405001374"</f>
        <v>201405001374</v>
      </c>
    </row>
    <row r="35181" spans="1:2" x14ac:dyDescent="0.25">
      <c r="A35181" s="2">
        <v>35176</v>
      </c>
      <c r="B35181" s="11" t="str">
        <f>"201405001391"</f>
        <v>201405001391</v>
      </c>
    </row>
    <row r="35182" spans="1:2" x14ac:dyDescent="0.25">
      <c r="A35182" s="2">
        <v>35177</v>
      </c>
      <c r="B35182" s="11" t="str">
        <f>"201405001404"</f>
        <v>201405001404</v>
      </c>
    </row>
    <row r="35183" spans="1:2" x14ac:dyDescent="0.25">
      <c r="A35183" s="2">
        <v>35178</v>
      </c>
      <c r="B35183" s="11" t="str">
        <f>"201405001414"</f>
        <v>201405001414</v>
      </c>
    </row>
    <row r="35184" spans="1:2" x14ac:dyDescent="0.25">
      <c r="A35184" s="2">
        <v>35179</v>
      </c>
      <c r="B35184" s="11" t="str">
        <f>"201405001433"</f>
        <v>201405001433</v>
      </c>
    </row>
    <row r="35185" spans="1:2" x14ac:dyDescent="0.25">
      <c r="A35185" s="2">
        <v>35180</v>
      </c>
      <c r="B35185" s="11" t="str">
        <f>"201405001485"</f>
        <v>201405001485</v>
      </c>
    </row>
    <row r="35186" spans="1:2" x14ac:dyDescent="0.25">
      <c r="A35186" s="2">
        <v>35181</v>
      </c>
      <c r="B35186" s="11" t="str">
        <f>"201405001534"</f>
        <v>201405001534</v>
      </c>
    </row>
    <row r="35187" spans="1:2" x14ac:dyDescent="0.25">
      <c r="A35187" s="2">
        <v>35182</v>
      </c>
      <c r="B35187" s="11" t="str">
        <f>"201405001550"</f>
        <v>201405001550</v>
      </c>
    </row>
    <row r="35188" spans="1:2" x14ac:dyDescent="0.25">
      <c r="A35188" s="2">
        <v>35183</v>
      </c>
      <c r="B35188" s="11" t="str">
        <f>"201405001607"</f>
        <v>201405001607</v>
      </c>
    </row>
    <row r="35189" spans="1:2" x14ac:dyDescent="0.25">
      <c r="A35189" s="2">
        <v>35184</v>
      </c>
      <c r="B35189" s="11" t="str">
        <f>"201405001610"</f>
        <v>201405001610</v>
      </c>
    </row>
    <row r="35190" spans="1:2" x14ac:dyDescent="0.25">
      <c r="A35190" s="2">
        <v>35185</v>
      </c>
      <c r="B35190" s="11" t="str">
        <f>"201405001623"</f>
        <v>201405001623</v>
      </c>
    </row>
    <row r="35191" spans="1:2" x14ac:dyDescent="0.25">
      <c r="A35191" s="2">
        <v>35186</v>
      </c>
      <c r="B35191" s="11" t="str">
        <f>"201405001627"</f>
        <v>201405001627</v>
      </c>
    </row>
    <row r="35192" spans="1:2" x14ac:dyDescent="0.25">
      <c r="A35192" s="2">
        <v>35187</v>
      </c>
      <c r="B35192" s="11" t="str">
        <f>"201405001662"</f>
        <v>201405001662</v>
      </c>
    </row>
    <row r="35193" spans="1:2" x14ac:dyDescent="0.25">
      <c r="A35193" s="2">
        <v>35188</v>
      </c>
      <c r="B35193" s="11" t="str">
        <f>"201405001664"</f>
        <v>201405001664</v>
      </c>
    </row>
    <row r="35194" spans="1:2" x14ac:dyDescent="0.25">
      <c r="A35194" s="2">
        <v>35189</v>
      </c>
      <c r="B35194" s="11" t="str">
        <f>"201405001689"</f>
        <v>201405001689</v>
      </c>
    </row>
    <row r="35195" spans="1:2" x14ac:dyDescent="0.25">
      <c r="A35195" s="2">
        <v>35190</v>
      </c>
      <c r="B35195" s="11" t="str">
        <f>"201405001744"</f>
        <v>201405001744</v>
      </c>
    </row>
    <row r="35196" spans="1:2" x14ac:dyDescent="0.25">
      <c r="A35196" s="2">
        <v>35191</v>
      </c>
      <c r="B35196" s="11" t="str">
        <f>"201405001756"</f>
        <v>201405001756</v>
      </c>
    </row>
    <row r="35197" spans="1:2" x14ac:dyDescent="0.25">
      <c r="A35197" s="2">
        <v>35192</v>
      </c>
      <c r="B35197" s="11" t="str">
        <f>"201405001767"</f>
        <v>201405001767</v>
      </c>
    </row>
    <row r="35198" spans="1:2" x14ac:dyDescent="0.25">
      <c r="A35198" s="2">
        <v>35193</v>
      </c>
      <c r="B35198" s="11" t="str">
        <f>"201405001779"</f>
        <v>201405001779</v>
      </c>
    </row>
    <row r="35199" spans="1:2" x14ac:dyDescent="0.25">
      <c r="A35199" s="2">
        <v>35194</v>
      </c>
      <c r="B35199" s="11" t="str">
        <f>"201405001788"</f>
        <v>201405001788</v>
      </c>
    </row>
    <row r="35200" spans="1:2" x14ac:dyDescent="0.25">
      <c r="A35200" s="2">
        <v>35195</v>
      </c>
      <c r="B35200" s="11" t="str">
        <f>"201405001798"</f>
        <v>201405001798</v>
      </c>
    </row>
    <row r="35201" spans="1:2" x14ac:dyDescent="0.25">
      <c r="A35201" s="2">
        <v>35196</v>
      </c>
      <c r="B35201" s="11" t="str">
        <f>"201405001848"</f>
        <v>201405001848</v>
      </c>
    </row>
    <row r="35202" spans="1:2" x14ac:dyDescent="0.25">
      <c r="A35202" s="2">
        <v>35197</v>
      </c>
      <c r="B35202" s="11" t="str">
        <f>"201405001867"</f>
        <v>201405001867</v>
      </c>
    </row>
    <row r="35203" spans="1:2" x14ac:dyDescent="0.25">
      <c r="A35203" s="2">
        <v>35198</v>
      </c>
      <c r="B35203" s="11" t="str">
        <f>"201405001888"</f>
        <v>201405001888</v>
      </c>
    </row>
    <row r="35204" spans="1:2" x14ac:dyDescent="0.25">
      <c r="A35204" s="2">
        <v>35199</v>
      </c>
      <c r="B35204" s="11" t="str">
        <f>"201405001913"</f>
        <v>201405001913</v>
      </c>
    </row>
    <row r="35205" spans="1:2" x14ac:dyDescent="0.25">
      <c r="A35205" s="2">
        <v>35200</v>
      </c>
      <c r="B35205" s="11" t="str">
        <f>"201405001954"</f>
        <v>201405001954</v>
      </c>
    </row>
    <row r="35206" spans="1:2" x14ac:dyDescent="0.25">
      <c r="A35206" s="2">
        <v>35201</v>
      </c>
      <c r="B35206" s="11" t="str">
        <f>"201405001976"</f>
        <v>201405001976</v>
      </c>
    </row>
    <row r="35207" spans="1:2" x14ac:dyDescent="0.25">
      <c r="A35207" s="2">
        <v>35202</v>
      </c>
      <c r="B35207" s="11" t="str">
        <f>"201405001991"</f>
        <v>201405001991</v>
      </c>
    </row>
    <row r="35208" spans="1:2" x14ac:dyDescent="0.25">
      <c r="A35208" s="2">
        <v>35203</v>
      </c>
      <c r="B35208" s="11" t="str">
        <f>"201405002019"</f>
        <v>201405002019</v>
      </c>
    </row>
    <row r="35209" spans="1:2" x14ac:dyDescent="0.25">
      <c r="A35209" s="2">
        <v>35204</v>
      </c>
      <c r="B35209" s="11" t="str">
        <f>"201405002029"</f>
        <v>201405002029</v>
      </c>
    </row>
    <row r="35210" spans="1:2" x14ac:dyDescent="0.25">
      <c r="A35210" s="2">
        <v>35205</v>
      </c>
      <c r="B35210" s="11" t="str">
        <f>"201405002080"</f>
        <v>201405002080</v>
      </c>
    </row>
    <row r="35211" spans="1:2" x14ac:dyDescent="0.25">
      <c r="A35211" s="2">
        <v>35206</v>
      </c>
      <c r="B35211" s="11" t="str">
        <f>"201405002088"</f>
        <v>201405002088</v>
      </c>
    </row>
    <row r="35212" spans="1:2" x14ac:dyDescent="0.25">
      <c r="A35212" s="2">
        <v>35207</v>
      </c>
      <c r="B35212" s="11" t="str">
        <f>"201405002120"</f>
        <v>201405002120</v>
      </c>
    </row>
    <row r="35213" spans="1:2" x14ac:dyDescent="0.25">
      <c r="A35213" s="2">
        <v>35208</v>
      </c>
      <c r="B35213" s="11" t="str">
        <f>"201405002135"</f>
        <v>201405002135</v>
      </c>
    </row>
    <row r="35214" spans="1:2" x14ac:dyDescent="0.25">
      <c r="A35214" s="2">
        <v>35209</v>
      </c>
      <c r="B35214" s="11" t="str">
        <f>"201405002142"</f>
        <v>201405002142</v>
      </c>
    </row>
    <row r="35215" spans="1:2" x14ac:dyDescent="0.25">
      <c r="A35215" s="2">
        <v>35210</v>
      </c>
      <c r="B35215" s="11" t="str">
        <f>"201405002166"</f>
        <v>201405002166</v>
      </c>
    </row>
    <row r="35216" spans="1:2" x14ac:dyDescent="0.25">
      <c r="A35216" s="2">
        <v>35211</v>
      </c>
      <c r="B35216" s="11" t="str">
        <f>"201405002169"</f>
        <v>201405002169</v>
      </c>
    </row>
    <row r="35217" spans="1:2" x14ac:dyDescent="0.25">
      <c r="A35217" s="2">
        <v>35212</v>
      </c>
      <c r="B35217" s="11" t="str">
        <f>"201405002199"</f>
        <v>201405002199</v>
      </c>
    </row>
    <row r="35218" spans="1:2" x14ac:dyDescent="0.25">
      <c r="A35218" s="2">
        <v>35213</v>
      </c>
      <c r="B35218" s="11" t="str">
        <f>"201405002217"</f>
        <v>201405002217</v>
      </c>
    </row>
    <row r="35219" spans="1:2" x14ac:dyDescent="0.25">
      <c r="A35219" s="2">
        <v>35214</v>
      </c>
      <c r="B35219" s="11" t="str">
        <f>"201405002228"</f>
        <v>201405002228</v>
      </c>
    </row>
    <row r="35220" spans="1:2" x14ac:dyDescent="0.25">
      <c r="A35220" s="2">
        <v>35215</v>
      </c>
      <c r="B35220" s="11" t="str">
        <f>"201405002232"</f>
        <v>201405002232</v>
      </c>
    </row>
    <row r="35221" spans="1:2" x14ac:dyDescent="0.25">
      <c r="A35221" s="2">
        <v>35216</v>
      </c>
      <c r="B35221" s="11" t="str">
        <f>"201405002236"</f>
        <v>201405002236</v>
      </c>
    </row>
    <row r="35222" spans="1:2" x14ac:dyDescent="0.25">
      <c r="A35222" s="2">
        <v>35217</v>
      </c>
      <c r="B35222" s="11" t="str">
        <f>"201405002245"</f>
        <v>201405002245</v>
      </c>
    </row>
    <row r="35223" spans="1:2" x14ac:dyDescent="0.25">
      <c r="A35223" s="2">
        <v>35218</v>
      </c>
      <c r="B35223" s="11" t="str">
        <f>"201405002264"</f>
        <v>201405002264</v>
      </c>
    </row>
    <row r="35224" spans="1:2" x14ac:dyDescent="0.25">
      <c r="A35224" s="2">
        <v>35219</v>
      </c>
      <c r="B35224" s="11" t="str">
        <f>"201405002272"</f>
        <v>201405002272</v>
      </c>
    </row>
    <row r="35225" spans="1:2" x14ac:dyDescent="0.25">
      <c r="A35225" s="2">
        <v>35220</v>
      </c>
      <c r="B35225" s="11" t="str">
        <f>"201405002274"</f>
        <v>201405002274</v>
      </c>
    </row>
    <row r="35226" spans="1:2" x14ac:dyDescent="0.25">
      <c r="A35226" s="2">
        <v>35221</v>
      </c>
      <c r="B35226" s="11" t="str">
        <f>"201405002276"</f>
        <v>201405002276</v>
      </c>
    </row>
    <row r="35227" spans="1:2" x14ac:dyDescent="0.25">
      <c r="A35227" s="2">
        <v>35222</v>
      </c>
      <c r="B35227" s="11" t="str">
        <f>"201405002277"</f>
        <v>201405002277</v>
      </c>
    </row>
    <row r="35228" spans="1:2" x14ac:dyDescent="0.25">
      <c r="A35228" s="2">
        <v>35223</v>
      </c>
      <c r="B35228" s="11" t="str">
        <f>"201405002279"</f>
        <v>201405002279</v>
      </c>
    </row>
    <row r="35229" spans="1:2" x14ac:dyDescent="0.25">
      <c r="A35229" s="2">
        <v>35224</v>
      </c>
      <c r="B35229" s="11" t="str">
        <f>"201405002289"</f>
        <v>201405002289</v>
      </c>
    </row>
    <row r="35230" spans="1:2" x14ac:dyDescent="0.25">
      <c r="A35230" s="2">
        <v>35225</v>
      </c>
      <c r="B35230" s="11" t="str">
        <f>"201405002290"</f>
        <v>201405002290</v>
      </c>
    </row>
    <row r="35231" spans="1:2" x14ac:dyDescent="0.25">
      <c r="A35231" s="2">
        <v>35226</v>
      </c>
      <c r="B35231" s="11" t="str">
        <f>"201405002291"</f>
        <v>201405002291</v>
      </c>
    </row>
    <row r="35232" spans="1:2" x14ac:dyDescent="0.25">
      <c r="A35232" s="2">
        <v>35227</v>
      </c>
      <c r="B35232" s="11" t="str">
        <f>"201405002295"</f>
        <v>201405002295</v>
      </c>
    </row>
    <row r="35233" spans="1:2" x14ac:dyDescent="0.25">
      <c r="A35233" s="2">
        <v>35228</v>
      </c>
      <c r="B35233" s="11" t="str">
        <f>"201406000002"</f>
        <v>201406000002</v>
      </c>
    </row>
    <row r="35234" spans="1:2" x14ac:dyDescent="0.25">
      <c r="A35234" s="2">
        <v>35229</v>
      </c>
      <c r="B35234" s="11" t="str">
        <f>"201406000019"</f>
        <v>201406000019</v>
      </c>
    </row>
    <row r="35235" spans="1:2" x14ac:dyDescent="0.25">
      <c r="A35235" s="2">
        <v>35230</v>
      </c>
      <c r="B35235" s="11" t="str">
        <f>"201406000027"</f>
        <v>201406000027</v>
      </c>
    </row>
    <row r="35236" spans="1:2" x14ac:dyDescent="0.25">
      <c r="A35236" s="2">
        <v>35231</v>
      </c>
      <c r="B35236" s="11" t="str">
        <f>"201406000039"</f>
        <v>201406000039</v>
      </c>
    </row>
    <row r="35237" spans="1:2" x14ac:dyDescent="0.25">
      <c r="A35237" s="2">
        <v>35232</v>
      </c>
      <c r="B35237" s="11" t="str">
        <f>"201406000060"</f>
        <v>201406000060</v>
      </c>
    </row>
    <row r="35238" spans="1:2" x14ac:dyDescent="0.25">
      <c r="A35238" s="2">
        <v>35233</v>
      </c>
      <c r="B35238" s="11" t="str">
        <f>"201406000064"</f>
        <v>201406000064</v>
      </c>
    </row>
    <row r="35239" spans="1:2" x14ac:dyDescent="0.25">
      <c r="A35239" s="2">
        <v>35234</v>
      </c>
      <c r="B35239" s="11" t="str">
        <f>"201406000086"</f>
        <v>201406000086</v>
      </c>
    </row>
    <row r="35240" spans="1:2" x14ac:dyDescent="0.25">
      <c r="A35240" s="2">
        <v>35235</v>
      </c>
      <c r="B35240" s="11" t="str">
        <f>"201406000093"</f>
        <v>201406000093</v>
      </c>
    </row>
    <row r="35241" spans="1:2" x14ac:dyDescent="0.25">
      <c r="A35241" s="2">
        <v>35236</v>
      </c>
      <c r="B35241" s="11" t="str">
        <f>"201406000112"</f>
        <v>201406000112</v>
      </c>
    </row>
    <row r="35242" spans="1:2" x14ac:dyDescent="0.25">
      <c r="A35242" s="2">
        <v>35237</v>
      </c>
      <c r="B35242" s="11" t="str">
        <f>"201406000118"</f>
        <v>201406000118</v>
      </c>
    </row>
    <row r="35243" spans="1:2" x14ac:dyDescent="0.25">
      <c r="A35243" s="2">
        <v>35238</v>
      </c>
      <c r="B35243" s="11" t="str">
        <f>"201406000140"</f>
        <v>201406000140</v>
      </c>
    </row>
    <row r="35244" spans="1:2" x14ac:dyDescent="0.25">
      <c r="A35244" s="2">
        <v>35239</v>
      </c>
      <c r="B35244" s="11" t="str">
        <f>"201406000171"</f>
        <v>201406000171</v>
      </c>
    </row>
    <row r="35245" spans="1:2" x14ac:dyDescent="0.25">
      <c r="A35245" s="2">
        <v>35240</v>
      </c>
      <c r="B35245" s="11" t="str">
        <f>"201406000209"</f>
        <v>201406000209</v>
      </c>
    </row>
    <row r="35246" spans="1:2" x14ac:dyDescent="0.25">
      <c r="A35246" s="2">
        <v>35241</v>
      </c>
      <c r="B35246" s="11" t="str">
        <f>"201406000213"</f>
        <v>201406000213</v>
      </c>
    </row>
    <row r="35247" spans="1:2" x14ac:dyDescent="0.25">
      <c r="A35247" s="2">
        <v>35242</v>
      </c>
      <c r="B35247" s="11" t="str">
        <f>"201406000215"</f>
        <v>201406000215</v>
      </c>
    </row>
    <row r="35248" spans="1:2" x14ac:dyDescent="0.25">
      <c r="A35248" s="2">
        <v>35243</v>
      </c>
      <c r="B35248" s="11" t="str">
        <f>"201406000259"</f>
        <v>201406000259</v>
      </c>
    </row>
    <row r="35249" spans="1:2" x14ac:dyDescent="0.25">
      <c r="A35249" s="2">
        <v>35244</v>
      </c>
      <c r="B35249" s="11" t="str">
        <f>"201406000278"</f>
        <v>201406000278</v>
      </c>
    </row>
    <row r="35250" spans="1:2" x14ac:dyDescent="0.25">
      <c r="A35250" s="2">
        <v>35245</v>
      </c>
      <c r="B35250" s="11" t="str">
        <f>"201406000307"</f>
        <v>201406000307</v>
      </c>
    </row>
    <row r="35251" spans="1:2" x14ac:dyDescent="0.25">
      <c r="A35251" s="2">
        <v>35246</v>
      </c>
      <c r="B35251" s="11" t="str">
        <f>"201406000344"</f>
        <v>201406000344</v>
      </c>
    </row>
    <row r="35252" spans="1:2" x14ac:dyDescent="0.25">
      <c r="A35252" s="2">
        <v>35247</v>
      </c>
      <c r="B35252" s="11" t="str">
        <f>"201406000353"</f>
        <v>201406000353</v>
      </c>
    </row>
    <row r="35253" spans="1:2" x14ac:dyDescent="0.25">
      <c r="A35253" s="2">
        <v>35248</v>
      </c>
      <c r="B35253" s="11" t="str">
        <f>"201406000407"</f>
        <v>201406000407</v>
      </c>
    </row>
    <row r="35254" spans="1:2" x14ac:dyDescent="0.25">
      <c r="A35254" s="2">
        <v>35249</v>
      </c>
      <c r="B35254" s="11" t="str">
        <f>"201406000436"</f>
        <v>201406000436</v>
      </c>
    </row>
    <row r="35255" spans="1:2" x14ac:dyDescent="0.25">
      <c r="A35255" s="2">
        <v>35250</v>
      </c>
      <c r="B35255" s="11" t="str">
        <f>"201406000467"</f>
        <v>201406000467</v>
      </c>
    </row>
    <row r="35256" spans="1:2" x14ac:dyDescent="0.25">
      <c r="A35256" s="2">
        <v>35251</v>
      </c>
      <c r="B35256" s="11" t="str">
        <f>"201406000478"</f>
        <v>201406000478</v>
      </c>
    </row>
    <row r="35257" spans="1:2" x14ac:dyDescent="0.25">
      <c r="A35257" s="2">
        <v>35252</v>
      </c>
      <c r="B35257" s="11" t="str">
        <f>"201406000507"</f>
        <v>201406000507</v>
      </c>
    </row>
    <row r="35258" spans="1:2" x14ac:dyDescent="0.25">
      <c r="A35258" s="2">
        <v>35253</v>
      </c>
      <c r="B35258" s="11" t="str">
        <f>"201406000519"</f>
        <v>201406000519</v>
      </c>
    </row>
    <row r="35259" spans="1:2" x14ac:dyDescent="0.25">
      <c r="A35259" s="2">
        <v>35254</v>
      </c>
      <c r="B35259" s="11" t="str">
        <f>"201406000529"</f>
        <v>201406000529</v>
      </c>
    </row>
    <row r="35260" spans="1:2" x14ac:dyDescent="0.25">
      <c r="A35260" s="2">
        <v>35255</v>
      </c>
      <c r="B35260" s="11" t="str">
        <f>"201406000588"</f>
        <v>201406000588</v>
      </c>
    </row>
    <row r="35261" spans="1:2" x14ac:dyDescent="0.25">
      <c r="A35261" s="2">
        <v>35256</v>
      </c>
      <c r="B35261" s="11" t="str">
        <f>"201406000609"</f>
        <v>201406000609</v>
      </c>
    </row>
    <row r="35262" spans="1:2" x14ac:dyDescent="0.25">
      <c r="A35262" s="2">
        <v>35257</v>
      </c>
      <c r="B35262" s="11" t="str">
        <f>"201406000625"</f>
        <v>201406000625</v>
      </c>
    </row>
    <row r="35263" spans="1:2" x14ac:dyDescent="0.25">
      <c r="A35263" s="2">
        <v>35258</v>
      </c>
      <c r="B35263" s="11" t="str">
        <f>"201406000648"</f>
        <v>201406000648</v>
      </c>
    </row>
    <row r="35264" spans="1:2" x14ac:dyDescent="0.25">
      <c r="A35264" s="2">
        <v>35259</v>
      </c>
      <c r="B35264" s="11" t="str">
        <f>"201406000709"</f>
        <v>201406000709</v>
      </c>
    </row>
    <row r="35265" spans="1:2" x14ac:dyDescent="0.25">
      <c r="A35265" s="2">
        <v>35260</v>
      </c>
      <c r="B35265" s="11" t="str">
        <f>"201406000731"</f>
        <v>201406000731</v>
      </c>
    </row>
    <row r="35266" spans="1:2" x14ac:dyDescent="0.25">
      <c r="A35266" s="2">
        <v>35261</v>
      </c>
      <c r="B35266" s="11" t="str">
        <f>"201406000738"</f>
        <v>201406000738</v>
      </c>
    </row>
    <row r="35267" spans="1:2" x14ac:dyDescent="0.25">
      <c r="A35267" s="2">
        <v>35262</v>
      </c>
      <c r="B35267" s="11" t="str">
        <f>"201406000752"</f>
        <v>201406000752</v>
      </c>
    </row>
    <row r="35268" spans="1:2" x14ac:dyDescent="0.25">
      <c r="A35268" s="2">
        <v>35263</v>
      </c>
      <c r="B35268" s="11" t="str">
        <f>"201406000757"</f>
        <v>201406000757</v>
      </c>
    </row>
    <row r="35269" spans="1:2" x14ac:dyDescent="0.25">
      <c r="A35269" s="2">
        <v>35264</v>
      </c>
      <c r="B35269" s="11" t="str">
        <f>"201406000758"</f>
        <v>201406000758</v>
      </c>
    </row>
    <row r="35270" spans="1:2" x14ac:dyDescent="0.25">
      <c r="A35270" s="2">
        <v>35265</v>
      </c>
      <c r="B35270" s="11" t="str">
        <f>"201406000762"</f>
        <v>201406000762</v>
      </c>
    </row>
    <row r="35271" spans="1:2" x14ac:dyDescent="0.25">
      <c r="A35271" s="2">
        <v>35266</v>
      </c>
      <c r="B35271" s="11" t="str">
        <f>"201406000765"</f>
        <v>201406000765</v>
      </c>
    </row>
    <row r="35272" spans="1:2" x14ac:dyDescent="0.25">
      <c r="A35272" s="2">
        <v>35267</v>
      </c>
      <c r="B35272" s="11" t="str">
        <f>"201406000774"</f>
        <v>201406000774</v>
      </c>
    </row>
    <row r="35273" spans="1:2" x14ac:dyDescent="0.25">
      <c r="A35273" s="2">
        <v>35268</v>
      </c>
      <c r="B35273" s="11" t="str">
        <f>"201406000778"</f>
        <v>201406000778</v>
      </c>
    </row>
    <row r="35274" spans="1:2" x14ac:dyDescent="0.25">
      <c r="A35274" s="2">
        <v>35269</v>
      </c>
      <c r="B35274" s="11" t="str">
        <f>"201406000803"</f>
        <v>201406000803</v>
      </c>
    </row>
    <row r="35275" spans="1:2" x14ac:dyDescent="0.25">
      <c r="A35275" s="2">
        <v>35270</v>
      </c>
      <c r="B35275" s="11" t="str">
        <f>"201406000848"</f>
        <v>201406000848</v>
      </c>
    </row>
    <row r="35276" spans="1:2" x14ac:dyDescent="0.25">
      <c r="A35276" s="2">
        <v>35271</v>
      </c>
      <c r="B35276" s="11" t="str">
        <f>"201406000944"</f>
        <v>201406000944</v>
      </c>
    </row>
    <row r="35277" spans="1:2" x14ac:dyDescent="0.25">
      <c r="A35277" s="2">
        <v>35272</v>
      </c>
      <c r="B35277" s="11" t="str">
        <f>"201406000996"</f>
        <v>201406000996</v>
      </c>
    </row>
    <row r="35278" spans="1:2" x14ac:dyDescent="0.25">
      <c r="A35278" s="2">
        <v>35273</v>
      </c>
      <c r="B35278" s="11" t="str">
        <f>"201406001003"</f>
        <v>201406001003</v>
      </c>
    </row>
    <row r="35279" spans="1:2" x14ac:dyDescent="0.25">
      <c r="A35279" s="2">
        <v>35274</v>
      </c>
      <c r="B35279" s="11" t="str">
        <f>"201406001005"</f>
        <v>201406001005</v>
      </c>
    </row>
    <row r="35280" spans="1:2" x14ac:dyDescent="0.25">
      <c r="A35280" s="2">
        <v>35275</v>
      </c>
      <c r="B35280" s="11" t="str">
        <f>"201406001045"</f>
        <v>201406001045</v>
      </c>
    </row>
    <row r="35281" spans="1:2" x14ac:dyDescent="0.25">
      <c r="A35281" s="2">
        <v>35276</v>
      </c>
      <c r="B35281" s="11" t="str">
        <f>"201406001100"</f>
        <v>201406001100</v>
      </c>
    </row>
    <row r="35282" spans="1:2" x14ac:dyDescent="0.25">
      <c r="A35282" s="2">
        <v>35277</v>
      </c>
      <c r="B35282" s="11" t="str">
        <f>"201406001115"</f>
        <v>201406001115</v>
      </c>
    </row>
    <row r="35283" spans="1:2" x14ac:dyDescent="0.25">
      <c r="A35283" s="2">
        <v>35278</v>
      </c>
      <c r="B35283" s="11" t="str">
        <f>"201406001128"</f>
        <v>201406001128</v>
      </c>
    </row>
    <row r="35284" spans="1:2" x14ac:dyDescent="0.25">
      <c r="A35284" s="2">
        <v>35279</v>
      </c>
      <c r="B35284" s="11" t="str">
        <f>"201406001160"</f>
        <v>201406001160</v>
      </c>
    </row>
    <row r="35285" spans="1:2" x14ac:dyDescent="0.25">
      <c r="A35285" s="2">
        <v>35280</v>
      </c>
      <c r="B35285" s="11" t="str">
        <f>"201406001171"</f>
        <v>201406001171</v>
      </c>
    </row>
    <row r="35286" spans="1:2" x14ac:dyDescent="0.25">
      <c r="A35286" s="2">
        <v>35281</v>
      </c>
      <c r="B35286" s="11" t="str">
        <f>"201406001176"</f>
        <v>201406001176</v>
      </c>
    </row>
    <row r="35287" spans="1:2" x14ac:dyDescent="0.25">
      <c r="A35287" s="2">
        <v>35282</v>
      </c>
      <c r="B35287" s="11" t="str">
        <f>"201406001215"</f>
        <v>201406001215</v>
      </c>
    </row>
    <row r="35288" spans="1:2" x14ac:dyDescent="0.25">
      <c r="A35288" s="2">
        <v>35283</v>
      </c>
      <c r="B35288" s="11" t="str">
        <f>"201406001294"</f>
        <v>201406001294</v>
      </c>
    </row>
    <row r="35289" spans="1:2" x14ac:dyDescent="0.25">
      <c r="A35289" s="2">
        <v>35284</v>
      </c>
      <c r="B35289" s="11" t="str">
        <f>"201406001302"</f>
        <v>201406001302</v>
      </c>
    </row>
    <row r="35290" spans="1:2" x14ac:dyDescent="0.25">
      <c r="A35290" s="2">
        <v>35285</v>
      </c>
      <c r="B35290" s="11" t="str">
        <f>"201406001310"</f>
        <v>201406001310</v>
      </c>
    </row>
    <row r="35291" spans="1:2" x14ac:dyDescent="0.25">
      <c r="A35291" s="2">
        <v>35286</v>
      </c>
      <c r="B35291" s="11" t="str">
        <f>"201406001319"</f>
        <v>201406001319</v>
      </c>
    </row>
    <row r="35292" spans="1:2" x14ac:dyDescent="0.25">
      <c r="A35292" s="2">
        <v>35287</v>
      </c>
      <c r="B35292" s="11" t="str">
        <f>"201406001426"</f>
        <v>201406001426</v>
      </c>
    </row>
    <row r="35293" spans="1:2" x14ac:dyDescent="0.25">
      <c r="A35293" s="2">
        <v>35288</v>
      </c>
      <c r="B35293" s="11" t="str">
        <f>"201406001439"</f>
        <v>201406001439</v>
      </c>
    </row>
    <row r="35294" spans="1:2" x14ac:dyDescent="0.25">
      <c r="A35294" s="2">
        <v>35289</v>
      </c>
      <c r="B35294" s="11" t="str">
        <f>"201406001459"</f>
        <v>201406001459</v>
      </c>
    </row>
    <row r="35295" spans="1:2" x14ac:dyDescent="0.25">
      <c r="A35295" s="2">
        <v>35290</v>
      </c>
      <c r="B35295" s="11" t="str">
        <f>"201406001467"</f>
        <v>201406001467</v>
      </c>
    </row>
    <row r="35296" spans="1:2" x14ac:dyDescent="0.25">
      <c r="A35296" s="2">
        <v>35291</v>
      </c>
      <c r="B35296" s="11" t="str">
        <f>"201406001475"</f>
        <v>201406001475</v>
      </c>
    </row>
    <row r="35297" spans="1:2" x14ac:dyDescent="0.25">
      <c r="A35297" s="2">
        <v>35292</v>
      </c>
      <c r="B35297" s="11" t="str">
        <f>"201406001486"</f>
        <v>201406001486</v>
      </c>
    </row>
    <row r="35298" spans="1:2" x14ac:dyDescent="0.25">
      <c r="A35298" s="2">
        <v>35293</v>
      </c>
      <c r="B35298" s="11" t="str">
        <f>"201406001494"</f>
        <v>201406001494</v>
      </c>
    </row>
    <row r="35299" spans="1:2" x14ac:dyDescent="0.25">
      <c r="A35299" s="2">
        <v>35294</v>
      </c>
      <c r="B35299" s="11" t="str">
        <f>"201406001513"</f>
        <v>201406001513</v>
      </c>
    </row>
    <row r="35300" spans="1:2" x14ac:dyDescent="0.25">
      <c r="A35300" s="2">
        <v>35295</v>
      </c>
      <c r="B35300" s="11" t="str">
        <f>"201406001550"</f>
        <v>201406001550</v>
      </c>
    </row>
    <row r="35301" spans="1:2" x14ac:dyDescent="0.25">
      <c r="A35301" s="2">
        <v>35296</v>
      </c>
      <c r="B35301" s="11" t="str">
        <f>"201406001554"</f>
        <v>201406001554</v>
      </c>
    </row>
    <row r="35302" spans="1:2" x14ac:dyDescent="0.25">
      <c r="A35302" s="2">
        <v>35297</v>
      </c>
      <c r="B35302" s="11" t="str">
        <f>"201406001572"</f>
        <v>201406001572</v>
      </c>
    </row>
    <row r="35303" spans="1:2" x14ac:dyDescent="0.25">
      <c r="A35303" s="2">
        <v>35298</v>
      </c>
      <c r="B35303" s="11" t="str">
        <f>"201406001578"</f>
        <v>201406001578</v>
      </c>
    </row>
    <row r="35304" spans="1:2" x14ac:dyDescent="0.25">
      <c r="A35304" s="2">
        <v>35299</v>
      </c>
      <c r="B35304" s="11" t="str">
        <f>"201406001592"</f>
        <v>201406001592</v>
      </c>
    </row>
    <row r="35305" spans="1:2" x14ac:dyDescent="0.25">
      <c r="A35305" s="2">
        <v>35300</v>
      </c>
      <c r="B35305" s="11" t="str">
        <f>"201406001597"</f>
        <v>201406001597</v>
      </c>
    </row>
    <row r="35306" spans="1:2" x14ac:dyDescent="0.25">
      <c r="A35306" s="2">
        <v>35301</v>
      </c>
      <c r="B35306" s="11" t="str">
        <f>"201406001662"</f>
        <v>201406001662</v>
      </c>
    </row>
    <row r="35307" spans="1:2" x14ac:dyDescent="0.25">
      <c r="A35307" s="2">
        <v>35302</v>
      </c>
      <c r="B35307" s="11" t="str">
        <f>"201406001686"</f>
        <v>201406001686</v>
      </c>
    </row>
    <row r="35308" spans="1:2" x14ac:dyDescent="0.25">
      <c r="A35308" s="2">
        <v>35303</v>
      </c>
      <c r="B35308" s="11" t="str">
        <f>"201406001741"</f>
        <v>201406001741</v>
      </c>
    </row>
    <row r="35309" spans="1:2" x14ac:dyDescent="0.25">
      <c r="A35309" s="2">
        <v>35304</v>
      </c>
      <c r="B35309" s="11" t="str">
        <f>"201406001771"</f>
        <v>201406001771</v>
      </c>
    </row>
    <row r="35310" spans="1:2" x14ac:dyDescent="0.25">
      <c r="A35310" s="2">
        <v>35305</v>
      </c>
      <c r="B35310" s="11" t="str">
        <f>"201406001775"</f>
        <v>201406001775</v>
      </c>
    </row>
    <row r="35311" spans="1:2" x14ac:dyDescent="0.25">
      <c r="A35311" s="2">
        <v>35306</v>
      </c>
      <c r="B35311" s="11" t="str">
        <f>"201406001792"</f>
        <v>201406001792</v>
      </c>
    </row>
    <row r="35312" spans="1:2" x14ac:dyDescent="0.25">
      <c r="A35312" s="2">
        <v>35307</v>
      </c>
      <c r="B35312" s="11" t="str">
        <f>"201406001816"</f>
        <v>201406001816</v>
      </c>
    </row>
    <row r="35313" spans="1:2" x14ac:dyDescent="0.25">
      <c r="A35313" s="2">
        <v>35308</v>
      </c>
      <c r="B35313" s="11" t="str">
        <f>"201406001837"</f>
        <v>201406001837</v>
      </c>
    </row>
    <row r="35314" spans="1:2" x14ac:dyDescent="0.25">
      <c r="A35314" s="2">
        <v>35309</v>
      </c>
      <c r="B35314" s="11" t="str">
        <f>"201406001843"</f>
        <v>201406001843</v>
      </c>
    </row>
    <row r="35315" spans="1:2" x14ac:dyDescent="0.25">
      <c r="A35315" s="2">
        <v>35310</v>
      </c>
      <c r="B35315" s="11" t="str">
        <f>"201406001846"</f>
        <v>201406001846</v>
      </c>
    </row>
    <row r="35316" spans="1:2" x14ac:dyDescent="0.25">
      <c r="A35316" s="2">
        <v>35311</v>
      </c>
      <c r="B35316" s="11" t="str">
        <f>"201406001850"</f>
        <v>201406001850</v>
      </c>
    </row>
    <row r="35317" spans="1:2" x14ac:dyDescent="0.25">
      <c r="A35317" s="2">
        <v>35312</v>
      </c>
      <c r="B35317" s="11" t="str">
        <f>"201406001865"</f>
        <v>201406001865</v>
      </c>
    </row>
    <row r="35318" spans="1:2" x14ac:dyDescent="0.25">
      <c r="A35318" s="2">
        <v>35313</v>
      </c>
      <c r="B35318" s="11" t="str">
        <f>"201406001927"</f>
        <v>201406001927</v>
      </c>
    </row>
    <row r="35319" spans="1:2" x14ac:dyDescent="0.25">
      <c r="A35319" s="2">
        <v>35314</v>
      </c>
      <c r="B35319" s="11" t="str">
        <f>"201406001932"</f>
        <v>201406001932</v>
      </c>
    </row>
    <row r="35320" spans="1:2" x14ac:dyDescent="0.25">
      <c r="A35320" s="2">
        <v>35315</v>
      </c>
      <c r="B35320" s="11" t="str">
        <f>"201406001939"</f>
        <v>201406001939</v>
      </c>
    </row>
    <row r="35321" spans="1:2" x14ac:dyDescent="0.25">
      <c r="A35321" s="2">
        <v>35316</v>
      </c>
      <c r="B35321" s="11" t="str">
        <f>"201406001947"</f>
        <v>201406001947</v>
      </c>
    </row>
    <row r="35322" spans="1:2" x14ac:dyDescent="0.25">
      <c r="A35322" s="2">
        <v>35317</v>
      </c>
      <c r="B35322" s="11" t="str">
        <f>"201406001952"</f>
        <v>201406001952</v>
      </c>
    </row>
    <row r="35323" spans="1:2" x14ac:dyDescent="0.25">
      <c r="A35323" s="2">
        <v>35318</v>
      </c>
      <c r="B35323" s="11" t="str">
        <f>"201406001959"</f>
        <v>201406001959</v>
      </c>
    </row>
    <row r="35324" spans="1:2" x14ac:dyDescent="0.25">
      <c r="A35324" s="2">
        <v>35319</v>
      </c>
      <c r="B35324" s="11" t="str">
        <f>"201406001973"</f>
        <v>201406001973</v>
      </c>
    </row>
    <row r="35325" spans="1:2" x14ac:dyDescent="0.25">
      <c r="A35325" s="2">
        <v>35320</v>
      </c>
      <c r="B35325" s="11" t="str">
        <f>"201406002012"</f>
        <v>201406002012</v>
      </c>
    </row>
    <row r="35326" spans="1:2" x14ac:dyDescent="0.25">
      <c r="A35326" s="2">
        <v>35321</v>
      </c>
      <c r="B35326" s="11" t="str">
        <f>"201406002024"</f>
        <v>201406002024</v>
      </c>
    </row>
    <row r="35327" spans="1:2" x14ac:dyDescent="0.25">
      <c r="A35327" s="2">
        <v>35322</v>
      </c>
      <c r="B35327" s="11" t="str">
        <f>"201406002077"</f>
        <v>201406002077</v>
      </c>
    </row>
    <row r="35328" spans="1:2" x14ac:dyDescent="0.25">
      <c r="A35328" s="2">
        <v>35323</v>
      </c>
      <c r="B35328" s="11" t="str">
        <f>"201406002086"</f>
        <v>201406002086</v>
      </c>
    </row>
    <row r="35329" spans="1:2" x14ac:dyDescent="0.25">
      <c r="A35329" s="2">
        <v>35324</v>
      </c>
      <c r="B35329" s="11" t="str">
        <f>"201406002149"</f>
        <v>201406002149</v>
      </c>
    </row>
    <row r="35330" spans="1:2" x14ac:dyDescent="0.25">
      <c r="A35330" s="2">
        <v>35325</v>
      </c>
      <c r="B35330" s="11" t="str">
        <f>"201406002161"</f>
        <v>201406002161</v>
      </c>
    </row>
    <row r="35331" spans="1:2" x14ac:dyDescent="0.25">
      <c r="A35331" s="2">
        <v>35326</v>
      </c>
      <c r="B35331" s="11" t="str">
        <f>"201406002186"</f>
        <v>201406002186</v>
      </c>
    </row>
    <row r="35332" spans="1:2" x14ac:dyDescent="0.25">
      <c r="A35332" s="2">
        <v>35327</v>
      </c>
      <c r="B35332" s="11" t="str">
        <f>"201406002220"</f>
        <v>201406002220</v>
      </c>
    </row>
    <row r="35333" spans="1:2" x14ac:dyDescent="0.25">
      <c r="A35333" s="2">
        <v>35328</v>
      </c>
      <c r="B35333" s="11" t="str">
        <f>"201406002273"</f>
        <v>201406002273</v>
      </c>
    </row>
    <row r="35334" spans="1:2" x14ac:dyDescent="0.25">
      <c r="A35334" s="2">
        <v>35329</v>
      </c>
      <c r="B35334" s="11" t="str">
        <f>"201406002305"</f>
        <v>201406002305</v>
      </c>
    </row>
    <row r="35335" spans="1:2" x14ac:dyDescent="0.25">
      <c r="A35335" s="2">
        <v>35330</v>
      </c>
      <c r="B35335" s="11" t="str">
        <f>"201406002310"</f>
        <v>201406002310</v>
      </c>
    </row>
    <row r="35336" spans="1:2" x14ac:dyDescent="0.25">
      <c r="A35336" s="2">
        <v>35331</v>
      </c>
      <c r="B35336" s="11" t="str">
        <f>"201406002315"</f>
        <v>201406002315</v>
      </c>
    </row>
    <row r="35337" spans="1:2" x14ac:dyDescent="0.25">
      <c r="A35337" s="2">
        <v>35332</v>
      </c>
      <c r="B35337" s="11" t="str">
        <f>"201406002335"</f>
        <v>201406002335</v>
      </c>
    </row>
    <row r="35338" spans="1:2" x14ac:dyDescent="0.25">
      <c r="A35338" s="2">
        <v>35333</v>
      </c>
      <c r="B35338" s="11" t="str">
        <f>"201406002337"</f>
        <v>201406002337</v>
      </c>
    </row>
    <row r="35339" spans="1:2" x14ac:dyDescent="0.25">
      <c r="A35339" s="2">
        <v>35334</v>
      </c>
      <c r="B35339" s="11" t="str">
        <f>"201406002398"</f>
        <v>201406002398</v>
      </c>
    </row>
    <row r="35340" spans="1:2" x14ac:dyDescent="0.25">
      <c r="A35340" s="2">
        <v>35335</v>
      </c>
      <c r="B35340" s="11" t="str">
        <f>"201406002416"</f>
        <v>201406002416</v>
      </c>
    </row>
    <row r="35341" spans="1:2" x14ac:dyDescent="0.25">
      <c r="A35341" s="2">
        <v>35336</v>
      </c>
      <c r="B35341" s="11" t="str">
        <f>"201406002429"</f>
        <v>201406002429</v>
      </c>
    </row>
    <row r="35342" spans="1:2" x14ac:dyDescent="0.25">
      <c r="A35342" s="2">
        <v>35337</v>
      </c>
      <c r="B35342" s="11" t="str">
        <f>"201406002450"</f>
        <v>201406002450</v>
      </c>
    </row>
    <row r="35343" spans="1:2" x14ac:dyDescent="0.25">
      <c r="A35343" s="2">
        <v>35338</v>
      </c>
      <c r="B35343" s="11" t="str">
        <f>"201406002452"</f>
        <v>201406002452</v>
      </c>
    </row>
    <row r="35344" spans="1:2" x14ac:dyDescent="0.25">
      <c r="A35344" s="2">
        <v>35339</v>
      </c>
      <c r="B35344" s="11" t="str">
        <f>"201406002454"</f>
        <v>201406002454</v>
      </c>
    </row>
    <row r="35345" spans="1:2" x14ac:dyDescent="0.25">
      <c r="A35345" s="2">
        <v>35340</v>
      </c>
      <c r="B35345" s="11" t="str">
        <f>"201406002496"</f>
        <v>201406002496</v>
      </c>
    </row>
    <row r="35346" spans="1:2" x14ac:dyDescent="0.25">
      <c r="A35346" s="2">
        <v>35341</v>
      </c>
      <c r="B35346" s="11" t="str">
        <f>"201406002532"</f>
        <v>201406002532</v>
      </c>
    </row>
    <row r="35347" spans="1:2" x14ac:dyDescent="0.25">
      <c r="A35347" s="2">
        <v>35342</v>
      </c>
      <c r="B35347" s="11" t="str">
        <f>"201406002589"</f>
        <v>201406002589</v>
      </c>
    </row>
    <row r="35348" spans="1:2" x14ac:dyDescent="0.25">
      <c r="A35348" s="2">
        <v>35343</v>
      </c>
      <c r="B35348" s="11" t="str">
        <f>"201406002594"</f>
        <v>201406002594</v>
      </c>
    </row>
    <row r="35349" spans="1:2" x14ac:dyDescent="0.25">
      <c r="A35349" s="2">
        <v>35344</v>
      </c>
      <c r="B35349" s="11" t="str">
        <f>"201406002646"</f>
        <v>201406002646</v>
      </c>
    </row>
    <row r="35350" spans="1:2" x14ac:dyDescent="0.25">
      <c r="A35350" s="2">
        <v>35345</v>
      </c>
      <c r="B35350" s="11" t="str">
        <f>"201406002708"</f>
        <v>201406002708</v>
      </c>
    </row>
    <row r="35351" spans="1:2" x14ac:dyDescent="0.25">
      <c r="A35351" s="2">
        <v>35346</v>
      </c>
      <c r="B35351" s="11" t="str">
        <f>"201406002723"</f>
        <v>201406002723</v>
      </c>
    </row>
    <row r="35352" spans="1:2" x14ac:dyDescent="0.25">
      <c r="A35352" s="2">
        <v>35347</v>
      </c>
      <c r="B35352" s="11" t="str">
        <f>"201406002736"</f>
        <v>201406002736</v>
      </c>
    </row>
    <row r="35353" spans="1:2" x14ac:dyDescent="0.25">
      <c r="A35353" s="2">
        <v>35348</v>
      </c>
      <c r="B35353" s="11" t="str">
        <f>"201406002738"</f>
        <v>201406002738</v>
      </c>
    </row>
    <row r="35354" spans="1:2" x14ac:dyDescent="0.25">
      <c r="A35354" s="2">
        <v>35349</v>
      </c>
      <c r="B35354" s="11" t="str">
        <f>"201406002753"</f>
        <v>201406002753</v>
      </c>
    </row>
    <row r="35355" spans="1:2" x14ac:dyDescent="0.25">
      <c r="A35355" s="2">
        <v>35350</v>
      </c>
      <c r="B35355" s="11" t="str">
        <f>"201406002787"</f>
        <v>201406002787</v>
      </c>
    </row>
    <row r="35356" spans="1:2" x14ac:dyDescent="0.25">
      <c r="A35356" s="2">
        <v>35351</v>
      </c>
      <c r="B35356" s="11" t="str">
        <f>"201406002799"</f>
        <v>201406002799</v>
      </c>
    </row>
    <row r="35357" spans="1:2" x14ac:dyDescent="0.25">
      <c r="A35357" s="2">
        <v>35352</v>
      </c>
      <c r="B35357" s="11" t="str">
        <f>"201406002853"</f>
        <v>201406002853</v>
      </c>
    </row>
    <row r="35358" spans="1:2" x14ac:dyDescent="0.25">
      <c r="A35358" s="2">
        <v>35353</v>
      </c>
      <c r="B35358" s="11" t="str">
        <f>"201406002860"</f>
        <v>201406002860</v>
      </c>
    </row>
    <row r="35359" spans="1:2" x14ac:dyDescent="0.25">
      <c r="A35359" s="2">
        <v>35354</v>
      </c>
      <c r="B35359" s="11" t="str">
        <f>"201406002861"</f>
        <v>201406002861</v>
      </c>
    </row>
    <row r="35360" spans="1:2" x14ac:dyDescent="0.25">
      <c r="A35360" s="2">
        <v>35355</v>
      </c>
      <c r="B35360" s="11" t="str">
        <f>"201406002879"</f>
        <v>201406002879</v>
      </c>
    </row>
    <row r="35361" spans="1:2" x14ac:dyDescent="0.25">
      <c r="A35361" s="2">
        <v>35356</v>
      </c>
      <c r="B35361" s="11" t="str">
        <f>"201406002893"</f>
        <v>201406002893</v>
      </c>
    </row>
    <row r="35362" spans="1:2" x14ac:dyDescent="0.25">
      <c r="A35362" s="2">
        <v>35357</v>
      </c>
      <c r="B35362" s="11" t="str">
        <f>"201406002971"</f>
        <v>201406002971</v>
      </c>
    </row>
    <row r="35363" spans="1:2" x14ac:dyDescent="0.25">
      <c r="A35363" s="2">
        <v>35358</v>
      </c>
      <c r="B35363" s="11" t="str">
        <f>"201406002976"</f>
        <v>201406002976</v>
      </c>
    </row>
    <row r="35364" spans="1:2" x14ac:dyDescent="0.25">
      <c r="A35364" s="2">
        <v>35359</v>
      </c>
      <c r="B35364" s="11" t="str">
        <f>"201406003002"</f>
        <v>201406003002</v>
      </c>
    </row>
    <row r="35365" spans="1:2" x14ac:dyDescent="0.25">
      <c r="A35365" s="2">
        <v>35360</v>
      </c>
      <c r="B35365" s="11" t="str">
        <f>"201406003003"</f>
        <v>201406003003</v>
      </c>
    </row>
    <row r="35366" spans="1:2" x14ac:dyDescent="0.25">
      <c r="A35366" s="2">
        <v>35361</v>
      </c>
      <c r="B35366" s="11" t="str">
        <f>"201406003025"</f>
        <v>201406003025</v>
      </c>
    </row>
    <row r="35367" spans="1:2" x14ac:dyDescent="0.25">
      <c r="A35367" s="2">
        <v>35362</v>
      </c>
      <c r="B35367" s="11" t="str">
        <f>"201406003064"</f>
        <v>201406003064</v>
      </c>
    </row>
    <row r="35368" spans="1:2" x14ac:dyDescent="0.25">
      <c r="A35368" s="2">
        <v>35363</v>
      </c>
      <c r="B35368" s="11" t="str">
        <f>"201406003095"</f>
        <v>201406003095</v>
      </c>
    </row>
    <row r="35369" spans="1:2" x14ac:dyDescent="0.25">
      <c r="A35369" s="2">
        <v>35364</v>
      </c>
      <c r="B35369" s="11" t="str">
        <f>"201406003108"</f>
        <v>201406003108</v>
      </c>
    </row>
    <row r="35370" spans="1:2" x14ac:dyDescent="0.25">
      <c r="A35370" s="2">
        <v>35365</v>
      </c>
      <c r="B35370" s="11" t="str">
        <f>"201406003116"</f>
        <v>201406003116</v>
      </c>
    </row>
    <row r="35371" spans="1:2" x14ac:dyDescent="0.25">
      <c r="A35371" s="2">
        <v>35366</v>
      </c>
      <c r="B35371" s="11" t="str">
        <f>"201406003130"</f>
        <v>201406003130</v>
      </c>
    </row>
    <row r="35372" spans="1:2" x14ac:dyDescent="0.25">
      <c r="A35372" s="2">
        <v>35367</v>
      </c>
      <c r="B35372" s="11" t="str">
        <f>"201406003171"</f>
        <v>201406003171</v>
      </c>
    </row>
    <row r="35373" spans="1:2" x14ac:dyDescent="0.25">
      <c r="A35373" s="2">
        <v>35368</v>
      </c>
      <c r="B35373" s="11" t="str">
        <f>"201406003188"</f>
        <v>201406003188</v>
      </c>
    </row>
    <row r="35374" spans="1:2" x14ac:dyDescent="0.25">
      <c r="A35374" s="2">
        <v>35369</v>
      </c>
      <c r="B35374" s="11" t="str">
        <f>"201406003251"</f>
        <v>201406003251</v>
      </c>
    </row>
    <row r="35375" spans="1:2" x14ac:dyDescent="0.25">
      <c r="A35375" s="2">
        <v>35370</v>
      </c>
      <c r="B35375" s="11" t="str">
        <f>"201406003260"</f>
        <v>201406003260</v>
      </c>
    </row>
    <row r="35376" spans="1:2" x14ac:dyDescent="0.25">
      <c r="A35376" s="2">
        <v>35371</v>
      </c>
      <c r="B35376" s="11" t="str">
        <f>"201406003269"</f>
        <v>201406003269</v>
      </c>
    </row>
    <row r="35377" spans="1:2" x14ac:dyDescent="0.25">
      <c r="A35377" s="2">
        <v>35372</v>
      </c>
      <c r="B35377" s="11" t="str">
        <f>"201406003293"</f>
        <v>201406003293</v>
      </c>
    </row>
    <row r="35378" spans="1:2" x14ac:dyDescent="0.25">
      <c r="A35378" s="2">
        <v>35373</v>
      </c>
      <c r="B35378" s="11" t="str">
        <f>"201406003332"</f>
        <v>201406003332</v>
      </c>
    </row>
    <row r="35379" spans="1:2" x14ac:dyDescent="0.25">
      <c r="A35379" s="2">
        <v>35374</v>
      </c>
      <c r="B35379" s="11" t="str">
        <f>"201406003389"</f>
        <v>201406003389</v>
      </c>
    </row>
    <row r="35380" spans="1:2" x14ac:dyDescent="0.25">
      <c r="A35380" s="2">
        <v>35375</v>
      </c>
      <c r="B35380" s="11" t="str">
        <f>"201406003393"</f>
        <v>201406003393</v>
      </c>
    </row>
    <row r="35381" spans="1:2" x14ac:dyDescent="0.25">
      <c r="A35381" s="2">
        <v>35376</v>
      </c>
      <c r="B35381" s="11" t="str">
        <f>"201406003422"</f>
        <v>201406003422</v>
      </c>
    </row>
    <row r="35382" spans="1:2" x14ac:dyDescent="0.25">
      <c r="A35382" s="2">
        <v>35377</v>
      </c>
      <c r="B35382" s="11" t="str">
        <f>"201406003433"</f>
        <v>201406003433</v>
      </c>
    </row>
    <row r="35383" spans="1:2" x14ac:dyDescent="0.25">
      <c r="A35383" s="2">
        <v>35378</v>
      </c>
      <c r="B35383" s="11" t="str">
        <f>"201406003469"</f>
        <v>201406003469</v>
      </c>
    </row>
    <row r="35384" spans="1:2" x14ac:dyDescent="0.25">
      <c r="A35384" s="2">
        <v>35379</v>
      </c>
      <c r="B35384" s="11" t="str">
        <f>"201406003481"</f>
        <v>201406003481</v>
      </c>
    </row>
    <row r="35385" spans="1:2" x14ac:dyDescent="0.25">
      <c r="A35385" s="2">
        <v>35380</v>
      </c>
      <c r="B35385" s="11" t="str">
        <f>"201406003579"</f>
        <v>201406003579</v>
      </c>
    </row>
    <row r="35386" spans="1:2" x14ac:dyDescent="0.25">
      <c r="A35386" s="2">
        <v>35381</v>
      </c>
      <c r="B35386" s="11" t="str">
        <f>"201406003588"</f>
        <v>201406003588</v>
      </c>
    </row>
    <row r="35387" spans="1:2" x14ac:dyDescent="0.25">
      <c r="A35387" s="2">
        <v>35382</v>
      </c>
      <c r="B35387" s="11" t="str">
        <f>"201406003598"</f>
        <v>201406003598</v>
      </c>
    </row>
    <row r="35388" spans="1:2" x14ac:dyDescent="0.25">
      <c r="A35388" s="2">
        <v>35383</v>
      </c>
      <c r="B35388" s="11" t="str">
        <f>"201406003648"</f>
        <v>201406003648</v>
      </c>
    </row>
    <row r="35389" spans="1:2" x14ac:dyDescent="0.25">
      <c r="A35389" s="2">
        <v>35384</v>
      </c>
      <c r="B35389" s="11" t="str">
        <f>"201406003650"</f>
        <v>201406003650</v>
      </c>
    </row>
    <row r="35390" spans="1:2" x14ac:dyDescent="0.25">
      <c r="A35390" s="2">
        <v>35385</v>
      </c>
      <c r="B35390" s="11" t="str">
        <f>"201406003676"</f>
        <v>201406003676</v>
      </c>
    </row>
    <row r="35391" spans="1:2" x14ac:dyDescent="0.25">
      <c r="A35391" s="2">
        <v>35386</v>
      </c>
      <c r="B35391" s="11" t="str">
        <f>"201406003679"</f>
        <v>201406003679</v>
      </c>
    </row>
    <row r="35392" spans="1:2" x14ac:dyDescent="0.25">
      <c r="A35392" s="2">
        <v>35387</v>
      </c>
      <c r="B35392" s="11" t="str">
        <f>"201406003691"</f>
        <v>201406003691</v>
      </c>
    </row>
    <row r="35393" spans="1:2" x14ac:dyDescent="0.25">
      <c r="A35393" s="2">
        <v>35388</v>
      </c>
      <c r="B35393" s="11" t="str">
        <f>"201406003694"</f>
        <v>201406003694</v>
      </c>
    </row>
    <row r="35394" spans="1:2" x14ac:dyDescent="0.25">
      <c r="A35394" s="2">
        <v>35389</v>
      </c>
      <c r="B35394" s="11" t="str">
        <f>"201406003700"</f>
        <v>201406003700</v>
      </c>
    </row>
    <row r="35395" spans="1:2" x14ac:dyDescent="0.25">
      <c r="A35395" s="2">
        <v>35390</v>
      </c>
      <c r="B35395" s="11" t="str">
        <f>"201406003714"</f>
        <v>201406003714</v>
      </c>
    </row>
    <row r="35396" spans="1:2" x14ac:dyDescent="0.25">
      <c r="A35396" s="2">
        <v>35391</v>
      </c>
      <c r="B35396" s="11" t="str">
        <f>"201406003730"</f>
        <v>201406003730</v>
      </c>
    </row>
    <row r="35397" spans="1:2" x14ac:dyDescent="0.25">
      <c r="A35397" s="2">
        <v>35392</v>
      </c>
      <c r="B35397" s="11" t="str">
        <f>"201406003774"</f>
        <v>201406003774</v>
      </c>
    </row>
    <row r="35398" spans="1:2" x14ac:dyDescent="0.25">
      <c r="A35398" s="2">
        <v>35393</v>
      </c>
      <c r="B35398" s="11" t="str">
        <f>"201406003797"</f>
        <v>201406003797</v>
      </c>
    </row>
    <row r="35399" spans="1:2" x14ac:dyDescent="0.25">
      <c r="A35399" s="2">
        <v>35394</v>
      </c>
      <c r="B35399" s="11" t="str">
        <f>"201406003799"</f>
        <v>201406003799</v>
      </c>
    </row>
    <row r="35400" spans="1:2" x14ac:dyDescent="0.25">
      <c r="A35400" s="2">
        <v>35395</v>
      </c>
      <c r="B35400" s="11" t="str">
        <f>"201406003838"</f>
        <v>201406003838</v>
      </c>
    </row>
    <row r="35401" spans="1:2" x14ac:dyDescent="0.25">
      <c r="A35401" s="2">
        <v>35396</v>
      </c>
      <c r="B35401" s="11" t="str">
        <f>"201406003846"</f>
        <v>201406003846</v>
      </c>
    </row>
    <row r="35402" spans="1:2" x14ac:dyDescent="0.25">
      <c r="A35402" s="2">
        <v>35397</v>
      </c>
      <c r="B35402" s="11" t="str">
        <f>"201406003851"</f>
        <v>201406003851</v>
      </c>
    </row>
    <row r="35403" spans="1:2" x14ac:dyDescent="0.25">
      <c r="A35403" s="2">
        <v>35398</v>
      </c>
      <c r="B35403" s="11" t="str">
        <f>"201406003905"</f>
        <v>201406003905</v>
      </c>
    </row>
    <row r="35404" spans="1:2" x14ac:dyDescent="0.25">
      <c r="A35404" s="2">
        <v>35399</v>
      </c>
      <c r="B35404" s="11" t="str">
        <f>"201406003918"</f>
        <v>201406003918</v>
      </c>
    </row>
    <row r="35405" spans="1:2" x14ac:dyDescent="0.25">
      <c r="A35405" s="2">
        <v>35400</v>
      </c>
      <c r="B35405" s="11" t="str">
        <f>"201406003922"</f>
        <v>201406003922</v>
      </c>
    </row>
    <row r="35406" spans="1:2" x14ac:dyDescent="0.25">
      <c r="A35406" s="2">
        <v>35401</v>
      </c>
      <c r="B35406" s="11" t="str">
        <f>"201406003984"</f>
        <v>201406003984</v>
      </c>
    </row>
    <row r="35407" spans="1:2" x14ac:dyDescent="0.25">
      <c r="A35407" s="2">
        <v>35402</v>
      </c>
      <c r="B35407" s="11" t="str">
        <f>"201406004109"</f>
        <v>201406004109</v>
      </c>
    </row>
    <row r="35408" spans="1:2" x14ac:dyDescent="0.25">
      <c r="A35408" s="2">
        <v>35403</v>
      </c>
      <c r="B35408" s="11" t="str">
        <f>"201406004128"</f>
        <v>201406004128</v>
      </c>
    </row>
    <row r="35409" spans="1:2" x14ac:dyDescent="0.25">
      <c r="A35409" s="2">
        <v>35404</v>
      </c>
      <c r="B35409" s="11" t="str">
        <f>"201406004150"</f>
        <v>201406004150</v>
      </c>
    </row>
    <row r="35410" spans="1:2" x14ac:dyDescent="0.25">
      <c r="A35410" s="2">
        <v>35405</v>
      </c>
      <c r="B35410" s="11" t="str">
        <f>"201406004163"</f>
        <v>201406004163</v>
      </c>
    </row>
    <row r="35411" spans="1:2" x14ac:dyDescent="0.25">
      <c r="A35411" s="2">
        <v>35406</v>
      </c>
      <c r="B35411" s="11" t="str">
        <f>"201406004170"</f>
        <v>201406004170</v>
      </c>
    </row>
    <row r="35412" spans="1:2" x14ac:dyDescent="0.25">
      <c r="A35412" s="2">
        <v>35407</v>
      </c>
      <c r="B35412" s="11" t="str">
        <f>"201406004177"</f>
        <v>201406004177</v>
      </c>
    </row>
    <row r="35413" spans="1:2" x14ac:dyDescent="0.25">
      <c r="A35413" s="2">
        <v>35408</v>
      </c>
      <c r="B35413" s="11" t="str">
        <f>"201406004209"</f>
        <v>201406004209</v>
      </c>
    </row>
    <row r="35414" spans="1:2" x14ac:dyDescent="0.25">
      <c r="A35414" s="2">
        <v>35409</v>
      </c>
      <c r="B35414" s="11" t="str">
        <f>"201406004230"</f>
        <v>201406004230</v>
      </c>
    </row>
    <row r="35415" spans="1:2" x14ac:dyDescent="0.25">
      <c r="A35415" s="2">
        <v>35410</v>
      </c>
      <c r="B35415" s="11" t="str">
        <f>"201406004242"</f>
        <v>201406004242</v>
      </c>
    </row>
    <row r="35416" spans="1:2" x14ac:dyDescent="0.25">
      <c r="A35416" s="2">
        <v>35411</v>
      </c>
      <c r="B35416" s="11" t="str">
        <f>"201406004260"</f>
        <v>201406004260</v>
      </c>
    </row>
    <row r="35417" spans="1:2" x14ac:dyDescent="0.25">
      <c r="A35417" s="2">
        <v>35412</v>
      </c>
      <c r="B35417" s="11" t="str">
        <f>"201406004266"</f>
        <v>201406004266</v>
      </c>
    </row>
    <row r="35418" spans="1:2" x14ac:dyDescent="0.25">
      <c r="A35418" s="2">
        <v>35413</v>
      </c>
      <c r="B35418" s="11" t="str">
        <f>"201406004292"</f>
        <v>201406004292</v>
      </c>
    </row>
    <row r="35419" spans="1:2" x14ac:dyDescent="0.25">
      <c r="A35419" s="2">
        <v>35414</v>
      </c>
      <c r="B35419" s="11" t="str">
        <f>"201406004345"</f>
        <v>201406004345</v>
      </c>
    </row>
    <row r="35420" spans="1:2" x14ac:dyDescent="0.25">
      <c r="A35420" s="2">
        <v>35415</v>
      </c>
      <c r="B35420" s="11" t="str">
        <f>"201406004346"</f>
        <v>201406004346</v>
      </c>
    </row>
    <row r="35421" spans="1:2" x14ac:dyDescent="0.25">
      <c r="A35421" s="2">
        <v>35416</v>
      </c>
      <c r="B35421" s="11" t="str">
        <f>"201406004357"</f>
        <v>201406004357</v>
      </c>
    </row>
    <row r="35422" spans="1:2" x14ac:dyDescent="0.25">
      <c r="A35422" s="2">
        <v>35417</v>
      </c>
      <c r="B35422" s="11" t="str">
        <f>"201406004364"</f>
        <v>201406004364</v>
      </c>
    </row>
    <row r="35423" spans="1:2" x14ac:dyDescent="0.25">
      <c r="A35423" s="2">
        <v>35418</v>
      </c>
      <c r="B35423" s="11" t="str">
        <f>"201406004390"</f>
        <v>201406004390</v>
      </c>
    </row>
    <row r="35424" spans="1:2" x14ac:dyDescent="0.25">
      <c r="A35424" s="2">
        <v>35419</v>
      </c>
      <c r="B35424" s="11" t="str">
        <f>"201406004430"</f>
        <v>201406004430</v>
      </c>
    </row>
    <row r="35425" spans="1:2" x14ac:dyDescent="0.25">
      <c r="A35425" s="2">
        <v>35420</v>
      </c>
      <c r="B35425" s="11" t="str">
        <f>"201406004443"</f>
        <v>201406004443</v>
      </c>
    </row>
    <row r="35426" spans="1:2" x14ac:dyDescent="0.25">
      <c r="A35426" s="2">
        <v>35421</v>
      </c>
      <c r="B35426" s="11" t="str">
        <f>"201406004473"</f>
        <v>201406004473</v>
      </c>
    </row>
    <row r="35427" spans="1:2" x14ac:dyDescent="0.25">
      <c r="A35427" s="2">
        <v>35422</v>
      </c>
      <c r="B35427" s="11" t="str">
        <f>"201406004516"</f>
        <v>201406004516</v>
      </c>
    </row>
    <row r="35428" spans="1:2" x14ac:dyDescent="0.25">
      <c r="A35428" s="2">
        <v>35423</v>
      </c>
      <c r="B35428" s="11" t="str">
        <f>"201406004534"</f>
        <v>201406004534</v>
      </c>
    </row>
    <row r="35429" spans="1:2" x14ac:dyDescent="0.25">
      <c r="A35429" s="2">
        <v>35424</v>
      </c>
      <c r="B35429" s="11" t="str">
        <f>"201406004539"</f>
        <v>201406004539</v>
      </c>
    </row>
    <row r="35430" spans="1:2" x14ac:dyDescent="0.25">
      <c r="A35430" s="2">
        <v>35425</v>
      </c>
      <c r="B35430" s="11" t="str">
        <f>"201406004544"</f>
        <v>201406004544</v>
      </c>
    </row>
    <row r="35431" spans="1:2" x14ac:dyDescent="0.25">
      <c r="A35431" s="2">
        <v>35426</v>
      </c>
      <c r="B35431" s="11" t="str">
        <f>"201406004578"</f>
        <v>201406004578</v>
      </c>
    </row>
    <row r="35432" spans="1:2" x14ac:dyDescent="0.25">
      <c r="A35432" s="2">
        <v>35427</v>
      </c>
      <c r="B35432" s="11" t="str">
        <f>"201406004630"</f>
        <v>201406004630</v>
      </c>
    </row>
    <row r="35433" spans="1:2" x14ac:dyDescent="0.25">
      <c r="A35433" s="2">
        <v>35428</v>
      </c>
      <c r="B35433" s="11" t="str">
        <f>"201406004646"</f>
        <v>201406004646</v>
      </c>
    </row>
    <row r="35434" spans="1:2" x14ac:dyDescent="0.25">
      <c r="A35434" s="2">
        <v>35429</v>
      </c>
      <c r="B35434" s="11" t="str">
        <f>"201406004680"</f>
        <v>201406004680</v>
      </c>
    </row>
    <row r="35435" spans="1:2" x14ac:dyDescent="0.25">
      <c r="A35435" s="2">
        <v>35430</v>
      </c>
      <c r="B35435" s="11" t="str">
        <f>"201406004691"</f>
        <v>201406004691</v>
      </c>
    </row>
    <row r="35436" spans="1:2" x14ac:dyDescent="0.25">
      <c r="A35436" s="2">
        <v>35431</v>
      </c>
      <c r="B35436" s="11" t="str">
        <f>"201406004728"</f>
        <v>201406004728</v>
      </c>
    </row>
    <row r="35437" spans="1:2" x14ac:dyDescent="0.25">
      <c r="A35437" s="2">
        <v>35432</v>
      </c>
      <c r="B35437" s="11" t="str">
        <f>"201406004730"</f>
        <v>201406004730</v>
      </c>
    </row>
    <row r="35438" spans="1:2" x14ac:dyDescent="0.25">
      <c r="A35438" s="2">
        <v>35433</v>
      </c>
      <c r="B35438" s="11" t="str">
        <f>"201406004797"</f>
        <v>201406004797</v>
      </c>
    </row>
    <row r="35439" spans="1:2" x14ac:dyDescent="0.25">
      <c r="A35439" s="2">
        <v>35434</v>
      </c>
      <c r="B35439" s="11" t="str">
        <f>"201406004816"</f>
        <v>201406004816</v>
      </c>
    </row>
    <row r="35440" spans="1:2" x14ac:dyDescent="0.25">
      <c r="A35440" s="2">
        <v>35435</v>
      </c>
      <c r="B35440" s="11" t="str">
        <f>"201406004852"</f>
        <v>201406004852</v>
      </c>
    </row>
    <row r="35441" spans="1:2" x14ac:dyDescent="0.25">
      <c r="A35441" s="2">
        <v>35436</v>
      </c>
      <c r="B35441" s="11" t="str">
        <f>"201406004853"</f>
        <v>201406004853</v>
      </c>
    </row>
    <row r="35442" spans="1:2" x14ac:dyDescent="0.25">
      <c r="A35442" s="2">
        <v>35437</v>
      </c>
      <c r="B35442" s="11" t="str">
        <f>"201406004878"</f>
        <v>201406004878</v>
      </c>
    </row>
    <row r="35443" spans="1:2" x14ac:dyDescent="0.25">
      <c r="A35443" s="2">
        <v>35438</v>
      </c>
      <c r="B35443" s="11" t="str">
        <f>"201406004898"</f>
        <v>201406004898</v>
      </c>
    </row>
    <row r="35444" spans="1:2" x14ac:dyDescent="0.25">
      <c r="A35444" s="2">
        <v>35439</v>
      </c>
      <c r="B35444" s="11" t="str">
        <f>"201406004953"</f>
        <v>201406004953</v>
      </c>
    </row>
    <row r="35445" spans="1:2" x14ac:dyDescent="0.25">
      <c r="A35445" s="2">
        <v>35440</v>
      </c>
      <c r="B35445" s="11" t="str">
        <f>"201406004959"</f>
        <v>201406004959</v>
      </c>
    </row>
    <row r="35446" spans="1:2" x14ac:dyDescent="0.25">
      <c r="A35446" s="2">
        <v>35441</v>
      </c>
      <c r="B35446" s="11" t="str">
        <f>"201406004968"</f>
        <v>201406004968</v>
      </c>
    </row>
    <row r="35447" spans="1:2" x14ac:dyDescent="0.25">
      <c r="A35447" s="2">
        <v>35442</v>
      </c>
      <c r="B35447" s="11" t="str">
        <f>"201406005003"</f>
        <v>201406005003</v>
      </c>
    </row>
    <row r="35448" spans="1:2" x14ac:dyDescent="0.25">
      <c r="A35448" s="2">
        <v>35443</v>
      </c>
      <c r="B35448" s="11" t="str">
        <f>"201406005022"</f>
        <v>201406005022</v>
      </c>
    </row>
    <row r="35449" spans="1:2" x14ac:dyDescent="0.25">
      <c r="A35449" s="2">
        <v>35444</v>
      </c>
      <c r="B35449" s="11" t="str">
        <f>"201406005026"</f>
        <v>201406005026</v>
      </c>
    </row>
    <row r="35450" spans="1:2" x14ac:dyDescent="0.25">
      <c r="A35450" s="2">
        <v>35445</v>
      </c>
      <c r="B35450" s="11" t="str">
        <f>"201406005032"</f>
        <v>201406005032</v>
      </c>
    </row>
    <row r="35451" spans="1:2" x14ac:dyDescent="0.25">
      <c r="A35451" s="2">
        <v>35446</v>
      </c>
      <c r="B35451" s="11" t="str">
        <f>"201406005046"</f>
        <v>201406005046</v>
      </c>
    </row>
    <row r="35452" spans="1:2" x14ac:dyDescent="0.25">
      <c r="A35452" s="2">
        <v>35447</v>
      </c>
      <c r="B35452" s="11" t="str">
        <f>"201406005051"</f>
        <v>201406005051</v>
      </c>
    </row>
    <row r="35453" spans="1:2" x14ac:dyDescent="0.25">
      <c r="A35453" s="2">
        <v>35448</v>
      </c>
      <c r="B35453" s="11" t="str">
        <f>"201406005079"</f>
        <v>201406005079</v>
      </c>
    </row>
    <row r="35454" spans="1:2" x14ac:dyDescent="0.25">
      <c r="A35454" s="2">
        <v>35449</v>
      </c>
      <c r="B35454" s="11" t="str">
        <f>"201406005113"</f>
        <v>201406005113</v>
      </c>
    </row>
    <row r="35455" spans="1:2" x14ac:dyDescent="0.25">
      <c r="A35455" s="2">
        <v>35450</v>
      </c>
      <c r="B35455" s="11" t="str">
        <f>"201406005143"</f>
        <v>201406005143</v>
      </c>
    </row>
    <row r="35456" spans="1:2" x14ac:dyDescent="0.25">
      <c r="A35456" s="2">
        <v>35451</v>
      </c>
      <c r="B35456" s="11" t="str">
        <f>"201406005151"</f>
        <v>201406005151</v>
      </c>
    </row>
    <row r="35457" spans="1:2" x14ac:dyDescent="0.25">
      <c r="A35457" s="2">
        <v>35452</v>
      </c>
      <c r="B35457" s="11" t="str">
        <f>"201406005158"</f>
        <v>201406005158</v>
      </c>
    </row>
    <row r="35458" spans="1:2" x14ac:dyDescent="0.25">
      <c r="A35458" s="2">
        <v>35453</v>
      </c>
      <c r="B35458" s="11" t="str">
        <f>"201406005182"</f>
        <v>201406005182</v>
      </c>
    </row>
    <row r="35459" spans="1:2" x14ac:dyDescent="0.25">
      <c r="A35459" s="2">
        <v>35454</v>
      </c>
      <c r="B35459" s="11" t="str">
        <f>"201406005243"</f>
        <v>201406005243</v>
      </c>
    </row>
    <row r="35460" spans="1:2" x14ac:dyDescent="0.25">
      <c r="A35460" s="2">
        <v>35455</v>
      </c>
      <c r="B35460" s="11" t="str">
        <f>"201406005249"</f>
        <v>201406005249</v>
      </c>
    </row>
    <row r="35461" spans="1:2" x14ac:dyDescent="0.25">
      <c r="A35461" s="2">
        <v>35456</v>
      </c>
      <c r="B35461" s="11" t="str">
        <f>"201406005291"</f>
        <v>201406005291</v>
      </c>
    </row>
    <row r="35462" spans="1:2" x14ac:dyDescent="0.25">
      <c r="A35462" s="2">
        <v>35457</v>
      </c>
      <c r="B35462" s="11" t="str">
        <f>"201406005336"</f>
        <v>201406005336</v>
      </c>
    </row>
    <row r="35463" spans="1:2" x14ac:dyDescent="0.25">
      <c r="A35463" s="2">
        <v>35458</v>
      </c>
      <c r="B35463" s="11" t="str">
        <f>"201406005355"</f>
        <v>201406005355</v>
      </c>
    </row>
    <row r="35464" spans="1:2" x14ac:dyDescent="0.25">
      <c r="A35464" s="2">
        <v>35459</v>
      </c>
      <c r="B35464" s="11" t="str">
        <f>"201406005397"</f>
        <v>201406005397</v>
      </c>
    </row>
    <row r="35465" spans="1:2" x14ac:dyDescent="0.25">
      <c r="A35465" s="2">
        <v>35460</v>
      </c>
      <c r="B35465" s="11" t="str">
        <f>"201406005404"</f>
        <v>201406005404</v>
      </c>
    </row>
    <row r="35466" spans="1:2" x14ac:dyDescent="0.25">
      <c r="A35466" s="2">
        <v>35461</v>
      </c>
      <c r="B35466" s="11" t="str">
        <f>"201406005415"</f>
        <v>201406005415</v>
      </c>
    </row>
    <row r="35467" spans="1:2" x14ac:dyDescent="0.25">
      <c r="A35467" s="2">
        <v>35462</v>
      </c>
      <c r="B35467" s="11" t="str">
        <f>"201406005461"</f>
        <v>201406005461</v>
      </c>
    </row>
    <row r="35468" spans="1:2" x14ac:dyDescent="0.25">
      <c r="A35468" s="2">
        <v>35463</v>
      </c>
      <c r="B35468" s="11" t="str">
        <f>"201406005480"</f>
        <v>201406005480</v>
      </c>
    </row>
    <row r="35469" spans="1:2" x14ac:dyDescent="0.25">
      <c r="A35469" s="2">
        <v>35464</v>
      </c>
      <c r="B35469" s="11" t="str">
        <f>"201406005518"</f>
        <v>201406005518</v>
      </c>
    </row>
    <row r="35470" spans="1:2" x14ac:dyDescent="0.25">
      <c r="A35470" s="2">
        <v>35465</v>
      </c>
      <c r="B35470" s="11" t="str">
        <f>"201406005526"</f>
        <v>201406005526</v>
      </c>
    </row>
    <row r="35471" spans="1:2" x14ac:dyDescent="0.25">
      <c r="A35471" s="2">
        <v>35466</v>
      </c>
      <c r="B35471" s="11" t="str">
        <f>"201406005539"</f>
        <v>201406005539</v>
      </c>
    </row>
    <row r="35472" spans="1:2" x14ac:dyDescent="0.25">
      <c r="A35472" s="2">
        <v>35467</v>
      </c>
      <c r="B35472" s="11" t="str">
        <f>"201406005551"</f>
        <v>201406005551</v>
      </c>
    </row>
    <row r="35473" spans="1:2" x14ac:dyDescent="0.25">
      <c r="A35473" s="2">
        <v>35468</v>
      </c>
      <c r="B35473" s="11" t="str">
        <f>"201406005588"</f>
        <v>201406005588</v>
      </c>
    </row>
    <row r="35474" spans="1:2" x14ac:dyDescent="0.25">
      <c r="A35474" s="2">
        <v>35469</v>
      </c>
      <c r="B35474" s="11" t="str">
        <f>"201406005610"</f>
        <v>201406005610</v>
      </c>
    </row>
    <row r="35475" spans="1:2" x14ac:dyDescent="0.25">
      <c r="A35475" s="2">
        <v>35470</v>
      </c>
      <c r="B35475" s="11" t="str">
        <f>"201406005621"</f>
        <v>201406005621</v>
      </c>
    </row>
    <row r="35476" spans="1:2" x14ac:dyDescent="0.25">
      <c r="A35476" s="2">
        <v>35471</v>
      </c>
      <c r="B35476" s="11" t="str">
        <f>"201406005660"</f>
        <v>201406005660</v>
      </c>
    </row>
    <row r="35477" spans="1:2" x14ac:dyDescent="0.25">
      <c r="A35477" s="2">
        <v>35472</v>
      </c>
      <c r="B35477" s="11" t="str">
        <f>"201406005695"</f>
        <v>201406005695</v>
      </c>
    </row>
    <row r="35478" spans="1:2" x14ac:dyDescent="0.25">
      <c r="A35478" s="2">
        <v>35473</v>
      </c>
      <c r="B35478" s="11" t="str">
        <f>"201406005699"</f>
        <v>201406005699</v>
      </c>
    </row>
    <row r="35479" spans="1:2" x14ac:dyDescent="0.25">
      <c r="A35479" s="2">
        <v>35474</v>
      </c>
      <c r="B35479" s="11" t="str">
        <f>"201406005703"</f>
        <v>201406005703</v>
      </c>
    </row>
    <row r="35480" spans="1:2" x14ac:dyDescent="0.25">
      <c r="A35480" s="2">
        <v>35475</v>
      </c>
      <c r="B35480" s="11" t="str">
        <f>"201406005714"</f>
        <v>201406005714</v>
      </c>
    </row>
    <row r="35481" spans="1:2" x14ac:dyDescent="0.25">
      <c r="A35481" s="2">
        <v>35476</v>
      </c>
      <c r="B35481" s="11" t="str">
        <f>"201406005739"</f>
        <v>201406005739</v>
      </c>
    </row>
    <row r="35482" spans="1:2" x14ac:dyDescent="0.25">
      <c r="A35482" s="2">
        <v>35477</v>
      </c>
      <c r="B35482" s="11" t="str">
        <f>"201406005793"</f>
        <v>201406005793</v>
      </c>
    </row>
    <row r="35483" spans="1:2" x14ac:dyDescent="0.25">
      <c r="A35483" s="2">
        <v>35478</v>
      </c>
      <c r="B35483" s="11" t="str">
        <f>"201406005802"</f>
        <v>201406005802</v>
      </c>
    </row>
    <row r="35484" spans="1:2" x14ac:dyDescent="0.25">
      <c r="A35484" s="2">
        <v>35479</v>
      </c>
      <c r="B35484" s="11" t="str">
        <f>"201406005813"</f>
        <v>201406005813</v>
      </c>
    </row>
    <row r="35485" spans="1:2" x14ac:dyDescent="0.25">
      <c r="A35485" s="2">
        <v>35480</v>
      </c>
      <c r="B35485" s="11" t="str">
        <f>"201406005885"</f>
        <v>201406005885</v>
      </c>
    </row>
    <row r="35486" spans="1:2" x14ac:dyDescent="0.25">
      <c r="A35486" s="2">
        <v>35481</v>
      </c>
      <c r="B35486" s="11" t="str">
        <f>"201406005889"</f>
        <v>201406005889</v>
      </c>
    </row>
    <row r="35487" spans="1:2" x14ac:dyDescent="0.25">
      <c r="A35487" s="2">
        <v>35482</v>
      </c>
      <c r="B35487" s="11" t="str">
        <f>"201406005921"</f>
        <v>201406005921</v>
      </c>
    </row>
    <row r="35488" spans="1:2" x14ac:dyDescent="0.25">
      <c r="A35488" s="2">
        <v>35483</v>
      </c>
      <c r="B35488" s="11" t="str">
        <f>"201406005930"</f>
        <v>201406005930</v>
      </c>
    </row>
    <row r="35489" spans="1:2" x14ac:dyDescent="0.25">
      <c r="A35489" s="2">
        <v>35484</v>
      </c>
      <c r="B35489" s="11" t="str">
        <f>"201406005964"</f>
        <v>201406005964</v>
      </c>
    </row>
    <row r="35490" spans="1:2" x14ac:dyDescent="0.25">
      <c r="A35490" s="2">
        <v>35485</v>
      </c>
      <c r="B35490" s="11" t="str">
        <f>"201406005985"</f>
        <v>201406005985</v>
      </c>
    </row>
    <row r="35491" spans="1:2" x14ac:dyDescent="0.25">
      <c r="A35491" s="2">
        <v>35486</v>
      </c>
      <c r="B35491" s="11" t="str">
        <f>"201406006004"</f>
        <v>201406006004</v>
      </c>
    </row>
    <row r="35492" spans="1:2" x14ac:dyDescent="0.25">
      <c r="A35492" s="2">
        <v>35487</v>
      </c>
      <c r="B35492" s="11" t="str">
        <f>"201406006030"</f>
        <v>201406006030</v>
      </c>
    </row>
    <row r="35493" spans="1:2" x14ac:dyDescent="0.25">
      <c r="A35493" s="2">
        <v>35488</v>
      </c>
      <c r="B35493" s="11" t="str">
        <f>"201406006033"</f>
        <v>201406006033</v>
      </c>
    </row>
    <row r="35494" spans="1:2" x14ac:dyDescent="0.25">
      <c r="A35494" s="2">
        <v>35489</v>
      </c>
      <c r="B35494" s="11" t="str">
        <f>"201406006056"</f>
        <v>201406006056</v>
      </c>
    </row>
    <row r="35495" spans="1:2" x14ac:dyDescent="0.25">
      <c r="A35495" s="2">
        <v>35490</v>
      </c>
      <c r="B35495" s="11" t="str">
        <f>"201406006125"</f>
        <v>201406006125</v>
      </c>
    </row>
    <row r="35496" spans="1:2" x14ac:dyDescent="0.25">
      <c r="A35496" s="2">
        <v>35491</v>
      </c>
      <c r="B35496" s="11" t="str">
        <f>"201406006246"</f>
        <v>201406006246</v>
      </c>
    </row>
    <row r="35497" spans="1:2" x14ac:dyDescent="0.25">
      <c r="A35497" s="2">
        <v>35492</v>
      </c>
      <c r="B35497" s="11" t="str">
        <f>"201406006251"</f>
        <v>201406006251</v>
      </c>
    </row>
    <row r="35498" spans="1:2" x14ac:dyDescent="0.25">
      <c r="A35498" s="2">
        <v>35493</v>
      </c>
      <c r="B35498" s="11" t="str">
        <f>"201406006263"</f>
        <v>201406006263</v>
      </c>
    </row>
    <row r="35499" spans="1:2" x14ac:dyDescent="0.25">
      <c r="A35499" s="2">
        <v>35494</v>
      </c>
      <c r="B35499" s="11" t="str">
        <f>"201406006281"</f>
        <v>201406006281</v>
      </c>
    </row>
    <row r="35500" spans="1:2" x14ac:dyDescent="0.25">
      <c r="A35500" s="2">
        <v>35495</v>
      </c>
      <c r="B35500" s="11" t="str">
        <f>"201406006284"</f>
        <v>201406006284</v>
      </c>
    </row>
    <row r="35501" spans="1:2" x14ac:dyDescent="0.25">
      <c r="A35501" s="2">
        <v>35496</v>
      </c>
      <c r="B35501" s="11" t="str">
        <f>"201406006324"</f>
        <v>201406006324</v>
      </c>
    </row>
    <row r="35502" spans="1:2" x14ac:dyDescent="0.25">
      <c r="A35502" s="2">
        <v>35497</v>
      </c>
      <c r="B35502" s="11" t="str">
        <f>"201406006329"</f>
        <v>201406006329</v>
      </c>
    </row>
    <row r="35503" spans="1:2" x14ac:dyDescent="0.25">
      <c r="A35503" s="2">
        <v>35498</v>
      </c>
      <c r="B35503" s="11" t="str">
        <f>"201406006361"</f>
        <v>201406006361</v>
      </c>
    </row>
    <row r="35504" spans="1:2" x14ac:dyDescent="0.25">
      <c r="A35504" s="2">
        <v>35499</v>
      </c>
      <c r="B35504" s="11" t="str">
        <f>"201406006364"</f>
        <v>201406006364</v>
      </c>
    </row>
    <row r="35505" spans="1:2" x14ac:dyDescent="0.25">
      <c r="A35505" s="2">
        <v>35500</v>
      </c>
      <c r="B35505" s="11" t="str">
        <f>"201406006373"</f>
        <v>201406006373</v>
      </c>
    </row>
    <row r="35506" spans="1:2" x14ac:dyDescent="0.25">
      <c r="A35506" s="2">
        <v>35501</v>
      </c>
      <c r="B35506" s="11" t="str">
        <f>"201406006379"</f>
        <v>201406006379</v>
      </c>
    </row>
    <row r="35507" spans="1:2" x14ac:dyDescent="0.25">
      <c r="A35507" s="2">
        <v>35502</v>
      </c>
      <c r="B35507" s="11" t="str">
        <f>"201406006382"</f>
        <v>201406006382</v>
      </c>
    </row>
    <row r="35508" spans="1:2" x14ac:dyDescent="0.25">
      <c r="A35508" s="2">
        <v>35503</v>
      </c>
      <c r="B35508" s="11" t="str">
        <f>"201406006417"</f>
        <v>201406006417</v>
      </c>
    </row>
    <row r="35509" spans="1:2" x14ac:dyDescent="0.25">
      <c r="A35509" s="2">
        <v>35504</v>
      </c>
      <c r="B35509" s="11" t="str">
        <f>"201406006419"</f>
        <v>201406006419</v>
      </c>
    </row>
    <row r="35510" spans="1:2" x14ac:dyDescent="0.25">
      <c r="A35510" s="2">
        <v>35505</v>
      </c>
      <c r="B35510" s="11" t="str">
        <f>"201406006430"</f>
        <v>201406006430</v>
      </c>
    </row>
    <row r="35511" spans="1:2" x14ac:dyDescent="0.25">
      <c r="A35511" s="2">
        <v>35506</v>
      </c>
      <c r="B35511" s="11" t="str">
        <f>"201406006450"</f>
        <v>201406006450</v>
      </c>
    </row>
    <row r="35512" spans="1:2" x14ac:dyDescent="0.25">
      <c r="A35512" s="2">
        <v>35507</v>
      </c>
      <c r="B35512" s="11" t="str">
        <f>"201406006455"</f>
        <v>201406006455</v>
      </c>
    </row>
    <row r="35513" spans="1:2" x14ac:dyDescent="0.25">
      <c r="A35513" s="2">
        <v>35508</v>
      </c>
      <c r="B35513" s="11" t="str">
        <f>"201406006476"</f>
        <v>201406006476</v>
      </c>
    </row>
    <row r="35514" spans="1:2" x14ac:dyDescent="0.25">
      <c r="A35514" s="2">
        <v>35509</v>
      </c>
      <c r="B35514" s="11" t="str">
        <f>"201406006529"</f>
        <v>201406006529</v>
      </c>
    </row>
    <row r="35515" spans="1:2" x14ac:dyDescent="0.25">
      <c r="A35515" s="2">
        <v>35510</v>
      </c>
      <c r="B35515" s="11" t="str">
        <f>"201406006543"</f>
        <v>201406006543</v>
      </c>
    </row>
    <row r="35516" spans="1:2" x14ac:dyDescent="0.25">
      <c r="A35516" s="2">
        <v>35511</v>
      </c>
      <c r="B35516" s="11" t="str">
        <f>"201406006586"</f>
        <v>201406006586</v>
      </c>
    </row>
    <row r="35517" spans="1:2" x14ac:dyDescent="0.25">
      <c r="A35517" s="2">
        <v>35512</v>
      </c>
      <c r="B35517" s="11" t="str">
        <f>"201406006592"</f>
        <v>201406006592</v>
      </c>
    </row>
    <row r="35518" spans="1:2" x14ac:dyDescent="0.25">
      <c r="A35518" s="2">
        <v>35513</v>
      </c>
      <c r="B35518" s="11" t="str">
        <f>"201406006613"</f>
        <v>201406006613</v>
      </c>
    </row>
    <row r="35519" spans="1:2" x14ac:dyDescent="0.25">
      <c r="A35519" s="2">
        <v>35514</v>
      </c>
      <c r="B35519" s="11" t="str">
        <f>"201406006639"</f>
        <v>201406006639</v>
      </c>
    </row>
    <row r="35520" spans="1:2" x14ac:dyDescent="0.25">
      <c r="A35520" s="2">
        <v>35515</v>
      </c>
      <c r="B35520" s="11" t="str">
        <f>"201406006647"</f>
        <v>201406006647</v>
      </c>
    </row>
    <row r="35521" spans="1:2" x14ac:dyDescent="0.25">
      <c r="A35521" s="2">
        <v>35516</v>
      </c>
      <c r="B35521" s="11" t="str">
        <f>"201406006657"</f>
        <v>201406006657</v>
      </c>
    </row>
    <row r="35522" spans="1:2" x14ac:dyDescent="0.25">
      <c r="A35522" s="2">
        <v>35517</v>
      </c>
      <c r="B35522" s="11" t="str">
        <f>"201406006668"</f>
        <v>201406006668</v>
      </c>
    </row>
    <row r="35523" spans="1:2" x14ac:dyDescent="0.25">
      <c r="A35523" s="2">
        <v>35518</v>
      </c>
      <c r="B35523" s="11" t="str">
        <f>"201406006684"</f>
        <v>201406006684</v>
      </c>
    </row>
    <row r="35524" spans="1:2" x14ac:dyDescent="0.25">
      <c r="A35524" s="2">
        <v>35519</v>
      </c>
      <c r="B35524" s="11" t="str">
        <f>"201406006690"</f>
        <v>201406006690</v>
      </c>
    </row>
    <row r="35525" spans="1:2" x14ac:dyDescent="0.25">
      <c r="A35525" s="2">
        <v>35520</v>
      </c>
      <c r="B35525" s="11" t="str">
        <f>"201406006702"</f>
        <v>201406006702</v>
      </c>
    </row>
    <row r="35526" spans="1:2" x14ac:dyDescent="0.25">
      <c r="A35526" s="2">
        <v>35521</v>
      </c>
      <c r="B35526" s="11" t="str">
        <f>"201406006723"</f>
        <v>201406006723</v>
      </c>
    </row>
    <row r="35527" spans="1:2" x14ac:dyDescent="0.25">
      <c r="A35527" s="2">
        <v>35522</v>
      </c>
      <c r="B35527" s="11" t="str">
        <f>"201406006768"</f>
        <v>201406006768</v>
      </c>
    </row>
    <row r="35528" spans="1:2" x14ac:dyDescent="0.25">
      <c r="A35528" s="2">
        <v>35523</v>
      </c>
      <c r="B35528" s="11" t="str">
        <f>"201406006822"</f>
        <v>201406006822</v>
      </c>
    </row>
    <row r="35529" spans="1:2" x14ac:dyDescent="0.25">
      <c r="A35529" s="2">
        <v>35524</v>
      </c>
      <c r="B35529" s="11" t="str">
        <f>"201406006857"</f>
        <v>201406006857</v>
      </c>
    </row>
    <row r="35530" spans="1:2" x14ac:dyDescent="0.25">
      <c r="A35530" s="2">
        <v>35525</v>
      </c>
      <c r="B35530" s="11" t="str">
        <f>"201406006866"</f>
        <v>201406006866</v>
      </c>
    </row>
    <row r="35531" spans="1:2" x14ac:dyDescent="0.25">
      <c r="A35531" s="2">
        <v>35526</v>
      </c>
      <c r="B35531" s="11" t="str">
        <f>"201406006878"</f>
        <v>201406006878</v>
      </c>
    </row>
    <row r="35532" spans="1:2" x14ac:dyDescent="0.25">
      <c r="A35532" s="2">
        <v>35527</v>
      </c>
      <c r="B35532" s="11" t="str">
        <f>"201406006903"</f>
        <v>201406006903</v>
      </c>
    </row>
    <row r="35533" spans="1:2" x14ac:dyDescent="0.25">
      <c r="A35533" s="2">
        <v>35528</v>
      </c>
      <c r="B35533" s="11" t="str">
        <f>"201406006929"</f>
        <v>201406006929</v>
      </c>
    </row>
    <row r="35534" spans="1:2" x14ac:dyDescent="0.25">
      <c r="A35534" s="2">
        <v>35529</v>
      </c>
      <c r="B35534" s="11" t="str">
        <f>"201406006962"</f>
        <v>201406006962</v>
      </c>
    </row>
    <row r="35535" spans="1:2" x14ac:dyDescent="0.25">
      <c r="A35535" s="2">
        <v>35530</v>
      </c>
      <c r="B35535" s="11" t="str">
        <f>"201406007002"</f>
        <v>201406007002</v>
      </c>
    </row>
    <row r="35536" spans="1:2" x14ac:dyDescent="0.25">
      <c r="A35536" s="2">
        <v>35531</v>
      </c>
      <c r="B35536" s="11" t="str">
        <f>"201406007016"</f>
        <v>201406007016</v>
      </c>
    </row>
    <row r="35537" spans="1:2" x14ac:dyDescent="0.25">
      <c r="A35537" s="2">
        <v>35532</v>
      </c>
      <c r="B35537" s="11" t="str">
        <f>"201406007028"</f>
        <v>201406007028</v>
      </c>
    </row>
    <row r="35538" spans="1:2" x14ac:dyDescent="0.25">
      <c r="A35538" s="2">
        <v>35533</v>
      </c>
      <c r="B35538" s="11" t="str">
        <f>"201406007038"</f>
        <v>201406007038</v>
      </c>
    </row>
    <row r="35539" spans="1:2" x14ac:dyDescent="0.25">
      <c r="A35539" s="2">
        <v>35534</v>
      </c>
      <c r="B35539" s="11" t="str">
        <f>"201406007041"</f>
        <v>201406007041</v>
      </c>
    </row>
    <row r="35540" spans="1:2" x14ac:dyDescent="0.25">
      <c r="A35540" s="2">
        <v>35535</v>
      </c>
      <c r="B35540" s="11" t="str">
        <f>"201406007069"</f>
        <v>201406007069</v>
      </c>
    </row>
    <row r="35541" spans="1:2" x14ac:dyDescent="0.25">
      <c r="A35541" s="2">
        <v>35536</v>
      </c>
      <c r="B35541" s="11" t="str">
        <f>"201406007072"</f>
        <v>201406007072</v>
      </c>
    </row>
    <row r="35542" spans="1:2" x14ac:dyDescent="0.25">
      <c r="A35542" s="2">
        <v>35537</v>
      </c>
      <c r="B35542" s="11" t="str">
        <f>"201406007098"</f>
        <v>201406007098</v>
      </c>
    </row>
    <row r="35543" spans="1:2" x14ac:dyDescent="0.25">
      <c r="A35543" s="2">
        <v>35538</v>
      </c>
      <c r="B35543" s="11" t="str">
        <f>"201406007139"</f>
        <v>201406007139</v>
      </c>
    </row>
    <row r="35544" spans="1:2" x14ac:dyDescent="0.25">
      <c r="A35544" s="2">
        <v>35539</v>
      </c>
      <c r="B35544" s="11" t="str">
        <f>"201406007149"</f>
        <v>201406007149</v>
      </c>
    </row>
    <row r="35545" spans="1:2" x14ac:dyDescent="0.25">
      <c r="A35545" s="2">
        <v>35540</v>
      </c>
      <c r="B35545" s="11" t="str">
        <f>"201406007179"</f>
        <v>201406007179</v>
      </c>
    </row>
    <row r="35546" spans="1:2" x14ac:dyDescent="0.25">
      <c r="A35546" s="2">
        <v>35541</v>
      </c>
      <c r="B35546" s="11" t="str">
        <f>"201406007247"</f>
        <v>201406007247</v>
      </c>
    </row>
    <row r="35547" spans="1:2" x14ac:dyDescent="0.25">
      <c r="A35547" s="2">
        <v>35542</v>
      </c>
      <c r="B35547" s="11" t="str">
        <f>"201406007257"</f>
        <v>201406007257</v>
      </c>
    </row>
    <row r="35548" spans="1:2" x14ac:dyDescent="0.25">
      <c r="A35548" s="2">
        <v>35543</v>
      </c>
      <c r="B35548" s="11" t="str">
        <f>"201406007274"</f>
        <v>201406007274</v>
      </c>
    </row>
    <row r="35549" spans="1:2" x14ac:dyDescent="0.25">
      <c r="A35549" s="2">
        <v>35544</v>
      </c>
      <c r="B35549" s="11" t="str">
        <f>"201406007292"</f>
        <v>201406007292</v>
      </c>
    </row>
    <row r="35550" spans="1:2" x14ac:dyDescent="0.25">
      <c r="A35550" s="2">
        <v>35545</v>
      </c>
      <c r="B35550" s="11" t="str">
        <f>"201406007341"</f>
        <v>201406007341</v>
      </c>
    </row>
    <row r="35551" spans="1:2" x14ac:dyDescent="0.25">
      <c r="A35551" s="2">
        <v>35546</v>
      </c>
      <c r="B35551" s="11" t="str">
        <f>"201406007358"</f>
        <v>201406007358</v>
      </c>
    </row>
    <row r="35552" spans="1:2" x14ac:dyDescent="0.25">
      <c r="A35552" s="2">
        <v>35547</v>
      </c>
      <c r="B35552" s="11" t="str">
        <f>"201406007395"</f>
        <v>201406007395</v>
      </c>
    </row>
    <row r="35553" spans="1:2" x14ac:dyDescent="0.25">
      <c r="A35553" s="2">
        <v>35548</v>
      </c>
      <c r="B35553" s="11" t="str">
        <f>"201406007396"</f>
        <v>201406007396</v>
      </c>
    </row>
    <row r="35554" spans="1:2" x14ac:dyDescent="0.25">
      <c r="A35554" s="2">
        <v>35549</v>
      </c>
      <c r="B35554" s="11" t="str">
        <f>"201406007410"</f>
        <v>201406007410</v>
      </c>
    </row>
    <row r="35555" spans="1:2" x14ac:dyDescent="0.25">
      <c r="A35555" s="2">
        <v>35550</v>
      </c>
      <c r="B35555" s="11" t="str">
        <f>"201406007460"</f>
        <v>201406007460</v>
      </c>
    </row>
    <row r="35556" spans="1:2" x14ac:dyDescent="0.25">
      <c r="A35556" s="2">
        <v>35551</v>
      </c>
      <c r="B35556" s="11" t="str">
        <f>"201406007471"</f>
        <v>201406007471</v>
      </c>
    </row>
    <row r="35557" spans="1:2" x14ac:dyDescent="0.25">
      <c r="A35557" s="2">
        <v>35552</v>
      </c>
      <c r="B35557" s="11" t="str">
        <f>"201406007481"</f>
        <v>201406007481</v>
      </c>
    </row>
    <row r="35558" spans="1:2" x14ac:dyDescent="0.25">
      <c r="A35558" s="2">
        <v>35553</v>
      </c>
      <c r="B35558" s="11" t="str">
        <f>"201406007515"</f>
        <v>201406007515</v>
      </c>
    </row>
    <row r="35559" spans="1:2" x14ac:dyDescent="0.25">
      <c r="A35559" s="2">
        <v>35554</v>
      </c>
      <c r="B35559" s="11" t="str">
        <f>"201406007538"</f>
        <v>201406007538</v>
      </c>
    </row>
    <row r="35560" spans="1:2" x14ac:dyDescent="0.25">
      <c r="A35560" s="2">
        <v>35555</v>
      </c>
      <c r="B35560" s="11" t="str">
        <f>"201406007558"</f>
        <v>201406007558</v>
      </c>
    </row>
    <row r="35561" spans="1:2" x14ac:dyDescent="0.25">
      <c r="A35561" s="2">
        <v>35556</v>
      </c>
      <c r="B35561" s="11" t="str">
        <f>"201406007571"</f>
        <v>201406007571</v>
      </c>
    </row>
    <row r="35562" spans="1:2" x14ac:dyDescent="0.25">
      <c r="A35562" s="2">
        <v>35557</v>
      </c>
      <c r="B35562" s="11" t="str">
        <f>"201406007632"</f>
        <v>201406007632</v>
      </c>
    </row>
    <row r="35563" spans="1:2" x14ac:dyDescent="0.25">
      <c r="A35563" s="2">
        <v>35558</v>
      </c>
      <c r="B35563" s="11" t="str">
        <f>"201406007637"</f>
        <v>201406007637</v>
      </c>
    </row>
    <row r="35564" spans="1:2" x14ac:dyDescent="0.25">
      <c r="A35564" s="2">
        <v>35559</v>
      </c>
      <c r="B35564" s="11" t="str">
        <f>"201406007647"</f>
        <v>201406007647</v>
      </c>
    </row>
    <row r="35565" spans="1:2" x14ac:dyDescent="0.25">
      <c r="A35565" s="2">
        <v>35560</v>
      </c>
      <c r="B35565" s="11" t="str">
        <f>"201406007682"</f>
        <v>201406007682</v>
      </c>
    </row>
    <row r="35566" spans="1:2" x14ac:dyDescent="0.25">
      <c r="A35566" s="2">
        <v>35561</v>
      </c>
      <c r="B35566" s="11" t="str">
        <f>"201406007694"</f>
        <v>201406007694</v>
      </c>
    </row>
    <row r="35567" spans="1:2" x14ac:dyDescent="0.25">
      <c r="A35567" s="2">
        <v>35562</v>
      </c>
      <c r="B35567" s="11" t="str">
        <f>"201406007716"</f>
        <v>201406007716</v>
      </c>
    </row>
    <row r="35568" spans="1:2" x14ac:dyDescent="0.25">
      <c r="A35568" s="2">
        <v>35563</v>
      </c>
      <c r="B35568" s="11" t="str">
        <f>"201406007726"</f>
        <v>201406007726</v>
      </c>
    </row>
    <row r="35569" spans="1:2" x14ac:dyDescent="0.25">
      <c r="A35569" s="2">
        <v>35564</v>
      </c>
      <c r="B35569" s="11" t="str">
        <f>"201406007834"</f>
        <v>201406007834</v>
      </c>
    </row>
    <row r="35570" spans="1:2" x14ac:dyDescent="0.25">
      <c r="A35570" s="2">
        <v>35565</v>
      </c>
      <c r="B35570" s="11" t="str">
        <f>"201406007862"</f>
        <v>201406007862</v>
      </c>
    </row>
    <row r="35571" spans="1:2" x14ac:dyDescent="0.25">
      <c r="A35571" s="2">
        <v>35566</v>
      </c>
      <c r="B35571" s="11" t="str">
        <f>"201406007868"</f>
        <v>201406007868</v>
      </c>
    </row>
    <row r="35572" spans="1:2" x14ac:dyDescent="0.25">
      <c r="A35572" s="2">
        <v>35567</v>
      </c>
      <c r="B35572" s="11" t="str">
        <f>"201406007889"</f>
        <v>201406007889</v>
      </c>
    </row>
    <row r="35573" spans="1:2" x14ac:dyDescent="0.25">
      <c r="A35573" s="2">
        <v>35568</v>
      </c>
      <c r="B35573" s="11" t="str">
        <f>"201406007897"</f>
        <v>201406007897</v>
      </c>
    </row>
    <row r="35574" spans="1:2" x14ac:dyDescent="0.25">
      <c r="A35574" s="2">
        <v>35569</v>
      </c>
      <c r="B35574" s="11" t="str">
        <f>"201406007904"</f>
        <v>201406007904</v>
      </c>
    </row>
    <row r="35575" spans="1:2" x14ac:dyDescent="0.25">
      <c r="A35575" s="2">
        <v>35570</v>
      </c>
      <c r="B35575" s="11" t="str">
        <f>"201406007919"</f>
        <v>201406007919</v>
      </c>
    </row>
    <row r="35576" spans="1:2" x14ac:dyDescent="0.25">
      <c r="A35576" s="2">
        <v>35571</v>
      </c>
      <c r="B35576" s="11" t="str">
        <f>"201406007932"</f>
        <v>201406007932</v>
      </c>
    </row>
    <row r="35577" spans="1:2" x14ac:dyDescent="0.25">
      <c r="A35577" s="2">
        <v>35572</v>
      </c>
      <c r="B35577" s="11" t="str">
        <f>"201406007949"</f>
        <v>201406007949</v>
      </c>
    </row>
    <row r="35578" spans="1:2" x14ac:dyDescent="0.25">
      <c r="A35578" s="2">
        <v>35573</v>
      </c>
      <c r="B35578" s="11" t="str">
        <f>"201406007979"</f>
        <v>201406007979</v>
      </c>
    </row>
    <row r="35579" spans="1:2" x14ac:dyDescent="0.25">
      <c r="A35579" s="2">
        <v>35574</v>
      </c>
      <c r="B35579" s="11" t="str">
        <f>"201406008009"</f>
        <v>201406008009</v>
      </c>
    </row>
    <row r="35580" spans="1:2" x14ac:dyDescent="0.25">
      <c r="A35580" s="2">
        <v>35575</v>
      </c>
      <c r="B35580" s="11" t="str">
        <f>"201406008020"</f>
        <v>201406008020</v>
      </c>
    </row>
    <row r="35581" spans="1:2" x14ac:dyDescent="0.25">
      <c r="A35581" s="2">
        <v>35576</v>
      </c>
      <c r="B35581" s="11" t="str">
        <f>"201406008027"</f>
        <v>201406008027</v>
      </c>
    </row>
    <row r="35582" spans="1:2" x14ac:dyDescent="0.25">
      <c r="A35582" s="2">
        <v>35577</v>
      </c>
      <c r="B35582" s="11" t="str">
        <f>"201406008088"</f>
        <v>201406008088</v>
      </c>
    </row>
    <row r="35583" spans="1:2" x14ac:dyDescent="0.25">
      <c r="A35583" s="2">
        <v>35578</v>
      </c>
      <c r="B35583" s="11" t="str">
        <f>"201406008101"</f>
        <v>201406008101</v>
      </c>
    </row>
    <row r="35584" spans="1:2" x14ac:dyDescent="0.25">
      <c r="A35584" s="2">
        <v>35579</v>
      </c>
      <c r="B35584" s="11" t="str">
        <f>"201406008117"</f>
        <v>201406008117</v>
      </c>
    </row>
    <row r="35585" spans="1:2" x14ac:dyDescent="0.25">
      <c r="A35585" s="2">
        <v>35580</v>
      </c>
      <c r="B35585" s="11" t="str">
        <f>"201406008143"</f>
        <v>201406008143</v>
      </c>
    </row>
    <row r="35586" spans="1:2" x14ac:dyDescent="0.25">
      <c r="A35586" s="2">
        <v>35581</v>
      </c>
      <c r="B35586" s="11" t="str">
        <f>"201406008144"</f>
        <v>201406008144</v>
      </c>
    </row>
    <row r="35587" spans="1:2" x14ac:dyDescent="0.25">
      <c r="A35587" s="2">
        <v>35582</v>
      </c>
      <c r="B35587" s="11" t="str">
        <f>"201406008177"</f>
        <v>201406008177</v>
      </c>
    </row>
    <row r="35588" spans="1:2" x14ac:dyDescent="0.25">
      <c r="A35588" s="2">
        <v>35583</v>
      </c>
      <c r="B35588" s="11" t="str">
        <f>"201406008193"</f>
        <v>201406008193</v>
      </c>
    </row>
    <row r="35589" spans="1:2" x14ac:dyDescent="0.25">
      <c r="A35589" s="2">
        <v>35584</v>
      </c>
      <c r="B35589" s="11" t="str">
        <f>"201406008200"</f>
        <v>201406008200</v>
      </c>
    </row>
    <row r="35590" spans="1:2" x14ac:dyDescent="0.25">
      <c r="A35590" s="2">
        <v>35585</v>
      </c>
      <c r="B35590" s="11" t="str">
        <f>"201406008213"</f>
        <v>201406008213</v>
      </c>
    </row>
    <row r="35591" spans="1:2" x14ac:dyDescent="0.25">
      <c r="A35591" s="2">
        <v>35586</v>
      </c>
      <c r="B35591" s="11" t="str">
        <f>"201406008223"</f>
        <v>201406008223</v>
      </c>
    </row>
    <row r="35592" spans="1:2" x14ac:dyDescent="0.25">
      <c r="A35592" s="2">
        <v>35587</v>
      </c>
      <c r="B35592" s="11" t="str">
        <f>"201406008294"</f>
        <v>201406008294</v>
      </c>
    </row>
    <row r="35593" spans="1:2" x14ac:dyDescent="0.25">
      <c r="A35593" s="2">
        <v>35588</v>
      </c>
      <c r="B35593" s="11" t="str">
        <f>"201406008315"</f>
        <v>201406008315</v>
      </c>
    </row>
    <row r="35594" spans="1:2" x14ac:dyDescent="0.25">
      <c r="A35594" s="2">
        <v>35589</v>
      </c>
      <c r="B35594" s="11" t="str">
        <f>"201406008321"</f>
        <v>201406008321</v>
      </c>
    </row>
    <row r="35595" spans="1:2" x14ac:dyDescent="0.25">
      <c r="A35595" s="2">
        <v>35590</v>
      </c>
      <c r="B35595" s="11" t="str">
        <f>"201406008333"</f>
        <v>201406008333</v>
      </c>
    </row>
    <row r="35596" spans="1:2" x14ac:dyDescent="0.25">
      <c r="A35596" s="2">
        <v>35591</v>
      </c>
      <c r="B35596" s="11" t="str">
        <f>"201406008435"</f>
        <v>201406008435</v>
      </c>
    </row>
    <row r="35597" spans="1:2" x14ac:dyDescent="0.25">
      <c r="A35597" s="2">
        <v>35592</v>
      </c>
      <c r="B35597" s="11" t="str">
        <f>"201406008473"</f>
        <v>201406008473</v>
      </c>
    </row>
    <row r="35598" spans="1:2" x14ac:dyDescent="0.25">
      <c r="A35598" s="2">
        <v>35593</v>
      </c>
      <c r="B35598" s="11" t="str">
        <f>"201406008606"</f>
        <v>201406008606</v>
      </c>
    </row>
    <row r="35599" spans="1:2" x14ac:dyDescent="0.25">
      <c r="A35599" s="2">
        <v>35594</v>
      </c>
      <c r="B35599" s="11" t="str">
        <f>"201406008664"</f>
        <v>201406008664</v>
      </c>
    </row>
    <row r="35600" spans="1:2" x14ac:dyDescent="0.25">
      <c r="A35600" s="2">
        <v>35595</v>
      </c>
      <c r="B35600" s="11" t="str">
        <f>"201406008743"</f>
        <v>201406008743</v>
      </c>
    </row>
    <row r="35601" spans="1:2" x14ac:dyDescent="0.25">
      <c r="A35601" s="2">
        <v>35596</v>
      </c>
      <c r="B35601" s="11" t="str">
        <f>"201406008759"</f>
        <v>201406008759</v>
      </c>
    </row>
    <row r="35602" spans="1:2" x14ac:dyDescent="0.25">
      <c r="A35602" s="2">
        <v>35597</v>
      </c>
      <c r="B35602" s="11" t="str">
        <f>"201406008804"</f>
        <v>201406008804</v>
      </c>
    </row>
    <row r="35603" spans="1:2" x14ac:dyDescent="0.25">
      <c r="A35603" s="2">
        <v>35598</v>
      </c>
      <c r="B35603" s="11" t="str">
        <f>"201406008820"</f>
        <v>201406008820</v>
      </c>
    </row>
    <row r="35604" spans="1:2" x14ac:dyDescent="0.25">
      <c r="A35604" s="2">
        <v>35599</v>
      </c>
      <c r="B35604" s="11" t="str">
        <f>"201406008821"</f>
        <v>201406008821</v>
      </c>
    </row>
    <row r="35605" spans="1:2" x14ac:dyDescent="0.25">
      <c r="A35605" s="2">
        <v>35600</v>
      </c>
      <c r="B35605" s="11" t="str">
        <f>"201406008844"</f>
        <v>201406008844</v>
      </c>
    </row>
    <row r="35606" spans="1:2" x14ac:dyDescent="0.25">
      <c r="A35606" s="2">
        <v>35601</v>
      </c>
      <c r="B35606" s="11" t="str">
        <f>"201406008882"</f>
        <v>201406008882</v>
      </c>
    </row>
    <row r="35607" spans="1:2" x14ac:dyDescent="0.25">
      <c r="A35607" s="2">
        <v>35602</v>
      </c>
      <c r="B35607" s="11" t="str">
        <f>"201406008890"</f>
        <v>201406008890</v>
      </c>
    </row>
    <row r="35608" spans="1:2" x14ac:dyDescent="0.25">
      <c r="A35608" s="2">
        <v>35603</v>
      </c>
      <c r="B35608" s="11" t="str">
        <f>"201406008971"</f>
        <v>201406008971</v>
      </c>
    </row>
    <row r="35609" spans="1:2" x14ac:dyDescent="0.25">
      <c r="A35609" s="2">
        <v>35604</v>
      </c>
      <c r="B35609" s="11" t="str">
        <f>"201406008973"</f>
        <v>201406008973</v>
      </c>
    </row>
    <row r="35610" spans="1:2" x14ac:dyDescent="0.25">
      <c r="A35610" s="2">
        <v>35605</v>
      </c>
      <c r="B35610" s="11" t="str">
        <f>"201406008974"</f>
        <v>201406008974</v>
      </c>
    </row>
    <row r="35611" spans="1:2" x14ac:dyDescent="0.25">
      <c r="A35611" s="2">
        <v>35606</v>
      </c>
      <c r="B35611" s="11" t="str">
        <f>"201406009016"</f>
        <v>201406009016</v>
      </c>
    </row>
    <row r="35612" spans="1:2" x14ac:dyDescent="0.25">
      <c r="A35612" s="2">
        <v>35607</v>
      </c>
      <c r="B35612" s="11" t="str">
        <f>"201406009019"</f>
        <v>201406009019</v>
      </c>
    </row>
    <row r="35613" spans="1:2" x14ac:dyDescent="0.25">
      <c r="A35613" s="2">
        <v>35608</v>
      </c>
      <c r="B35613" s="11" t="str">
        <f>"201406009020"</f>
        <v>201406009020</v>
      </c>
    </row>
    <row r="35614" spans="1:2" x14ac:dyDescent="0.25">
      <c r="A35614" s="2">
        <v>35609</v>
      </c>
      <c r="B35614" s="11" t="str">
        <f>"201406009021"</f>
        <v>201406009021</v>
      </c>
    </row>
    <row r="35615" spans="1:2" x14ac:dyDescent="0.25">
      <c r="A35615" s="2">
        <v>35610</v>
      </c>
      <c r="B35615" s="11" t="str">
        <f>"201406009025"</f>
        <v>201406009025</v>
      </c>
    </row>
    <row r="35616" spans="1:2" x14ac:dyDescent="0.25">
      <c r="A35616" s="2">
        <v>35611</v>
      </c>
      <c r="B35616" s="11" t="str">
        <f>"201406009042"</f>
        <v>201406009042</v>
      </c>
    </row>
    <row r="35617" spans="1:2" x14ac:dyDescent="0.25">
      <c r="A35617" s="2">
        <v>35612</v>
      </c>
      <c r="B35617" s="11" t="str">
        <f>"201406009084"</f>
        <v>201406009084</v>
      </c>
    </row>
    <row r="35618" spans="1:2" x14ac:dyDescent="0.25">
      <c r="A35618" s="2">
        <v>35613</v>
      </c>
      <c r="B35618" s="11" t="str">
        <f>"201406009091"</f>
        <v>201406009091</v>
      </c>
    </row>
    <row r="35619" spans="1:2" x14ac:dyDescent="0.25">
      <c r="A35619" s="2">
        <v>35614</v>
      </c>
      <c r="B35619" s="11" t="str">
        <f>"201406009137"</f>
        <v>201406009137</v>
      </c>
    </row>
    <row r="35620" spans="1:2" x14ac:dyDescent="0.25">
      <c r="A35620" s="2">
        <v>35615</v>
      </c>
      <c r="B35620" s="11" t="str">
        <f>"201406009144"</f>
        <v>201406009144</v>
      </c>
    </row>
    <row r="35621" spans="1:2" x14ac:dyDescent="0.25">
      <c r="A35621" s="2">
        <v>35616</v>
      </c>
      <c r="B35621" s="11" t="str">
        <f>"201406009161"</f>
        <v>201406009161</v>
      </c>
    </row>
    <row r="35622" spans="1:2" x14ac:dyDescent="0.25">
      <c r="A35622" s="2">
        <v>35617</v>
      </c>
      <c r="B35622" s="11" t="str">
        <f>"201406009184"</f>
        <v>201406009184</v>
      </c>
    </row>
    <row r="35623" spans="1:2" x14ac:dyDescent="0.25">
      <c r="A35623" s="2">
        <v>35618</v>
      </c>
      <c r="B35623" s="11" t="str">
        <f>"201406009191"</f>
        <v>201406009191</v>
      </c>
    </row>
    <row r="35624" spans="1:2" x14ac:dyDescent="0.25">
      <c r="A35624" s="2">
        <v>35619</v>
      </c>
      <c r="B35624" s="11" t="str">
        <f>"201406009225"</f>
        <v>201406009225</v>
      </c>
    </row>
    <row r="35625" spans="1:2" x14ac:dyDescent="0.25">
      <c r="A35625" s="2">
        <v>35620</v>
      </c>
      <c r="B35625" s="11" t="str">
        <f>"201406009236"</f>
        <v>201406009236</v>
      </c>
    </row>
    <row r="35626" spans="1:2" x14ac:dyDescent="0.25">
      <c r="A35626" s="2">
        <v>35621</v>
      </c>
      <c r="B35626" s="11" t="str">
        <f>"201406009255"</f>
        <v>201406009255</v>
      </c>
    </row>
    <row r="35627" spans="1:2" x14ac:dyDescent="0.25">
      <c r="A35627" s="2">
        <v>35622</v>
      </c>
      <c r="B35627" s="11" t="str">
        <f>"201406009256"</f>
        <v>201406009256</v>
      </c>
    </row>
    <row r="35628" spans="1:2" x14ac:dyDescent="0.25">
      <c r="A35628" s="2">
        <v>35623</v>
      </c>
      <c r="B35628" s="11" t="str">
        <f>"201406009265"</f>
        <v>201406009265</v>
      </c>
    </row>
    <row r="35629" spans="1:2" x14ac:dyDescent="0.25">
      <c r="A35629" s="2">
        <v>35624</v>
      </c>
      <c r="B35629" s="11" t="str">
        <f>"201406009308"</f>
        <v>201406009308</v>
      </c>
    </row>
    <row r="35630" spans="1:2" x14ac:dyDescent="0.25">
      <c r="A35630" s="2">
        <v>35625</v>
      </c>
      <c r="B35630" s="11" t="str">
        <f>"201406009314"</f>
        <v>201406009314</v>
      </c>
    </row>
    <row r="35631" spans="1:2" x14ac:dyDescent="0.25">
      <c r="A35631" s="2">
        <v>35626</v>
      </c>
      <c r="B35631" s="11" t="str">
        <f>"201406009332"</f>
        <v>201406009332</v>
      </c>
    </row>
    <row r="35632" spans="1:2" x14ac:dyDescent="0.25">
      <c r="A35632" s="2">
        <v>35627</v>
      </c>
      <c r="B35632" s="11" t="str">
        <f>"201406009344"</f>
        <v>201406009344</v>
      </c>
    </row>
    <row r="35633" spans="1:2" x14ac:dyDescent="0.25">
      <c r="A35633" s="2">
        <v>35628</v>
      </c>
      <c r="B35633" s="11" t="str">
        <f>"201406009355"</f>
        <v>201406009355</v>
      </c>
    </row>
    <row r="35634" spans="1:2" x14ac:dyDescent="0.25">
      <c r="A35634" s="2">
        <v>35629</v>
      </c>
      <c r="B35634" s="11" t="str">
        <f>"201406009382"</f>
        <v>201406009382</v>
      </c>
    </row>
    <row r="35635" spans="1:2" x14ac:dyDescent="0.25">
      <c r="A35635" s="2">
        <v>35630</v>
      </c>
      <c r="B35635" s="11" t="str">
        <f>"201406009412"</f>
        <v>201406009412</v>
      </c>
    </row>
    <row r="35636" spans="1:2" x14ac:dyDescent="0.25">
      <c r="A35636" s="2">
        <v>35631</v>
      </c>
      <c r="B35636" s="11" t="str">
        <f>"201406009440"</f>
        <v>201406009440</v>
      </c>
    </row>
    <row r="35637" spans="1:2" x14ac:dyDescent="0.25">
      <c r="A35637" s="2">
        <v>35632</v>
      </c>
      <c r="B35637" s="11" t="str">
        <f>"201406009466"</f>
        <v>201406009466</v>
      </c>
    </row>
    <row r="35638" spans="1:2" x14ac:dyDescent="0.25">
      <c r="A35638" s="2">
        <v>35633</v>
      </c>
      <c r="B35638" s="11" t="str">
        <f>"201406009467"</f>
        <v>201406009467</v>
      </c>
    </row>
    <row r="35639" spans="1:2" x14ac:dyDescent="0.25">
      <c r="A35639" s="2">
        <v>35634</v>
      </c>
      <c r="B35639" s="11" t="str">
        <f>"201406009474"</f>
        <v>201406009474</v>
      </c>
    </row>
    <row r="35640" spans="1:2" x14ac:dyDescent="0.25">
      <c r="A35640" s="2">
        <v>35635</v>
      </c>
      <c r="B35640" s="11" t="str">
        <f>"201406009497"</f>
        <v>201406009497</v>
      </c>
    </row>
    <row r="35641" spans="1:2" x14ac:dyDescent="0.25">
      <c r="A35641" s="2">
        <v>35636</v>
      </c>
      <c r="B35641" s="11" t="str">
        <f>"201406009500"</f>
        <v>201406009500</v>
      </c>
    </row>
    <row r="35642" spans="1:2" x14ac:dyDescent="0.25">
      <c r="A35642" s="2">
        <v>35637</v>
      </c>
      <c r="B35642" s="11" t="str">
        <f>"201406009525"</f>
        <v>201406009525</v>
      </c>
    </row>
    <row r="35643" spans="1:2" x14ac:dyDescent="0.25">
      <c r="A35643" s="2">
        <v>35638</v>
      </c>
      <c r="B35643" s="11" t="str">
        <f>"201406009527"</f>
        <v>201406009527</v>
      </c>
    </row>
    <row r="35644" spans="1:2" x14ac:dyDescent="0.25">
      <c r="A35644" s="2">
        <v>35639</v>
      </c>
      <c r="B35644" s="11" t="str">
        <f>"201406009541"</f>
        <v>201406009541</v>
      </c>
    </row>
    <row r="35645" spans="1:2" x14ac:dyDescent="0.25">
      <c r="A35645" s="2">
        <v>35640</v>
      </c>
      <c r="B35645" s="11" t="str">
        <f>"201406009558"</f>
        <v>201406009558</v>
      </c>
    </row>
    <row r="35646" spans="1:2" x14ac:dyDescent="0.25">
      <c r="A35646" s="2">
        <v>35641</v>
      </c>
      <c r="B35646" s="11" t="str">
        <f>"201406009566"</f>
        <v>201406009566</v>
      </c>
    </row>
    <row r="35647" spans="1:2" x14ac:dyDescent="0.25">
      <c r="A35647" s="2">
        <v>35642</v>
      </c>
      <c r="B35647" s="11" t="str">
        <f>"201406009646"</f>
        <v>201406009646</v>
      </c>
    </row>
    <row r="35648" spans="1:2" x14ac:dyDescent="0.25">
      <c r="A35648" s="2">
        <v>35643</v>
      </c>
      <c r="B35648" s="11" t="str">
        <f>"201406009670"</f>
        <v>201406009670</v>
      </c>
    </row>
    <row r="35649" spans="1:2" x14ac:dyDescent="0.25">
      <c r="A35649" s="2">
        <v>35644</v>
      </c>
      <c r="B35649" s="11" t="str">
        <f>"201406009683"</f>
        <v>201406009683</v>
      </c>
    </row>
    <row r="35650" spans="1:2" x14ac:dyDescent="0.25">
      <c r="A35650" s="2">
        <v>35645</v>
      </c>
      <c r="B35650" s="11" t="str">
        <f>"201406009686"</f>
        <v>201406009686</v>
      </c>
    </row>
    <row r="35651" spans="1:2" x14ac:dyDescent="0.25">
      <c r="A35651" s="2">
        <v>35646</v>
      </c>
      <c r="B35651" s="11" t="str">
        <f>"201406009722"</f>
        <v>201406009722</v>
      </c>
    </row>
    <row r="35652" spans="1:2" x14ac:dyDescent="0.25">
      <c r="A35652" s="2">
        <v>35647</v>
      </c>
      <c r="B35652" s="11" t="str">
        <f>"201406009740"</f>
        <v>201406009740</v>
      </c>
    </row>
    <row r="35653" spans="1:2" x14ac:dyDescent="0.25">
      <c r="A35653" s="2">
        <v>35648</v>
      </c>
      <c r="B35653" s="11" t="str">
        <f>"201406009748"</f>
        <v>201406009748</v>
      </c>
    </row>
    <row r="35654" spans="1:2" x14ac:dyDescent="0.25">
      <c r="A35654" s="2">
        <v>35649</v>
      </c>
      <c r="B35654" s="11" t="str">
        <f>"201406009751"</f>
        <v>201406009751</v>
      </c>
    </row>
    <row r="35655" spans="1:2" x14ac:dyDescent="0.25">
      <c r="A35655" s="2">
        <v>35650</v>
      </c>
      <c r="B35655" s="11" t="str">
        <f>"201406009755"</f>
        <v>201406009755</v>
      </c>
    </row>
    <row r="35656" spans="1:2" x14ac:dyDescent="0.25">
      <c r="A35656" s="2">
        <v>35651</v>
      </c>
      <c r="B35656" s="11" t="str">
        <f>"201406009765"</f>
        <v>201406009765</v>
      </c>
    </row>
    <row r="35657" spans="1:2" x14ac:dyDescent="0.25">
      <c r="A35657" s="2">
        <v>35652</v>
      </c>
      <c r="B35657" s="11" t="str">
        <f>"201406009795"</f>
        <v>201406009795</v>
      </c>
    </row>
    <row r="35658" spans="1:2" x14ac:dyDescent="0.25">
      <c r="A35658" s="2">
        <v>35653</v>
      </c>
      <c r="B35658" s="11" t="str">
        <f>"201406009799"</f>
        <v>201406009799</v>
      </c>
    </row>
    <row r="35659" spans="1:2" x14ac:dyDescent="0.25">
      <c r="A35659" s="2">
        <v>35654</v>
      </c>
      <c r="B35659" s="11" t="str">
        <f>"201406009839"</f>
        <v>201406009839</v>
      </c>
    </row>
    <row r="35660" spans="1:2" x14ac:dyDescent="0.25">
      <c r="A35660" s="2">
        <v>35655</v>
      </c>
      <c r="B35660" s="11" t="str">
        <f>"201406009852"</f>
        <v>201406009852</v>
      </c>
    </row>
    <row r="35661" spans="1:2" x14ac:dyDescent="0.25">
      <c r="A35661" s="2">
        <v>35656</v>
      </c>
      <c r="B35661" s="11" t="str">
        <f>"201406009865"</f>
        <v>201406009865</v>
      </c>
    </row>
    <row r="35662" spans="1:2" x14ac:dyDescent="0.25">
      <c r="A35662" s="2">
        <v>35657</v>
      </c>
      <c r="B35662" s="11" t="str">
        <f>"201406009875"</f>
        <v>201406009875</v>
      </c>
    </row>
    <row r="35663" spans="1:2" x14ac:dyDescent="0.25">
      <c r="A35663" s="2">
        <v>35658</v>
      </c>
      <c r="B35663" s="11" t="str">
        <f>"201406009901"</f>
        <v>201406009901</v>
      </c>
    </row>
    <row r="35664" spans="1:2" x14ac:dyDescent="0.25">
      <c r="A35664" s="2">
        <v>35659</v>
      </c>
      <c r="B35664" s="11" t="str">
        <f>"201406009963"</f>
        <v>201406009963</v>
      </c>
    </row>
    <row r="35665" spans="1:2" x14ac:dyDescent="0.25">
      <c r="A35665" s="2">
        <v>35660</v>
      </c>
      <c r="B35665" s="11" t="str">
        <f>"201406009973"</f>
        <v>201406009973</v>
      </c>
    </row>
    <row r="35666" spans="1:2" x14ac:dyDescent="0.25">
      <c r="A35666" s="2">
        <v>35661</v>
      </c>
      <c r="B35666" s="11" t="str">
        <f>"201406009975"</f>
        <v>201406009975</v>
      </c>
    </row>
    <row r="35667" spans="1:2" x14ac:dyDescent="0.25">
      <c r="A35667" s="2">
        <v>35662</v>
      </c>
      <c r="B35667" s="11" t="str">
        <f>"201406009990"</f>
        <v>201406009990</v>
      </c>
    </row>
    <row r="35668" spans="1:2" x14ac:dyDescent="0.25">
      <c r="A35668" s="2">
        <v>35663</v>
      </c>
      <c r="B35668" s="11" t="str">
        <f>"201406010015"</f>
        <v>201406010015</v>
      </c>
    </row>
    <row r="35669" spans="1:2" x14ac:dyDescent="0.25">
      <c r="A35669" s="2">
        <v>35664</v>
      </c>
      <c r="B35669" s="11" t="str">
        <f>"201406010044"</f>
        <v>201406010044</v>
      </c>
    </row>
    <row r="35670" spans="1:2" x14ac:dyDescent="0.25">
      <c r="A35670" s="2">
        <v>35665</v>
      </c>
      <c r="B35670" s="11" t="str">
        <f>"201406010105"</f>
        <v>201406010105</v>
      </c>
    </row>
    <row r="35671" spans="1:2" x14ac:dyDescent="0.25">
      <c r="A35671" s="2">
        <v>35666</v>
      </c>
      <c r="B35671" s="11" t="str">
        <f>"201406010142"</f>
        <v>201406010142</v>
      </c>
    </row>
    <row r="35672" spans="1:2" x14ac:dyDescent="0.25">
      <c r="A35672" s="2">
        <v>35667</v>
      </c>
      <c r="B35672" s="11" t="str">
        <f>"201406010146"</f>
        <v>201406010146</v>
      </c>
    </row>
    <row r="35673" spans="1:2" x14ac:dyDescent="0.25">
      <c r="A35673" s="2">
        <v>35668</v>
      </c>
      <c r="B35673" s="11" t="str">
        <f>"201406010164"</f>
        <v>201406010164</v>
      </c>
    </row>
    <row r="35674" spans="1:2" x14ac:dyDescent="0.25">
      <c r="A35674" s="2">
        <v>35669</v>
      </c>
      <c r="B35674" s="11" t="str">
        <f>"201406010177"</f>
        <v>201406010177</v>
      </c>
    </row>
    <row r="35675" spans="1:2" x14ac:dyDescent="0.25">
      <c r="A35675" s="2">
        <v>35670</v>
      </c>
      <c r="B35675" s="11" t="str">
        <f>"201406010207"</f>
        <v>201406010207</v>
      </c>
    </row>
    <row r="35676" spans="1:2" x14ac:dyDescent="0.25">
      <c r="A35676" s="2">
        <v>35671</v>
      </c>
      <c r="B35676" s="11" t="str">
        <f>"201406010208"</f>
        <v>201406010208</v>
      </c>
    </row>
    <row r="35677" spans="1:2" x14ac:dyDescent="0.25">
      <c r="A35677" s="2">
        <v>35672</v>
      </c>
      <c r="B35677" s="11" t="str">
        <f>"201406010213"</f>
        <v>201406010213</v>
      </c>
    </row>
    <row r="35678" spans="1:2" x14ac:dyDescent="0.25">
      <c r="A35678" s="2">
        <v>35673</v>
      </c>
      <c r="B35678" s="11" t="str">
        <f>"201406010218"</f>
        <v>201406010218</v>
      </c>
    </row>
    <row r="35679" spans="1:2" x14ac:dyDescent="0.25">
      <c r="A35679" s="2">
        <v>35674</v>
      </c>
      <c r="B35679" s="11" t="str">
        <f>"201406010231"</f>
        <v>201406010231</v>
      </c>
    </row>
    <row r="35680" spans="1:2" x14ac:dyDescent="0.25">
      <c r="A35680" s="2">
        <v>35675</v>
      </c>
      <c r="B35680" s="11" t="str">
        <f>"201406010239"</f>
        <v>201406010239</v>
      </c>
    </row>
    <row r="35681" spans="1:2" x14ac:dyDescent="0.25">
      <c r="A35681" s="2">
        <v>35676</v>
      </c>
      <c r="B35681" s="11" t="str">
        <f>"201406010258"</f>
        <v>201406010258</v>
      </c>
    </row>
    <row r="35682" spans="1:2" x14ac:dyDescent="0.25">
      <c r="A35682" s="2">
        <v>35677</v>
      </c>
      <c r="B35682" s="11" t="str">
        <f>"201406010264"</f>
        <v>201406010264</v>
      </c>
    </row>
    <row r="35683" spans="1:2" x14ac:dyDescent="0.25">
      <c r="A35683" s="2">
        <v>35678</v>
      </c>
      <c r="B35683" s="11" t="str">
        <f>"201406010314"</f>
        <v>201406010314</v>
      </c>
    </row>
    <row r="35684" spans="1:2" x14ac:dyDescent="0.25">
      <c r="A35684" s="2">
        <v>35679</v>
      </c>
      <c r="B35684" s="11" t="str">
        <f>"201406010323"</f>
        <v>201406010323</v>
      </c>
    </row>
    <row r="35685" spans="1:2" x14ac:dyDescent="0.25">
      <c r="A35685" s="2">
        <v>35680</v>
      </c>
      <c r="B35685" s="11" t="str">
        <f>"201406010328"</f>
        <v>201406010328</v>
      </c>
    </row>
    <row r="35686" spans="1:2" x14ac:dyDescent="0.25">
      <c r="A35686" s="2">
        <v>35681</v>
      </c>
      <c r="B35686" s="11" t="str">
        <f>"201406010329"</f>
        <v>201406010329</v>
      </c>
    </row>
    <row r="35687" spans="1:2" x14ac:dyDescent="0.25">
      <c r="A35687" s="2">
        <v>35682</v>
      </c>
      <c r="B35687" s="11" t="str">
        <f>"201406010386"</f>
        <v>201406010386</v>
      </c>
    </row>
    <row r="35688" spans="1:2" x14ac:dyDescent="0.25">
      <c r="A35688" s="2">
        <v>35683</v>
      </c>
      <c r="B35688" s="11" t="str">
        <f>"201406010459"</f>
        <v>201406010459</v>
      </c>
    </row>
    <row r="35689" spans="1:2" x14ac:dyDescent="0.25">
      <c r="A35689" s="2">
        <v>35684</v>
      </c>
      <c r="B35689" s="11" t="str">
        <f>"201406010466"</f>
        <v>201406010466</v>
      </c>
    </row>
    <row r="35690" spans="1:2" x14ac:dyDescent="0.25">
      <c r="A35690" s="2">
        <v>35685</v>
      </c>
      <c r="B35690" s="11" t="str">
        <f>"201406010482"</f>
        <v>201406010482</v>
      </c>
    </row>
    <row r="35691" spans="1:2" x14ac:dyDescent="0.25">
      <c r="A35691" s="2">
        <v>35686</v>
      </c>
      <c r="B35691" s="11" t="str">
        <f>"201406010496"</f>
        <v>201406010496</v>
      </c>
    </row>
    <row r="35692" spans="1:2" x14ac:dyDescent="0.25">
      <c r="A35692" s="2">
        <v>35687</v>
      </c>
      <c r="B35692" s="11" t="str">
        <f>"201406010498"</f>
        <v>201406010498</v>
      </c>
    </row>
    <row r="35693" spans="1:2" x14ac:dyDescent="0.25">
      <c r="A35693" s="2">
        <v>35688</v>
      </c>
      <c r="B35693" s="11" t="str">
        <f>"201406010514"</f>
        <v>201406010514</v>
      </c>
    </row>
    <row r="35694" spans="1:2" x14ac:dyDescent="0.25">
      <c r="A35694" s="2">
        <v>35689</v>
      </c>
      <c r="B35694" s="11" t="str">
        <f>"201406010546"</f>
        <v>201406010546</v>
      </c>
    </row>
    <row r="35695" spans="1:2" x14ac:dyDescent="0.25">
      <c r="A35695" s="2">
        <v>35690</v>
      </c>
      <c r="B35695" s="11" t="str">
        <f>"201406010597"</f>
        <v>201406010597</v>
      </c>
    </row>
    <row r="35696" spans="1:2" x14ac:dyDescent="0.25">
      <c r="A35696" s="2">
        <v>35691</v>
      </c>
      <c r="B35696" s="11" t="str">
        <f>"201406010637"</f>
        <v>201406010637</v>
      </c>
    </row>
    <row r="35697" spans="1:2" x14ac:dyDescent="0.25">
      <c r="A35697" s="2">
        <v>35692</v>
      </c>
      <c r="B35697" s="11" t="str">
        <f>"201406010655"</f>
        <v>201406010655</v>
      </c>
    </row>
    <row r="35698" spans="1:2" x14ac:dyDescent="0.25">
      <c r="A35698" s="2">
        <v>35693</v>
      </c>
      <c r="B35698" s="11" t="str">
        <f>"201406010704"</f>
        <v>201406010704</v>
      </c>
    </row>
    <row r="35699" spans="1:2" x14ac:dyDescent="0.25">
      <c r="A35699" s="2">
        <v>35694</v>
      </c>
      <c r="B35699" s="11" t="str">
        <f>"201406010812"</f>
        <v>201406010812</v>
      </c>
    </row>
    <row r="35700" spans="1:2" x14ac:dyDescent="0.25">
      <c r="A35700" s="2">
        <v>35695</v>
      </c>
      <c r="B35700" s="11" t="str">
        <f>"201406010819"</f>
        <v>201406010819</v>
      </c>
    </row>
    <row r="35701" spans="1:2" x14ac:dyDescent="0.25">
      <c r="A35701" s="2">
        <v>35696</v>
      </c>
      <c r="B35701" s="11" t="str">
        <f>"201406010925"</f>
        <v>201406010925</v>
      </c>
    </row>
    <row r="35702" spans="1:2" x14ac:dyDescent="0.25">
      <c r="A35702" s="2">
        <v>35697</v>
      </c>
      <c r="B35702" s="11" t="str">
        <f>"201406010936"</f>
        <v>201406010936</v>
      </c>
    </row>
    <row r="35703" spans="1:2" x14ac:dyDescent="0.25">
      <c r="A35703" s="2">
        <v>35698</v>
      </c>
      <c r="B35703" s="11" t="str">
        <f>"201406010954"</f>
        <v>201406010954</v>
      </c>
    </row>
    <row r="35704" spans="1:2" x14ac:dyDescent="0.25">
      <c r="A35704" s="2">
        <v>35699</v>
      </c>
      <c r="B35704" s="11" t="str">
        <f>"201406010965"</f>
        <v>201406010965</v>
      </c>
    </row>
    <row r="35705" spans="1:2" x14ac:dyDescent="0.25">
      <c r="A35705" s="2">
        <v>35700</v>
      </c>
      <c r="B35705" s="11" t="str">
        <f>"201406011050"</f>
        <v>201406011050</v>
      </c>
    </row>
    <row r="35706" spans="1:2" x14ac:dyDescent="0.25">
      <c r="A35706" s="2">
        <v>35701</v>
      </c>
      <c r="B35706" s="11" t="str">
        <f>"201406011095"</f>
        <v>201406011095</v>
      </c>
    </row>
    <row r="35707" spans="1:2" x14ac:dyDescent="0.25">
      <c r="A35707" s="2">
        <v>35702</v>
      </c>
      <c r="B35707" s="11" t="str">
        <f>"201406011121"</f>
        <v>201406011121</v>
      </c>
    </row>
    <row r="35708" spans="1:2" x14ac:dyDescent="0.25">
      <c r="A35708" s="2">
        <v>35703</v>
      </c>
      <c r="B35708" s="11" t="str">
        <f>"201406011129"</f>
        <v>201406011129</v>
      </c>
    </row>
    <row r="35709" spans="1:2" x14ac:dyDescent="0.25">
      <c r="A35709" s="2">
        <v>35704</v>
      </c>
      <c r="B35709" s="11" t="str">
        <f>"201406011162"</f>
        <v>201406011162</v>
      </c>
    </row>
    <row r="35710" spans="1:2" x14ac:dyDescent="0.25">
      <c r="A35710" s="2">
        <v>35705</v>
      </c>
      <c r="B35710" s="11" t="str">
        <f>"201406011181"</f>
        <v>201406011181</v>
      </c>
    </row>
    <row r="35711" spans="1:2" x14ac:dyDescent="0.25">
      <c r="A35711" s="2">
        <v>35706</v>
      </c>
      <c r="B35711" s="11" t="str">
        <f>"201406011197"</f>
        <v>201406011197</v>
      </c>
    </row>
    <row r="35712" spans="1:2" x14ac:dyDescent="0.25">
      <c r="A35712" s="2">
        <v>35707</v>
      </c>
      <c r="B35712" s="11" t="str">
        <f>"201406011203"</f>
        <v>201406011203</v>
      </c>
    </row>
    <row r="35713" spans="1:2" x14ac:dyDescent="0.25">
      <c r="A35713" s="2">
        <v>35708</v>
      </c>
      <c r="B35713" s="11" t="str">
        <f>"201406011204"</f>
        <v>201406011204</v>
      </c>
    </row>
    <row r="35714" spans="1:2" x14ac:dyDescent="0.25">
      <c r="A35714" s="2">
        <v>35709</v>
      </c>
      <c r="B35714" s="11" t="str">
        <f>"201406011222"</f>
        <v>201406011222</v>
      </c>
    </row>
    <row r="35715" spans="1:2" x14ac:dyDescent="0.25">
      <c r="A35715" s="2">
        <v>35710</v>
      </c>
      <c r="B35715" s="11" t="str">
        <f>"201406011227"</f>
        <v>201406011227</v>
      </c>
    </row>
    <row r="35716" spans="1:2" x14ac:dyDescent="0.25">
      <c r="A35716" s="2">
        <v>35711</v>
      </c>
      <c r="B35716" s="11" t="str">
        <f>"201406011237"</f>
        <v>201406011237</v>
      </c>
    </row>
    <row r="35717" spans="1:2" x14ac:dyDescent="0.25">
      <c r="A35717" s="2">
        <v>35712</v>
      </c>
      <c r="B35717" s="11" t="str">
        <f>"201406011276"</f>
        <v>201406011276</v>
      </c>
    </row>
    <row r="35718" spans="1:2" x14ac:dyDescent="0.25">
      <c r="A35718" s="2">
        <v>35713</v>
      </c>
      <c r="B35718" s="11" t="str">
        <f>"201406011279"</f>
        <v>201406011279</v>
      </c>
    </row>
    <row r="35719" spans="1:2" x14ac:dyDescent="0.25">
      <c r="A35719" s="2">
        <v>35714</v>
      </c>
      <c r="B35719" s="11" t="str">
        <f>"201406011330"</f>
        <v>201406011330</v>
      </c>
    </row>
    <row r="35720" spans="1:2" x14ac:dyDescent="0.25">
      <c r="A35720" s="2">
        <v>35715</v>
      </c>
      <c r="B35720" s="11" t="str">
        <f>"201406011384"</f>
        <v>201406011384</v>
      </c>
    </row>
    <row r="35721" spans="1:2" x14ac:dyDescent="0.25">
      <c r="A35721" s="2">
        <v>35716</v>
      </c>
      <c r="B35721" s="11" t="str">
        <f>"201406011415"</f>
        <v>201406011415</v>
      </c>
    </row>
    <row r="35722" spans="1:2" x14ac:dyDescent="0.25">
      <c r="A35722" s="2">
        <v>35717</v>
      </c>
      <c r="B35722" s="11" t="str">
        <f>"201406011437"</f>
        <v>201406011437</v>
      </c>
    </row>
    <row r="35723" spans="1:2" x14ac:dyDescent="0.25">
      <c r="A35723" s="2">
        <v>35718</v>
      </c>
      <c r="B35723" s="11" t="str">
        <f>"201406011462"</f>
        <v>201406011462</v>
      </c>
    </row>
    <row r="35724" spans="1:2" x14ac:dyDescent="0.25">
      <c r="A35724" s="2">
        <v>35719</v>
      </c>
      <c r="B35724" s="11" t="str">
        <f>"201406011530"</f>
        <v>201406011530</v>
      </c>
    </row>
    <row r="35725" spans="1:2" x14ac:dyDescent="0.25">
      <c r="A35725" s="2">
        <v>35720</v>
      </c>
      <c r="B35725" s="11" t="str">
        <f>"201406011541"</f>
        <v>201406011541</v>
      </c>
    </row>
    <row r="35726" spans="1:2" x14ac:dyDescent="0.25">
      <c r="A35726" s="2">
        <v>35721</v>
      </c>
      <c r="B35726" s="11" t="str">
        <f>"201406011565"</f>
        <v>201406011565</v>
      </c>
    </row>
    <row r="35727" spans="1:2" x14ac:dyDescent="0.25">
      <c r="A35727" s="2">
        <v>35722</v>
      </c>
      <c r="B35727" s="11" t="str">
        <f>"201406011632"</f>
        <v>201406011632</v>
      </c>
    </row>
    <row r="35728" spans="1:2" x14ac:dyDescent="0.25">
      <c r="A35728" s="2">
        <v>35723</v>
      </c>
      <c r="B35728" s="11" t="str">
        <f>"201406011653"</f>
        <v>201406011653</v>
      </c>
    </row>
    <row r="35729" spans="1:2" x14ac:dyDescent="0.25">
      <c r="A35729" s="2">
        <v>35724</v>
      </c>
      <c r="B35729" s="11" t="str">
        <f>"201406011694"</f>
        <v>201406011694</v>
      </c>
    </row>
    <row r="35730" spans="1:2" x14ac:dyDescent="0.25">
      <c r="A35730" s="2">
        <v>35725</v>
      </c>
      <c r="B35730" s="11" t="str">
        <f>"201406011695"</f>
        <v>201406011695</v>
      </c>
    </row>
    <row r="35731" spans="1:2" x14ac:dyDescent="0.25">
      <c r="A35731" s="2">
        <v>35726</v>
      </c>
      <c r="B35731" s="11" t="str">
        <f>"201406011709"</f>
        <v>201406011709</v>
      </c>
    </row>
    <row r="35732" spans="1:2" x14ac:dyDescent="0.25">
      <c r="A35732" s="2">
        <v>35727</v>
      </c>
      <c r="B35732" s="11" t="str">
        <f>"201406011745"</f>
        <v>201406011745</v>
      </c>
    </row>
    <row r="35733" spans="1:2" x14ac:dyDescent="0.25">
      <c r="A35733" s="2">
        <v>35728</v>
      </c>
      <c r="B35733" s="11" t="str">
        <f>"201406011780"</f>
        <v>201406011780</v>
      </c>
    </row>
    <row r="35734" spans="1:2" x14ac:dyDescent="0.25">
      <c r="A35734" s="2">
        <v>35729</v>
      </c>
      <c r="B35734" s="11" t="str">
        <f>"201406011782"</f>
        <v>201406011782</v>
      </c>
    </row>
    <row r="35735" spans="1:2" x14ac:dyDescent="0.25">
      <c r="A35735" s="2">
        <v>35730</v>
      </c>
      <c r="B35735" s="11" t="str">
        <f>"201406011801"</f>
        <v>201406011801</v>
      </c>
    </row>
    <row r="35736" spans="1:2" x14ac:dyDescent="0.25">
      <c r="A35736" s="2">
        <v>35731</v>
      </c>
      <c r="B35736" s="11" t="str">
        <f>"201406011858"</f>
        <v>201406011858</v>
      </c>
    </row>
    <row r="35737" spans="1:2" x14ac:dyDescent="0.25">
      <c r="A35737" s="2">
        <v>35732</v>
      </c>
      <c r="B35737" s="11" t="str">
        <f>"201406011891"</f>
        <v>201406011891</v>
      </c>
    </row>
    <row r="35738" spans="1:2" x14ac:dyDescent="0.25">
      <c r="A35738" s="2">
        <v>35733</v>
      </c>
      <c r="B35738" s="11" t="str">
        <f>"201406011898"</f>
        <v>201406011898</v>
      </c>
    </row>
    <row r="35739" spans="1:2" x14ac:dyDescent="0.25">
      <c r="A35739" s="2">
        <v>35734</v>
      </c>
      <c r="B35739" s="11" t="str">
        <f>"201406011918"</f>
        <v>201406011918</v>
      </c>
    </row>
    <row r="35740" spans="1:2" x14ac:dyDescent="0.25">
      <c r="A35740" s="2">
        <v>35735</v>
      </c>
      <c r="B35740" s="11" t="str">
        <f>"201406011934"</f>
        <v>201406011934</v>
      </c>
    </row>
    <row r="35741" spans="1:2" x14ac:dyDescent="0.25">
      <c r="A35741" s="2">
        <v>35736</v>
      </c>
      <c r="B35741" s="11" t="str">
        <f>"201406011944"</f>
        <v>201406011944</v>
      </c>
    </row>
    <row r="35742" spans="1:2" x14ac:dyDescent="0.25">
      <c r="A35742" s="2">
        <v>35737</v>
      </c>
      <c r="B35742" s="11" t="str">
        <f>"201406011962"</f>
        <v>201406011962</v>
      </c>
    </row>
    <row r="35743" spans="1:2" x14ac:dyDescent="0.25">
      <c r="A35743" s="2">
        <v>35738</v>
      </c>
      <c r="B35743" s="11" t="str">
        <f>"201406011977"</f>
        <v>201406011977</v>
      </c>
    </row>
    <row r="35744" spans="1:2" x14ac:dyDescent="0.25">
      <c r="A35744" s="2">
        <v>35739</v>
      </c>
      <c r="B35744" s="11" t="str">
        <f>"201406011982"</f>
        <v>201406011982</v>
      </c>
    </row>
    <row r="35745" spans="1:2" x14ac:dyDescent="0.25">
      <c r="A35745" s="2">
        <v>35740</v>
      </c>
      <c r="B35745" s="11" t="str">
        <f>"201406012039"</f>
        <v>201406012039</v>
      </c>
    </row>
    <row r="35746" spans="1:2" x14ac:dyDescent="0.25">
      <c r="A35746" s="2">
        <v>35741</v>
      </c>
      <c r="B35746" s="11" t="str">
        <f>"201406012074"</f>
        <v>201406012074</v>
      </c>
    </row>
    <row r="35747" spans="1:2" x14ac:dyDescent="0.25">
      <c r="A35747" s="2">
        <v>35742</v>
      </c>
      <c r="B35747" s="11" t="str">
        <f>"201406012097"</f>
        <v>201406012097</v>
      </c>
    </row>
    <row r="35748" spans="1:2" x14ac:dyDescent="0.25">
      <c r="A35748" s="2">
        <v>35743</v>
      </c>
      <c r="B35748" s="11" t="str">
        <f>"201406012110"</f>
        <v>201406012110</v>
      </c>
    </row>
    <row r="35749" spans="1:2" x14ac:dyDescent="0.25">
      <c r="A35749" s="2">
        <v>35744</v>
      </c>
      <c r="B35749" s="11" t="str">
        <f>"201406012128"</f>
        <v>201406012128</v>
      </c>
    </row>
    <row r="35750" spans="1:2" x14ac:dyDescent="0.25">
      <c r="A35750" s="2">
        <v>35745</v>
      </c>
      <c r="B35750" s="11" t="str">
        <f>"201406012205"</f>
        <v>201406012205</v>
      </c>
    </row>
    <row r="35751" spans="1:2" x14ac:dyDescent="0.25">
      <c r="A35751" s="2">
        <v>35746</v>
      </c>
      <c r="B35751" s="11" t="str">
        <f>"201406012212"</f>
        <v>201406012212</v>
      </c>
    </row>
    <row r="35752" spans="1:2" x14ac:dyDescent="0.25">
      <c r="A35752" s="2">
        <v>35747</v>
      </c>
      <c r="B35752" s="11" t="str">
        <f>"201406012274"</f>
        <v>201406012274</v>
      </c>
    </row>
    <row r="35753" spans="1:2" x14ac:dyDescent="0.25">
      <c r="A35753" s="2">
        <v>35748</v>
      </c>
      <c r="B35753" s="11" t="str">
        <f>"201406012324"</f>
        <v>201406012324</v>
      </c>
    </row>
    <row r="35754" spans="1:2" x14ac:dyDescent="0.25">
      <c r="A35754" s="2">
        <v>35749</v>
      </c>
      <c r="B35754" s="11" t="str">
        <f>"201406012342"</f>
        <v>201406012342</v>
      </c>
    </row>
    <row r="35755" spans="1:2" x14ac:dyDescent="0.25">
      <c r="A35755" s="2">
        <v>35750</v>
      </c>
      <c r="B35755" s="11" t="str">
        <f>"201406012357"</f>
        <v>201406012357</v>
      </c>
    </row>
    <row r="35756" spans="1:2" x14ac:dyDescent="0.25">
      <c r="A35756" s="2">
        <v>35751</v>
      </c>
      <c r="B35756" s="11" t="str">
        <f>"201406012379"</f>
        <v>201406012379</v>
      </c>
    </row>
    <row r="35757" spans="1:2" x14ac:dyDescent="0.25">
      <c r="A35757" s="2">
        <v>35752</v>
      </c>
      <c r="B35757" s="11" t="str">
        <f>"201406012394"</f>
        <v>201406012394</v>
      </c>
    </row>
    <row r="35758" spans="1:2" x14ac:dyDescent="0.25">
      <c r="A35758" s="2">
        <v>35753</v>
      </c>
      <c r="B35758" s="11" t="str">
        <f>"201406012452"</f>
        <v>201406012452</v>
      </c>
    </row>
    <row r="35759" spans="1:2" x14ac:dyDescent="0.25">
      <c r="A35759" s="2">
        <v>35754</v>
      </c>
      <c r="B35759" s="11" t="str">
        <f>"201406012463"</f>
        <v>201406012463</v>
      </c>
    </row>
    <row r="35760" spans="1:2" x14ac:dyDescent="0.25">
      <c r="A35760" s="2">
        <v>35755</v>
      </c>
      <c r="B35760" s="11" t="str">
        <f>"201406012482"</f>
        <v>201406012482</v>
      </c>
    </row>
    <row r="35761" spans="1:2" x14ac:dyDescent="0.25">
      <c r="A35761" s="2">
        <v>35756</v>
      </c>
      <c r="B35761" s="11" t="str">
        <f>"201406012484"</f>
        <v>201406012484</v>
      </c>
    </row>
    <row r="35762" spans="1:2" x14ac:dyDescent="0.25">
      <c r="A35762" s="2">
        <v>35757</v>
      </c>
      <c r="B35762" s="11" t="str">
        <f>"201406012492"</f>
        <v>201406012492</v>
      </c>
    </row>
    <row r="35763" spans="1:2" x14ac:dyDescent="0.25">
      <c r="A35763" s="2">
        <v>35758</v>
      </c>
      <c r="B35763" s="11" t="str">
        <f>"201406012529"</f>
        <v>201406012529</v>
      </c>
    </row>
    <row r="35764" spans="1:2" x14ac:dyDescent="0.25">
      <c r="A35764" s="2">
        <v>35759</v>
      </c>
      <c r="B35764" s="11" t="str">
        <f>"201406012540"</f>
        <v>201406012540</v>
      </c>
    </row>
    <row r="35765" spans="1:2" x14ac:dyDescent="0.25">
      <c r="A35765" s="2">
        <v>35760</v>
      </c>
      <c r="B35765" s="11" t="str">
        <f>"201406012544"</f>
        <v>201406012544</v>
      </c>
    </row>
    <row r="35766" spans="1:2" x14ac:dyDescent="0.25">
      <c r="A35766" s="2">
        <v>35761</v>
      </c>
      <c r="B35766" s="11" t="str">
        <f>"201406012551"</f>
        <v>201406012551</v>
      </c>
    </row>
    <row r="35767" spans="1:2" x14ac:dyDescent="0.25">
      <c r="A35767" s="2">
        <v>35762</v>
      </c>
      <c r="B35767" s="11" t="str">
        <f>"201406012576"</f>
        <v>201406012576</v>
      </c>
    </row>
    <row r="35768" spans="1:2" x14ac:dyDescent="0.25">
      <c r="A35768" s="2">
        <v>35763</v>
      </c>
      <c r="B35768" s="11" t="str">
        <f>"201406012584"</f>
        <v>201406012584</v>
      </c>
    </row>
    <row r="35769" spans="1:2" x14ac:dyDescent="0.25">
      <c r="A35769" s="2">
        <v>35764</v>
      </c>
      <c r="B35769" s="11" t="str">
        <f>"201406012588"</f>
        <v>201406012588</v>
      </c>
    </row>
    <row r="35770" spans="1:2" x14ac:dyDescent="0.25">
      <c r="A35770" s="2">
        <v>35765</v>
      </c>
      <c r="B35770" s="11" t="str">
        <f>"201406012592"</f>
        <v>201406012592</v>
      </c>
    </row>
    <row r="35771" spans="1:2" x14ac:dyDescent="0.25">
      <c r="A35771" s="2">
        <v>35766</v>
      </c>
      <c r="B35771" s="11" t="str">
        <f>"201406012614"</f>
        <v>201406012614</v>
      </c>
    </row>
    <row r="35772" spans="1:2" x14ac:dyDescent="0.25">
      <c r="A35772" s="2">
        <v>35767</v>
      </c>
      <c r="B35772" s="11" t="str">
        <f>"201406012620"</f>
        <v>201406012620</v>
      </c>
    </row>
    <row r="35773" spans="1:2" x14ac:dyDescent="0.25">
      <c r="A35773" s="2">
        <v>35768</v>
      </c>
      <c r="B35773" s="11" t="str">
        <f>"201406012665"</f>
        <v>201406012665</v>
      </c>
    </row>
    <row r="35774" spans="1:2" x14ac:dyDescent="0.25">
      <c r="A35774" s="2">
        <v>35769</v>
      </c>
      <c r="B35774" s="11" t="str">
        <f>"201406012681"</f>
        <v>201406012681</v>
      </c>
    </row>
    <row r="35775" spans="1:2" x14ac:dyDescent="0.25">
      <c r="A35775" s="2">
        <v>35770</v>
      </c>
      <c r="B35775" s="11" t="str">
        <f>"201406012682"</f>
        <v>201406012682</v>
      </c>
    </row>
    <row r="35776" spans="1:2" x14ac:dyDescent="0.25">
      <c r="A35776" s="2">
        <v>35771</v>
      </c>
      <c r="B35776" s="11" t="str">
        <f>"201406012706"</f>
        <v>201406012706</v>
      </c>
    </row>
    <row r="35777" spans="1:2" x14ac:dyDescent="0.25">
      <c r="A35777" s="2">
        <v>35772</v>
      </c>
      <c r="B35777" s="11" t="str">
        <f>"201406012707"</f>
        <v>201406012707</v>
      </c>
    </row>
    <row r="35778" spans="1:2" x14ac:dyDescent="0.25">
      <c r="A35778" s="2">
        <v>35773</v>
      </c>
      <c r="B35778" s="11" t="str">
        <f>"201406012752"</f>
        <v>201406012752</v>
      </c>
    </row>
    <row r="35779" spans="1:2" x14ac:dyDescent="0.25">
      <c r="A35779" s="2">
        <v>35774</v>
      </c>
      <c r="B35779" s="11" t="str">
        <f>"201406012754"</f>
        <v>201406012754</v>
      </c>
    </row>
    <row r="35780" spans="1:2" x14ac:dyDescent="0.25">
      <c r="A35780" s="2">
        <v>35775</v>
      </c>
      <c r="B35780" s="11" t="str">
        <f>"201406012825"</f>
        <v>201406012825</v>
      </c>
    </row>
    <row r="35781" spans="1:2" x14ac:dyDescent="0.25">
      <c r="A35781" s="2">
        <v>35776</v>
      </c>
      <c r="B35781" s="11" t="str">
        <f>"201406012857"</f>
        <v>201406012857</v>
      </c>
    </row>
    <row r="35782" spans="1:2" x14ac:dyDescent="0.25">
      <c r="A35782" s="2">
        <v>35777</v>
      </c>
      <c r="B35782" s="11" t="str">
        <f>"201406012861"</f>
        <v>201406012861</v>
      </c>
    </row>
    <row r="35783" spans="1:2" x14ac:dyDescent="0.25">
      <c r="A35783" s="2">
        <v>35778</v>
      </c>
      <c r="B35783" s="11" t="str">
        <f>"201406012868"</f>
        <v>201406012868</v>
      </c>
    </row>
    <row r="35784" spans="1:2" x14ac:dyDescent="0.25">
      <c r="A35784" s="2">
        <v>35779</v>
      </c>
      <c r="B35784" s="11" t="str">
        <f>"201406012877"</f>
        <v>201406012877</v>
      </c>
    </row>
    <row r="35785" spans="1:2" x14ac:dyDescent="0.25">
      <c r="A35785" s="2">
        <v>35780</v>
      </c>
      <c r="B35785" s="11" t="str">
        <f>"201406012888"</f>
        <v>201406012888</v>
      </c>
    </row>
    <row r="35786" spans="1:2" x14ac:dyDescent="0.25">
      <c r="A35786" s="2">
        <v>35781</v>
      </c>
      <c r="B35786" s="11" t="str">
        <f>"201406012912"</f>
        <v>201406012912</v>
      </c>
    </row>
    <row r="35787" spans="1:2" x14ac:dyDescent="0.25">
      <c r="A35787" s="2">
        <v>35782</v>
      </c>
      <c r="B35787" s="11" t="str">
        <f>"201406012915"</f>
        <v>201406012915</v>
      </c>
    </row>
    <row r="35788" spans="1:2" x14ac:dyDescent="0.25">
      <c r="A35788" s="2">
        <v>35783</v>
      </c>
      <c r="B35788" s="11" t="str">
        <f>"201406012961"</f>
        <v>201406012961</v>
      </c>
    </row>
    <row r="35789" spans="1:2" x14ac:dyDescent="0.25">
      <c r="A35789" s="2">
        <v>35784</v>
      </c>
      <c r="B35789" s="11" t="str">
        <f>"201406013060"</f>
        <v>201406013060</v>
      </c>
    </row>
    <row r="35790" spans="1:2" x14ac:dyDescent="0.25">
      <c r="A35790" s="2">
        <v>35785</v>
      </c>
      <c r="B35790" s="11" t="str">
        <f>"201406013079"</f>
        <v>201406013079</v>
      </c>
    </row>
    <row r="35791" spans="1:2" x14ac:dyDescent="0.25">
      <c r="A35791" s="2">
        <v>35786</v>
      </c>
      <c r="B35791" s="11" t="str">
        <f>"201406013086"</f>
        <v>201406013086</v>
      </c>
    </row>
    <row r="35792" spans="1:2" x14ac:dyDescent="0.25">
      <c r="A35792" s="2">
        <v>35787</v>
      </c>
      <c r="B35792" s="11" t="str">
        <f>"201406013106"</f>
        <v>201406013106</v>
      </c>
    </row>
    <row r="35793" spans="1:2" x14ac:dyDescent="0.25">
      <c r="A35793" s="2">
        <v>35788</v>
      </c>
      <c r="B35793" s="11" t="str">
        <f>"201406013120"</f>
        <v>201406013120</v>
      </c>
    </row>
    <row r="35794" spans="1:2" x14ac:dyDescent="0.25">
      <c r="A35794" s="2">
        <v>35789</v>
      </c>
      <c r="B35794" s="11" t="str">
        <f>"201406013148"</f>
        <v>201406013148</v>
      </c>
    </row>
    <row r="35795" spans="1:2" x14ac:dyDescent="0.25">
      <c r="A35795" s="2">
        <v>35790</v>
      </c>
      <c r="B35795" s="11" t="str">
        <f>"201406013158"</f>
        <v>201406013158</v>
      </c>
    </row>
    <row r="35796" spans="1:2" x14ac:dyDescent="0.25">
      <c r="A35796" s="2">
        <v>35791</v>
      </c>
      <c r="B35796" s="11" t="str">
        <f>"201406013164"</f>
        <v>201406013164</v>
      </c>
    </row>
    <row r="35797" spans="1:2" x14ac:dyDescent="0.25">
      <c r="A35797" s="2">
        <v>35792</v>
      </c>
      <c r="B35797" s="11" t="str">
        <f>"201406013167"</f>
        <v>201406013167</v>
      </c>
    </row>
    <row r="35798" spans="1:2" x14ac:dyDescent="0.25">
      <c r="A35798" s="2">
        <v>35793</v>
      </c>
      <c r="B35798" s="11" t="str">
        <f>"201406013174"</f>
        <v>201406013174</v>
      </c>
    </row>
    <row r="35799" spans="1:2" x14ac:dyDescent="0.25">
      <c r="A35799" s="2">
        <v>35794</v>
      </c>
      <c r="B35799" s="11" t="str">
        <f>"201406013180"</f>
        <v>201406013180</v>
      </c>
    </row>
    <row r="35800" spans="1:2" x14ac:dyDescent="0.25">
      <c r="A35800" s="2">
        <v>35795</v>
      </c>
      <c r="B35800" s="11" t="str">
        <f>"201406013184"</f>
        <v>201406013184</v>
      </c>
    </row>
    <row r="35801" spans="1:2" x14ac:dyDescent="0.25">
      <c r="A35801" s="2">
        <v>35796</v>
      </c>
      <c r="B35801" s="11" t="str">
        <f>"201406013190"</f>
        <v>201406013190</v>
      </c>
    </row>
    <row r="35802" spans="1:2" x14ac:dyDescent="0.25">
      <c r="A35802" s="2">
        <v>35797</v>
      </c>
      <c r="B35802" s="11" t="str">
        <f>"201406013203"</f>
        <v>201406013203</v>
      </c>
    </row>
    <row r="35803" spans="1:2" x14ac:dyDescent="0.25">
      <c r="A35803" s="2">
        <v>35798</v>
      </c>
      <c r="B35803" s="11" t="str">
        <f>"201406013234"</f>
        <v>201406013234</v>
      </c>
    </row>
    <row r="35804" spans="1:2" x14ac:dyDescent="0.25">
      <c r="A35804" s="2">
        <v>35799</v>
      </c>
      <c r="B35804" s="11" t="str">
        <f>"201406013256"</f>
        <v>201406013256</v>
      </c>
    </row>
    <row r="35805" spans="1:2" x14ac:dyDescent="0.25">
      <c r="A35805" s="2">
        <v>35800</v>
      </c>
      <c r="B35805" s="11" t="str">
        <f>"201406013262"</f>
        <v>201406013262</v>
      </c>
    </row>
    <row r="35806" spans="1:2" x14ac:dyDescent="0.25">
      <c r="A35806" s="2">
        <v>35801</v>
      </c>
      <c r="B35806" s="11" t="str">
        <f>"201406013267"</f>
        <v>201406013267</v>
      </c>
    </row>
    <row r="35807" spans="1:2" x14ac:dyDescent="0.25">
      <c r="A35807" s="2">
        <v>35802</v>
      </c>
      <c r="B35807" s="11" t="str">
        <f>"201406013298"</f>
        <v>201406013298</v>
      </c>
    </row>
    <row r="35808" spans="1:2" x14ac:dyDescent="0.25">
      <c r="A35808" s="2">
        <v>35803</v>
      </c>
      <c r="B35808" s="11" t="str">
        <f>"201406013306"</f>
        <v>201406013306</v>
      </c>
    </row>
    <row r="35809" spans="1:2" x14ac:dyDescent="0.25">
      <c r="A35809" s="2">
        <v>35804</v>
      </c>
      <c r="B35809" s="11" t="str">
        <f>"201406013307"</f>
        <v>201406013307</v>
      </c>
    </row>
    <row r="35810" spans="1:2" x14ac:dyDescent="0.25">
      <c r="A35810" s="2">
        <v>35805</v>
      </c>
      <c r="B35810" s="11" t="str">
        <f>"201406013325"</f>
        <v>201406013325</v>
      </c>
    </row>
    <row r="35811" spans="1:2" x14ac:dyDescent="0.25">
      <c r="A35811" s="2">
        <v>35806</v>
      </c>
      <c r="B35811" s="11" t="str">
        <f>"201406013328"</f>
        <v>201406013328</v>
      </c>
    </row>
    <row r="35812" spans="1:2" x14ac:dyDescent="0.25">
      <c r="A35812" s="2">
        <v>35807</v>
      </c>
      <c r="B35812" s="11" t="str">
        <f>"201406013362"</f>
        <v>201406013362</v>
      </c>
    </row>
    <row r="35813" spans="1:2" x14ac:dyDescent="0.25">
      <c r="A35813" s="2">
        <v>35808</v>
      </c>
      <c r="B35813" s="11" t="str">
        <f>"201406013372"</f>
        <v>201406013372</v>
      </c>
    </row>
    <row r="35814" spans="1:2" x14ac:dyDescent="0.25">
      <c r="A35814" s="2">
        <v>35809</v>
      </c>
      <c r="B35814" s="11" t="str">
        <f>"201406013391"</f>
        <v>201406013391</v>
      </c>
    </row>
    <row r="35815" spans="1:2" x14ac:dyDescent="0.25">
      <c r="A35815" s="2">
        <v>35810</v>
      </c>
      <c r="B35815" s="11" t="str">
        <f>"201406013419"</f>
        <v>201406013419</v>
      </c>
    </row>
    <row r="35816" spans="1:2" x14ac:dyDescent="0.25">
      <c r="A35816" s="2">
        <v>35811</v>
      </c>
      <c r="B35816" s="11" t="str">
        <f>"201406013427"</f>
        <v>201406013427</v>
      </c>
    </row>
    <row r="35817" spans="1:2" x14ac:dyDescent="0.25">
      <c r="A35817" s="2">
        <v>35812</v>
      </c>
      <c r="B35817" s="11" t="str">
        <f>"201406013459"</f>
        <v>201406013459</v>
      </c>
    </row>
    <row r="35818" spans="1:2" x14ac:dyDescent="0.25">
      <c r="A35818" s="2">
        <v>35813</v>
      </c>
      <c r="B35818" s="11" t="str">
        <f>"201406013489"</f>
        <v>201406013489</v>
      </c>
    </row>
    <row r="35819" spans="1:2" x14ac:dyDescent="0.25">
      <c r="A35819" s="2">
        <v>35814</v>
      </c>
      <c r="B35819" s="11" t="str">
        <f>"201406013547"</f>
        <v>201406013547</v>
      </c>
    </row>
    <row r="35820" spans="1:2" x14ac:dyDescent="0.25">
      <c r="A35820" s="2">
        <v>35815</v>
      </c>
      <c r="B35820" s="11" t="str">
        <f>"201406013578"</f>
        <v>201406013578</v>
      </c>
    </row>
    <row r="35821" spans="1:2" x14ac:dyDescent="0.25">
      <c r="A35821" s="2">
        <v>35816</v>
      </c>
      <c r="B35821" s="11" t="str">
        <f>"201406013579"</f>
        <v>201406013579</v>
      </c>
    </row>
    <row r="35822" spans="1:2" x14ac:dyDescent="0.25">
      <c r="A35822" s="2">
        <v>35817</v>
      </c>
      <c r="B35822" s="11" t="str">
        <f>"201406013612"</f>
        <v>201406013612</v>
      </c>
    </row>
    <row r="35823" spans="1:2" x14ac:dyDescent="0.25">
      <c r="A35823" s="2">
        <v>35818</v>
      </c>
      <c r="B35823" s="11" t="str">
        <f>"201406013655"</f>
        <v>201406013655</v>
      </c>
    </row>
    <row r="35824" spans="1:2" x14ac:dyDescent="0.25">
      <c r="A35824" s="2">
        <v>35819</v>
      </c>
      <c r="B35824" s="11" t="str">
        <f>"201406013753"</f>
        <v>201406013753</v>
      </c>
    </row>
    <row r="35825" spans="1:2" x14ac:dyDescent="0.25">
      <c r="A35825" s="2">
        <v>35820</v>
      </c>
      <c r="B35825" s="11" t="str">
        <f>"201406013781"</f>
        <v>201406013781</v>
      </c>
    </row>
    <row r="35826" spans="1:2" x14ac:dyDescent="0.25">
      <c r="A35826" s="2">
        <v>35821</v>
      </c>
      <c r="B35826" s="11" t="str">
        <f>"201406013840"</f>
        <v>201406013840</v>
      </c>
    </row>
    <row r="35827" spans="1:2" x14ac:dyDescent="0.25">
      <c r="A35827" s="2">
        <v>35822</v>
      </c>
      <c r="B35827" s="11" t="str">
        <f>"201406013849"</f>
        <v>201406013849</v>
      </c>
    </row>
    <row r="35828" spans="1:2" x14ac:dyDescent="0.25">
      <c r="A35828" s="2">
        <v>35823</v>
      </c>
      <c r="B35828" s="11" t="str">
        <f>"201406013866"</f>
        <v>201406013866</v>
      </c>
    </row>
    <row r="35829" spans="1:2" x14ac:dyDescent="0.25">
      <c r="A35829" s="2">
        <v>35824</v>
      </c>
      <c r="B35829" s="11" t="str">
        <f>"201406013882"</f>
        <v>201406013882</v>
      </c>
    </row>
    <row r="35830" spans="1:2" x14ac:dyDescent="0.25">
      <c r="A35830" s="2">
        <v>35825</v>
      </c>
      <c r="B35830" s="11" t="str">
        <f>"201406013890"</f>
        <v>201406013890</v>
      </c>
    </row>
    <row r="35831" spans="1:2" x14ac:dyDescent="0.25">
      <c r="A35831" s="2">
        <v>35826</v>
      </c>
      <c r="B35831" s="11" t="str">
        <f>"201406013910"</f>
        <v>201406013910</v>
      </c>
    </row>
    <row r="35832" spans="1:2" x14ac:dyDescent="0.25">
      <c r="A35832" s="2">
        <v>35827</v>
      </c>
      <c r="B35832" s="11" t="str">
        <f>"201406013914"</f>
        <v>201406013914</v>
      </c>
    </row>
    <row r="35833" spans="1:2" x14ac:dyDescent="0.25">
      <c r="A35833" s="2">
        <v>35828</v>
      </c>
      <c r="B35833" s="11" t="str">
        <f>"201406013915"</f>
        <v>201406013915</v>
      </c>
    </row>
    <row r="35834" spans="1:2" x14ac:dyDescent="0.25">
      <c r="A35834" s="2">
        <v>35829</v>
      </c>
      <c r="B35834" s="11" t="str">
        <f>"201406013999"</f>
        <v>201406013999</v>
      </c>
    </row>
    <row r="35835" spans="1:2" x14ac:dyDescent="0.25">
      <c r="A35835" s="2">
        <v>35830</v>
      </c>
      <c r="B35835" s="11" t="str">
        <f>"201406014048"</f>
        <v>201406014048</v>
      </c>
    </row>
    <row r="35836" spans="1:2" x14ac:dyDescent="0.25">
      <c r="A35836" s="2">
        <v>35831</v>
      </c>
      <c r="B35836" s="11" t="str">
        <f>"201406014071"</f>
        <v>201406014071</v>
      </c>
    </row>
    <row r="35837" spans="1:2" x14ac:dyDescent="0.25">
      <c r="A35837" s="2">
        <v>35832</v>
      </c>
      <c r="B35837" s="11" t="str">
        <f>"201406014116"</f>
        <v>201406014116</v>
      </c>
    </row>
    <row r="35838" spans="1:2" x14ac:dyDescent="0.25">
      <c r="A35838" s="2">
        <v>35833</v>
      </c>
      <c r="B35838" s="11" t="str">
        <f>"201406014141"</f>
        <v>201406014141</v>
      </c>
    </row>
    <row r="35839" spans="1:2" x14ac:dyDescent="0.25">
      <c r="A35839" s="2">
        <v>35834</v>
      </c>
      <c r="B35839" s="11" t="str">
        <f>"201406014149"</f>
        <v>201406014149</v>
      </c>
    </row>
    <row r="35840" spans="1:2" x14ac:dyDescent="0.25">
      <c r="A35840" s="2">
        <v>35835</v>
      </c>
      <c r="B35840" s="11" t="str">
        <f>"201406014157"</f>
        <v>201406014157</v>
      </c>
    </row>
    <row r="35841" spans="1:2" x14ac:dyDescent="0.25">
      <c r="A35841" s="2">
        <v>35836</v>
      </c>
      <c r="B35841" s="11" t="str">
        <f>"201406014212"</f>
        <v>201406014212</v>
      </c>
    </row>
    <row r="35842" spans="1:2" x14ac:dyDescent="0.25">
      <c r="A35842" s="2">
        <v>35837</v>
      </c>
      <c r="B35842" s="11" t="str">
        <f>"201406014286"</f>
        <v>201406014286</v>
      </c>
    </row>
    <row r="35843" spans="1:2" x14ac:dyDescent="0.25">
      <c r="A35843" s="2">
        <v>35838</v>
      </c>
      <c r="B35843" s="11" t="str">
        <f>"201406014304"</f>
        <v>201406014304</v>
      </c>
    </row>
    <row r="35844" spans="1:2" x14ac:dyDescent="0.25">
      <c r="A35844" s="2">
        <v>35839</v>
      </c>
      <c r="B35844" s="11" t="str">
        <f>"201406014309"</f>
        <v>201406014309</v>
      </c>
    </row>
    <row r="35845" spans="1:2" x14ac:dyDescent="0.25">
      <c r="A35845" s="2">
        <v>35840</v>
      </c>
      <c r="B35845" s="11" t="str">
        <f>"201406014339"</f>
        <v>201406014339</v>
      </c>
    </row>
    <row r="35846" spans="1:2" x14ac:dyDescent="0.25">
      <c r="A35846" s="2">
        <v>35841</v>
      </c>
      <c r="B35846" s="11" t="str">
        <f>"201406014351"</f>
        <v>201406014351</v>
      </c>
    </row>
    <row r="35847" spans="1:2" x14ac:dyDescent="0.25">
      <c r="A35847" s="2">
        <v>35842</v>
      </c>
      <c r="B35847" s="11" t="str">
        <f>"201406014368"</f>
        <v>201406014368</v>
      </c>
    </row>
    <row r="35848" spans="1:2" x14ac:dyDescent="0.25">
      <c r="A35848" s="2">
        <v>35843</v>
      </c>
      <c r="B35848" s="11" t="str">
        <f>"201406014376"</f>
        <v>201406014376</v>
      </c>
    </row>
    <row r="35849" spans="1:2" x14ac:dyDescent="0.25">
      <c r="A35849" s="2">
        <v>35844</v>
      </c>
      <c r="B35849" s="11" t="str">
        <f>"201406014395"</f>
        <v>201406014395</v>
      </c>
    </row>
    <row r="35850" spans="1:2" x14ac:dyDescent="0.25">
      <c r="A35850" s="2">
        <v>35845</v>
      </c>
      <c r="B35850" s="11" t="str">
        <f>"201406014413"</f>
        <v>201406014413</v>
      </c>
    </row>
    <row r="35851" spans="1:2" x14ac:dyDescent="0.25">
      <c r="A35851" s="2">
        <v>35846</v>
      </c>
      <c r="B35851" s="11" t="str">
        <f>"201406014427"</f>
        <v>201406014427</v>
      </c>
    </row>
    <row r="35852" spans="1:2" x14ac:dyDescent="0.25">
      <c r="A35852" s="2">
        <v>35847</v>
      </c>
      <c r="B35852" s="11" t="str">
        <f>"201406014430"</f>
        <v>201406014430</v>
      </c>
    </row>
    <row r="35853" spans="1:2" x14ac:dyDescent="0.25">
      <c r="A35853" s="2">
        <v>35848</v>
      </c>
      <c r="B35853" s="11" t="str">
        <f>"201406014450"</f>
        <v>201406014450</v>
      </c>
    </row>
    <row r="35854" spans="1:2" x14ac:dyDescent="0.25">
      <c r="A35854" s="2">
        <v>35849</v>
      </c>
      <c r="B35854" s="11" t="str">
        <f>"201406014491"</f>
        <v>201406014491</v>
      </c>
    </row>
    <row r="35855" spans="1:2" x14ac:dyDescent="0.25">
      <c r="A35855" s="2">
        <v>35850</v>
      </c>
      <c r="B35855" s="11" t="str">
        <f>"201406014500"</f>
        <v>201406014500</v>
      </c>
    </row>
    <row r="35856" spans="1:2" x14ac:dyDescent="0.25">
      <c r="A35856" s="2">
        <v>35851</v>
      </c>
      <c r="B35856" s="11" t="str">
        <f>"201406014514"</f>
        <v>201406014514</v>
      </c>
    </row>
    <row r="35857" spans="1:2" x14ac:dyDescent="0.25">
      <c r="A35857" s="2">
        <v>35852</v>
      </c>
      <c r="B35857" s="11" t="str">
        <f>"201406014545"</f>
        <v>201406014545</v>
      </c>
    </row>
    <row r="35858" spans="1:2" x14ac:dyDescent="0.25">
      <c r="A35858" s="2">
        <v>35853</v>
      </c>
      <c r="B35858" s="11" t="str">
        <f>"201406014564"</f>
        <v>201406014564</v>
      </c>
    </row>
    <row r="35859" spans="1:2" x14ac:dyDescent="0.25">
      <c r="A35859" s="2">
        <v>35854</v>
      </c>
      <c r="B35859" s="11" t="str">
        <f>"201406014571"</f>
        <v>201406014571</v>
      </c>
    </row>
    <row r="35860" spans="1:2" x14ac:dyDescent="0.25">
      <c r="A35860" s="2">
        <v>35855</v>
      </c>
      <c r="B35860" s="11" t="str">
        <f>"201406014585"</f>
        <v>201406014585</v>
      </c>
    </row>
    <row r="35861" spans="1:2" x14ac:dyDescent="0.25">
      <c r="A35861" s="2">
        <v>35856</v>
      </c>
      <c r="B35861" s="11" t="str">
        <f>"201406014633"</f>
        <v>201406014633</v>
      </c>
    </row>
    <row r="35862" spans="1:2" x14ac:dyDescent="0.25">
      <c r="A35862" s="2">
        <v>35857</v>
      </c>
      <c r="B35862" s="11" t="str">
        <f>"201406014678"</f>
        <v>201406014678</v>
      </c>
    </row>
    <row r="35863" spans="1:2" x14ac:dyDescent="0.25">
      <c r="A35863" s="2">
        <v>35858</v>
      </c>
      <c r="B35863" s="11" t="str">
        <f>"201406014711"</f>
        <v>201406014711</v>
      </c>
    </row>
    <row r="35864" spans="1:2" x14ac:dyDescent="0.25">
      <c r="A35864" s="2">
        <v>35859</v>
      </c>
      <c r="B35864" s="11" t="str">
        <f>"201406014732"</f>
        <v>201406014732</v>
      </c>
    </row>
    <row r="35865" spans="1:2" x14ac:dyDescent="0.25">
      <c r="A35865" s="2">
        <v>35860</v>
      </c>
      <c r="B35865" s="11" t="str">
        <f>"201406014747"</f>
        <v>201406014747</v>
      </c>
    </row>
    <row r="35866" spans="1:2" x14ac:dyDescent="0.25">
      <c r="A35866" s="2">
        <v>35861</v>
      </c>
      <c r="B35866" s="11" t="str">
        <f>"201406014772"</f>
        <v>201406014772</v>
      </c>
    </row>
    <row r="35867" spans="1:2" x14ac:dyDescent="0.25">
      <c r="A35867" s="2">
        <v>35862</v>
      </c>
      <c r="B35867" s="11" t="str">
        <f>"201406014775"</f>
        <v>201406014775</v>
      </c>
    </row>
    <row r="35868" spans="1:2" x14ac:dyDescent="0.25">
      <c r="A35868" s="2">
        <v>35863</v>
      </c>
      <c r="B35868" s="11" t="str">
        <f>"201406014808"</f>
        <v>201406014808</v>
      </c>
    </row>
    <row r="35869" spans="1:2" x14ac:dyDescent="0.25">
      <c r="A35869" s="2">
        <v>35864</v>
      </c>
      <c r="B35869" s="11" t="str">
        <f>"201406014809"</f>
        <v>201406014809</v>
      </c>
    </row>
    <row r="35870" spans="1:2" x14ac:dyDescent="0.25">
      <c r="A35870" s="2">
        <v>35865</v>
      </c>
      <c r="B35870" s="11" t="str">
        <f>"201406014827"</f>
        <v>201406014827</v>
      </c>
    </row>
    <row r="35871" spans="1:2" x14ac:dyDescent="0.25">
      <c r="A35871" s="2">
        <v>35866</v>
      </c>
      <c r="B35871" s="11" t="str">
        <f>"201406014853"</f>
        <v>201406014853</v>
      </c>
    </row>
    <row r="35872" spans="1:2" x14ac:dyDescent="0.25">
      <c r="A35872" s="2">
        <v>35867</v>
      </c>
      <c r="B35872" s="11" t="str">
        <f>"201406014854"</f>
        <v>201406014854</v>
      </c>
    </row>
    <row r="35873" spans="1:2" x14ac:dyDescent="0.25">
      <c r="A35873" s="2">
        <v>35868</v>
      </c>
      <c r="B35873" s="11" t="str">
        <f>"201406014863"</f>
        <v>201406014863</v>
      </c>
    </row>
    <row r="35874" spans="1:2" x14ac:dyDescent="0.25">
      <c r="A35874" s="2">
        <v>35869</v>
      </c>
      <c r="B35874" s="11" t="str">
        <f>"201406014869"</f>
        <v>201406014869</v>
      </c>
    </row>
    <row r="35875" spans="1:2" x14ac:dyDescent="0.25">
      <c r="A35875" s="2">
        <v>35870</v>
      </c>
      <c r="B35875" s="11" t="str">
        <f>"201406014886"</f>
        <v>201406014886</v>
      </c>
    </row>
    <row r="35876" spans="1:2" x14ac:dyDescent="0.25">
      <c r="A35876" s="2">
        <v>35871</v>
      </c>
      <c r="B35876" s="11" t="str">
        <f>"201406014892"</f>
        <v>201406014892</v>
      </c>
    </row>
    <row r="35877" spans="1:2" x14ac:dyDescent="0.25">
      <c r="A35877" s="2">
        <v>35872</v>
      </c>
      <c r="B35877" s="11" t="str">
        <f>"201406014928"</f>
        <v>201406014928</v>
      </c>
    </row>
    <row r="35878" spans="1:2" x14ac:dyDescent="0.25">
      <c r="A35878" s="2">
        <v>35873</v>
      </c>
      <c r="B35878" s="11" t="str">
        <f>"201406014931"</f>
        <v>201406014931</v>
      </c>
    </row>
    <row r="35879" spans="1:2" x14ac:dyDescent="0.25">
      <c r="A35879" s="2">
        <v>35874</v>
      </c>
      <c r="B35879" s="11" t="str">
        <f>"201406014967"</f>
        <v>201406014967</v>
      </c>
    </row>
    <row r="35880" spans="1:2" x14ac:dyDescent="0.25">
      <c r="A35880" s="2">
        <v>35875</v>
      </c>
      <c r="B35880" s="11" t="str">
        <f>"201406014975"</f>
        <v>201406014975</v>
      </c>
    </row>
    <row r="35881" spans="1:2" x14ac:dyDescent="0.25">
      <c r="A35881" s="2">
        <v>35876</v>
      </c>
      <c r="B35881" s="11" t="str">
        <f>"201406015007"</f>
        <v>201406015007</v>
      </c>
    </row>
    <row r="35882" spans="1:2" x14ac:dyDescent="0.25">
      <c r="A35882" s="2">
        <v>35877</v>
      </c>
      <c r="B35882" s="11" t="str">
        <f>"201406015009"</f>
        <v>201406015009</v>
      </c>
    </row>
    <row r="35883" spans="1:2" x14ac:dyDescent="0.25">
      <c r="A35883" s="2">
        <v>35878</v>
      </c>
      <c r="B35883" s="11" t="str">
        <f>"201406015096"</f>
        <v>201406015096</v>
      </c>
    </row>
    <row r="35884" spans="1:2" x14ac:dyDescent="0.25">
      <c r="A35884" s="2">
        <v>35879</v>
      </c>
      <c r="B35884" s="11" t="str">
        <f>"201406015108"</f>
        <v>201406015108</v>
      </c>
    </row>
    <row r="35885" spans="1:2" x14ac:dyDescent="0.25">
      <c r="A35885" s="2">
        <v>35880</v>
      </c>
      <c r="B35885" s="11" t="str">
        <f>"201406015122"</f>
        <v>201406015122</v>
      </c>
    </row>
    <row r="35886" spans="1:2" x14ac:dyDescent="0.25">
      <c r="A35886" s="2">
        <v>35881</v>
      </c>
      <c r="B35886" s="11" t="str">
        <f>"201406015177"</f>
        <v>201406015177</v>
      </c>
    </row>
    <row r="35887" spans="1:2" x14ac:dyDescent="0.25">
      <c r="A35887" s="2">
        <v>35882</v>
      </c>
      <c r="B35887" s="11" t="str">
        <f>"201406015180"</f>
        <v>201406015180</v>
      </c>
    </row>
    <row r="35888" spans="1:2" x14ac:dyDescent="0.25">
      <c r="A35888" s="2">
        <v>35883</v>
      </c>
      <c r="B35888" s="11" t="str">
        <f>"201406015198"</f>
        <v>201406015198</v>
      </c>
    </row>
    <row r="35889" spans="1:2" x14ac:dyDescent="0.25">
      <c r="A35889" s="2">
        <v>35884</v>
      </c>
      <c r="B35889" s="11" t="str">
        <f>"201406015212"</f>
        <v>201406015212</v>
      </c>
    </row>
    <row r="35890" spans="1:2" x14ac:dyDescent="0.25">
      <c r="A35890" s="2">
        <v>35885</v>
      </c>
      <c r="B35890" s="11" t="str">
        <f>"201406015217"</f>
        <v>201406015217</v>
      </c>
    </row>
    <row r="35891" spans="1:2" x14ac:dyDescent="0.25">
      <c r="A35891" s="2">
        <v>35886</v>
      </c>
      <c r="B35891" s="11" t="str">
        <f>"201406015231"</f>
        <v>201406015231</v>
      </c>
    </row>
    <row r="35892" spans="1:2" x14ac:dyDescent="0.25">
      <c r="A35892" s="2">
        <v>35887</v>
      </c>
      <c r="B35892" s="11" t="str">
        <f>"201406015237"</f>
        <v>201406015237</v>
      </c>
    </row>
    <row r="35893" spans="1:2" x14ac:dyDescent="0.25">
      <c r="A35893" s="2">
        <v>35888</v>
      </c>
      <c r="B35893" s="11" t="str">
        <f>"201406015249"</f>
        <v>201406015249</v>
      </c>
    </row>
    <row r="35894" spans="1:2" x14ac:dyDescent="0.25">
      <c r="A35894" s="2">
        <v>35889</v>
      </c>
      <c r="B35894" s="11" t="str">
        <f>"201406015285"</f>
        <v>201406015285</v>
      </c>
    </row>
    <row r="35895" spans="1:2" x14ac:dyDescent="0.25">
      <c r="A35895" s="2">
        <v>35890</v>
      </c>
      <c r="B35895" s="11" t="str">
        <f>"201406015319"</f>
        <v>201406015319</v>
      </c>
    </row>
    <row r="35896" spans="1:2" x14ac:dyDescent="0.25">
      <c r="A35896" s="2">
        <v>35891</v>
      </c>
      <c r="B35896" s="11" t="str">
        <f>"201406015358"</f>
        <v>201406015358</v>
      </c>
    </row>
    <row r="35897" spans="1:2" x14ac:dyDescent="0.25">
      <c r="A35897" s="2">
        <v>35892</v>
      </c>
      <c r="B35897" s="11" t="str">
        <f>"201406015404"</f>
        <v>201406015404</v>
      </c>
    </row>
    <row r="35898" spans="1:2" x14ac:dyDescent="0.25">
      <c r="A35898" s="2">
        <v>35893</v>
      </c>
      <c r="B35898" s="11" t="str">
        <f>"201406015425"</f>
        <v>201406015425</v>
      </c>
    </row>
    <row r="35899" spans="1:2" x14ac:dyDescent="0.25">
      <c r="A35899" s="2">
        <v>35894</v>
      </c>
      <c r="B35899" s="11" t="str">
        <f>"201406015430"</f>
        <v>201406015430</v>
      </c>
    </row>
    <row r="35900" spans="1:2" x14ac:dyDescent="0.25">
      <c r="A35900" s="2">
        <v>35895</v>
      </c>
      <c r="B35900" s="11" t="str">
        <f>"201406015444"</f>
        <v>201406015444</v>
      </c>
    </row>
    <row r="35901" spans="1:2" x14ac:dyDescent="0.25">
      <c r="A35901" s="2">
        <v>35896</v>
      </c>
      <c r="B35901" s="11" t="str">
        <f>"201406015446"</f>
        <v>201406015446</v>
      </c>
    </row>
    <row r="35902" spans="1:2" x14ac:dyDescent="0.25">
      <c r="A35902" s="2">
        <v>35897</v>
      </c>
      <c r="B35902" s="11" t="str">
        <f>"201406015473"</f>
        <v>201406015473</v>
      </c>
    </row>
    <row r="35903" spans="1:2" x14ac:dyDescent="0.25">
      <c r="A35903" s="2">
        <v>35898</v>
      </c>
      <c r="B35903" s="11" t="str">
        <f>"201406015474"</f>
        <v>201406015474</v>
      </c>
    </row>
    <row r="35904" spans="1:2" x14ac:dyDescent="0.25">
      <c r="A35904" s="2">
        <v>35899</v>
      </c>
      <c r="B35904" s="11" t="str">
        <f>"201406015483"</f>
        <v>201406015483</v>
      </c>
    </row>
    <row r="35905" spans="1:2" x14ac:dyDescent="0.25">
      <c r="A35905" s="2">
        <v>35900</v>
      </c>
      <c r="B35905" s="11" t="str">
        <f>"201406015497"</f>
        <v>201406015497</v>
      </c>
    </row>
    <row r="35906" spans="1:2" x14ac:dyDescent="0.25">
      <c r="A35906" s="2">
        <v>35901</v>
      </c>
      <c r="B35906" s="11" t="str">
        <f>"201406015529"</f>
        <v>201406015529</v>
      </c>
    </row>
    <row r="35907" spans="1:2" x14ac:dyDescent="0.25">
      <c r="A35907" s="2">
        <v>35902</v>
      </c>
      <c r="B35907" s="11" t="str">
        <f>"201406015622"</f>
        <v>201406015622</v>
      </c>
    </row>
    <row r="35908" spans="1:2" x14ac:dyDescent="0.25">
      <c r="A35908" s="2">
        <v>35903</v>
      </c>
      <c r="B35908" s="11" t="str">
        <f>"201406015643"</f>
        <v>201406015643</v>
      </c>
    </row>
    <row r="35909" spans="1:2" x14ac:dyDescent="0.25">
      <c r="A35909" s="2">
        <v>35904</v>
      </c>
      <c r="B35909" s="11" t="str">
        <f>"201406015657"</f>
        <v>201406015657</v>
      </c>
    </row>
    <row r="35910" spans="1:2" x14ac:dyDescent="0.25">
      <c r="A35910" s="2">
        <v>35905</v>
      </c>
      <c r="B35910" s="11" t="str">
        <f>"201406015682"</f>
        <v>201406015682</v>
      </c>
    </row>
    <row r="35911" spans="1:2" x14ac:dyDescent="0.25">
      <c r="A35911" s="2">
        <v>35906</v>
      </c>
      <c r="B35911" s="11" t="str">
        <f>"201406015728"</f>
        <v>201406015728</v>
      </c>
    </row>
    <row r="35912" spans="1:2" x14ac:dyDescent="0.25">
      <c r="A35912" s="2">
        <v>35907</v>
      </c>
      <c r="B35912" s="11" t="str">
        <f>"201406015738"</f>
        <v>201406015738</v>
      </c>
    </row>
    <row r="35913" spans="1:2" x14ac:dyDescent="0.25">
      <c r="A35913" s="2">
        <v>35908</v>
      </c>
      <c r="B35913" s="11" t="str">
        <f>"201406015765"</f>
        <v>201406015765</v>
      </c>
    </row>
    <row r="35914" spans="1:2" x14ac:dyDescent="0.25">
      <c r="A35914" s="2">
        <v>35909</v>
      </c>
      <c r="B35914" s="11" t="str">
        <f>"201406015779"</f>
        <v>201406015779</v>
      </c>
    </row>
    <row r="35915" spans="1:2" x14ac:dyDescent="0.25">
      <c r="A35915" s="2">
        <v>35910</v>
      </c>
      <c r="B35915" s="11" t="str">
        <f>"201406015798"</f>
        <v>201406015798</v>
      </c>
    </row>
    <row r="35916" spans="1:2" x14ac:dyDescent="0.25">
      <c r="A35916" s="2">
        <v>35911</v>
      </c>
      <c r="B35916" s="11" t="str">
        <f>"201406015806"</f>
        <v>201406015806</v>
      </c>
    </row>
    <row r="35917" spans="1:2" x14ac:dyDescent="0.25">
      <c r="A35917" s="2">
        <v>35912</v>
      </c>
      <c r="B35917" s="11" t="str">
        <f>"201406015809"</f>
        <v>201406015809</v>
      </c>
    </row>
    <row r="35918" spans="1:2" x14ac:dyDescent="0.25">
      <c r="A35918" s="2">
        <v>35913</v>
      </c>
      <c r="B35918" s="11" t="str">
        <f>"201406015898"</f>
        <v>201406015898</v>
      </c>
    </row>
    <row r="35919" spans="1:2" x14ac:dyDescent="0.25">
      <c r="A35919" s="2">
        <v>35914</v>
      </c>
      <c r="B35919" s="11" t="str">
        <f>"201406015903"</f>
        <v>201406015903</v>
      </c>
    </row>
    <row r="35920" spans="1:2" x14ac:dyDescent="0.25">
      <c r="A35920" s="2">
        <v>35915</v>
      </c>
      <c r="B35920" s="11" t="str">
        <f>"201406015922"</f>
        <v>201406015922</v>
      </c>
    </row>
    <row r="35921" spans="1:2" x14ac:dyDescent="0.25">
      <c r="A35921" s="2">
        <v>35916</v>
      </c>
      <c r="B35921" s="11" t="str">
        <f>"201406015996"</f>
        <v>201406015996</v>
      </c>
    </row>
    <row r="35922" spans="1:2" x14ac:dyDescent="0.25">
      <c r="A35922" s="2">
        <v>35917</v>
      </c>
      <c r="B35922" s="11" t="str">
        <f>"201406015997"</f>
        <v>201406015997</v>
      </c>
    </row>
    <row r="35923" spans="1:2" x14ac:dyDescent="0.25">
      <c r="A35923" s="2">
        <v>35918</v>
      </c>
      <c r="B35923" s="11" t="str">
        <f>"201406016016"</f>
        <v>201406016016</v>
      </c>
    </row>
    <row r="35924" spans="1:2" x14ac:dyDescent="0.25">
      <c r="A35924" s="2">
        <v>35919</v>
      </c>
      <c r="B35924" s="11" t="str">
        <f>"201406016023"</f>
        <v>201406016023</v>
      </c>
    </row>
    <row r="35925" spans="1:2" x14ac:dyDescent="0.25">
      <c r="A35925" s="2">
        <v>35920</v>
      </c>
      <c r="B35925" s="11" t="str">
        <f>"201406016037"</f>
        <v>201406016037</v>
      </c>
    </row>
    <row r="35926" spans="1:2" x14ac:dyDescent="0.25">
      <c r="A35926" s="2">
        <v>35921</v>
      </c>
      <c r="B35926" s="11" t="str">
        <f>"201406016038"</f>
        <v>201406016038</v>
      </c>
    </row>
    <row r="35927" spans="1:2" x14ac:dyDescent="0.25">
      <c r="A35927" s="2">
        <v>35922</v>
      </c>
      <c r="B35927" s="11" t="str">
        <f>"201406016046"</f>
        <v>201406016046</v>
      </c>
    </row>
    <row r="35928" spans="1:2" x14ac:dyDescent="0.25">
      <c r="A35928" s="2">
        <v>35923</v>
      </c>
      <c r="B35928" s="11" t="str">
        <f>"201406016055"</f>
        <v>201406016055</v>
      </c>
    </row>
    <row r="35929" spans="1:2" x14ac:dyDescent="0.25">
      <c r="A35929" s="2">
        <v>35924</v>
      </c>
      <c r="B35929" s="11" t="str">
        <f>"201406016078"</f>
        <v>201406016078</v>
      </c>
    </row>
    <row r="35930" spans="1:2" x14ac:dyDescent="0.25">
      <c r="A35930" s="2">
        <v>35925</v>
      </c>
      <c r="B35930" s="11" t="str">
        <f>"201406016091"</f>
        <v>201406016091</v>
      </c>
    </row>
    <row r="35931" spans="1:2" x14ac:dyDescent="0.25">
      <c r="A35931" s="2">
        <v>35926</v>
      </c>
      <c r="B35931" s="11" t="str">
        <f>"201406016097"</f>
        <v>201406016097</v>
      </c>
    </row>
    <row r="35932" spans="1:2" x14ac:dyDescent="0.25">
      <c r="A35932" s="2">
        <v>35927</v>
      </c>
      <c r="B35932" s="11" t="str">
        <f>"201406016122"</f>
        <v>201406016122</v>
      </c>
    </row>
    <row r="35933" spans="1:2" x14ac:dyDescent="0.25">
      <c r="A35933" s="2">
        <v>35928</v>
      </c>
      <c r="B35933" s="11" t="str">
        <f>"201406016123"</f>
        <v>201406016123</v>
      </c>
    </row>
    <row r="35934" spans="1:2" x14ac:dyDescent="0.25">
      <c r="A35934" s="2">
        <v>35929</v>
      </c>
      <c r="B35934" s="11" t="str">
        <f>"201406016152"</f>
        <v>201406016152</v>
      </c>
    </row>
    <row r="35935" spans="1:2" x14ac:dyDescent="0.25">
      <c r="A35935" s="2">
        <v>35930</v>
      </c>
      <c r="B35935" s="11" t="str">
        <f>"201406016160"</f>
        <v>201406016160</v>
      </c>
    </row>
    <row r="35936" spans="1:2" x14ac:dyDescent="0.25">
      <c r="A35936" s="2">
        <v>35931</v>
      </c>
      <c r="B35936" s="11" t="str">
        <f>"201406016169"</f>
        <v>201406016169</v>
      </c>
    </row>
    <row r="35937" spans="1:2" x14ac:dyDescent="0.25">
      <c r="A35937" s="2">
        <v>35932</v>
      </c>
      <c r="B35937" s="11" t="str">
        <f>"201406016170"</f>
        <v>201406016170</v>
      </c>
    </row>
    <row r="35938" spans="1:2" x14ac:dyDescent="0.25">
      <c r="A35938" s="2">
        <v>35933</v>
      </c>
      <c r="B35938" s="11" t="str">
        <f>"201406016201"</f>
        <v>201406016201</v>
      </c>
    </row>
    <row r="35939" spans="1:2" x14ac:dyDescent="0.25">
      <c r="A35939" s="2">
        <v>35934</v>
      </c>
      <c r="B35939" s="11" t="str">
        <f>"201406016216"</f>
        <v>201406016216</v>
      </c>
    </row>
    <row r="35940" spans="1:2" x14ac:dyDescent="0.25">
      <c r="A35940" s="2">
        <v>35935</v>
      </c>
      <c r="B35940" s="11" t="str">
        <f>"201406016337"</f>
        <v>201406016337</v>
      </c>
    </row>
    <row r="35941" spans="1:2" x14ac:dyDescent="0.25">
      <c r="A35941" s="2">
        <v>35936</v>
      </c>
      <c r="B35941" s="11" t="str">
        <f>"201406016414"</f>
        <v>201406016414</v>
      </c>
    </row>
    <row r="35942" spans="1:2" x14ac:dyDescent="0.25">
      <c r="A35942" s="2">
        <v>35937</v>
      </c>
      <c r="B35942" s="11" t="str">
        <f>"201406017152"</f>
        <v>201406017152</v>
      </c>
    </row>
    <row r="35943" spans="1:2" x14ac:dyDescent="0.25">
      <c r="A35943" s="2">
        <v>35938</v>
      </c>
      <c r="B35943" s="11" t="str">
        <f>"201406017162"</f>
        <v>201406017162</v>
      </c>
    </row>
    <row r="35944" spans="1:2" x14ac:dyDescent="0.25">
      <c r="A35944" s="2">
        <v>35939</v>
      </c>
      <c r="B35944" s="11" t="str">
        <f>"201406017213"</f>
        <v>201406017213</v>
      </c>
    </row>
    <row r="35945" spans="1:2" x14ac:dyDescent="0.25">
      <c r="A35945" s="2">
        <v>35940</v>
      </c>
      <c r="B35945" s="11" t="str">
        <f>"201406017218"</f>
        <v>201406017218</v>
      </c>
    </row>
    <row r="35946" spans="1:2" x14ac:dyDescent="0.25">
      <c r="A35946" s="2">
        <v>35941</v>
      </c>
      <c r="B35946" s="11" t="str">
        <f>"201406017316"</f>
        <v>201406017316</v>
      </c>
    </row>
    <row r="35947" spans="1:2" x14ac:dyDescent="0.25">
      <c r="A35947" s="2">
        <v>35942</v>
      </c>
      <c r="B35947" s="11" t="str">
        <f>"201406017321"</f>
        <v>201406017321</v>
      </c>
    </row>
    <row r="35948" spans="1:2" x14ac:dyDescent="0.25">
      <c r="A35948" s="2">
        <v>35943</v>
      </c>
      <c r="B35948" s="11" t="str">
        <f>"201406017405"</f>
        <v>201406017405</v>
      </c>
    </row>
    <row r="35949" spans="1:2" x14ac:dyDescent="0.25">
      <c r="A35949" s="2">
        <v>35944</v>
      </c>
      <c r="B35949" s="11" t="str">
        <f>"201406017489"</f>
        <v>201406017489</v>
      </c>
    </row>
    <row r="35950" spans="1:2" x14ac:dyDescent="0.25">
      <c r="A35950" s="2">
        <v>35945</v>
      </c>
      <c r="B35950" s="11" t="str">
        <f>"201406017497"</f>
        <v>201406017497</v>
      </c>
    </row>
    <row r="35951" spans="1:2" x14ac:dyDescent="0.25">
      <c r="A35951" s="2">
        <v>35946</v>
      </c>
      <c r="B35951" s="11" t="str">
        <f>"201406017509"</f>
        <v>201406017509</v>
      </c>
    </row>
    <row r="35952" spans="1:2" x14ac:dyDescent="0.25">
      <c r="A35952" s="2">
        <v>35947</v>
      </c>
      <c r="B35952" s="11" t="str">
        <f>"201406017520"</f>
        <v>201406017520</v>
      </c>
    </row>
    <row r="35953" spans="1:2" x14ac:dyDescent="0.25">
      <c r="A35953" s="2">
        <v>35948</v>
      </c>
      <c r="B35953" s="11" t="str">
        <f>"201406017535"</f>
        <v>201406017535</v>
      </c>
    </row>
    <row r="35954" spans="1:2" x14ac:dyDescent="0.25">
      <c r="A35954" s="2">
        <v>35949</v>
      </c>
      <c r="B35954" s="11" t="str">
        <f>"201406017555"</f>
        <v>201406017555</v>
      </c>
    </row>
    <row r="35955" spans="1:2" x14ac:dyDescent="0.25">
      <c r="A35955" s="2">
        <v>35950</v>
      </c>
      <c r="B35955" s="11" t="str">
        <f>"201406017556"</f>
        <v>201406017556</v>
      </c>
    </row>
    <row r="35956" spans="1:2" x14ac:dyDescent="0.25">
      <c r="A35956" s="2">
        <v>35951</v>
      </c>
      <c r="B35956" s="11" t="str">
        <f>"201406017573"</f>
        <v>201406017573</v>
      </c>
    </row>
    <row r="35957" spans="1:2" x14ac:dyDescent="0.25">
      <c r="A35957" s="2">
        <v>35952</v>
      </c>
      <c r="B35957" s="11" t="str">
        <f>"201406017582"</f>
        <v>201406017582</v>
      </c>
    </row>
    <row r="35958" spans="1:2" x14ac:dyDescent="0.25">
      <c r="A35958" s="2">
        <v>35953</v>
      </c>
      <c r="B35958" s="11" t="str">
        <f>"201406017606"</f>
        <v>201406017606</v>
      </c>
    </row>
    <row r="35959" spans="1:2" x14ac:dyDescent="0.25">
      <c r="A35959" s="2">
        <v>35954</v>
      </c>
      <c r="B35959" s="11" t="str">
        <f>"201406017697"</f>
        <v>201406017697</v>
      </c>
    </row>
    <row r="35960" spans="1:2" x14ac:dyDescent="0.25">
      <c r="A35960" s="2">
        <v>35955</v>
      </c>
      <c r="B35960" s="11" t="str">
        <f>"201406017763"</f>
        <v>201406017763</v>
      </c>
    </row>
    <row r="35961" spans="1:2" x14ac:dyDescent="0.25">
      <c r="A35961" s="2">
        <v>35956</v>
      </c>
      <c r="B35961" s="11" t="str">
        <f>"201406017819"</f>
        <v>201406017819</v>
      </c>
    </row>
    <row r="35962" spans="1:2" x14ac:dyDescent="0.25">
      <c r="A35962" s="2">
        <v>35957</v>
      </c>
      <c r="B35962" s="11" t="str">
        <f>"201406017863"</f>
        <v>201406017863</v>
      </c>
    </row>
    <row r="35963" spans="1:2" x14ac:dyDescent="0.25">
      <c r="A35963" s="2">
        <v>35958</v>
      </c>
      <c r="B35963" s="11" t="str">
        <f>"201406017896"</f>
        <v>201406017896</v>
      </c>
    </row>
    <row r="35964" spans="1:2" x14ac:dyDescent="0.25">
      <c r="A35964" s="2">
        <v>35959</v>
      </c>
      <c r="B35964" s="11" t="str">
        <f>"201406017917"</f>
        <v>201406017917</v>
      </c>
    </row>
    <row r="35965" spans="1:2" x14ac:dyDescent="0.25">
      <c r="A35965" s="2">
        <v>35960</v>
      </c>
      <c r="B35965" s="11" t="str">
        <f>"201406017930"</f>
        <v>201406017930</v>
      </c>
    </row>
    <row r="35966" spans="1:2" x14ac:dyDescent="0.25">
      <c r="A35966" s="2">
        <v>35961</v>
      </c>
      <c r="B35966" s="11" t="str">
        <f>"201406017932"</f>
        <v>201406017932</v>
      </c>
    </row>
    <row r="35967" spans="1:2" x14ac:dyDescent="0.25">
      <c r="A35967" s="2">
        <v>35962</v>
      </c>
      <c r="B35967" s="11" t="str">
        <f>"201406017944"</f>
        <v>201406017944</v>
      </c>
    </row>
    <row r="35968" spans="1:2" x14ac:dyDescent="0.25">
      <c r="A35968" s="2">
        <v>35963</v>
      </c>
      <c r="B35968" s="11" t="str">
        <f>"201406018024"</f>
        <v>201406018024</v>
      </c>
    </row>
    <row r="35969" spans="1:2" x14ac:dyDescent="0.25">
      <c r="A35969" s="2">
        <v>35964</v>
      </c>
      <c r="B35969" s="11" t="str">
        <f>"201406018035"</f>
        <v>201406018035</v>
      </c>
    </row>
    <row r="35970" spans="1:2" x14ac:dyDescent="0.25">
      <c r="A35970" s="2">
        <v>35965</v>
      </c>
      <c r="B35970" s="11" t="str">
        <f>"201406018065"</f>
        <v>201406018065</v>
      </c>
    </row>
    <row r="35971" spans="1:2" x14ac:dyDescent="0.25">
      <c r="A35971" s="2">
        <v>35966</v>
      </c>
      <c r="B35971" s="11" t="str">
        <f>"201406018074"</f>
        <v>201406018074</v>
      </c>
    </row>
    <row r="35972" spans="1:2" x14ac:dyDescent="0.25">
      <c r="A35972" s="2">
        <v>35967</v>
      </c>
      <c r="B35972" s="11" t="str">
        <f>"201406018106"</f>
        <v>201406018106</v>
      </c>
    </row>
    <row r="35973" spans="1:2" x14ac:dyDescent="0.25">
      <c r="A35973" s="2">
        <v>35968</v>
      </c>
      <c r="B35973" s="11" t="str">
        <f>"201406018147"</f>
        <v>201406018147</v>
      </c>
    </row>
    <row r="35974" spans="1:2" x14ac:dyDescent="0.25">
      <c r="A35974" s="2">
        <v>35969</v>
      </c>
      <c r="B35974" s="11" t="str">
        <f>"201406018148"</f>
        <v>201406018148</v>
      </c>
    </row>
    <row r="35975" spans="1:2" x14ac:dyDescent="0.25">
      <c r="A35975" s="2">
        <v>35970</v>
      </c>
      <c r="B35975" s="11" t="str">
        <f>"201406018154"</f>
        <v>201406018154</v>
      </c>
    </row>
    <row r="35976" spans="1:2" x14ac:dyDescent="0.25">
      <c r="A35976" s="2">
        <v>35971</v>
      </c>
      <c r="B35976" s="11" t="str">
        <f>"201406018179"</f>
        <v>201406018179</v>
      </c>
    </row>
    <row r="35977" spans="1:2" x14ac:dyDescent="0.25">
      <c r="A35977" s="2">
        <v>35972</v>
      </c>
      <c r="B35977" s="11" t="str">
        <f>"201406018254"</f>
        <v>201406018254</v>
      </c>
    </row>
    <row r="35978" spans="1:2" x14ac:dyDescent="0.25">
      <c r="A35978" s="2">
        <v>35973</v>
      </c>
      <c r="B35978" s="11" t="str">
        <f>"201406018298"</f>
        <v>201406018298</v>
      </c>
    </row>
    <row r="35979" spans="1:2" x14ac:dyDescent="0.25">
      <c r="A35979" s="2">
        <v>35974</v>
      </c>
      <c r="B35979" s="11" t="str">
        <f>"201406018312"</f>
        <v>201406018312</v>
      </c>
    </row>
    <row r="35980" spans="1:2" x14ac:dyDescent="0.25">
      <c r="A35980" s="2">
        <v>35975</v>
      </c>
      <c r="B35980" s="11" t="str">
        <f>"201406018345"</f>
        <v>201406018345</v>
      </c>
    </row>
    <row r="35981" spans="1:2" x14ac:dyDescent="0.25">
      <c r="A35981" s="2">
        <v>35976</v>
      </c>
      <c r="B35981" s="11" t="str">
        <f>"201406018346"</f>
        <v>201406018346</v>
      </c>
    </row>
    <row r="35982" spans="1:2" x14ac:dyDescent="0.25">
      <c r="A35982" s="2">
        <v>35977</v>
      </c>
      <c r="B35982" s="11" t="str">
        <f>"201406018357"</f>
        <v>201406018357</v>
      </c>
    </row>
    <row r="35983" spans="1:2" x14ac:dyDescent="0.25">
      <c r="A35983" s="2">
        <v>35978</v>
      </c>
      <c r="B35983" s="11" t="str">
        <f>"201406018382"</f>
        <v>201406018382</v>
      </c>
    </row>
    <row r="35984" spans="1:2" x14ac:dyDescent="0.25">
      <c r="A35984" s="2">
        <v>35979</v>
      </c>
      <c r="B35984" s="11" t="str">
        <f>"201406018429"</f>
        <v>201406018429</v>
      </c>
    </row>
    <row r="35985" spans="1:2" x14ac:dyDescent="0.25">
      <c r="A35985" s="2">
        <v>35980</v>
      </c>
      <c r="B35985" s="11" t="str">
        <f>"201406018479"</f>
        <v>201406018479</v>
      </c>
    </row>
    <row r="35986" spans="1:2" x14ac:dyDescent="0.25">
      <c r="A35986" s="2">
        <v>35981</v>
      </c>
      <c r="B35986" s="11" t="str">
        <f>"201406018484"</f>
        <v>201406018484</v>
      </c>
    </row>
    <row r="35987" spans="1:2" x14ac:dyDescent="0.25">
      <c r="A35987" s="2">
        <v>35982</v>
      </c>
      <c r="B35987" s="11" t="str">
        <f>"201406018499"</f>
        <v>201406018499</v>
      </c>
    </row>
    <row r="35988" spans="1:2" x14ac:dyDescent="0.25">
      <c r="A35988" s="2">
        <v>35983</v>
      </c>
      <c r="B35988" s="11" t="str">
        <f>"201406018504"</f>
        <v>201406018504</v>
      </c>
    </row>
    <row r="35989" spans="1:2" x14ac:dyDescent="0.25">
      <c r="A35989" s="2">
        <v>35984</v>
      </c>
      <c r="B35989" s="11" t="str">
        <f>"201406018580"</f>
        <v>201406018580</v>
      </c>
    </row>
    <row r="35990" spans="1:2" x14ac:dyDescent="0.25">
      <c r="A35990" s="2">
        <v>35985</v>
      </c>
      <c r="B35990" s="11" t="str">
        <f>"201406018629"</f>
        <v>201406018629</v>
      </c>
    </row>
    <row r="35991" spans="1:2" x14ac:dyDescent="0.25">
      <c r="A35991" s="2">
        <v>35986</v>
      </c>
      <c r="B35991" s="11" t="str">
        <f>"201406018633"</f>
        <v>201406018633</v>
      </c>
    </row>
    <row r="35992" spans="1:2" x14ac:dyDescent="0.25">
      <c r="A35992" s="2">
        <v>35987</v>
      </c>
      <c r="B35992" s="11" t="str">
        <f>"201406018687"</f>
        <v>201406018687</v>
      </c>
    </row>
    <row r="35993" spans="1:2" x14ac:dyDescent="0.25">
      <c r="A35993" s="2">
        <v>35988</v>
      </c>
      <c r="B35993" s="11" t="str">
        <f>"201406018711"</f>
        <v>201406018711</v>
      </c>
    </row>
    <row r="35994" spans="1:2" x14ac:dyDescent="0.25">
      <c r="A35994" s="2">
        <v>35989</v>
      </c>
      <c r="B35994" s="11" t="str">
        <f>"201406018731"</f>
        <v>201406018731</v>
      </c>
    </row>
    <row r="35995" spans="1:2" x14ac:dyDescent="0.25">
      <c r="A35995" s="2">
        <v>35990</v>
      </c>
      <c r="B35995" s="11" t="str">
        <f>"201406018742"</f>
        <v>201406018742</v>
      </c>
    </row>
    <row r="35996" spans="1:2" x14ac:dyDescent="0.25">
      <c r="A35996" s="2">
        <v>35991</v>
      </c>
      <c r="B35996" s="11" t="str">
        <f>"201406018747"</f>
        <v>201406018747</v>
      </c>
    </row>
    <row r="35997" spans="1:2" x14ac:dyDescent="0.25">
      <c r="A35997" s="2">
        <v>35992</v>
      </c>
      <c r="B35997" s="11" t="str">
        <f>"201406018749"</f>
        <v>201406018749</v>
      </c>
    </row>
    <row r="35998" spans="1:2" x14ac:dyDescent="0.25">
      <c r="A35998" s="2">
        <v>35993</v>
      </c>
      <c r="B35998" s="11" t="str">
        <f>"201406018754"</f>
        <v>201406018754</v>
      </c>
    </row>
    <row r="35999" spans="1:2" x14ac:dyDescent="0.25">
      <c r="A35999" s="2">
        <v>35994</v>
      </c>
      <c r="B35999" s="11" t="str">
        <f>"201406018762"</f>
        <v>201406018762</v>
      </c>
    </row>
    <row r="36000" spans="1:2" x14ac:dyDescent="0.25">
      <c r="A36000" s="2">
        <v>35995</v>
      </c>
      <c r="B36000" s="11" t="str">
        <f>"201406018769"</f>
        <v>201406018769</v>
      </c>
    </row>
    <row r="36001" spans="1:2" x14ac:dyDescent="0.25">
      <c r="A36001" s="2">
        <v>35996</v>
      </c>
      <c r="B36001" s="11" t="str">
        <f>"201406018790"</f>
        <v>201406018790</v>
      </c>
    </row>
    <row r="36002" spans="1:2" x14ac:dyDescent="0.25">
      <c r="A36002" s="2">
        <v>35997</v>
      </c>
      <c r="B36002" s="11" t="str">
        <f>"201406018795"</f>
        <v>201406018795</v>
      </c>
    </row>
    <row r="36003" spans="1:2" x14ac:dyDescent="0.25">
      <c r="A36003" s="2">
        <v>35998</v>
      </c>
      <c r="B36003" s="11" t="str">
        <f>"201406018834"</f>
        <v>201406018834</v>
      </c>
    </row>
    <row r="36004" spans="1:2" x14ac:dyDescent="0.25">
      <c r="A36004" s="2">
        <v>35999</v>
      </c>
      <c r="B36004" s="11" t="str">
        <f>"201406018853"</f>
        <v>201406018853</v>
      </c>
    </row>
    <row r="36005" spans="1:2" x14ac:dyDescent="0.25">
      <c r="A36005" s="2">
        <v>36000</v>
      </c>
      <c r="B36005" s="11" t="str">
        <f>"201406018857"</f>
        <v>201406018857</v>
      </c>
    </row>
    <row r="36006" spans="1:2" x14ac:dyDescent="0.25">
      <c r="A36006" s="2">
        <v>36001</v>
      </c>
      <c r="B36006" s="11" t="str">
        <f>"201406018865"</f>
        <v>201406018865</v>
      </c>
    </row>
    <row r="36007" spans="1:2" x14ac:dyDescent="0.25">
      <c r="A36007" s="2">
        <v>36002</v>
      </c>
      <c r="B36007" s="11" t="str">
        <f>"201406018935"</f>
        <v>201406018935</v>
      </c>
    </row>
    <row r="36008" spans="1:2" x14ac:dyDescent="0.25">
      <c r="A36008" s="2">
        <v>36003</v>
      </c>
      <c r="B36008" s="11" t="str">
        <f>"201406018947"</f>
        <v>201406018947</v>
      </c>
    </row>
    <row r="36009" spans="1:2" x14ac:dyDescent="0.25">
      <c r="A36009" s="2">
        <v>36004</v>
      </c>
      <c r="B36009" s="11" t="str">
        <f>"201406018957"</f>
        <v>201406018957</v>
      </c>
    </row>
    <row r="36010" spans="1:2" x14ac:dyDescent="0.25">
      <c r="A36010" s="2">
        <v>36005</v>
      </c>
      <c r="B36010" s="11" t="str">
        <f>"201406018997"</f>
        <v>201406018997</v>
      </c>
    </row>
    <row r="36011" spans="1:2" x14ac:dyDescent="0.25">
      <c r="A36011" s="2">
        <v>36006</v>
      </c>
      <c r="B36011" s="11" t="str">
        <f>"201406019004"</f>
        <v>201406019004</v>
      </c>
    </row>
    <row r="36012" spans="1:2" x14ac:dyDescent="0.25">
      <c r="A36012" s="2">
        <v>36007</v>
      </c>
      <c r="B36012" s="11" t="str">
        <f>"201406019082"</f>
        <v>201406019082</v>
      </c>
    </row>
    <row r="36013" spans="1:2" x14ac:dyDescent="0.25">
      <c r="A36013" s="2">
        <v>36008</v>
      </c>
      <c r="B36013" s="11" t="str">
        <f>"201406019113"</f>
        <v>201406019113</v>
      </c>
    </row>
    <row r="36014" spans="1:2" x14ac:dyDescent="0.25">
      <c r="A36014" s="2">
        <v>36009</v>
      </c>
      <c r="B36014" s="11" t="str">
        <f>"201406019200"</f>
        <v>201406019200</v>
      </c>
    </row>
    <row r="36015" spans="1:2" x14ac:dyDescent="0.25">
      <c r="A36015" s="2">
        <v>36010</v>
      </c>
      <c r="B36015" s="11" t="str">
        <f>"201406019210"</f>
        <v>201406019210</v>
      </c>
    </row>
    <row r="36016" spans="1:2" x14ac:dyDescent="0.25">
      <c r="A36016" s="2">
        <v>36011</v>
      </c>
      <c r="B36016" s="11" t="str">
        <f>"201406019330"</f>
        <v>201406019330</v>
      </c>
    </row>
    <row r="36017" spans="1:2" x14ac:dyDescent="0.25">
      <c r="A36017" s="2">
        <v>36012</v>
      </c>
      <c r="B36017" s="11" t="str">
        <f>"201407000088"</f>
        <v>201407000088</v>
      </c>
    </row>
    <row r="36018" spans="1:2" x14ac:dyDescent="0.25">
      <c r="A36018" s="2">
        <v>36013</v>
      </c>
      <c r="B36018" s="11" t="str">
        <f>"201407000129"</f>
        <v>201407000129</v>
      </c>
    </row>
    <row r="36019" spans="1:2" x14ac:dyDescent="0.25">
      <c r="A36019" s="2">
        <v>36014</v>
      </c>
      <c r="B36019" s="11" t="str">
        <f>"201407000139"</f>
        <v>201407000139</v>
      </c>
    </row>
    <row r="36020" spans="1:2" x14ac:dyDescent="0.25">
      <c r="A36020" s="2">
        <v>36015</v>
      </c>
      <c r="B36020" s="11" t="str">
        <f>"201407000212"</f>
        <v>201407000212</v>
      </c>
    </row>
    <row r="36021" spans="1:2" x14ac:dyDescent="0.25">
      <c r="A36021" s="2">
        <v>36016</v>
      </c>
      <c r="B36021" s="11" t="str">
        <f>"201407000237"</f>
        <v>201407000237</v>
      </c>
    </row>
    <row r="36022" spans="1:2" x14ac:dyDescent="0.25">
      <c r="A36022" s="2">
        <v>36017</v>
      </c>
      <c r="B36022" s="11" t="str">
        <f>"201407000268"</f>
        <v>201407000268</v>
      </c>
    </row>
    <row r="36023" spans="1:2" x14ac:dyDescent="0.25">
      <c r="A36023" s="2">
        <v>36018</v>
      </c>
      <c r="B36023" s="11" t="str">
        <f>"201407000317"</f>
        <v>201407000317</v>
      </c>
    </row>
    <row r="36024" spans="1:2" x14ac:dyDescent="0.25">
      <c r="A36024" s="2">
        <v>36019</v>
      </c>
      <c r="B36024" s="11" t="str">
        <f>"201408000082"</f>
        <v>201408000082</v>
      </c>
    </row>
    <row r="36025" spans="1:2" x14ac:dyDescent="0.25">
      <c r="A36025" s="2">
        <v>36020</v>
      </c>
      <c r="B36025" s="11" t="str">
        <f>"201408000084"</f>
        <v>201408000084</v>
      </c>
    </row>
    <row r="36026" spans="1:2" x14ac:dyDescent="0.25">
      <c r="A36026" s="2">
        <v>36021</v>
      </c>
      <c r="B36026" s="11" t="str">
        <f>"201408000094"</f>
        <v>201408000094</v>
      </c>
    </row>
    <row r="36027" spans="1:2" x14ac:dyDescent="0.25">
      <c r="A36027" s="2">
        <v>36022</v>
      </c>
      <c r="B36027" s="11" t="str">
        <f>"201408000115"</f>
        <v>201408000115</v>
      </c>
    </row>
    <row r="36028" spans="1:2" x14ac:dyDescent="0.25">
      <c r="A36028" s="2">
        <v>36023</v>
      </c>
      <c r="B36028" s="11" t="str">
        <f>"201408000143"</f>
        <v>201408000143</v>
      </c>
    </row>
    <row r="36029" spans="1:2" x14ac:dyDescent="0.25">
      <c r="A36029" s="2">
        <v>36024</v>
      </c>
      <c r="B36029" s="11" t="str">
        <f>"201408000250"</f>
        <v>201408000250</v>
      </c>
    </row>
    <row r="36030" spans="1:2" x14ac:dyDescent="0.25">
      <c r="A36030" s="2">
        <v>36025</v>
      </c>
      <c r="B36030" s="11" t="str">
        <f>"201408000254"</f>
        <v>201408000254</v>
      </c>
    </row>
    <row r="36031" spans="1:2" x14ac:dyDescent="0.25">
      <c r="A36031" s="2">
        <v>36026</v>
      </c>
      <c r="B36031" s="11" t="str">
        <f>"201409000022"</f>
        <v>201409000022</v>
      </c>
    </row>
    <row r="36032" spans="1:2" x14ac:dyDescent="0.25">
      <c r="A36032" s="2">
        <v>36027</v>
      </c>
      <c r="B36032" s="11" t="str">
        <f>"201409000120"</f>
        <v>201409000120</v>
      </c>
    </row>
    <row r="36033" spans="1:2" x14ac:dyDescent="0.25">
      <c r="A36033" s="2">
        <v>36028</v>
      </c>
      <c r="B36033" s="11" t="str">
        <f>"201409000166"</f>
        <v>201409000166</v>
      </c>
    </row>
    <row r="36034" spans="1:2" x14ac:dyDescent="0.25">
      <c r="A36034" s="2">
        <v>36029</v>
      </c>
      <c r="B36034" s="11" t="str">
        <f>"201409000172"</f>
        <v>201409000172</v>
      </c>
    </row>
    <row r="36035" spans="1:2" x14ac:dyDescent="0.25">
      <c r="A36035" s="2">
        <v>36030</v>
      </c>
      <c r="B36035" s="11" t="str">
        <f>"201409000185"</f>
        <v>201409000185</v>
      </c>
    </row>
    <row r="36036" spans="1:2" x14ac:dyDescent="0.25">
      <c r="A36036" s="2">
        <v>36031</v>
      </c>
      <c r="B36036" s="11" t="str">
        <f>"201409000225"</f>
        <v>201409000225</v>
      </c>
    </row>
    <row r="36037" spans="1:2" x14ac:dyDescent="0.25">
      <c r="A36037" s="2">
        <v>36032</v>
      </c>
      <c r="B36037" s="11" t="str">
        <f>"201409000244"</f>
        <v>201409000244</v>
      </c>
    </row>
    <row r="36038" spans="1:2" x14ac:dyDescent="0.25">
      <c r="A36038" s="2">
        <v>36033</v>
      </c>
      <c r="B36038" s="11" t="str">
        <f>"201409000356"</f>
        <v>201409000356</v>
      </c>
    </row>
    <row r="36039" spans="1:2" x14ac:dyDescent="0.25">
      <c r="A36039" s="2">
        <v>36034</v>
      </c>
      <c r="B36039" s="11" t="str">
        <f>"201409000394"</f>
        <v>201409000394</v>
      </c>
    </row>
    <row r="36040" spans="1:2" x14ac:dyDescent="0.25">
      <c r="A36040" s="2">
        <v>36035</v>
      </c>
      <c r="B36040" s="11" t="str">
        <f>"201409000448"</f>
        <v>201409000448</v>
      </c>
    </row>
    <row r="36041" spans="1:2" x14ac:dyDescent="0.25">
      <c r="A36041" s="2">
        <v>36036</v>
      </c>
      <c r="B36041" s="11" t="str">
        <f>"201409000569"</f>
        <v>201409000569</v>
      </c>
    </row>
    <row r="36042" spans="1:2" x14ac:dyDescent="0.25">
      <c r="A36042" s="2">
        <v>36037</v>
      </c>
      <c r="B36042" s="11" t="str">
        <f>"201409000688"</f>
        <v>201409000688</v>
      </c>
    </row>
    <row r="36043" spans="1:2" x14ac:dyDescent="0.25">
      <c r="A36043" s="2">
        <v>36038</v>
      </c>
      <c r="B36043" s="11" t="str">
        <f>"201409000770"</f>
        <v>201409000770</v>
      </c>
    </row>
    <row r="36044" spans="1:2" x14ac:dyDescent="0.25">
      <c r="A36044" s="2">
        <v>36039</v>
      </c>
      <c r="B36044" s="11" t="str">
        <f>"201409000778"</f>
        <v>201409000778</v>
      </c>
    </row>
    <row r="36045" spans="1:2" x14ac:dyDescent="0.25">
      <c r="A36045" s="2">
        <v>36040</v>
      </c>
      <c r="B36045" s="11" t="str">
        <f>"201409000973"</f>
        <v>201409000973</v>
      </c>
    </row>
    <row r="36046" spans="1:2" x14ac:dyDescent="0.25">
      <c r="A36046" s="2">
        <v>36041</v>
      </c>
      <c r="B36046" s="11" t="str">
        <f>"201409000998"</f>
        <v>201409000998</v>
      </c>
    </row>
    <row r="36047" spans="1:2" x14ac:dyDescent="0.25">
      <c r="A36047" s="2">
        <v>36042</v>
      </c>
      <c r="B36047" s="11" t="str">
        <f>"201409001001"</f>
        <v>201409001001</v>
      </c>
    </row>
    <row r="36048" spans="1:2" x14ac:dyDescent="0.25">
      <c r="A36048" s="2">
        <v>36043</v>
      </c>
      <c r="B36048" s="11" t="str">
        <f>"201409001210"</f>
        <v>201409001210</v>
      </c>
    </row>
    <row r="36049" spans="1:2" x14ac:dyDescent="0.25">
      <c r="A36049" s="2">
        <v>36044</v>
      </c>
      <c r="B36049" s="11" t="str">
        <f>"201409001262"</f>
        <v>201409001262</v>
      </c>
    </row>
    <row r="36050" spans="1:2" x14ac:dyDescent="0.25">
      <c r="A36050" s="2">
        <v>36045</v>
      </c>
      <c r="B36050" s="11" t="str">
        <f>"201409001505"</f>
        <v>201409001505</v>
      </c>
    </row>
    <row r="36051" spans="1:2" x14ac:dyDescent="0.25">
      <c r="A36051" s="2">
        <v>36046</v>
      </c>
      <c r="B36051" s="11" t="str">
        <f>"201409001533"</f>
        <v>201409001533</v>
      </c>
    </row>
    <row r="36052" spans="1:2" x14ac:dyDescent="0.25">
      <c r="A36052" s="2">
        <v>36047</v>
      </c>
      <c r="B36052" s="11" t="str">
        <f>"201409001534"</f>
        <v>201409001534</v>
      </c>
    </row>
    <row r="36053" spans="1:2" x14ac:dyDescent="0.25">
      <c r="A36053" s="2">
        <v>36048</v>
      </c>
      <c r="B36053" s="11" t="str">
        <f>"201409001554"</f>
        <v>201409001554</v>
      </c>
    </row>
    <row r="36054" spans="1:2" x14ac:dyDescent="0.25">
      <c r="A36054" s="2">
        <v>36049</v>
      </c>
      <c r="B36054" s="11" t="str">
        <f>"201409001569"</f>
        <v>201409001569</v>
      </c>
    </row>
    <row r="36055" spans="1:2" x14ac:dyDescent="0.25">
      <c r="A36055" s="2">
        <v>36050</v>
      </c>
      <c r="B36055" s="11" t="str">
        <f>"201409001607"</f>
        <v>201409001607</v>
      </c>
    </row>
    <row r="36056" spans="1:2" x14ac:dyDescent="0.25">
      <c r="A36056" s="2">
        <v>36051</v>
      </c>
      <c r="B36056" s="11" t="str">
        <f>"201409001650"</f>
        <v>201409001650</v>
      </c>
    </row>
    <row r="36057" spans="1:2" x14ac:dyDescent="0.25">
      <c r="A36057" s="2">
        <v>36052</v>
      </c>
      <c r="B36057" s="11" t="str">
        <f>"201409001689"</f>
        <v>201409001689</v>
      </c>
    </row>
    <row r="36058" spans="1:2" x14ac:dyDescent="0.25">
      <c r="A36058" s="2">
        <v>36053</v>
      </c>
      <c r="B36058" s="11" t="str">
        <f>"201409001770"</f>
        <v>201409001770</v>
      </c>
    </row>
    <row r="36059" spans="1:2" x14ac:dyDescent="0.25">
      <c r="A36059" s="2">
        <v>36054</v>
      </c>
      <c r="B36059" s="11" t="str">
        <f>"201409001815"</f>
        <v>201409001815</v>
      </c>
    </row>
    <row r="36060" spans="1:2" x14ac:dyDescent="0.25">
      <c r="A36060" s="2">
        <v>36055</v>
      </c>
      <c r="B36060" s="11" t="str">
        <f>"201409001855"</f>
        <v>201409001855</v>
      </c>
    </row>
    <row r="36061" spans="1:2" x14ac:dyDescent="0.25">
      <c r="A36061" s="2">
        <v>36056</v>
      </c>
      <c r="B36061" s="11" t="str">
        <f>"201409001934"</f>
        <v>201409001934</v>
      </c>
    </row>
    <row r="36062" spans="1:2" x14ac:dyDescent="0.25">
      <c r="A36062" s="2">
        <v>36057</v>
      </c>
      <c r="B36062" s="11" t="str">
        <f>"201409001953"</f>
        <v>201409001953</v>
      </c>
    </row>
    <row r="36063" spans="1:2" x14ac:dyDescent="0.25">
      <c r="A36063" s="2">
        <v>36058</v>
      </c>
      <c r="B36063" s="11" t="str">
        <f>"201409001971"</f>
        <v>201409001971</v>
      </c>
    </row>
    <row r="36064" spans="1:2" x14ac:dyDescent="0.25">
      <c r="A36064" s="2">
        <v>36059</v>
      </c>
      <c r="B36064" s="11" t="str">
        <f>"201409001996"</f>
        <v>201409001996</v>
      </c>
    </row>
    <row r="36065" spans="1:2" x14ac:dyDescent="0.25">
      <c r="A36065" s="2">
        <v>36060</v>
      </c>
      <c r="B36065" s="11" t="str">
        <f>"201409002342"</f>
        <v>201409002342</v>
      </c>
    </row>
    <row r="36066" spans="1:2" x14ac:dyDescent="0.25">
      <c r="A36066" s="2">
        <v>36061</v>
      </c>
      <c r="B36066" s="11" t="str">
        <f>"201409002352"</f>
        <v>201409002352</v>
      </c>
    </row>
    <row r="36067" spans="1:2" x14ac:dyDescent="0.25">
      <c r="A36067" s="2">
        <v>36062</v>
      </c>
      <c r="B36067" s="11" t="str">
        <f>"201409002382"</f>
        <v>201409002382</v>
      </c>
    </row>
    <row r="36068" spans="1:2" x14ac:dyDescent="0.25">
      <c r="A36068" s="2">
        <v>36063</v>
      </c>
      <c r="B36068" s="11" t="str">
        <f>"201409002388"</f>
        <v>201409002388</v>
      </c>
    </row>
    <row r="36069" spans="1:2" x14ac:dyDescent="0.25">
      <c r="A36069" s="2">
        <v>36064</v>
      </c>
      <c r="B36069" s="11" t="str">
        <f>"201409002434"</f>
        <v>201409002434</v>
      </c>
    </row>
    <row r="36070" spans="1:2" x14ac:dyDescent="0.25">
      <c r="A36070" s="2">
        <v>36065</v>
      </c>
      <c r="B36070" s="11" t="str">
        <f>"201409002503"</f>
        <v>201409002503</v>
      </c>
    </row>
    <row r="36071" spans="1:2" x14ac:dyDescent="0.25">
      <c r="A36071" s="2">
        <v>36066</v>
      </c>
      <c r="B36071" s="11" t="str">
        <f>"201409002511"</f>
        <v>201409002511</v>
      </c>
    </row>
    <row r="36072" spans="1:2" x14ac:dyDescent="0.25">
      <c r="A36072" s="2">
        <v>36067</v>
      </c>
      <c r="B36072" s="11" t="str">
        <f>"201409002693"</f>
        <v>201409002693</v>
      </c>
    </row>
    <row r="36073" spans="1:2" x14ac:dyDescent="0.25">
      <c r="A36073" s="2">
        <v>36068</v>
      </c>
      <c r="B36073" s="11" t="str">
        <f>"201409002819"</f>
        <v>201409002819</v>
      </c>
    </row>
    <row r="36074" spans="1:2" x14ac:dyDescent="0.25">
      <c r="A36074" s="2">
        <v>36069</v>
      </c>
      <c r="B36074" s="11" t="str">
        <f>"201409002892"</f>
        <v>201409002892</v>
      </c>
    </row>
    <row r="36075" spans="1:2" x14ac:dyDescent="0.25">
      <c r="A36075" s="2">
        <v>36070</v>
      </c>
      <c r="B36075" s="11" t="str">
        <f>"201409002922"</f>
        <v>201409002922</v>
      </c>
    </row>
    <row r="36076" spans="1:2" x14ac:dyDescent="0.25">
      <c r="A36076" s="2">
        <v>36071</v>
      </c>
      <c r="B36076" s="11" t="str">
        <f>"201409003026"</f>
        <v>201409003026</v>
      </c>
    </row>
    <row r="36077" spans="1:2" x14ac:dyDescent="0.25">
      <c r="A36077" s="2">
        <v>36072</v>
      </c>
      <c r="B36077" s="11" t="str">
        <f>"201409003082"</f>
        <v>201409003082</v>
      </c>
    </row>
    <row r="36078" spans="1:2" x14ac:dyDescent="0.25">
      <c r="A36078" s="2">
        <v>36073</v>
      </c>
      <c r="B36078" s="11" t="str">
        <f>"201409003132"</f>
        <v>201409003132</v>
      </c>
    </row>
    <row r="36079" spans="1:2" x14ac:dyDescent="0.25">
      <c r="A36079" s="2">
        <v>36074</v>
      </c>
      <c r="B36079" s="11" t="str">
        <f>"201409003237"</f>
        <v>201409003237</v>
      </c>
    </row>
    <row r="36080" spans="1:2" x14ac:dyDescent="0.25">
      <c r="A36080" s="2">
        <v>36075</v>
      </c>
      <c r="B36080" s="11" t="str">
        <f>"201409003444"</f>
        <v>201409003444</v>
      </c>
    </row>
    <row r="36081" spans="1:2" x14ac:dyDescent="0.25">
      <c r="A36081" s="2">
        <v>36076</v>
      </c>
      <c r="B36081" s="11" t="str">
        <f>"201409003466"</f>
        <v>201409003466</v>
      </c>
    </row>
    <row r="36082" spans="1:2" x14ac:dyDescent="0.25">
      <c r="A36082" s="2">
        <v>36077</v>
      </c>
      <c r="B36082" s="11" t="str">
        <f>"201409003544"</f>
        <v>201409003544</v>
      </c>
    </row>
    <row r="36083" spans="1:2" x14ac:dyDescent="0.25">
      <c r="A36083" s="2">
        <v>36078</v>
      </c>
      <c r="B36083" s="11" t="str">
        <f>"201409003560"</f>
        <v>201409003560</v>
      </c>
    </row>
    <row r="36084" spans="1:2" x14ac:dyDescent="0.25">
      <c r="A36084" s="2">
        <v>36079</v>
      </c>
      <c r="B36084" s="11" t="str">
        <f>"201409003564"</f>
        <v>201409003564</v>
      </c>
    </row>
    <row r="36085" spans="1:2" x14ac:dyDescent="0.25">
      <c r="A36085" s="2">
        <v>36080</v>
      </c>
      <c r="B36085" s="11" t="str">
        <f>"201409003584"</f>
        <v>201409003584</v>
      </c>
    </row>
    <row r="36086" spans="1:2" x14ac:dyDescent="0.25">
      <c r="A36086" s="2">
        <v>36081</v>
      </c>
      <c r="B36086" s="11" t="str">
        <f>"201409003630"</f>
        <v>201409003630</v>
      </c>
    </row>
    <row r="36087" spans="1:2" x14ac:dyDescent="0.25">
      <c r="A36087" s="2">
        <v>36082</v>
      </c>
      <c r="B36087" s="11" t="str">
        <f>"201409003656"</f>
        <v>201409003656</v>
      </c>
    </row>
    <row r="36088" spans="1:2" x14ac:dyDescent="0.25">
      <c r="A36088" s="2">
        <v>36083</v>
      </c>
      <c r="B36088" s="11" t="str">
        <f>"201409003657"</f>
        <v>201409003657</v>
      </c>
    </row>
    <row r="36089" spans="1:2" x14ac:dyDescent="0.25">
      <c r="A36089" s="2">
        <v>36084</v>
      </c>
      <c r="B36089" s="11" t="str">
        <f>"201409003659"</f>
        <v>201409003659</v>
      </c>
    </row>
    <row r="36090" spans="1:2" x14ac:dyDescent="0.25">
      <c r="A36090" s="2">
        <v>36085</v>
      </c>
      <c r="B36090" s="11" t="str">
        <f>"201409003665"</f>
        <v>201409003665</v>
      </c>
    </row>
    <row r="36091" spans="1:2" x14ac:dyDescent="0.25">
      <c r="A36091" s="2">
        <v>36086</v>
      </c>
      <c r="B36091" s="11" t="str">
        <f>"201409003703"</f>
        <v>201409003703</v>
      </c>
    </row>
    <row r="36092" spans="1:2" x14ac:dyDescent="0.25">
      <c r="A36092" s="2">
        <v>36087</v>
      </c>
      <c r="B36092" s="11" t="str">
        <f>"201409003845"</f>
        <v>201409003845</v>
      </c>
    </row>
    <row r="36093" spans="1:2" x14ac:dyDescent="0.25">
      <c r="A36093" s="2">
        <v>36088</v>
      </c>
      <c r="B36093" s="11" t="str">
        <f>"201409003937"</f>
        <v>201409003937</v>
      </c>
    </row>
    <row r="36094" spans="1:2" x14ac:dyDescent="0.25">
      <c r="A36094" s="2">
        <v>36089</v>
      </c>
      <c r="B36094" s="11" t="str">
        <f>"201409003997"</f>
        <v>201409003997</v>
      </c>
    </row>
    <row r="36095" spans="1:2" x14ac:dyDescent="0.25">
      <c r="A36095" s="2">
        <v>36090</v>
      </c>
      <c r="B36095" s="11" t="str">
        <f>"201409004022"</f>
        <v>201409004022</v>
      </c>
    </row>
    <row r="36096" spans="1:2" x14ac:dyDescent="0.25">
      <c r="A36096" s="2">
        <v>36091</v>
      </c>
      <c r="B36096" s="11" t="str">
        <f>"201409004094"</f>
        <v>201409004094</v>
      </c>
    </row>
    <row r="36097" spans="1:2" x14ac:dyDescent="0.25">
      <c r="A36097" s="2">
        <v>36092</v>
      </c>
      <c r="B36097" s="11" t="str">
        <f>"201409004214"</f>
        <v>201409004214</v>
      </c>
    </row>
    <row r="36098" spans="1:2" x14ac:dyDescent="0.25">
      <c r="A36098" s="2">
        <v>36093</v>
      </c>
      <c r="B36098" s="11" t="str">
        <f>"201409004226"</f>
        <v>201409004226</v>
      </c>
    </row>
    <row r="36099" spans="1:2" x14ac:dyDescent="0.25">
      <c r="A36099" s="2">
        <v>36094</v>
      </c>
      <c r="B36099" s="11" t="str">
        <f>"201409004322"</f>
        <v>201409004322</v>
      </c>
    </row>
    <row r="36100" spans="1:2" x14ac:dyDescent="0.25">
      <c r="A36100" s="2">
        <v>36095</v>
      </c>
      <c r="B36100" s="11" t="str">
        <f>"201409004323"</f>
        <v>201409004323</v>
      </c>
    </row>
    <row r="36101" spans="1:2" x14ac:dyDescent="0.25">
      <c r="A36101" s="2">
        <v>36096</v>
      </c>
      <c r="B36101" s="11" t="str">
        <f>"201409004454"</f>
        <v>201409004454</v>
      </c>
    </row>
    <row r="36102" spans="1:2" x14ac:dyDescent="0.25">
      <c r="A36102" s="2">
        <v>36097</v>
      </c>
      <c r="B36102" s="11" t="str">
        <f>"201409004456"</f>
        <v>201409004456</v>
      </c>
    </row>
    <row r="36103" spans="1:2" x14ac:dyDescent="0.25">
      <c r="A36103" s="2">
        <v>36098</v>
      </c>
      <c r="B36103" s="11" t="str">
        <f>"201409004461"</f>
        <v>201409004461</v>
      </c>
    </row>
    <row r="36104" spans="1:2" x14ac:dyDescent="0.25">
      <c r="A36104" s="2">
        <v>36099</v>
      </c>
      <c r="B36104" s="11" t="str">
        <f>"201409004462"</f>
        <v>201409004462</v>
      </c>
    </row>
    <row r="36105" spans="1:2" x14ac:dyDescent="0.25">
      <c r="A36105" s="2">
        <v>36100</v>
      </c>
      <c r="B36105" s="11" t="str">
        <f>"201409004536"</f>
        <v>201409004536</v>
      </c>
    </row>
    <row r="36106" spans="1:2" x14ac:dyDescent="0.25">
      <c r="A36106" s="2">
        <v>36101</v>
      </c>
      <c r="B36106" s="11" t="str">
        <f>"201409004550"</f>
        <v>201409004550</v>
      </c>
    </row>
    <row r="36107" spans="1:2" x14ac:dyDescent="0.25">
      <c r="A36107" s="2">
        <v>36102</v>
      </c>
      <c r="B36107" s="11" t="str">
        <f>"201409004563"</f>
        <v>201409004563</v>
      </c>
    </row>
    <row r="36108" spans="1:2" x14ac:dyDescent="0.25">
      <c r="A36108" s="2">
        <v>36103</v>
      </c>
      <c r="B36108" s="11" t="str">
        <f>"201409004686"</f>
        <v>201409004686</v>
      </c>
    </row>
    <row r="36109" spans="1:2" x14ac:dyDescent="0.25">
      <c r="A36109" s="2">
        <v>36104</v>
      </c>
      <c r="B36109" s="11" t="str">
        <f>"201409004747"</f>
        <v>201409004747</v>
      </c>
    </row>
    <row r="36110" spans="1:2" x14ac:dyDescent="0.25">
      <c r="A36110" s="2">
        <v>36105</v>
      </c>
      <c r="B36110" s="11" t="str">
        <f>"201409004750"</f>
        <v>201409004750</v>
      </c>
    </row>
    <row r="36111" spans="1:2" x14ac:dyDescent="0.25">
      <c r="A36111" s="2">
        <v>36106</v>
      </c>
      <c r="B36111" s="11" t="str">
        <f>"201409004820"</f>
        <v>201409004820</v>
      </c>
    </row>
    <row r="36112" spans="1:2" x14ac:dyDescent="0.25">
      <c r="A36112" s="2">
        <v>36107</v>
      </c>
      <c r="B36112" s="11" t="str">
        <f>"201409005026"</f>
        <v>201409005026</v>
      </c>
    </row>
    <row r="36113" spans="1:2" x14ac:dyDescent="0.25">
      <c r="A36113" s="2">
        <v>36108</v>
      </c>
      <c r="B36113" s="11" t="str">
        <f>"201409005072"</f>
        <v>201409005072</v>
      </c>
    </row>
    <row r="36114" spans="1:2" x14ac:dyDescent="0.25">
      <c r="A36114" s="2">
        <v>36109</v>
      </c>
      <c r="B36114" s="11" t="str">
        <f>"201409005077"</f>
        <v>201409005077</v>
      </c>
    </row>
    <row r="36115" spans="1:2" x14ac:dyDescent="0.25">
      <c r="A36115" s="2">
        <v>36110</v>
      </c>
      <c r="B36115" s="11" t="str">
        <f>"201409005094"</f>
        <v>201409005094</v>
      </c>
    </row>
    <row r="36116" spans="1:2" x14ac:dyDescent="0.25">
      <c r="A36116" s="2">
        <v>36111</v>
      </c>
      <c r="B36116" s="11" t="str">
        <f>"201409005114"</f>
        <v>201409005114</v>
      </c>
    </row>
    <row r="36117" spans="1:2" x14ac:dyDescent="0.25">
      <c r="A36117" s="2">
        <v>36112</v>
      </c>
      <c r="B36117" s="11" t="str">
        <f>"201409005149"</f>
        <v>201409005149</v>
      </c>
    </row>
    <row r="36118" spans="1:2" x14ac:dyDescent="0.25">
      <c r="A36118" s="2">
        <v>36113</v>
      </c>
      <c r="B36118" s="11" t="str">
        <f>"201409005174"</f>
        <v>201409005174</v>
      </c>
    </row>
    <row r="36119" spans="1:2" x14ac:dyDescent="0.25">
      <c r="A36119" s="2">
        <v>36114</v>
      </c>
      <c r="B36119" s="11" t="str">
        <f>"201409005226"</f>
        <v>201409005226</v>
      </c>
    </row>
    <row r="36120" spans="1:2" x14ac:dyDescent="0.25">
      <c r="A36120" s="2">
        <v>36115</v>
      </c>
      <c r="B36120" s="11" t="str">
        <f>"201409005296"</f>
        <v>201409005296</v>
      </c>
    </row>
    <row r="36121" spans="1:2" x14ac:dyDescent="0.25">
      <c r="A36121" s="2">
        <v>36116</v>
      </c>
      <c r="B36121" s="11" t="str">
        <f>"201409005340"</f>
        <v>201409005340</v>
      </c>
    </row>
    <row r="36122" spans="1:2" x14ac:dyDescent="0.25">
      <c r="A36122" s="2">
        <v>36117</v>
      </c>
      <c r="B36122" s="11" t="str">
        <f>"201409005418"</f>
        <v>201409005418</v>
      </c>
    </row>
    <row r="36123" spans="1:2" x14ac:dyDescent="0.25">
      <c r="A36123" s="2">
        <v>36118</v>
      </c>
      <c r="B36123" s="11" t="str">
        <f>"201409005517"</f>
        <v>201409005517</v>
      </c>
    </row>
    <row r="36124" spans="1:2" x14ac:dyDescent="0.25">
      <c r="A36124" s="2">
        <v>36119</v>
      </c>
      <c r="B36124" s="11" t="str">
        <f>"201409005541"</f>
        <v>201409005541</v>
      </c>
    </row>
    <row r="36125" spans="1:2" x14ac:dyDescent="0.25">
      <c r="A36125" s="2">
        <v>36120</v>
      </c>
      <c r="B36125" s="11" t="str">
        <f>"201409005560"</f>
        <v>201409005560</v>
      </c>
    </row>
    <row r="36126" spans="1:2" x14ac:dyDescent="0.25">
      <c r="A36126" s="2">
        <v>36121</v>
      </c>
      <c r="B36126" s="11" t="str">
        <f>"201409005601"</f>
        <v>201409005601</v>
      </c>
    </row>
    <row r="36127" spans="1:2" x14ac:dyDescent="0.25">
      <c r="A36127" s="2">
        <v>36122</v>
      </c>
      <c r="B36127" s="11" t="str">
        <f>"201409005639"</f>
        <v>201409005639</v>
      </c>
    </row>
    <row r="36128" spans="1:2" x14ac:dyDescent="0.25">
      <c r="A36128" s="2">
        <v>36123</v>
      </c>
      <c r="B36128" s="11" t="str">
        <f>"201409005699"</f>
        <v>201409005699</v>
      </c>
    </row>
    <row r="36129" spans="1:2" x14ac:dyDescent="0.25">
      <c r="A36129" s="2">
        <v>36124</v>
      </c>
      <c r="B36129" s="11" t="str">
        <f>"201409005715"</f>
        <v>201409005715</v>
      </c>
    </row>
    <row r="36130" spans="1:2" x14ac:dyDescent="0.25">
      <c r="A36130" s="2">
        <v>36125</v>
      </c>
      <c r="B36130" s="11" t="str">
        <f>"201409005733"</f>
        <v>201409005733</v>
      </c>
    </row>
    <row r="36131" spans="1:2" x14ac:dyDescent="0.25">
      <c r="A36131" s="2">
        <v>36126</v>
      </c>
      <c r="B36131" s="11" t="str">
        <f>"201409005758"</f>
        <v>201409005758</v>
      </c>
    </row>
    <row r="36132" spans="1:2" x14ac:dyDescent="0.25">
      <c r="A36132" s="2">
        <v>36127</v>
      </c>
      <c r="B36132" s="11" t="str">
        <f>"201409005769"</f>
        <v>201409005769</v>
      </c>
    </row>
    <row r="36133" spans="1:2" x14ac:dyDescent="0.25">
      <c r="A36133" s="2">
        <v>36128</v>
      </c>
      <c r="B36133" s="11" t="str">
        <f>"201409005800"</f>
        <v>201409005800</v>
      </c>
    </row>
    <row r="36134" spans="1:2" x14ac:dyDescent="0.25">
      <c r="A36134" s="2">
        <v>36129</v>
      </c>
      <c r="B36134" s="11" t="str">
        <f>"201409005809"</f>
        <v>201409005809</v>
      </c>
    </row>
    <row r="36135" spans="1:2" x14ac:dyDescent="0.25">
      <c r="A36135" s="2">
        <v>36130</v>
      </c>
      <c r="B36135" s="11" t="str">
        <f>"201409005825"</f>
        <v>201409005825</v>
      </c>
    </row>
    <row r="36136" spans="1:2" x14ac:dyDescent="0.25">
      <c r="A36136" s="2">
        <v>36131</v>
      </c>
      <c r="B36136" s="11" t="str">
        <f>"201409005854"</f>
        <v>201409005854</v>
      </c>
    </row>
    <row r="36137" spans="1:2" x14ac:dyDescent="0.25">
      <c r="A36137" s="2">
        <v>36132</v>
      </c>
      <c r="B36137" s="11" t="str">
        <f>"201409005885"</f>
        <v>201409005885</v>
      </c>
    </row>
    <row r="36138" spans="1:2" x14ac:dyDescent="0.25">
      <c r="A36138" s="2">
        <v>36133</v>
      </c>
      <c r="B36138" s="11" t="str">
        <f>"201409005966"</f>
        <v>201409005966</v>
      </c>
    </row>
    <row r="36139" spans="1:2" x14ac:dyDescent="0.25">
      <c r="A36139" s="2">
        <v>36134</v>
      </c>
      <c r="B36139" s="11" t="str">
        <f>"201409006038"</f>
        <v>201409006038</v>
      </c>
    </row>
    <row r="36140" spans="1:2" x14ac:dyDescent="0.25">
      <c r="A36140" s="2">
        <v>36135</v>
      </c>
      <c r="B36140" s="11" t="str">
        <f>"201409006074"</f>
        <v>201409006074</v>
      </c>
    </row>
    <row r="36141" spans="1:2" x14ac:dyDescent="0.25">
      <c r="A36141" s="2">
        <v>36136</v>
      </c>
      <c r="B36141" s="11" t="str">
        <f>"201409006136"</f>
        <v>201409006136</v>
      </c>
    </row>
    <row r="36142" spans="1:2" x14ac:dyDescent="0.25">
      <c r="A36142" s="2">
        <v>36137</v>
      </c>
      <c r="B36142" s="11" t="str">
        <f>"201409006141"</f>
        <v>201409006141</v>
      </c>
    </row>
    <row r="36143" spans="1:2" x14ac:dyDescent="0.25">
      <c r="A36143" s="2">
        <v>36138</v>
      </c>
      <c r="B36143" s="11" t="str">
        <f>"201409006173"</f>
        <v>201409006173</v>
      </c>
    </row>
    <row r="36144" spans="1:2" x14ac:dyDescent="0.25">
      <c r="A36144" s="2">
        <v>36139</v>
      </c>
      <c r="B36144" s="11" t="str">
        <f>"201409006185"</f>
        <v>201409006185</v>
      </c>
    </row>
    <row r="36145" spans="1:2" x14ac:dyDescent="0.25">
      <c r="A36145" s="2">
        <v>36140</v>
      </c>
      <c r="B36145" s="11" t="str">
        <f>"201409006219"</f>
        <v>201409006219</v>
      </c>
    </row>
    <row r="36146" spans="1:2" x14ac:dyDescent="0.25">
      <c r="A36146" s="2">
        <v>36141</v>
      </c>
      <c r="B36146" s="11" t="str">
        <f>"201409006259"</f>
        <v>201409006259</v>
      </c>
    </row>
    <row r="36147" spans="1:2" x14ac:dyDescent="0.25">
      <c r="A36147" s="2">
        <v>36142</v>
      </c>
      <c r="B36147" s="11" t="str">
        <f>"201409006313"</f>
        <v>201409006313</v>
      </c>
    </row>
    <row r="36148" spans="1:2" x14ac:dyDescent="0.25">
      <c r="A36148" s="2">
        <v>36143</v>
      </c>
      <c r="B36148" s="11" t="str">
        <f>"201409006317"</f>
        <v>201409006317</v>
      </c>
    </row>
    <row r="36149" spans="1:2" x14ac:dyDescent="0.25">
      <c r="A36149" s="2">
        <v>36144</v>
      </c>
      <c r="B36149" s="11" t="str">
        <f>"201409006356"</f>
        <v>201409006356</v>
      </c>
    </row>
    <row r="36150" spans="1:2" x14ac:dyDescent="0.25">
      <c r="A36150" s="2">
        <v>36145</v>
      </c>
      <c r="B36150" s="11" t="str">
        <f>"201409006371"</f>
        <v>201409006371</v>
      </c>
    </row>
    <row r="36151" spans="1:2" x14ac:dyDescent="0.25">
      <c r="A36151" s="2">
        <v>36146</v>
      </c>
      <c r="B36151" s="11" t="str">
        <f>"201409006400"</f>
        <v>201409006400</v>
      </c>
    </row>
    <row r="36152" spans="1:2" x14ac:dyDescent="0.25">
      <c r="A36152" s="2">
        <v>36147</v>
      </c>
      <c r="B36152" s="11" t="str">
        <f>"201409006435"</f>
        <v>201409006435</v>
      </c>
    </row>
    <row r="36153" spans="1:2" x14ac:dyDescent="0.25">
      <c r="A36153" s="2">
        <v>36148</v>
      </c>
      <c r="B36153" s="11" t="str">
        <f>"201409006457"</f>
        <v>201409006457</v>
      </c>
    </row>
    <row r="36154" spans="1:2" x14ac:dyDescent="0.25">
      <c r="A36154" s="2">
        <v>36149</v>
      </c>
      <c r="B36154" s="11" t="str">
        <f>"201409006531"</f>
        <v>201409006531</v>
      </c>
    </row>
    <row r="36155" spans="1:2" x14ac:dyDescent="0.25">
      <c r="A36155" s="2">
        <v>36150</v>
      </c>
      <c r="B36155" s="11" t="str">
        <f>"201409006534"</f>
        <v>201409006534</v>
      </c>
    </row>
    <row r="36156" spans="1:2" x14ac:dyDescent="0.25">
      <c r="A36156" s="2">
        <v>36151</v>
      </c>
      <c r="B36156" s="11" t="str">
        <f>"201409006573"</f>
        <v>201409006573</v>
      </c>
    </row>
    <row r="36157" spans="1:2" x14ac:dyDescent="0.25">
      <c r="A36157" s="2">
        <v>36152</v>
      </c>
      <c r="B36157" s="11" t="str">
        <f>"201409006619"</f>
        <v>201409006619</v>
      </c>
    </row>
    <row r="36158" spans="1:2" x14ac:dyDescent="0.25">
      <c r="A36158" s="2">
        <v>36153</v>
      </c>
      <c r="B36158" s="11" t="str">
        <f>"201409006734"</f>
        <v>201409006734</v>
      </c>
    </row>
    <row r="36159" spans="1:2" x14ac:dyDescent="0.25">
      <c r="A36159" s="2">
        <v>36154</v>
      </c>
      <c r="B36159" s="11" t="str">
        <f>"201409006776"</f>
        <v>201409006776</v>
      </c>
    </row>
    <row r="36160" spans="1:2" x14ac:dyDescent="0.25">
      <c r="A36160" s="2">
        <v>36155</v>
      </c>
      <c r="B36160" s="11" t="str">
        <f>"201409006816"</f>
        <v>201409006816</v>
      </c>
    </row>
    <row r="36161" spans="1:2" x14ac:dyDescent="0.25">
      <c r="A36161" s="2">
        <v>36156</v>
      </c>
      <c r="B36161" s="11" t="str">
        <f>"201409006930"</f>
        <v>201409006930</v>
      </c>
    </row>
    <row r="36162" spans="1:2" x14ac:dyDescent="0.25">
      <c r="A36162" s="2">
        <v>36157</v>
      </c>
      <c r="B36162" s="11" t="str">
        <f>"201409007041"</f>
        <v>201409007041</v>
      </c>
    </row>
    <row r="36163" spans="1:2" x14ac:dyDescent="0.25">
      <c r="A36163" s="2">
        <v>36158</v>
      </c>
      <c r="B36163" s="11" t="str">
        <f>"201409007132"</f>
        <v>201409007132</v>
      </c>
    </row>
    <row r="36164" spans="1:2" x14ac:dyDescent="0.25">
      <c r="A36164" s="2">
        <v>36159</v>
      </c>
      <c r="B36164" s="11" t="str">
        <f>"201410000001"</f>
        <v>201410000001</v>
      </c>
    </row>
    <row r="36165" spans="1:2" x14ac:dyDescent="0.25">
      <c r="A36165" s="2">
        <v>36160</v>
      </c>
      <c r="B36165" s="11" t="str">
        <f>"201410000128"</f>
        <v>201410000128</v>
      </c>
    </row>
    <row r="36166" spans="1:2" x14ac:dyDescent="0.25">
      <c r="A36166" s="2">
        <v>36161</v>
      </c>
      <c r="B36166" s="11" t="str">
        <f>"201410000188"</f>
        <v>201410000188</v>
      </c>
    </row>
    <row r="36167" spans="1:2" x14ac:dyDescent="0.25">
      <c r="A36167" s="2">
        <v>36162</v>
      </c>
      <c r="B36167" s="11" t="str">
        <f>"201410000270"</f>
        <v>201410000270</v>
      </c>
    </row>
    <row r="36168" spans="1:2" x14ac:dyDescent="0.25">
      <c r="A36168" s="2">
        <v>36163</v>
      </c>
      <c r="B36168" s="11" t="str">
        <f>"201410000306"</f>
        <v>201410000306</v>
      </c>
    </row>
    <row r="36169" spans="1:2" x14ac:dyDescent="0.25">
      <c r="A36169" s="2">
        <v>36164</v>
      </c>
      <c r="B36169" s="11" t="str">
        <f>"201410000370"</f>
        <v>201410000370</v>
      </c>
    </row>
    <row r="36170" spans="1:2" x14ac:dyDescent="0.25">
      <c r="A36170" s="2">
        <v>36165</v>
      </c>
      <c r="B36170" s="11" t="str">
        <f>"201410000404"</f>
        <v>201410000404</v>
      </c>
    </row>
    <row r="36171" spans="1:2" x14ac:dyDescent="0.25">
      <c r="A36171" s="2">
        <v>36166</v>
      </c>
      <c r="B36171" s="11" t="str">
        <f>"201410000422"</f>
        <v>201410000422</v>
      </c>
    </row>
    <row r="36172" spans="1:2" x14ac:dyDescent="0.25">
      <c r="A36172" s="2">
        <v>36167</v>
      </c>
      <c r="B36172" s="11" t="str">
        <f>"201410000569"</f>
        <v>201410000569</v>
      </c>
    </row>
    <row r="36173" spans="1:2" x14ac:dyDescent="0.25">
      <c r="A36173" s="2">
        <v>36168</v>
      </c>
      <c r="B36173" s="11" t="str">
        <f>"201410000629"</f>
        <v>201410000629</v>
      </c>
    </row>
    <row r="36174" spans="1:2" x14ac:dyDescent="0.25">
      <c r="A36174" s="2">
        <v>36169</v>
      </c>
      <c r="B36174" s="11" t="str">
        <f>"201410000701"</f>
        <v>201410000701</v>
      </c>
    </row>
    <row r="36175" spans="1:2" x14ac:dyDescent="0.25">
      <c r="A36175" s="2">
        <v>36170</v>
      </c>
      <c r="B36175" s="11" t="str">
        <f>"201410000758"</f>
        <v>201410000758</v>
      </c>
    </row>
    <row r="36176" spans="1:2" x14ac:dyDescent="0.25">
      <c r="A36176" s="2">
        <v>36171</v>
      </c>
      <c r="B36176" s="11" t="str">
        <f>"201410000793"</f>
        <v>201410000793</v>
      </c>
    </row>
    <row r="36177" spans="1:2" x14ac:dyDescent="0.25">
      <c r="A36177" s="2">
        <v>36172</v>
      </c>
      <c r="B36177" s="11" t="str">
        <f>"201410000802"</f>
        <v>201410000802</v>
      </c>
    </row>
    <row r="36178" spans="1:2" x14ac:dyDescent="0.25">
      <c r="A36178" s="2">
        <v>36173</v>
      </c>
      <c r="B36178" s="11" t="str">
        <f>"201410000804"</f>
        <v>201410000804</v>
      </c>
    </row>
    <row r="36179" spans="1:2" x14ac:dyDescent="0.25">
      <c r="A36179" s="2">
        <v>36174</v>
      </c>
      <c r="B36179" s="11" t="str">
        <f>"201410000851"</f>
        <v>201410000851</v>
      </c>
    </row>
    <row r="36180" spans="1:2" x14ac:dyDescent="0.25">
      <c r="A36180" s="2">
        <v>36175</v>
      </c>
      <c r="B36180" s="11" t="str">
        <f>"201410000896"</f>
        <v>201410000896</v>
      </c>
    </row>
    <row r="36181" spans="1:2" x14ac:dyDescent="0.25">
      <c r="A36181" s="2">
        <v>36176</v>
      </c>
      <c r="B36181" s="11" t="str">
        <f>"201410000946"</f>
        <v>201410000946</v>
      </c>
    </row>
    <row r="36182" spans="1:2" x14ac:dyDescent="0.25">
      <c r="A36182" s="2">
        <v>36177</v>
      </c>
      <c r="B36182" s="11" t="str">
        <f>"201410000957"</f>
        <v>201410000957</v>
      </c>
    </row>
    <row r="36183" spans="1:2" x14ac:dyDescent="0.25">
      <c r="A36183" s="2">
        <v>36178</v>
      </c>
      <c r="B36183" s="11" t="str">
        <f>"201410000960"</f>
        <v>201410000960</v>
      </c>
    </row>
    <row r="36184" spans="1:2" x14ac:dyDescent="0.25">
      <c r="A36184" s="2">
        <v>36179</v>
      </c>
      <c r="B36184" s="11" t="str">
        <f>"201410000968"</f>
        <v>201410000968</v>
      </c>
    </row>
    <row r="36185" spans="1:2" x14ac:dyDescent="0.25">
      <c r="A36185" s="2">
        <v>36180</v>
      </c>
      <c r="B36185" s="11" t="str">
        <f>"201410000973"</f>
        <v>201410000973</v>
      </c>
    </row>
    <row r="36186" spans="1:2" x14ac:dyDescent="0.25">
      <c r="A36186" s="2">
        <v>36181</v>
      </c>
      <c r="B36186" s="11" t="str">
        <f>"201410001135"</f>
        <v>201410001135</v>
      </c>
    </row>
    <row r="36187" spans="1:2" x14ac:dyDescent="0.25">
      <c r="A36187" s="2">
        <v>36182</v>
      </c>
      <c r="B36187" s="11" t="str">
        <f>"201410001213"</f>
        <v>201410001213</v>
      </c>
    </row>
    <row r="36188" spans="1:2" x14ac:dyDescent="0.25">
      <c r="A36188" s="2">
        <v>36183</v>
      </c>
      <c r="B36188" s="11" t="str">
        <f>"201410001216"</f>
        <v>201410001216</v>
      </c>
    </row>
    <row r="36189" spans="1:2" x14ac:dyDescent="0.25">
      <c r="A36189" s="2">
        <v>36184</v>
      </c>
      <c r="B36189" s="11" t="str">
        <f>"201410001271"</f>
        <v>201410001271</v>
      </c>
    </row>
    <row r="36190" spans="1:2" x14ac:dyDescent="0.25">
      <c r="A36190" s="2">
        <v>36185</v>
      </c>
      <c r="B36190" s="11" t="str">
        <f>"201410001319"</f>
        <v>201410001319</v>
      </c>
    </row>
    <row r="36191" spans="1:2" x14ac:dyDescent="0.25">
      <c r="A36191" s="2">
        <v>36186</v>
      </c>
      <c r="B36191" s="11" t="str">
        <f>"201410001348"</f>
        <v>201410001348</v>
      </c>
    </row>
    <row r="36192" spans="1:2" x14ac:dyDescent="0.25">
      <c r="A36192" s="2">
        <v>36187</v>
      </c>
      <c r="B36192" s="11" t="str">
        <f>"201410001371"</f>
        <v>201410001371</v>
      </c>
    </row>
    <row r="36193" spans="1:2" x14ac:dyDescent="0.25">
      <c r="A36193" s="2">
        <v>36188</v>
      </c>
      <c r="B36193" s="11" t="str">
        <f>"201410001388"</f>
        <v>201410001388</v>
      </c>
    </row>
    <row r="36194" spans="1:2" x14ac:dyDescent="0.25">
      <c r="A36194" s="2">
        <v>36189</v>
      </c>
      <c r="B36194" s="11" t="str">
        <f>"201410001435"</f>
        <v>201410001435</v>
      </c>
    </row>
    <row r="36195" spans="1:2" x14ac:dyDescent="0.25">
      <c r="A36195" s="2">
        <v>36190</v>
      </c>
      <c r="B36195" s="11" t="str">
        <f>"201410001482"</f>
        <v>201410001482</v>
      </c>
    </row>
    <row r="36196" spans="1:2" x14ac:dyDescent="0.25">
      <c r="A36196" s="2">
        <v>36191</v>
      </c>
      <c r="B36196" s="11" t="str">
        <f>"201410001557"</f>
        <v>201410001557</v>
      </c>
    </row>
    <row r="36197" spans="1:2" x14ac:dyDescent="0.25">
      <c r="A36197" s="2">
        <v>36192</v>
      </c>
      <c r="B36197" s="11" t="str">
        <f>"201410001629"</f>
        <v>201410001629</v>
      </c>
    </row>
    <row r="36198" spans="1:2" x14ac:dyDescent="0.25">
      <c r="A36198" s="2">
        <v>36193</v>
      </c>
      <c r="B36198" s="11" t="str">
        <f>"201410001650"</f>
        <v>201410001650</v>
      </c>
    </row>
    <row r="36199" spans="1:2" x14ac:dyDescent="0.25">
      <c r="A36199" s="2">
        <v>36194</v>
      </c>
      <c r="B36199" s="11" t="str">
        <f>"201410001715"</f>
        <v>201410001715</v>
      </c>
    </row>
    <row r="36200" spans="1:2" x14ac:dyDescent="0.25">
      <c r="A36200" s="2">
        <v>36195</v>
      </c>
      <c r="B36200" s="11" t="str">
        <f>"201410001811"</f>
        <v>201410001811</v>
      </c>
    </row>
    <row r="36201" spans="1:2" x14ac:dyDescent="0.25">
      <c r="A36201" s="2">
        <v>36196</v>
      </c>
      <c r="B36201" s="11" t="str">
        <f>"201410001827"</f>
        <v>201410001827</v>
      </c>
    </row>
    <row r="36202" spans="1:2" x14ac:dyDescent="0.25">
      <c r="A36202" s="2">
        <v>36197</v>
      </c>
      <c r="B36202" s="11" t="str">
        <f>"201410001900"</f>
        <v>201410001900</v>
      </c>
    </row>
    <row r="36203" spans="1:2" x14ac:dyDescent="0.25">
      <c r="A36203" s="2">
        <v>36198</v>
      </c>
      <c r="B36203" s="11" t="str">
        <f>"201410001911"</f>
        <v>201410001911</v>
      </c>
    </row>
    <row r="36204" spans="1:2" x14ac:dyDescent="0.25">
      <c r="A36204" s="2">
        <v>36199</v>
      </c>
      <c r="B36204" s="11" t="str">
        <f>"201410001912"</f>
        <v>201410001912</v>
      </c>
    </row>
    <row r="36205" spans="1:2" x14ac:dyDescent="0.25">
      <c r="A36205" s="2">
        <v>36200</v>
      </c>
      <c r="B36205" s="11" t="str">
        <f>"201410001924"</f>
        <v>201410001924</v>
      </c>
    </row>
    <row r="36206" spans="1:2" x14ac:dyDescent="0.25">
      <c r="A36206" s="2">
        <v>36201</v>
      </c>
      <c r="B36206" s="11" t="str">
        <f>"201410001971"</f>
        <v>201410001971</v>
      </c>
    </row>
    <row r="36207" spans="1:2" x14ac:dyDescent="0.25">
      <c r="A36207" s="2">
        <v>36202</v>
      </c>
      <c r="B36207" s="11" t="str">
        <f>"201410002019"</f>
        <v>201410002019</v>
      </c>
    </row>
    <row r="36208" spans="1:2" x14ac:dyDescent="0.25">
      <c r="A36208" s="2">
        <v>36203</v>
      </c>
      <c r="B36208" s="11" t="str">
        <f>"201410002042"</f>
        <v>201410002042</v>
      </c>
    </row>
    <row r="36209" spans="1:2" x14ac:dyDescent="0.25">
      <c r="A36209" s="2">
        <v>36204</v>
      </c>
      <c r="B36209" s="11" t="str">
        <f>"201410002051"</f>
        <v>201410002051</v>
      </c>
    </row>
    <row r="36210" spans="1:2" x14ac:dyDescent="0.25">
      <c r="A36210" s="2">
        <v>36205</v>
      </c>
      <c r="B36210" s="11" t="str">
        <f>"201410002132"</f>
        <v>201410002132</v>
      </c>
    </row>
    <row r="36211" spans="1:2" x14ac:dyDescent="0.25">
      <c r="A36211" s="2">
        <v>36206</v>
      </c>
      <c r="B36211" s="11" t="str">
        <f>"201410002173"</f>
        <v>201410002173</v>
      </c>
    </row>
    <row r="36212" spans="1:2" x14ac:dyDescent="0.25">
      <c r="A36212" s="2">
        <v>36207</v>
      </c>
      <c r="B36212" s="11" t="str">
        <f>"201410002183"</f>
        <v>201410002183</v>
      </c>
    </row>
    <row r="36213" spans="1:2" x14ac:dyDescent="0.25">
      <c r="A36213" s="2">
        <v>36208</v>
      </c>
      <c r="B36213" s="11" t="str">
        <f>"201410002200"</f>
        <v>201410002200</v>
      </c>
    </row>
    <row r="36214" spans="1:2" x14ac:dyDescent="0.25">
      <c r="A36214" s="2">
        <v>36209</v>
      </c>
      <c r="B36214" s="11" t="str">
        <f>"201410002227"</f>
        <v>201410002227</v>
      </c>
    </row>
    <row r="36215" spans="1:2" x14ac:dyDescent="0.25">
      <c r="A36215" s="2">
        <v>36210</v>
      </c>
      <c r="B36215" s="11" t="str">
        <f>"201410002294"</f>
        <v>201410002294</v>
      </c>
    </row>
    <row r="36216" spans="1:2" x14ac:dyDescent="0.25">
      <c r="A36216" s="2">
        <v>36211</v>
      </c>
      <c r="B36216" s="11" t="str">
        <f>"201410002323"</f>
        <v>201410002323</v>
      </c>
    </row>
    <row r="36217" spans="1:2" x14ac:dyDescent="0.25">
      <c r="A36217" s="2">
        <v>36212</v>
      </c>
      <c r="B36217" s="11" t="str">
        <f>"201410002330"</f>
        <v>201410002330</v>
      </c>
    </row>
    <row r="36218" spans="1:2" x14ac:dyDescent="0.25">
      <c r="A36218" s="2">
        <v>36213</v>
      </c>
      <c r="B36218" s="11" t="str">
        <f>"201410002336"</f>
        <v>201410002336</v>
      </c>
    </row>
    <row r="36219" spans="1:2" x14ac:dyDescent="0.25">
      <c r="A36219" s="2">
        <v>36214</v>
      </c>
      <c r="B36219" s="11" t="str">
        <f>"201410002347"</f>
        <v>201410002347</v>
      </c>
    </row>
    <row r="36220" spans="1:2" x14ac:dyDescent="0.25">
      <c r="A36220" s="2">
        <v>36215</v>
      </c>
      <c r="B36220" s="11" t="str">
        <f>"201410002382"</f>
        <v>201410002382</v>
      </c>
    </row>
    <row r="36221" spans="1:2" x14ac:dyDescent="0.25">
      <c r="A36221" s="2">
        <v>36216</v>
      </c>
      <c r="B36221" s="11" t="str">
        <f>"201410002482"</f>
        <v>201410002482</v>
      </c>
    </row>
    <row r="36222" spans="1:2" x14ac:dyDescent="0.25">
      <c r="A36222" s="2">
        <v>36217</v>
      </c>
      <c r="B36222" s="11" t="str">
        <f>"201410002525"</f>
        <v>201410002525</v>
      </c>
    </row>
    <row r="36223" spans="1:2" x14ac:dyDescent="0.25">
      <c r="A36223" s="2">
        <v>36218</v>
      </c>
      <c r="B36223" s="11" t="str">
        <f>"201410002639"</f>
        <v>201410002639</v>
      </c>
    </row>
    <row r="36224" spans="1:2" x14ac:dyDescent="0.25">
      <c r="A36224" s="2">
        <v>36219</v>
      </c>
      <c r="B36224" s="11" t="str">
        <f>"201410002717"</f>
        <v>201410002717</v>
      </c>
    </row>
    <row r="36225" spans="1:2" x14ac:dyDescent="0.25">
      <c r="A36225" s="2">
        <v>36220</v>
      </c>
      <c r="B36225" s="11" t="str">
        <f>"201410002724"</f>
        <v>201410002724</v>
      </c>
    </row>
    <row r="36226" spans="1:2" x14ac:dyDescent="0.25">
      <c r="A36226" s="2">
        <v>36221</v>
      </c>
      <c r="B36226" s="11" t="str">
        <f>"201410002791"</f>
        <v>201410002791</v>
      </c>
    </row>
    <row r="36227" spans="1:2" x14ac:dyDescent="0.25">
      <c r="A36227" s="2">
        <v>36222</v>
      </c>
      <c r="B36227" s="11" t="str">
        <f>"201410002793"</f>
        <v>201410002793</v>
      </c>
    </row>
    <row r="36228" spans="1:2" x14ac:dyDescent="0.25">
      <c r="A36228" s="2">
        <v>36223</v>
      </c>
      <c r="B36228" s="11" t="str">
        <f>"201410002821"</f>
        <v>201410002821</v>
      </c>
    </row>
    <row r="36229" spans="1:2" x14ac:dyDescent="0.25">
      <c r="A36229" s="2">
        <v>36224</v>
      </c>
      <c r="B36229" s="11" t="str">
        <f>"201410002899"</f>
        <v>201410002899</v>
      </c>
    </row>
    <row r="36230" spans="1:2" x14ac:dyDescent="0.25">
      <c r="A36230" s="2">
        <v>36225</v>
      </c>
      <c r="B36230" s="11" t="str">
        <f>"201410002940"</f>
        <v>201410002940</v>
      </c>
    </row>
    <row r="36231" spans="1:2" x14ac:dyDescent="0.25">
      <c r="A36231" s="2">
        <v>36226</v>
      </c>
      <c r="B36231" s="11" t="str">
        <f>"201410003028"</f>
        <v>201410003028</v>
      </c>
    </row>
    <row r="36232" spans="1:2" x14ac:dyDescent="0.25">
      <c r="A36232" s="2">
        <v>36227</v>
      </c>
      <c r="B36232" s="11" t="str">
        <f>"201410003034"</f>
        <v>201410003034</v>
      </c>
    </row>
    <row r="36233" spans="1:2" x14ac:dyDescent="0.25">
      <c r="A36233" s="2">
        <v>36228</v>
      </c>
      <c r="B36233" s="11" t="str">
        <f>"201410003057"</f>
        <v>201410003057</v>
      </c>
    </row>
    <row r="36234" spans="1:2" x14ac:dyDescent="0.25">
      <c r="A36234" s="2">
        <v>36229</v>
      </c>
      <c r="B36234" s="11" t="str">
        <f>"201410003169"</f>
        <v>201410003169</v>
      </c>
    </row>
    <row r="36235" spans="1:2" x14ac:dyDescent="0.25">
      <c r="A36235" s="2">
        <v>36230</v>
      </c>
      <c r="B36235" s="11" t="str">
        <f>"201410003187"</f>
        <v>201410003187</v>
      </c>
    </row>
    <row r="36236" spans="1:2" x14ac:dyDescent="0.25">
      <c r="A36236" s="2">
        <v>36231</v>
      </c>
      <c r="B36236" s="11" t="str">
        <f>"201410003716"</f>
        <v>201410003716</v>
      </c>
    </row>
    <row r="36237" spans="1:2" x14ac:dyDescent="0.25">
      <c r="A36237" s="2">
        <v>36232</v>
      </c>
      <c r="B36237" s="11" t="str">
        <f>"201410003825"</f>
        <v>201410003825</v>
      </c>
    </row>
    <row r="36238" spans="1:2" x14ac:dyDescent="0.25">
      <c r="A36238" s="2">
        <v>36233</v>
      </c>
      <c r="B36238" s="11" t="str">
        <f>"201410003847"</f>
        <v>201410003847</v>
      </c>
    </row>
    <row r="36239" spans="1:2" x14ac:dyDescent="0.25">
      <c r="A36239" s="2">
        <v>36234</v>
      </c>
      <c r="B36239" s="11" t="str">
        <f>"201410003930"</f>
        <v>201410003930</v>
      </c>
    </row>
    <row r="36240" spans="1:2" x14ac:dyDescent="0.25">
      <c r="A36240" s="2">
        <v>36235</v>
      </c>
      <c r="B36240" s="11" t="str">
        <f>"201410003935"</f>
        <v>201410003935</v>
      </c>
    </row>
    <row r="36241" spans="1:2" x14ac:dyDescent="0.25">
      <c r="A36241" s="2">
        <v>36236</v>
      </c>
      <c r="B36241" s="11" t="str">
        <f>"201410004000"</f>
        <v>201410004000</v>
      </c>
    </row>
    <row r="36242" spans="1:2" x14ac:dyDescent="0.25">
      <c r="A36242" s="2">
        <v>36237</v>
      </c>
      <c r="B36242" s="11" t="str">
        <f>"201410004019"</f>
        <v>201410004019</v>
      </c>
    </row>
    <row r="36243" spans="1:2" x14ac:dyDescent="0.25">
      <c r="A36243" s="2">
        <v>36238</v>
      </c>
      <c r="B36243" s="11" t="str">
        <f>"201410004046"</f>
        <v>201410004046</v>
      </c>
    </row>
    <row r="36244" spans="1:2" x14ac:dyDescent="0.25">
      <c r="A36244" s="2">
        <v>36239</v>
      </c>
      <c r="B36244" s="11" t="str">
        <f>"201410004074"</f>
        <v>201410004074</v>
      </c>
    </row>
    <row r="36245" spans="1:2" x14ac:dyDescent="0.25">
      <c r="A36245" s="2">
        <v>36240</v>
      </c>
      <c r="B36245" s="11" t="str">
        <f>"201410004078"</f>
        <v>201410004078</v>
      </c>
    </row>
    <row r="36246" spans="1:2" x14ac:dyDescent="0.25">
      <c r="A36246" s="2">
        <v>36241</v>
      </c>
      <c r="B36246" s="11" t="str">
        <f>"201410004147"</f>
        <v>201410004147</v>
      </c>
    </row>
    <row r="36247" spans="1:2" x14ac:dyDescent="0.25">
      <c r="A36247" s="2">
        <v>36242</v>
      </c>
      <c r="B36247" s="11" t="str">
        <f>"201410004155"</f>
        <v>201410004155</v>
      </c>
    </row>
    <row r="36248" spans="1:2" x14ac:dyDescent="0.25">
      <c r="A36248" s="2">
        <v>36243</v>
      </c>
      <c r="B36248" s="11" t="str">
        <f>"201410004190"</f>
        <v>201410004190</v>
      </c>
    </row>
    <row r="36249" spans="1:2" x14ac:dyDescent="0.25">
      <c r="A36249" s="2">
        <v>36244</v>
      </c>
      <c r="B36249" s="11" t="str">
        <f>"201410004316"</f>
        <v>201410004316</v>
      </c>
    </row>
    <row r="36250" spans="1:2" x14ac:dyDescent="0.25">
      <c r="A36250" s="2">
        <v>36245</v>
      </c>
      <c r="B36250" s="11" t="str">
        <f>"201410004323"</f>
        <v>201410004323</v>
      </c>
    </row>
    <row r="36251" spans="1:2" x14ac:dyDescent="0.25">
      <c r="A36251" s="2">
        <v>36246</v>
      </c>
      <c r="B36251" s="11" t="str">
        <f>"201410004415"</f>
        <v>201410004415</v>
      </c>
    </row>
    <row r="36252" spans="1:2" x14ac:dyDescent="0.25">
      <c r="A36252" s="2">
        <v>36247</v>
      </c>
      <c r="B36252" s="11" t="str">
        <f>"201410004425"</f>
        <v>201410004425</v>
      </c>
    </row>
    <row r="36253" spans="1:2" x14ac:dyDescent="0.25">
      <c r="A36253" s="2">
        <v>36248</v>
      </c>
      <c r="B36253" s="11" t="str">
        <f>"201410004452"</f>
        <v>201410004452</v>
      </c>
    </row>
    <row r="36254" spans="1:2" x14ac:dyDescent="0.25">
      <c r="A36254" s="2">
        <v>36249</v>
      </c>
      <c r="B36254" s="11" t="str">
        <f>"201410004510"</f>
        <v>201410004510</v>
      </c>
    </row>
    <row r="36255" spans="1:2" x14ac:dyDescent="0.25">
      <c r="A36255" s="2">
        <v>36250</v>
      </c>
      <c r="B36255" s="11" t="str">
        <f>"201410004552"</f>
        <v>201410004552</v>
      </c>
    </row>
    <row r="36256" spans="1:2" x14ac:dyDescent="0.25">
      <c r="A36256" s="2">
        <v>36251</v>
      </c>
      <c r="B36256" s="11" t="str">
        <f>"201410004563"</f>
        <v>201410004563</v>
      </c>
    </row>
    <row r="36257" spans="1:2" x14ac:dyDescent="0.25">
      <c r="A36257" s="2">
        <v>36252</v>
      </c>
      <c r="B36257" s="11" t="str">
        <f>"201410004736"</f>
        <v>201410004736</v>
      </c>
    </row>
    <row r="36258" spans="1:2" x14ac:dyDescent="0.25">
      <c r="A36258" s="2">
        <v>36253</v>
      </c>
      <c r="B36258" s="11" t="str">
        <f>"201410004772"</f>
        <v>201410004772</v>
      </c>
    </row>
    <row r="36259" spans="1:2" x14ac:dyDescent="0.25">
      <c r="A36259" s="2">
        <v>36254</v>
      </c>
      <c r="B36259" s="11" t="str">
        <f>"201410005311"</f>
        <v>201410005311</v>
      </c>
    </row>
    <row r="36260" spans="1:2" x14ac:dyDescent="0.25">
      <c r="A36260" s="2">
        <v>36255</v>
      </c>
      <c r="B36260" s="11" t="str">
        <f>"201410005578"</f>
        <v>201410005578</v>
      </c>
    </row>
    <row r="36261" spans="1:2" x14ac:dyDescent="0.25">
      <c r="A36261" s="2">
        <v>36256</v>
      </c>
      <c r="B36261" s="11" t="str">
        <f>"201410005886"</f>
        <v>201410005886</v>
      </c>
    </row>
    <row r="36262" spans="1:2" x14ac:dyDescent="0.25">
      <c r="A36262" s="2">
        <v>36257</v>
      </c>
      <c r="B36262" s="11" t="str">
        <f>"201410006193"</f>
        <v>201410006193</v>
      </c>
    </row>
    <row r="36263" spans="1:2" x14ac:dyDescent="0.25">
      <c r="A36263" s="2">
        <v>36258</v>
      </c>
      <c r="B36263" s="11" t="str">
        <f>"201410006423"</f>
        <v>201410006423</v>
      </c>
    </row>
    <row r="36264" spans="1:2" x14ac:dyDescent="0.25">
      <c r="A36264" s="2">
        <v>36259</v>
      </c>
      <c r="B36264" s="11" t="str">
        <f>"201410006501"</f>
        <v>201410006501</v>
      </c>
    </row>
    <row r="36265" spans="1:2" x14ac:dyDescent="0.25">
      <c r="A36265" s="2">
        <v>36260</v>
      </c>
      <c r="B36265" s="11" t="str">
        <f>"201410006507"</f>
        <v>201410006507</v>
      </c>
    </row>
    <row r="36266" spans="1:2" x14ac:dyDescent="0.25">
      <c r="A36266" s="2">
        <v>36261</v>
      </c>
      <c r="B36266" s="11" t="str">
        <f>"201410006546"</f>
        <v>201410006546</v>
      </c>
    </row>
    <row r="36267" spans="1:2" x14ac:dyDescent="0.25">
      <c r="A36267" s="2">
        <v>36262</v>
      </c>
      <c r="B36267" s="11" t="str">
        <f>"201410006575"</f>
        <v>201410006575</v>
      </c>
    </row>
    <row r="36268" spans="1:2" x14ac:dyDescent="0.25">
      <c r="A36268" s="2">
        <v>36263</v>
      </c>
      <c r="B36268" s="11" t="str">
        <f>"201410006632"</f>
        <v>201410006632</v>
      </c>
    </row>
    <row r="36269" spans="1:2" x14ac:dyDescent="0.25">
      <c r="A36269" s="2">
        <v>36264</v>
      </c>
      <c r="B36269" s="11" t="str">
        <f>"201410006801"</f>
        <v>201410006801</v>
      </c>
    </row>
    <row r="36270" spans="1:2" x14ac:dyDescent="0.25">
      <c r="A36270" s="2">
        <v>36265</v>
      </c>
      <c r="B36270" s="11" t="str">
        <f>"201410006817"</f>
        <v>201410006817</v>
      </c>
    </row>
    <row r="36271" spans="1:2" x14ac:dyDescent="0.25">
      <c r="A36271" s="2">
        <v>36266</v>
      </c>
      <c r="B36271" s="11" t="str">
        <f>"201410006818"</f>
        <v>201410006818</v>
      </c>
    </row>
    <row r="36272" spans="1:2" x14ac:dyDescent="0.25">
      <c r="A36272" s="2">
        <v>36267</v>
      </c>
      <c r="B36272" s="11" t="str">
        <f>"201410006822"</f>
        <v>201410006822</v>
      </c>
    </row>
    <row r="36273" spans="1:2" x14ac:dyDescent="0.25">
      <c r="A36273" s="2">
        <v>36268</v>
      </c>
      <c r="B36273" s="11" t="str">
        <f>"201410006921"</f>
        <v>201410006921</v>
      </c>
    </row>
    <row r="36274" spans="1:2" x14ac:dyDescent="0.25">
      <c r="A36274" s="2">
        <v>36269</v>
      </c>
      <c r="B36274" s="11" t="str">
        <f>"201410007035"</f>
        <v>201410007035</v>
      </c>
    </row>
    <row r="36275" spans="1:2" x14ac:dyDescent="0.25">
      <c r="A36275" s="2">
        <v>36270</v>
      </c>
      <c r="B36275" s="11" t="str">
        <f>"201410007087"</f>
        <v>201410007087</v>
      </c>
    </row>
    <row r="36276" spans="1:2" x14ac:dyDescent="0.25">
      <c r="A36276" s="2">
        <v>36271</v>
      </c>
      <c r="B36276" s="11" t="str">
        <f>"201410007157"</f>
        <v>201410007157</v>
      </c>
    </row>
    <row r="36277" spans="1:2" x14ac:dyDescent="0.25">
      <c r="A36277" s="2">
        <v>36272</v>
      </c>
      <c r="B36277" s="11" t="str">
        <f>"201410007219"</f>
        <v>201410007219</v>
      </c>
    </row>
    <row r="36278" spans="1:2" x14ac:dyDescent="0.25">
      <c r="A36278" s="2">
        <v>36273</v>
      </c>
      <c r="B36278" s="11" t="str">
        <f>"201410007296"</f>
        <v>201410007296</v>
      </c>
    </row>
    <row r="36279" spans="1:2" x14ac:dyDescent="0.25">
      <c r="A36279" s="2">
        <v>36274</v>
      </c>
      <c r="B36279" s="11" t="str">
        <f>"201410007379"</f>
        <v>201410007379</v>
      </c>
    </row>
    <row r="36280" spans="1:2" x14ac:dyDescent="0.25">
      <c r="A36280" s="2">
        <v>36275</v>
      </c>
      <c r="B36280" s="11" t="str">
        <f>"201410007427"</f>
        <v>201410007427</v>
      </c>
    </row>
    <row r="36281" spans="1:2" x14ac:dyDescent="0.25">
      <c r="A36281" s="2">
        <v>36276</v>
      </c>
      <c r="B36281" s="11" t="str">
        <f>"201410007444"</f>
        <v>201410007444</v>
      </c>
    </row>
    <row r="36282" spans="1:2" x14ac:dyDescent="0.25">
      <c r="A36282" s="2">
        <v>36277</v>
      </c>
      <c r="B36282" s="11" t="str">
        <f>"201410007471"</f>
        <v>201410007471</v>
      </c>
    </row>
    <row r="36283" spans="1:2" x14ac:dyDescent="0.25">
      <c r="A36283" s="2">
        <v>36278</v>
      </c>
      <c r="B36283" s="11" t="str">
        <f>"201410007477"</f>
        <v>201410007477</v>
      </c>
    </row>
    <row r="36284" spans="1:2" x14ac:dyDescent="0.25">
      <c r="A36284" s="2">
        <v>36279</v>
      </c>
      <c r="B36284" s="11" t="str">
        <f>"201410007579"</f>
        <v>201410007579</v>
      </c>
    </row>
    <row r="36285" spans="1:2" x14ac:dyDescent="0.25">
      <c r="A36285" s="2">
        <v>36280</v>
      </c>
      <c r="B36285" s="11" t="str">
        <f>"201410007624"</f>
        <v>201410007624</v>
      </c>
    </row>
    <row r="36286" spans="1:2" x14ac:dyDescent="0.25">
      <c r="A36286" s="2">
        <v>36281</v>
      </c>
      <c r="B36286" s="11" t="str">
        <f>"201410007625"</f>
        <v>201410007625</v>
      </c>
    </row>
    <row r="36287" spans="1:2" x14ac:dyDescent="0.25">
      <c r="A36287" s="2">
        <v>36282</v>
      </c>
      <c r="B36287" s="11" t="str">
        <f>"201410007776"</f>
        <v>201410007776</v>
      </c>
    </row>
    <row r="36288" spans="1:2" x14ac:dyDescent="0.25">
      <c r="A36288" s="2">
        <v>36283</v>
      </c>
      <c r="B36288" s="11" t="str">
        <f>"201410007810"</f>
        <v>201410007810</v>
      </c>
    </row>
    <row r="36289" spans="1:2" x14ac:dyDescent="0.25">
      <c r="A36289" s="2">
        <v>36284</v>
      </c>
      <c r="B36289" s="11" t="str">
        <f>"201410007857"</f>
        <v>201410007857</v>
      </c>
    </row>
    <row r="36290" spans="1:2" x14ac:dyDescent="0.25">
      <c r="A36290" s="2">
        <v>36285</v>
      </c>
      <c r="B36290" s="11" t="str">
        <f>"201410007891"</f>
        <v>201410007891</v>
      </c>
    </row>
    <row r="36291" spans="1:2" x14ac:dyDescent="0.25">
      <c r="A36291" s="2">
        <v>36286</v>
      </c>
      <c r="B36291" s="11" t="str">
        <f>"201410007918"</f>
        <v>201410007918</v>
      </c>
    </row>
    <row r="36292" spans="1:2" x14ac:dyDescent="0.25">
      <c r="A36292" s="2">
        <v>36287</v>
      </c>
      <c r="B36292" s="11" t="str">
        <f>"201410007999"</f>
        <v>201410007999</v>
      </c>
    </row>
    <row r="36293" spans="1:2" x14ac:dyDescent="0.25">
      <c r="A36293" s="2">
        <v>36288</v>
      </c>
      <c r="B36293" s="11" t="str">
        <f>"201410008194"</f>
        <v>201410008194</v>
      </c>
    </row>
    <row r="36294" spans="1:2" x14ac:dyDescent="0.25">
      <c r="A36294" s="2">
        <v>36289</v>
      </c>
      <c r="B36294" s="11" t="str">
        <f>"201410008226"</f>
        <v>201410008226</v>
      </c>
    </row>
    <row r="36295" spans="1:2" x14ac:dyDescent="0.25">
      <c r="A36295" s="2">
        <v>36290</v>
      </c>
      <c r="B36295" s="11" t="str">
        <f>"201410008296"</f>
        <v>201410008296</v>
      </c>
    </row>
    <row r="36296" spans="1:2" x14ac:dyDescent="0.25">
      <c r="A36296" s="2">
        <v>36291</v>
      </c>
      <c r="B36296" s="11" t="str">
        <f>"201410008409"</f>
        <v>201410008409</v>
      </c>
    </row>
    <row r="36297" spans="1:2" x14ac:dyDescent="0.25">
      <c r="A36297" s="2">
        <v>36292</v>
      </c>
      <c r="B36297" s="11" t="str">
        <f>"201410008410"</f>
        <v>201410008410</v>
      </c>
    </row>
    <row r="36298" spans="1:2" x14ac:dyDescent="0.25">
      <c r="A36298" s="2">
        <v>36293</v>
      </c>
      <c r="B36298" s="11" t="str">
        <f>"201410008500"</f>
        <v>201410008500</v>
      </c>
    </row>
    <row r="36299" spans="1:2" x14ac:dyDescent="0.25">
      <c r="A36299" s="2">
        <v>36294</v>
      </c>
      <c r="B36299" s="11" t="str">
        <f>"201410008553"</f>
        <v>201410008553</v>
      </c>
    </row>
    <row r="36300" spans="1:2" x14ac:dyDescent="0.25">
      <c r="A36300" s="2">
        <v>36295</v>
      </c>
      <c r="B36300" s="11" t="str">
        <f>"201410008702"</f>
        <v>201410008702</v>
      </c>
    </row>
    <row r="36301" spans="1:2" x14ac:dyDescent="0.25">
      <c r="A36301" s="2">
        <v>36296</v>
      </c>
      <c r="B36301" s="11" t="str">
        <f>"201410008742"</f>
        <v>201410008742</v>
      </c>
    </row>
    <row r="36302" spans="1:2" x14ac:dyDescent="0.25">
      <c r="A36302" s="2">
        <v>36297</v>
      </c>
      <c r="B36302" s="11" t="str">
        <f>"201410008756"</f>
        <v>201410008756</v>
      </c>
    </row>
    <row r="36303" spans="1:2" x14ac:dyDescent="0.25">
      <c r="A36303" s="2">
        <v>36298</v>
      </c>
      <c r="B36303" s="11" t="str">
        <f>"201410008757"</f>
        <v>201410008757</v>
      </c>
    </row>
    <row r="36304" spans="1:2" x14ac:dyDescent="0.25">
      <c r="A36304" s="2">
        <v>36299</v>
      </c>
      <c r="B36304" s="11" t="str">
        <f>"201410009042"</f>
        <v>201410009042</v>
      </c>
    </row>
    <row r="36305" spans="1:2" x14ac:dyDescent="0.25">
      <c r="A36305" s="2">
        <v>36300</v>
      </c>
      <c r="B36305" s="11" t="str">
        <f>"201410009057"</f>
        <v>201410009057</v>
      </c>
    </row>
    <row r="36306" spans="1:2" x14ac:dyDescent="0.25">
      <c r="A36306" s="2">
        <v>36301</v>
      </c>
      <c r="B36306" s="11" t="str">
        <f>"201410009218"</f>
        <v>201410009218</v>
      </c>
    </row>
    <row r="36307" spans="1:2" x14ac:dyDescent="0.25">
      <c r="A36307" s="2">
        <v>36302</v>
      </c>
      <c r="B36307" s="11" t="str">
        <f>"201410009248"</f>
        <v>201410009248</v>
      </c>
    </row>
    <row r="36308" spans="1:2" x14ac:dyDescent="0.25">
      <c r="A36308" s="2">
        <v>36303</v>
      </c>
      <c r="B36308" s="11" t="str">
        <f>"201410009301"</f>
        <v>201410009301</v>
      </c>
    </row>
    <row r="36309" spans="1:2" x14ac:dyDescent="0.25">
      <c r="A36309" s="2">
        <v>36304</v>
      </c>
      <c r="B36309" s="11" t="str">
        <f>"201410009302"</f>
        <v>201410009302</v>
      </c>
    </row>
    <row r="36310" spans="1:2" x14ac:dyDescent="0.25">
      <c r="A36310" s="2">
        <v>36305</v>
      </c>
      <c r="B36310" s="11" t="str">
        <f>"201410009482"</f>
        <v>201410009482</v>
      </c>
    </row>
    <row r="36311" spans="1:2" x14ac:dyDescent="0.25">
      <c r="A36311" s="2">
        <v>36306</v>
      </c>
      <c r="B36311" s="11" t="str">
        <f>"201410009559"</f>
        <v>201410009559</v>
      </c>
    </row>
    <row r="36312" spans="1:2" x14ac:dyDescent="0.25">
      <c r="A36312" s="2">
        <v>36307</v>
      </c>
      <c r="B36312" s="11" t="str">
        <f>"201410009565"</f>
        <v>201410009565</v>
      </c>
    </row>
    <row r="36313" spans="1:2" x14ac:dyDescent="0.25">
      <c r="A36313" s="2">
        <v>36308</v>
      </c>
      <c r="B36313" s="11" t="str">
        <f>"201410009572"</f>
        <v>201410009572</v>
      </c>
    </row>
    <row r="36314" spans="1:2" x14ac:dyDescent="0.25">
      <c r="A36314" s="2">
        <v>36309</v>
      </c>
      <c r="B36314" s="11" t="str">
        <f>"201410009578"</f>
        <v>201410009578</v>
      </c>
    </row>
    <row r="36315" spans="1:2" x14ac:dyDescent="0.25">
      <c r="A36315" s="2">
        <v>36310</v>
      </c>
      <c r="B36315" s="11" t="str">
        <f>"201410009643"</f>
        <v>201410009643</v>
      </c>
    </row>
    <row r="36316" spans="1:2" x14ac:dyDescent="0.25">
      <c r="A36316" s="2">
        <v>36311</v>
      </c>
      <c r="B36316" s="11" t="str">
        <f>"201410009673"</f>
        <v>201410009673</v>
      </c>
    </row>
    <row r="36317" spans="1:2" x14ac:dyDescent="0.25">
      <c r="A36317" s="2">
        <v>36312</v>
      </c>
      <c r="B36317" s="11" t="str">
        <f>"201410009732"</f>
        <v>201410009732</v>
      </c>
    </row>
    <row r="36318" spans="1:2" x14ac:dyDescent="0.25">
      <c r="A36318" s="2">
        <v>36313</v>
      </c>
      <c r="B36318" s="11" t="str">
        <f>"201410009797"</f>
        <v>201410009797</v>
      </c>
    </row>
    <row r="36319" spans="1:2" x14ac:dyDescent="0.25">
      <c r="A36319" s="2">
        <v>36314</v>
      </c>
      <c r="B36319" s="11" t="str">
        <f>"201410009843"</f>
        <v>201410009843</v>
      </c>
    </row>
    <row r="36320" spans="1:2" x14ac:dyDescent="0.25">
      <c r="A36320" s="2">
        <v>36315</v>
      </c>
      <c r="B36320" s="11" t="str">
        <f>"201410009931"</f>
        <v>201410009931</v>
      </c>
    </row>
    <row r="36321" spans="1:2" x14ac:dyDescent="0.25">
      <c r="A36321" s="2">
        <v>36316</v>
      </c>
      <c r="B36321" s="11" t="str">
        <f>"201410010100"</f>
        <v>201410010100</v>
      </c>
    </row>
    <row r="36322" spans="1:2" x14ac:dyDescent="0.25">
      <c r="A36322" s="2">
        <v>36317</v>
      </c>
      <c r="B36322" s="11" t="str">
        <f>"201410010127"</f>
        <v>201410010127</v>
      </c>
    </row>
    <row r="36323" spans="1:2" x14ac:dyDescent="0.25">
      <c r="A36323" s="2">
        <v>36318</v>
      </c>
      <c r="B36323" s="11" t="str">
        <f>"201410010190"</f>
        <v>201410010190</v>
      </c>
    </row>
    <row r="36324" spans="1:2" x14ac:dyDescent="0.25">
      <c r="A36324" s="2">
        <v>36319</v>
      </c>
      <c r="B36324" s="11" t="str">
        <f>"201410010229"</f>
        <v>201410010229</v>
      </c>
    </row>
    <row r="36325" spans="1:2" x14ac:dyDescent="0.25">
      <c r="A36325" s="2">
        <v>36320</v>
      </c>
      <c r="B36325" s="11" t="str">
        <f>"201410010260"</f>
        <v>201410010260</v>
      </c>
    </row>
    <row r="36326" spans="1:2" x14ac:dyDescent="0.25">
      <c r="A36326" s="2">
        <v>36321</v>
      </c>
      <c r="B36326" s="11" t="str">
        <f>"201410010285"</f>
        <v>201410010285</v>
      </c>
    </row>
    <row r="36327" spans="1:2" x14ac:dyDescent="0.25">
      <c r="A36327" s="2">
        <v>36322</v>
      </c>
      <c r="B36327" s="11" t="str">
        <f>"201410010521"</f>
        <v>201410010521</v>
      </c>
    </row>
    <row r="36328" spans="1:2" x14ac:dyDescent="0.25">
      <c r="A36328" s="2">
        <v>36323</v>
      </c>
      <c r="B36328" s="11" t="str">
        <f>"201410010587"</f>
        <v>201410010587</v>
      </c>
    </row>
    <row r="36329" spans="1:2" x14ac:dyDescent="0.25">
      <c r="A36329" s="2">
        <v>36324</v>
      </c>
      <c r="B36329" s="11" t="str">
        <f>"201410010597"</f>
        <v>201410010597</v>
      </c>
    </row>
    <row r="36330" spans="1:2" x14ac:dyDescent="0.25">
      <c r="A36330" s="2">
        <v>36325</v>
      </c>
      <c r="B36330" s="11" t="str">
        <f>"201410010685"</f>
        <v>201410010685</v>
      </c>
    </row>
    <row r="36331" spans="1:2" x14ac:dyDescent="0.25">
      <c r="A36331" s="2">
        <v>36326</v>
      </c>
      <c r="B36331" s="11" t="str">
        <f>"201410010712"</f>
        <v>201410010712</v>
      </c>
    </row>
    <row r="36332" spans="1:2" x14ac:dyDescent="0.25">
      <c r="A36332" s="2">
        <v>36327</v>
      </c>
      <c r="B36332" s="11" t="str">
        <f>"201410010794"</f>
        <v>201410010794</v>
      </c>
    </row>
    <row r="36333" spans="1:2" x14ac:dyDescent="0.25">
      <c r="A36333" s="2">
        <v>36328</v>
      </c>
      <c r="B36333" s="11" t="str">
        <f>"201410010826"</f>
        <v>201410010826</v>
      </c>
    </row>
    <row r="36334" spans="1:2" x14ac:dyDescent="0.25">
      <c r="A36334" s="2">
        <v>36329</v>
      </c>
      <c r="B36334" s="11" t="str">
        <f>"201410010855"</f>
        <v>201410010855</v>
      </c>
    </row>
    <row r="36335" spans="1:2" x14ac:dyDescent="0.25">
      <c r="A36335" s="2">
        <v>36330</v>
      </c>
      <c r="B36335" s="11" t="str">
        <f>"201410010997"</f>
        <v>201410010997</v>
      </c>
    </row>
    <row r="36336" spans="1:2" x14ac:dyDescent="0.25">
      <c r="A36336" s="2">
        <v>36331</v>
      </c>
      <c r="B36336" s="11" t="str">
        <f>"201410010998"</f>
        <v>201410010998</v>
      </c>
    </row>
    <row r="36337" spans="1:2" x14ac:dyDescent="0.25">
      <c r="A36337" s="2">
        <v>36332</v>
      </c>
      <c r="B36337" s="11" t="str">
        <f>"201410011061"</f>
        <v>201410011061</v>
      </c>
    </row>
    <row r="36338" spans="1:2" x14ac:dyDescent="0.25">
      <c r="A36338" s="2">
        <v>36333</v>
      </c>
      <c r="B36338" s="11" t="str">
        <f>"201410011134"</f>
        <v>201410011134</v>
      </c>
    </row>
    <row r="36339" spans="1:2" x14ac:dyDescent="0.25">
      <c r="A36339" s="2">
        <v>36334</v>
      </c>
      <c r="B36339" s="11" t="str">
        <f>"201410011140"</f>
        <v>201410011140</v>
      </c>
    </row>
    <row r="36340" spans="1:2" x14ac:dyDescent="0.25">
      <c r="A36340" s="2">
        <v>36335</v>
      </c>
      <c r="B36340" s="11" t="str">
        <f>"201410011155"</f>
        <v>201410011155</v>
      </c>
    </row>
    <row r="36341" spans="1:2" x14ac:dyDescent="0.25">
      <c r="A36341" s="2">
        <v>36336</v>
      </c>
      <c r="B36341" s="11" t="str">
        <f>"201410011175"</f>
        <v>201410011175</v>
      </c>
    </row>
    <row r="36342" spans="1:2" x14ac:dyDescent="0.25">
      <c r="A36342" s="2">
        <v>36337</v>
      </c>
      <c r="B36342" s="11" t="str">
        <f>"201410011191"</f>
        <v>201410011191</v>
      </c>
    </row>
    <row r="36343" spans="1:2" x14ac:dyDescent="0.25">
      <c r="A36343" s="2">
        <v>36338</v>
      </c>
      <c r="B36343" s="11" t="str">
        <f>"201410011222"</f>
        <v>201410011222</v>
      </c>
    </row>
    <row r="36344" spans="1:2" x14ac:dyDescent="0.25">
      <c r="A36344" s="2">
        <v>36339</v>
      </c>
      <c r="B36344" s="11" t="str">
        <f>"201410011349"</f>
        <v>201410011349</v>
      </c>
    </row>
    <row r="36345" spans="1:2" x14ac:dyDescent="0.25">
      <c r="A36345" s="2">
        <v>36340</v>
      </c>
      <c r="B36345" s="11" t="str">
        <f>"201410011401"</f>
        <v>201410011401</v>
      </c>
    </row>
    <row r="36346" spans="1:2" x14ac:dyDescent="0.25">
      <c r="A36346" s="2">
        <v>36341</v>
      </c>
      <c r="B36346" s="11" t="str">
        <f>"201410011751"</f>
        <v>201410011751</v>
      </c>
    </row>
    <row r="36347" spans="1:2" x14ac:dyDescent="0.25">
      <c r="A36347" s="2">
        <v>36342</v>
      </c>
      <c r="B36347" s="11" t="str">
        <f>"201410012000"</f>
        <v>201410012000</v>
      </c>
    </row>
    <row r="36348" spans="1:2" x14ac:dyDescent="0.25">
      <c r="A36348" s="2">
        <v>36343</v>
      </c>
      <c r="B36348" s="11" t="str">
        <f>"201410012247"</f>
        <v>201410012247</v>
      </c>
    </row>
    <row r="36349" spans="1:2" x14ac:dyDescent="0.25">
      <c r="A36349" s="2">
        <v>36344</v>
      </c>
      <c r="B36349" s="11" t="str">
        <f>"201410012270"</f>
        <v>201410012270</v>
      </c>
    </row>
    <row r="36350" spans="1:2" x14ac:dyDescent="0.25">
      <c r="A36350" s="2">
        <v>36345</v>
      </c>
      <c r="B36350" s="11" t="str">
        <f>"201410012289"</f>
        <v>201410012289</v>
      </c>
    </row>
    <row r="36351" spans="1:2" x14ac:dyDescent="0.25">
      <c r="A36351" s="2">
        <v>36346</v>
      </c>
      <c r="B36351" s="11" t="str">
        <f>"201410012291"</f>
        <v>201410012291</v>
      </c>
    </row>
    <row r="36352" spans="1:2" x14ac:dyDescent="0.25">
      <c r="A36352" s="2">
        <v>36347</v>
      </c>
      <c r="B36352" s="11" t="str">
        <f>"201410012314"</f>
        <v>201410012314</v>
      </c>
    </row>
    <row r="36353" spans="1:2" x14ac:dyDescent="0.25">
      <c r="A36353" s="2">
        <v>36348</v>
      </c>
      <c r="B36353" s="11" t="str">
        <f>"201410012347"</f>
        <v>201410012347</v>
      </c>
    </row>
    <row r="36354" spans="1:2" x14ac:dyDescent="0.25">
      <c r="A36354" s="2">
        <v>36349</v>
      </c>
      <c r="B36354" s="11" t="str">
        <f>"201410012384"</f>
        <v>201410012384</v>
      </c>
    </row>
    <row r="36355" spans="1:2" x14ac:dyDescent="0.25">
      <c r="A36355" s="2">
        <v>36350</v>
      </c>
      <c r="B36355" s="11" t="str">
        <f>"201410012388"</f>
        <v>201410012388</v>
      </c>
    </row>
    <row r="36356" spans="1:2" x14ac:dyDescent="0.25">
      <c r="A36356" s="2">
        <v>36351</v>
      </c>
      <c r="B36356" s="11" t="str">
        <f>"201410012409"</f>
        <v>201410012409</v>
      </c>
    </row>
    <row r="36357" spans="1:2" x14ac:dyDescent="0.25">
      <c r="A36357" s="2">
        <v>36352</v>
      </c>
      <c r="B36357" s="11" t="str">
        <f>"201410012410"</f>
        <v>201410012410</v>
      </c>
    </row>
    <row r="36358" spans="1:2" x14ac:dyDescent="0.25">
      <c r="A36358" s="2">
        <v>36353</v>
      </c>
      <c r="B36358" s="11" t="str">
        <f>"201410012460"</f>
        <v>201410012460</v>
      </c>
    </row>
    <row r="36359" spans="1:2" x14ac:dyDescent="0.25">
      <c r="A36359" s="2">
        <v>36354</v>
      </c>
      <c r="B36359" s="11" t="str">
        <f>"201410012472"</f>
        <v>201410012472</v>
      </c>
    </row>
    <row r="36360" spans="1:2" x14ac:dyDescent="0.25">
      <c r="A36360" s="2">
        <v>36355</v>
      </c>
      <c r="B36360" s="11" t="str">
        <f>"201410012527"</f>
        <v>201410012527</v>
      </c>
    </row>
    <row r="36361" spans="1:2" x14ac:dyDescent="0.25">
      <c r="A36361" s="2">
        <v>36356</v>
      </c>
      <c r="B36361" s="11" t="str">
        <f>"201410012565"</f>
        <v>201410012565</v>
      </c>
    </row>
    <row r="36362" spans="1:2" x14ac:dyDescent="0.25">
      <c r="A36362" s="2">
        <v>36357</v>
      </c>
      <c r="B36362" s="11" t="str">
        <f>"201410012566"</f>
        <v>201410012566</v>
      </c>
    </row>
    <row r="36363" spans="1:2" x14ac:dyDescent="0.25">
      <c r="A36363" s="2">
        <v>36358</v>
      </c>
      <c r="B36363" s="11" t="str">
        <f>"201410012581"</f>
        <v>201410012581</v>
      </c>
    </row>
    <row r="36364" spans="1:2" x14ac:dyDescent="0.25">
      <c r="A36364" s="2">
        <v>36359</v>
      </c>
      <c r="B36364" s="11" t="str">
        <f>"201410012598"</f>
        <v>201410012598</v>
      </c>
    </row>
    <row r="36365" spans="1:2" x14ac:dyDescent="0.25">
      <c r="A36365" s="2">
        <v>36360</v>
      </c>
      <c r="B36365" s="11" t="str">
        <f>"201410012609"</f>
        <v>201410012609</v>
      </c>
    </row>
    <row r="36366" spans="1:2" x14ac:dyDescent="0.25">
      <c r="A36366" s="2">
        <v>36361</v>
      </c>
      <c r="B36366" s="11" t="str">
        <f>"201410012653"</f>
        <v>201410012653</v>
      </c>
    </row>
    <row r="36367" spans="1:2" x14ac:dyDescent="0.25">
      <c r="A36367" s="2">
        <v>36362</v>
      </c>
      <c r="B36367" s="11" t="str">
        <f>"201410012673"</f>
        <v>201410012673</v>
      </c>
    </row>
    <row r="36368" spans="1:2" x14ac:dyDescent="0.25">
      <c r="A36368" s="2">
        <v>36363</v>
      </c>
      <c r="B36368" s="11" t="str">
        <f>"201410012724"</f>
        <v>201410012724</v>
      </c>
    </row>
    <row r="36369" spans="1:2" x14ac:dyDescent="0.25">
      <c r="A36369" s="2">
        <v>36364</v>
      </c>
      <c r="B36369" s="11" t="str">
        <f>"201410012750"</f>
        <v>201410012750</v>
      </c>
    </row>
    <row r="36370" spans="1:2" x14ac:dyDescent="0.25">
      <c r="A36370" s="2">
        <v>36365</v>
      </c>
      <c r="B36370" s="11" t="str">
        <f>"201410012778"</f>
        <v>201410012778</v>
      </c>
    </row>
    <row r="36371" spans="1:2" x14ac:dyDescent="0.25">
      <c r="A36371" s="2">
        <v>36366</v>
      </c>
      <c r="B36371" s="11" t="str">
        <f>"201410012784"</f>
        <v>201410012784</v>
      </c>
    </row>
    <row r="36372" spans="1:2" x14ac:dyDescent="0.25">
      <c r="A36372" s="2">
        <v>36367</v>
      </c>
      <c r="B36372" s="11" t="str">
        <f>"201410012812"</f>
        <v>201410012812</v>
      </c>
    </row>
    <row r="36373" spans="1:2" x14ac:dyDescent="0.25">
      <c r="A36373" s="2">
        <v>36368</v>
      </c>
      <c r="B36373" s="11" t="str">
        <f>"201411000004"</f>
        <v>201411000004</v>
      </c>
    </row>
    <row r="36374" spans="1:2" x14ac:dyDescent="0.25">
      <c r="A36374" s="2">
        <v>36369</v>
      </c>
      <c r="B36374" s="11" t="str">
        <f>"201411000069"</f>
        <v>201411000069</v>
      </c>
    </row>
    <row r="36375" spans="1:2" x14ac:dyDescent="0.25">
      <c r="A36375" s="2">
        <v>36370</v>
      </c>
      <c r="B36375" s="11" t="str">
        <f>"201411000091"</f>
        <v>201411000091</v>
      </c>
    </row>
    <row r="36376" spans="1:2" x14ac:dyDescent="0.25">
      <c r="A36376" s="2">
        <v>36371</v>
      </c>
      <c r="B36376" s="11" t="str">
        <f>"201411000111"</f>
        <v>201411000111</v>
      </c>
    </row>
    <row r="36377" spans="1:2" x14ac:dyDescent="0.25">
      <c r="A36377" s="2">
        <v>36372</v>
      </c>
      <c r="B36377" s="11" t="str">
        <f>"201411000122"</f>
        <v>201411000122</v>
      </c>
    </row>
    <row r="36378" spans="1:2" x14ac:dyDescent="0.25">
      <c r="A36378" s="2">
        <v>36373</v>
      </c>
      <c r="B36378" s="11" t="str">
        <f>"201411000139"</f>
        <v>201411000139</v>
      </c>
    </row>
    <row r="36379" spans="1:2" x14ac:dyDescent="0.25">
      <c r="A36379" s="2">
        <v>36374</v>
      </c>
      <c r="B36379" s="11" t="str">
        <f>"201411000161"</f>
        <v>201411000161</v>
      </c>
    </row>
    <row r="36380" spans="1:2" x14ac:dyDescent="0.25">
      <c r="A36380" s="2">
        <v>36375</v>
      </c>
      <c r="B36380" s="11" t="str">
        <f>"201411000278"</f>
        <v>201411000278</v>
      </c>
    </row>
    <row r="36381" spans="1:2" x14ac:dyDescent="0.25">
      <c r="A36381" s="2">
        <v>36376</v>
      </c>
      <c r="B36381" s="11" t="str">
        <f>"201411000331"</f>
        <v>201411000331</v>
      </c>
    </row>
    <row r="36382" spans="1:2" x14ac:dyDescent="0.25">
      <c r="A36382" s="2">
        <v>36377</v>
      </c>
      <c r="B36382" s="11" t="str">
        <f>"201411000367"</f>
        <v>201411000367</v>
      </c>
    </row>
    <row r="36383" spans="1:2" x14ac:dyDescent="0.25">
      <c r="A36383" s="2">
        <v>36378</v>
      </c>
      <c r="B36383" s="11" t="str">
        <f>"201411000369"</f>
        <v>201411000369</v>
      </c>
    </row>
    <row r="36384" spans="1:2" x14ac:dyDescent="0.25">
      <c r="A36384" s="2">
        <v>36379</v>
      </c>
      <c r="B36384" s="11" t="str">
        <f>"201411000377"</f>
        <v>201411000377</v>
      </c>
    </row>
    <row r="36385" spans="1:2" x14ac:dyDescent="0.25">
      <c r="A36385" s="2">
        <v>36380</v>
      </c>
      <c r="B36385" s="11" t="str">
        <f>"201411000389"</f>
        <v>201411000389</v>
      </c>
    </row>
    <row r="36386" spans="1:2" x14ac:dyDescent="0.25">
      <c r="A36386" s="2">
        <v>36381</v>
      </c>
      <c r="B36386" s="11" t="str">
        <f>"201411000398"</f>
        <v>201411000398</v>
      </c>
    </row>
    <row r="36387" spans="1:2" x14ac:dyDescent="0.25">
      <c r="A36387" s="2">
        <v>36382</v>
      </c>
      <c r="B36387" s="11" t="str">
        <f>"201411000418"</f>
        <v>201411000418</v>
      </c>
    </row>
    <row r="36388" spans="1:2" x14ac:dyDescent="0.25">
      <c r="A36388" s="2">
        <v>36383</v>
      </c>
      <c r="B36388" s="11" t="str">
        <f>"201411000420"</f>
        <v>201411000420</v>
      </c>
    </row>
    <row r="36389" spans="1:2" x14ac:dyDescent="0.25">
      <c r="A36389" s="2">
        <v>36384</v>
      </c>
      <c r="B36389" s="11" t="str">
        <f>"201411000428"</f>
        <v>201411000428</v>
      </c>
    </row>
    <row r="36390" spans="1:2" x14ac:dyDescent="0.25">
      <c r="A36390" s="2">
        <v>36385</v>
      </c>
      <c r="B36390" s="11" t="str">
        <f>"201411000479"</f>
        <v>201411000479</v>
      </c>
    </row>
    <row r="36391" spans="1:2" x14ac:dyDescent="0.25">
      <c r="A36391" s="2">
        <v>36386</v>
      </c>
      <c r="B36391" s="11" t="str">
        <f>"201411000552"</f>
        <v>201411000552</v>
      </c>
    </row>
    <row r="36392" spans="1:2" x14ac:dyDescent="0.25">
      <c r="A36392" s="2">
        <v>36387</v>
      </c>
      <c r="B36392" s="11" t="str">
        <f>"201411000676"</f>
        <v>201411000676</v>
      </c>
    </row>
    <row r="36393" spans="1:2" x14ac:dyDescent="0.25">
      <c r="A36393" s="2">
        <v>36388</v>
      </c>
      <c r="B36393" s="11" t="str">
        <f>"201411000687"</f>
        <v>201411000687</v>
      </c>
    </row>
    <row r="36394" spans="1:2" x14ac:dyDescent="0.25">
      <c r="A36394" s="2">
        <v>36389</v>
      </c>
      <c r="B36394" s="11" t="str">
        <f>"201411000810"</f>
        <v>201411000810</v>
      </c>
    </row>
    <row r="36395" spans="1:2" x14ac:dyDescent="0.25">
      <c r="A36395" s="2">
        <v>36390</v>
      </c>
      <c r="B36395" s="11" t="str">
        <f>"201411000848"</f>
        <v>201411000848</v>
      </c>
    </row>
    <row r="36396" spans="1:2" x14ac:dyDescent="0.25">
      <c r="A36396" s="2">
        <v>36391</v>
      </c>
      <c r="B36396" s="11" t="str">
        <f>"201411000877"</f>
        <v>201411000877</v>
      </c>
    </row>
    <row r="36397" spans="1:2" x14ac:dyDescent="0.25">
      <c r="A36397" s="2">
        <v>36392</v>
      </c>
      <c r="B36397" s="11" t="str">
        <f>"201411000894"</f>
        <v>201411000894</v>
      </c>
    </row>
    <row r="36398" spans="1:2" x14ac:dyDescent="0.25">
      <c r="A36398" s="2">
        <v>36393</v>
      </c>
      <c r="B36398" s="11" t="str">
        <f>"201411000898"</f>
        <v>201411000898</v>
      </c>
    </row>
    <row r="36399" spans="1:2" x14ac:dyDescent="0.25">
      <c r="A36399" s="2">
        <v>36394</v>
      </c>
      <c r="B36399" s="11" t="str">
        <f>"201411000915"</f>
        <v>201411000915</v>
      </c>
    </row>
    <row r="36400" spans="1:2" x14ac:dyDescent="0.25">
      <c r="A36400" s="2">
        <v>36395</v>
      </c>
      <c r="B36400" s="11" t="str">
        <f>"201411000958"</f>
        <v>201411000958</v>
      </c>
    </row>
    <row r="36401" spans="1:2" x14ac:dyDescent="0.25">
      <c r="A36401" s="2">
        <v>36396</v>
      </c>
      <c r="B36401" s="11" t="str">
        <f>"201411001016"</f>
        <v>201411001016</v>
      </c>
    </row>
    <row r="36402" spans="1:2" x14ac:dyDescent="0.25">
      <c r="A36402" s="2">
        <v>36397</v>
      </c>
      <c r="B36402" s="11" t="str">
        <f>"201411001060"</f>
        <v>201411001060</v>
      </c>
    </row>
    <row r="36403" spans="1:2" x14ac:dyDescent="0.25">
      <c r="A36403" s="2">
        <v>36398</v>
      </c>
      <c r="B36403" s="11" t="str">
        <f>"201411001078"</f>
        <v>201411001078</v>
      </c>
    </row>
    <row r="36404" spans="1:2" x14ac:dyDescent="0.25">
      <c r="A36404" s="2">
        <v>36399</v>
      </c>
      <c r="B36404" s="11" t="str">
        <f>"201411001086"</f>
        <v>201411001086</v>
      </c>
    </row>
    <row r="36405" spans="1:2" x14ac:dyDescent="0.25">
      <c r="A36405" s="2">
        <v>36400</v>
      </c>
      <c r="B36405" s="11" t="str">
        <f>"201411001143"</f>
        <v>201411001143</v>
      </c>
    </row>
    <row r="36406" spans="1:2" x14ac:dyDescent="0.25">
      <c r="A36406" s="2">
        <v>36401</v>
      </c>
      <c r="B36406" s="11" t="str">
        <f>"201411001165"</f>
        <v>201411001165</v>
      </c>
    </row>
    <row r="36407" spans="1:2" x14ac:dyDescent="0.25">
      <c r="A36407" s="2">
        <v>36402</v>
      </c>
      <c r="B36407" s="11" t="str">
        <f>"201411001180"</f>
        <v>201411001180</v>
      </c>
    </row>
    <row r="36408" spans="1:2" x14ac:dyDescent="0.25">
      <c r="A36408" s="2">
        <v>36403</v>
      </c>
      <c r="B36408" s="11" t="str">
        <f>"201411001193"</f>
        <v>201411001193</v>
      </c>
    </row>
    <row r="36409" spans="1:2" x14ac:dyDescent="0.25">
      <c r="A36409" s="2">
        <v>36404</v>
      </c>
      <c r="B36409" s="11" t="str">
        <f>"201411001216"</f>
        <v>201411001216</v>
      </c>
    </row>
    <row r="36410" spans="1:2" x14ac:dyDescent="0.25">
      <c r="A36410" s="2">
        <v>36405</v>
      </c>
      <c r="B36410" s="11" t="str">
        <f>"201411001321"</f>
        <v>201411001321</v>
      </c>
    </row>
    <row r="36411" spans="1:2" x14ac:dyDescent="0.25">
      <c r="A36411" s="2">
        <v>36406</v>
      </c>
      <c r="B36411" s="11" t="str">
        <f>"201411001402"</f>
        <v>201411001402</v>
      </c>
    </row>
    <row r="36412" spans="1:2" x14ac:dyDescent="0.25">
      <c r="A36412" s="2">
        <v>36407</v>
      </c>
      <c r="B36412" s="11" t="str">
        <f>"201411001412"</f>
        <v>201411001412</v>
      </c>
    </row>
    <row r="36413" spans="1:2" x14ac:dyDescent="0.25">
      <c r="A36413" s="2">
        <v>36408</v>
      </c>
      <c r="B36413" s="11" t="str">
        <f>"201411001430"</f>
        <v>201411001430</v>
      </c>
    </row>
    <row r="36414" spans="1:2" x14ac:dyDescent="0.25">
      <c r="A36414" s="2">
        <v>36409</v>
      </c>
      <c r="B36414" s="11" t="str">
        <f>"201411001434"</f>
        <v>201411001434</v>
      </c>
    </row>
    <row r="36415" spans="1:2" x14ac:dyDescent="0.25">
      <c r="A36415" s="2">
        <v>36410</v>
      </c>
      <c r="B36415" s="11" t="str">
        <f>"201411001538"</f>
        <v>201411001538</v>
      </c>
    </row>
    <row r="36416" spans="1:2" x14ac:dyDescent="0.25">
      <c r="A36416" s="2">
        <v>36411</v>
      </c>
      <c r="B36416" s="11" t="str">
        <f>"201411001556"</f>
        <v>201411001556</v>
      </c>
    </row>
    <row r="36417" spans="1:2" x14ac:dyDescent="0.25">
      <c r="A36417" s="2">
        <v>36412</v>
      </c>
      <c r="B36417" s="11" t="str">
        <f>"201411001563"</f>
        <v>201411001563</v>
      </c>
    </row>
    <row r="36418" spans="1:2" x14ac:dyDescent="0.25">
      <c r="A36418" s="2">
        <v>36413</v>
      </c>
      <c r="B36418" s="11" t="str">
        <f>"201411001610"</f>
        <v>201411001610</v>
      </c>
    </row>
    <row r="36419" spans="1:2" x14ac:dyDescent="0.25">
      <c r="A36419" s="2">
        <v>36414</v>
      </c>
      <c r="B36419" s="11" t="str">
        <f>"201411001669"</f>
        <v>201411001669</v>
      </c>
    </row>
    <row r="36420" spans="1:2" x14ac:dyDescent="0.25">
      <c r="A36420" s="2">
        <v>36415</v>
      </c>
      <c r="B36420" s="11" t="str">
        <f>"201411001743"</f>
        <v>201411001743</v>
      </c>
    </row>
    <row r="36421" spans="1:2" x14ac:dyDescent="0.25">
      <c r="A36421" s="2">
        <v>36416</v>
      </c>
      <c r="B36421" s="11" t="str">
        <f>"201411001778"</f>
        <v>201411001778</v>
      </c>
    </row>
    <row r="36422" spans="1:2" x14ac:dyDescent="0.25">
      <c r="A36422" s="2">
        <v>36417</v>
      </c>
      <c r="B36422" s="11" t="str">
        <f>"201411001785"</f>
        <v>201411001785</v>
      </c>
    </row>
    <row r="36423" spans="1:2" x14ac:dyDescent="0.25">
      <c r="A36423" s="2">
        <v>36418</v>
      </c>
      <c r="B36423" s="11" t="str">
        <f>"201411001795"</f>
        <v>201411001795</v>
      </c>
    </row>
    <row r="36424" spans="1:2" x14ac:dyDescent="0.25">
      <c r="A36424" s="2">
        <v>36419</v>
      </c>
      <c r="B36424" s="11" t="str">
        <f>"201411001909"</f>
        <v>201411001909</v>
      </c>
    </row>
    <row r="36425" spans="1:2" x14ac:dyDescent="0.25">
      <c r="A36425" s="2">
        <v>36420</v>
      </c>
      <c r="B36425" s="11" t="str">
        <f>"201411001922"</f>
        <v>201411001922</v>
      </c>
    </row>
    <row r="36426" spans="1:2" x14ac:dyDescent="0.25">
      <c r="A36426" s="2">
        <v>36421</v>
      </c>
      <c r="B36426" s="11" t="str">
        <f>"201411001950"</f>
        <v>201411001950</v>
      </c>
    </row>
    <row r="36427" spans="1:2" x14ac:dyDescent="0.25">
      <c r="A36427" s="2">
        <v>36422</v>
      </c>
      <c r="B36427" s="11" t="str">
        <f>"201411001954"</f>
        <v>201411001954</v>
      </c>
    </row>
    <row r="36428" spans="1:2" x14ac:dyDescent="0.25">
      <c r="A36428" s="2">
        <v>36423</v>
      </c>
      <c r="B36428" s="11" t="str">
        <f>"201411001957"</f>
        <v>201411001957</v>
      </c>
    </row>
    <row r="36429" spans="1:2" x14ac:dyDescent="0.25">
      <c r="A36429" s="2">
        <v>36424</v>
      </c>
      <c r="B36429" s="11" t="str">
        <f>"201411002015"</f>
        <v>201411002015</v>
      </c>
    </row>
    <row r="36430" spans="1:2" x14ac:dyDescent="0.25">
      <c r="A36430" s="2">
        <v>36425</v>
      </c>
      <c r="B36430" s="11" t="str">
        <f>"201411002043"</f>
        <v>201411002043</v>
      </c>
    </row>
    <row r="36431" spans="1:2" x14ac:dyDescent="0.25">
      <c r="A36431" s="2">
        <v>36426</v>
      </c>
      <c r="B36431" s="11" t="str">
        <f>"201411002133"</f>
        <v>201411002133</v>
      </c>
    </row>
    <row r="36432" spans="1:2" x14ac:dyDescent="0.25">
      <c r="A36432" s="2">
        <v>36427</v>
      </c>
      <c r="B36432" s="11" t="str">
        <f>"201411002181"</f>
        <v>201411002181</v>
      </c>
    </row>
    <row r="36433" spans="1:2" x14ac:dyDescent="0.25">
      <c r="A36433" s="2">
        <v>36428</v>
      </c>
      <c r="B36433" s="11" t="str">
        <f>"201411002205"</f>
        <v>201411002205</v>
      </c>
    </row>
    <row r="36434" spans="1:2" x14ac:dyDescent="0.25">
      <c r="A36434" s="2">
        <v>36429</v>
      </c>
      <c r="B36434" s="11" t="str">
        <f>"201411002209"</f>
        <v>201411002209</v>
      </c>
    </row>
    <row r="36435" spans="1:2" x14ac:dyDescent="0.25">
      <c r="A36435" s="2">
        <v>36430</v>
      </c>
      <c r="B36435" s="11" t="str">
        <f>"201411002250"</f>
        <v>201411002250</v>
      </c>
    </row>
    <row r="36436" spans="1:2" x14ac:dyDescent="0.25">
      <c r="A36436" s="2">
        <v>36431</v>
      </c>
      <c r="B36436" s="11" t="str">
        <f>"201411002251"</f>
        <v>201411002251</v>
      </c>
    </row>
    <row r="36437" spans="1:2" x14ac:dyDescent="0.25">
      <c r="A36437" s="2">
        <v>36432</v>
      </c>
      <c r="B36437" s="11" t="str">
        <f>"201411002253"</f>
        <v>201411002253</v>
      </c>
    </row>
    <row r="36438" spans="1:2" x14ac:dyDescent="0.25">
      <c r="A36438" s="2">
        <v>36433</v>
      </c>
      <c r="B36438" s="11" t="str">
        <f>"201411002254"</f>
        <v>201411002254</v>
      </c>
    </row>
    <row r="36439" spans="1:2" x14ac:dyDescent="0.25">
      <c r="A36439" s="2">
        <v>36434</v>
      </c>
      <c r="B36439" s="11" t="str">
        <f>"201411002314"</f>
        <v>201411002314</v>
      </c>
    </row>
    <row r="36440" spans="1:2" x14ac:dyDescent="0.25">
      <c r="A36440" s="2">
        <v>36435</v>
      </c>
      <c r="B36440" s="11" t="str">
        <f>"201411002321"</f>
        <v>201411002321</v>
      </c>
    </row>
    <row r="36441" spans="1:2" x14ac:dyDescent="0.25">
      <c r="A36441" s="2">
        <v>36436</v>
      </c>
      <c r="B36441" s="11" t="str">
        <f>"201411002322"</f>
        <v>201411002322</v>
      </c>
    </row>
    <row r="36442" spans="1:2" x14ac:dyDescent="0.25">
      <c r="A36442" s="2">
        <v>36437</v>
      </c>
      <c r="B36442" s="11" t="str">
        <f>"201411002337"</f>
        <v>201411002337</v>
      </c>
    </row>
    <row r="36443" spans="1:2" x14ac:dyDescent="0.25">
      <c r="A36443" s="2">
        <v>36438</v>
      </c>
      <c r="B36443" s="11" t="str">
        <f>"201411002346"</f>
        <v>201411002346</v>
      </c>
    </row>
    <row r="36444" spans="1:2" x14ac:dyDescent="0.25">
      <c r="A36444" s="2">
        <v>36439</v>
      </c>
      <c r="B36444" s="11" t="str">
        <f>"201411002348"</f>
        <v>201411002348</v>
      </c>
    </row>
    <row r="36445" spans="1:2" x14ac:dyDescent="0.25">
      <c r="A36445" s="2">
        <v>36440</v>
      </c>
      <c r="B36445" s="11" t="str">
        <f>"201411002360"</f>
        <v>201411002360</v>
      </c>
    </row>
    <row r="36446" spans="1:2" x14ac:dyDescent="0.25">
      <c r="A36446" s="2">
        <v>36441</v>
      </c>
      <c r="B36446" s="11" t="str">
        <f>"201411002433"</f>
        <v>201411002433</v>
      </c>
    </row>
    <row r="36447" spans="1:2" x14ac:dyDescent="0.25">
      <c r="A36447" s="2">
        <v>36442</v>
      </c>
      <c r="B36447" s="11" t="str">
        <f>"201411002540"</f>
        <v>201411002540</v>
      </c>
    </row>
    <row r="36448" spans="1:2" x14ac:dyDescent="0.25">
      <c r="A36448" s="2">
        <v>36443</v>
      </c>
      <c r="B36448" s="11" t="str">
        <f>"201411002587"</f>
        <v>201411002587</v>
      </c>
    </row>
    <row r="36449" spans="1:2" x14ac:dyDescent="0.25">
      <c r="A36449" s="2">
        <v>36444</v>
      </c>
      <c r="B36449" s="11" t="str">
        <f>"201411002651"</f>
        <v>201411002651</v>
      </c>
    </row>
    <row r="36450" spans="1:2" x14ac:dyDescent="0.25">
      <c r="A36450" s="2">
        <v>36445</v>
      </c>
      <c r="B36450" s="11" t="str">
        <f>"201411002652"</f>
        <v>201411002652</v>
      </c>
    </row>
    <row r="36451" spans="1:2" x14ac:dyDescent="0.25">
      <c r="A36451" s="2">
        <v>36446</v>
      </c>
      <c r="B36451" s="11" t="str">
        <f>"201411002674"</f>
        <v>201411002674</v>
      </c>
    </row>
    <row r="36452" spans="1:2" x14ac:dyDescent="0.25">
      <c r="A36452" s="2">
        <v>36447</v>
      </c>
      <c r="B36452" s="11" t="str">
        <f>"201411002680"</f>
        <v>201411002680</v>
      </c>
    </row>
    <row r="36453" spans="1:2" x14ac:dyDescent="0.25">
      <c r="A36453" s="2">
        <v>36448</v>
      </c>
      <c r="B36453" s="11" t="str">
        <f>"201411002685"</f>
        <v>201411002685</v>
      </c>
    </row>
    <row r="36454" spans="1:2" x14ac:dyDescent="0.25">
      <c r="A36454" s="2">
        <v>36449</v>
      </c>
      <c r="B36454" s="11" t="str">
        <f>"201411002695"</f>
        <v>201411002695</v>
      </c>
    </row>
    <row r="36455" spans="1:2" x14ac:dyDescent="0.25">
      <c r="A36455" s="2">
        <v>36450</v>
      </c>
      <c r="B36455" s="11" t="str">
        <f>"201411002700"</f>
        <v>201411002700</v>
      </c>
    </row>
    <row r="36456" spans="1:2" x14ac:dyDescent="0.25">
      <c r="A36456" s="2">
        <v>36451</v>
      </c>
      <c r="B36456" s="11" t="str">
        <f>"201411002709"</f>
        <v>201411002709</v>
      </c>
    </row>
    <row r="36457" spans="1:2" x14ac:dyDescent="0.25">
      <c r="A36457" s="2">
        <v>36452</v>
      </c>
      <c r="B36457" s="11" t="str">
        <f>"201411002743"</f>
        <v>201411002743</v>
      </c>
    </row>
    <row r="36458" spans="1:2" x14ac:dyDescent="0.25">
      <c r="A36458" s="2">
        <v>36453</v>
      </c>
      <c r="B36458" s="11" t="str">
        <f>"201411002772"</f>
        <v>201411002772</v>
      </c>
    </row>
    <row r="36459" spans="1:2" x14ac:dyDescent="0.25">
      <c r="A36459" s="2">
        <v>36454</v>
      </c>
      <c r="B36459" s="11" t="str">
        <f>"201411002783"</f>
        <v>201411002783</v>
      </c>
    </row>
    <row r="36460" spans="1:2" x14ac:dyDescent="0.25">
      <c r="A36460" s="2">
        <v>36455</v>
      </c>
      <c r="B36460" s="11" t="str">
        <f>"201411002817"</f>
        <v>201411002817</v>
      </c>
    </row>
    <row r="36461" spans="1:2" x14ac:dyDescent="0.25">
      <c r="A36461" s="2">
        <v>36456</v>
      </c>
      <c r="B36461" s="11" t="str">
        <f>"201411002871"</f>
        <v>201411002871</v>
      </c>
    </row>
    <row r="36462" spans="1:2" x14ac:dyDescent="0.25">
      <c r="A36462" s="2">
        <v>36457</v>
      </c>
      <c r="B36462" s="11" t="str">
        <f>"201411002892"</f>
        <v>201411002892</v>
      </c>
    </row>
    <row r="36463" spans="1:2" x14ac:dyDescent="0.25">
      <c r="A36463" s="2">
        <v>36458</v>
      </c>
      <c r="B36463" s="11" t="str">
        <f>"201411002899"</f>
        <v>201411002899</v>
      </c>
    </row>
    <row r="36464" spans="1:2" x14ac:dyDescent="0.25">
      <c r="A36464" s="2">
        <v>36459</v>
      </c>
      <c r="B36464" s="11" t="str">
        <f>"201411002925"</f>
        <v>201411002925</v>
      </c>
    </row>
    <row r="36465" spans="1:2" x14ac:dyDescent="0.25">
      <c r="A36465" s="2">
        <v>36460</v>
      </c>
      <c r="B36465" s="11" t="str">
        <f>"201411002938"</f>
        <v>201411002938</v>
      </c>
    </row>
    <row r="36466" spans="1:2" x14ac:dyDescent="0.25">
      <c r="A36466" s="2">
        <v>36461</v>
      </c>
      <c r="B36466" s="11" t="str">
        <f>"201411003115"</f>
        <v>201411003115</v>
      </c>
    </row>
    <row r="36467" spans="1:2" x14ac:dyDescent="0.25">
      <c r="A36467" s="2">
        <v>36462</v>
      </c>
      <c r="B36467" s="11" t="str">
        <f>"201411003139"</f>
        <v>201411003139</v>
      </c>
    </row>
    <row r="36468" spans="1:2" x14ac:dyDescent="0.25">
      <c r="A36468" s="2">
        <v>36463</v>
      </c>
      <c r="B36468" s="11" t="str">
        <f>"201411003168"</f>
        <v>201411003168</v>
      </c>
    </row>
    <row r="36469" spans="1:2" x14ac:dyDescent="0.25">
      <c r="A36469" s="2">
        <v>36464</v>
      </c>
      <c r="B36469" s="11" t="str">
        <f>"201411003200"</f>
        <v>201411003200</v>
      </c>
    </row>
    <row r="36470" spans="1:2" x14ac:dyDescent="0.25">
      <c r="A36470" s="2">
        <v>36465</v>
      </c>
      <c r="B36470" s="11" t="str">
        <f>"201411003258"</f>
        <v>201411003258</v>
      </c>
    </row>
    <row r="36471" spans="1:2" x14ac:dyDescent="0.25">
      <c r="A36471" s="2">
        <v>36466</v>
      </c>
      <c r="B36471" s="11" t="str">
        <f>"201411003275"</f>
        <v>201411003275</v>
      </c>
    </row>
    <row r="36472" spans="1:2" x14ac:dyDescent="0.25">
      <c r="A36472" s="2">
        <v>36467</v>
      </c>
      <c r="B36472" s="11" t="str">
        <f>"201411003289"</f>
        <v>201411003289</v>
      </c>
    </row>
    <row r="36473" spans="1:2" x14ac:dyDescent="0.25">
      <c r="A36473" s="2">
        <v>36468</v>
      </c>
      <c r="B36473" s="11" t="str">
        <f>"201411003375"</f>
        <v>201411003375</v>
      </c>
    </row>
    <row r="36474" spans="1:2" x14ac:dyDescent="0.25">
      <c r="A36474" s="2">
        <v>36469</v>
      </c>
      <c r="B36474" s="11" t="str">
        <f>"201411003462"</f>
        <v>201411003462</v>
      </c>
    </row>
    <row r="36475" spans="1:2" x14ac:dyDescent="0.25">
      <c r="A36475" s="2">
        <v>36470</v>
      </c>
      <c r="B36475" s="11" t="str">
        <f>"201411003499"</f>
        <v>201411003499</v>
      </c>
    </row>
    <row r="36476" spans="1:2" x14ac:dyDescent="0.25">
      <c r="A36476" s="2">
        <v>36471</v>
      </c>
      <c r="B36476" s="11" t="str">
        <f>"201411003549"</f>
        <v>201411003549</v>
      </c>
    </row>
    <row r="36477" spans="1:2" x14ac:dyDescent="0.25">
      <c r="A36477" s="2">
        <v>36472</v>
      </c>
      <c r="B36477" s="11" t="str">
        <f>"201411003565"</f>
        <v>201411003565</v>
      </c>
    </row>
    <row r="36478" spans="1:2" x14ac:dyDescent="0.25">
      <c r="A36478" s="2">
        <v>36473</v>
      </c>
      <c r="B36478" s="11" t="str">
        <f>"201411003568"</f>
        <v>201411003568</v>
      </c>
    </row>
    <row r="36479" spans="1:2" x14ac:dyDescent="0.25">
      <c r="A36479" s="2">
        <v>36474</v>
      </c>
      <c r="B36479" s="11" t="str">
        <f>"201411003571"</f>
        <v>201411003571</v>
      </c>
    </row>
    <row r="36480" spans="1:2" x14ac:dyDescent="0.25">
      <c r="A36480" s="2">
        <v>36475</v>
      </c>
      <c r="B36480" s="11" t="str">
        <f>"201411003585"</f>
        <v>201411003585</v>
      </c>
    </row>
    <row r="36481" spans="1:2" x14ac:dyDescent="0.25">
      <c r="A36481" s="2">
        <v>36476</v>
      </c>
      <c r="B36481" s="11" t="str">
        <f>"201411003605"</f>
        <v>201411003605</v>
      </c>
    </row>
    <row r="36482" spans="1:2" x14ac:dyDescent="0.25">
      <c r="A36482" s="2">
        <v>36477</v>
      </c>
      <c r="B36482" s="11" t="str">
        <f>"201411003636"</f>
        <v>201411003636</v>
      </c>
    </row>
    <row r="36483" spans="1:2" x14ac:dyDescent="0.25">
      <c r="A36483" s="2">
        <v>36478</v>
      </c>
      <c r="B36483" s="11" t="str">
        <f>"201412000021"</f>
        <v>201412000021</v>
      </c>
    </row>
    <row r="36484" spans="1:2" x14ac:dyDescent="0.25">
      <c r="A36484" s="2">
        <v>36479</v>
      </c>
      <c r="B36484" s="11" t="str">
        <f>"201412000059"</f>
        <v>201412000059</v>
      </c>
    </row>
    <row r="36485" spans="1:2" x14ac:dyDescent="0.25">
      <c r="A36485" s="2">
        <v>36480</v>
      </c>
      <c r="B36485" s="11" t="str">
        <f>"201412000084"</f>
        <v>201412000084</v>
      </c>
    </row>
    <row r="36486" spans="1:2" x14ac:dyDescent="0.25">
      <c r="A36486" s="2">
        <v>36481</v>
      </c>
      <c r="B36486" s="11" t="str">
        <f>"201412000092"</f>
        <v>201412000092</v>
      </c>
    </row>
    <row r="36487" spans="1:2" x14ac:dyDescent="0.25">
      <c r="A36487" s="2">
        <v>36482</v>
      </c>
      <c r="B36487" s="11" t="str">
        <f>"201412000112"</f>
        <v>201412000112</v>
      </c>
    </row>
    <row r="36488" spans="1:2" x14ac:dyDescent="0.25">
      <c r="A36488" s="2">
        <v>36483</v>
      </c>
      <c r="B36488" s="11" t="str">
        <f>"201412000194"</f>
        <v>201412000194</v>
      </c>
    </row>
    <row r="36489" spans="1:2" x14ac:dyDescent="0.25">
      <c r="A36489" s="2">
        <v>36484</v>
      </c>
      <c r="B36489" s="11" t="str">
        <f>"201412000214"</f>
        <v>201412000214</v>
      </c>
    </row>
    <row r="36490" spans="1:2" x14ac:dyDescent="0.25">
      <c r="A36490" s="2">
        <v>36485</v>
      </c>
      <c r="B36490" s="11" t="str">
        <f>"201412000220"</f>
        <v>201412000220</v>
      </c>
    </row>
    <row r="36491" spans="1:2" x14ac:dyDescent="0.25">
      <c r="A36491" s="2">
        <v>36486</v>
      </c>
      <c r="B36491" s="11" t="str">
        <f>"201412000281"</f>
        <v>201412000281</v>
      </c>
    </row>
    <row r="36492" spans="1:2" x14ac:dyDescent="0.25">
      <c r="A36492" s="2">
        <v>36487</v>
      </c>
      <c r="B36492" s="11" t="str">
        <f>"201412000343"</f>
        <v>201412000343</v>
      </c>
    </row>
    <row r="36493" spans="1:2" x14ac:dyDescent="0.25">
      <c r="A36493" s="2">
        <v>36488</v>
      </c>
      <c r="B36493" s="11" t="str">
        <f>"201412000404"</f>
        <v>201412000404</v>
      </c>
    </row>
    <row r="36494" spans="1:2" x14ac:dyDescent="0.25">
      <c r="A36494" s="2">
        <v>36489</v>
      </c>
      <c r="B36494" s="11" t="str">
        <f>"201412000406"</f>
        <v>201412000406</v>
      </c>
    </row>
    <row r="36495" spans="1:2" x14ac:dyDescent="0.25">
      <c r="A36495" s="2">
        <v>36490</v>
      </c>
      <c r="B36495" s="11" t="str">
        <f>"201412000410"</f>
        <v>201412000410</v>
      </c>
    </row>
    <row r="36496" spans="1:2" x14ac:dyDescent="0.25">
      <c r="A36496" s="2">
        <v>36491</v>
      </c>
      <c r="B36496" s="11" t="str">
        <f>"201412000426"</f>
        <v>201412000426</v>
      </c>
    </row>
    <row r="36497" spans="1:2" x14ac:dyDescent="0.25">
      <c r="A36497" s="2">
        <v>36492</v>
      </c>
      <c r="B36497" s="11" t="str">
        <f>"201412000478"</f>
        <v>201412000478</v>
      </c>
    </row>
    <row r="36498" spans="1:2" x14ac:dyDescent="0.25">
      <c r="A36498" s="2">
        <v>36493</v>
      </c>
      <c r="B36498" s="11" t="str">
        <f>"201412000527"</f>
        <v>201412000527</v>
      </c>
    </row>
    <row r="36499" spans="1:2" x14ac:dyDescent="0.25">
      <c r="A36499" s="2">
        <v>36494</v>
      </c>
      <c r="B36499" s="11" t="str">
        <f>"201412000531"</f>
        <v>201412000531</v>
      </c>
    </row>
    <row r="36500" spans="1:2" x14ac:dyDescent="0.25">
      <c r="A36500" s="2">
        <v>36495</v>
      </c>
      <c r="B36500" s="11" t="str">
        <f>"201412000532"</f>
        <v>201412000532</v>
      </c>
    </row>
    <row r="36501" spans="1:2" x14ac:dyDescent="0.25">
      <c r="A36501" s="2">
        <v>36496</v>
      </c>
      <c r="B36501" s="11" t="str">
        <f>"201412000535"</f>
        <v>201412000535</v>
      </c>
    </row>
    <row r="36502" spans="1:2" x14ac:dyDescent="0.25">
      <c r="A36502" s="2">
        <v>36497</v>
      </c>
      <c r="B36502" s="11" t="str">
        <f>"201412000551"</f>
        <v>201412000551</v>
      </c>
    </row>
    <row r="36503" spans="1:2" x14ac:dyDescent="0.25">
      <c r="A36503" s="2">
        <v>36498</v>
      </c>
      <c r="B36503" s="11" t="str">
        <f>"201412000553"</f>
        <v>201412000553</v>
      </c>
    </row>
    <row r="36504" spans="1:2" x14ac:dyDescent="0.25">
      <c r="A36504" s="2">
        <v>36499</v>
      </c>
      <c r="B36504" s="11" t="str">
        <f>"201412000560"</f>
        <v>201412000560</v>
      </c>
    </row>
    <row r="36505" spans="1:2" x14ac:dyDescent="0.25">
      <c r="A36505" s="2">
        <v>36500</v>
      </c>
      <c r="B36505" s="11" t="str">
        <f>"201412000587"</f>
        <v>201412000587</v>
      </c>
    </row>
    <row r="36506" spans="1:2" x14ac:dyDescent="0.25">
      <c r="A36506" s="2">
        <v>36501</v>
      </c>
      <c r="B36506" s="11" t="str">
        <f>"201412000625"</f>
        <v>201412000625</v>
      </c>
    </row>
    <row r="36507" spans="1:2" x14ac:dyDescent="0.25">
      <c r="A36507" s="2">
        <v>36502</v>
      </c>
      <c r="B36507" s="11" t="str">
        <f>"201412000679"</f>
        <v>201412000679</v>
      </c>
    </row>
    <row r="36508" spans="1:2" x14ac:dyDescent="0.25">
      <c r="A36508" s="2">
        <v>36503</v>
      </c>
      <c r="B36508" s="11" t="str">
        <f>"201412000692"</f>
        <v>201412000692</v>
      </c>
    </row>
    <row r="36509" spans="1:2" x14ac:dyDescent="0.25">
      <c r="A36509" s="2">
        <v>36504</v>
      </c>
      <c r="B36509" s="11" t="str">
        <f>"201412000711"</f>
        <v>201412000711</v>
      </c>
    </row>
    <row r="36510" spans="1:2" x14ac:dyDescent="0.25">
      <c r="A36510" s="2">
        <v>36505</v>
      </c>
      <c r="B36510" s="11" t="str">
        <f>"201412000717"</f>
        <v>201412000717</v>
      </c>
    </row>
    <row r="36511" spans="1:2" x14ac:dyDescent="0.25">
      <c r="A36511" s="2">
        <v>36506</v>
      </c>
      <c r="B36511" s="11" t="str">
        <f>"201412000747"</f>
        <v>201412000747</v>
      </c>
    </row>
    <row r="36512" spans="1:2" x14ac:dyDescent="0.25">
      <c r="A36512" s="2">
        <v>36507</v>
      </c>
      <c r="B36512" s="11" t="str">
        <f>"201412000814"</f>
        <v>201412000814</v>
      </c>
    </row>
    <row r="36513" spans="1:2" x14ac:dyDescent="0.25">
      <c r="A36513" s="2">
        <v>36508</v>
      </c>
      <c r="B36513" s="11" t="str">
        <f>"201412000820"</f>
        <v>201412000820</v>
      </c>
    </row>
    <row r="36514" spans="1:2" x14ac:dyDescent="0.25">
      <c r="A36514" s="2">
        <v>36509</v>
      </c>
      <c r="B36514" s="11" t="str">
        <f>"201412000826"</f>
        <v>201412000826</v>
      </c>
    </row>
    <row r="36515" spans="1:2" x14ac:dyDescent="0.25">
      <c r="A36515" s="2">
        <v>36510</v>
      </c>
      <c r="B36515" s="11" t="str">
        <f>"201412000829"</f>
        <v>201412000829</v>
      </c>
    </row>
    <row r="36516" spans="1:2" x14ac:dyDescent="0.25">
      <c r="A36516" s="2">
        <v>36511</v>
      </c>
      <c r="B36516" s="11" t="str">
        <f>"201412000843"</f>
        <v>201412000843</v>
      </c>
    </row>
    <row r="36517" spans="1:2" x14ac:dyDescent="0.25">
      <c r="A36517" s="2">
        <v>36512</v>
      </c>
      <c r="B36517" s="11" t="str">
        <f>"201412000975"</f>
        <v>201412000975</v>
      </c>
    </row>
    <row r="36518" spans="1:2" x14ac:dyDescent="0.25">
      <c r="A36518" s="2">
        <v>36513</v>
      </c>
      <c r="B36518" s="11" t="str">
        <f>"201412001018"</f>
        <v>201412001018</v>
      </c>
    </row>
    <row r="36519" spans="1:2" x14ac:dyDescent="0.25">
      <c r="A36519" s="2">
        <v>36514</v>
      </c>
      <c r="B36519" s="11" t="str">
        <f>"201412001022"</f>
        <v>201412001022</v>
      </c>
    </row>
    <row r="36520" spans="1:2" x14ac:dyDescent="0.25">
      <c r="A36520" s="2">
        <v>36515</v>
      </c>
      <c r="B36520" s="11" t="str">
        <f>"201412001049"</f>
        <v>201412001049</v>
      </c>
    </row>
    <row r="36521" spans="1:2" x14ac:dyDescent="0.25">
      <c r="A36521" s="2">
        <v>36516</v>
      </c>
      <c r="B36521" s="11" t="str">
        <f>"201412001052"</f>
        <v>201412001052</v>
      </c>
    </row>
    <row r="36522" spans="1:2" x14ac:dyDescent="0.25">
      <c r="A36522" s="2">
        <v>36517</v>
      </c>
      <c r="B36522" s="11" t="str">
        <f>"201412001062"</f>
        <v>201412001062</v>
      </c>
    </row>
    <row r="36523" spans="1:2" x14ac:dyDescent="0.25">
      <c r="A36523" s="2">
        <v>36518</v>
      </c>
      <c r="B36523" s="11" t="str">
        <f>"201412001073"</f>
        <v>201412001073</v>
      </c>
    </row>
    <row r="36524" spans="1:2" x14ac:dyDescent="0.25">
      <c r="A36524" s="2">
        <v>36519</v>
      </c>
      <c r="B36524" s="11" t="str">
        <f>"201412001128"</f>
        <v>201412001128</v>
      </c>
    </row>
    <row r="36525" spans="1:2" x14ac:dyDescent="0.25">
      <c r="A36525" s="2">
        <v>36520</v>
      </c>
      <c r="B36525" s="11" t="str">
        <f>"201412001129"</f>
        <v>201412001129</v>
      </c>
    </row>
    <row r="36526" spans="1:2" x14ac:dyDescent="0.25">
      <c r="A36526" s="2">
        <v>36521</v>
      </c>
      <c r="B36526" s="11" t="str">
        <f>"201412001132"</f>
        <v>201412001132</v>
      </c>
    </row>
    <row r="36527" spans="1:2" x14ac:dyDescent="0.25">
      <c r="A36527" s="2">
        <v>36522</v>
      </c>
      <c r="B36527" s="11" t="str">
        <f>"201412001136"</f>
        <v>201412001136</v>
      </c>
    </row>
    <row r="36528" spans="1:2" x14ac:dyDescent="0.25">
      <c r="A36528" s="2">
        <v>36523</v>
      </c>
      <c r="B36528" s="11" t="str">
        <f>"201412001209"</f>
        <v>201412001209</v>
      </c>
    </row>
    <row r="36529" spans="1:2" x14ac:dyDescent="0.25">
      <c r="A36529" s="2">
        <v>36524</v>
      </c>
      <c r="B36529" s="11" t="str">
        <f>"201412001216"</f>
        <v>201412001216</v>
      </c>
    </row>
    <row r="36530" spans="1:2" x14ac:dyDescent="0.25">
      <c r="A36530" s="2">
        <v>36525</v>
      </c>
      <c r="B36530" s="11" t="str">
        <f>"201412001235"</f>
        <v>201412001235</v>
      </c>
    </row>
    <row r="36531" spans="1:2" x14ac:dyDescent="0.25">
      <c r="A36531" s="2">
        <v>36526</v>
      </c>
      <c r="B36531" s="11" t="str">
        <f>"201412001237"</f>
        <v>201412001237</v>
      </c>
    </row>
    <row r="36532" spans="1:2" x14ac:dyDescent="0.25">
      <c r="A36532" s="2">
        <v>36527</v>
      </c>
      <c r="B36532" s="11" t="str">
        <f>"201412001261"</f>
        <v>201412001261</v>
      </c>
    </row>
    <row r="36533" spans="1:2" x14ac:dyDescent="0.25">
      <c r="A36533" s="2">
        <v>36528</v>
      </c>
      <c r="B36533" s="11" t="str">
        <f>"201412001273"</f>
        <v>201412001273</v>
      </c>
    </row>
    <row r="36534" spans="1:2" x14ac:dyDescent="0.25">
      <c r="A36534" s="2">
        <v>36529</v>
      </c>
      <c r="B36534" s="11" t="str">
        <f>"201412001287"</f>
        <v>201412001287</v>
      </c>
    </row>
    <row r="36535" spans="1:2" x14ac:dyDescent="0.25">
      <c r="A36535" s="2">
        <v>36530</v>
      </c>
      <c r="B36535" s="11" t="str">
        <f>"201412001310"</f>
        <v>201412001310</v>
      </c>
    </row>
    <row r="36536" spans="1:2" x14ac:dyDescent="0.25">
      <c r="A36536" s="2">
        <v>36531</v>
      </c>
      <c r="B36536" s="11" t="str">
        <f>"201412001315"</f>
        <v>201412001315</v>
      </c>
    </row>
    <row r="36537" spans="1:2" x14ac:dyDescent="0.25">
      <c r="A36537" s="2">
        <v>36532</v>
      </c>
      <c r="B36537" s="11" t="str">
        <f>"201412001355"</f>
        <v>201412001355</v>
      </c>
    </row>
    <row r="36538" spans="1:2" x14ac:dyDescent="0.25">
      <c r="A36538" s="2">
        <v>36533</v>
      </c>
      <c r="B36538" s="11" t="str">
        <f>"201412001365"</f>
        <v>201412001365</v>
      </c>
    </row>
    <row r="36539" spans="1:2" x14ac:dyDescent="0.25">
      <c r="A36539" s="2">
        <v>36534</v>
      </c>
      <c r="B36539" s="11" t="str">
        <f>"201412001407"</f>
        <v>201412001407</v>
      </c>
    </row>
    <row r="36540" spans="1:2" x14ac:dyDescent="0.25">
      <c r="A36540" s="2">
        <v>36535</v>
      </c>
      <c r="B36540" s="11" t="str">
        <f>"201412001423"</f>
        <v>201412001423</v>
      </c>
    </row>
    <row r="36541" spans="1:2" x14ac:dyDescent="0.25">
      <c r="A36541" s="2">
        <v>36536</v>
      </c>
      <c r="B36541" s="11" t="str">
        <f>"201412001456"</f>
        <v>201412001456</v>
      </c>
    </row>
    <row r="36542" spans="1:2" x14ac:dyDescent="0.25">
      <c r="A36542" s="2">
        <v>36537</v>
      </c>
      <c r="B36542" s="11" t="str">
        <f>"201412001463"</f>
        <v>201412001463</v>
      </c>
    </row>
    <row r="36543" spans="1:2" x14ac:dyDescent="0.25">
      <c r="A36543" s="2">
        <v>36538</v>
      </c>
      <c r="B36543" s="11" t="str">
        <f>"201412001470"</f>
        <v>201412001470</v>
      </c>
    </row>
    <row r="36544" spans="1:2" x14ac:dyDescent="0.25">
      <c r="A36544" s="2">
        <v>36539</v>
      </c>
      <c r="B36544" s="11" t="str">
        <f>"201412001471"</f>
        <v>201412001471</v>
      </c>
    </row>
    <row r="36545" spans="1:2" x14ac:dyDescent="0.25">
      <c r="A36545" s="2">
        <v>36540</v>
      </c>
      <c r="B36545" s="11" t="str">
        <f>"201412001475"</f>
        <v>201412001475</v>
      </c>
    </row>
    <row r="36546" spans="1:2" x14ac:dyDescent="0.25">
      <c r="A36546" s="2">
        <v>36541</v>
      </c>
      <c r="B36546" s="11" t="str">
        <f>"201412001502"</f>
        <v>201412001502</v>
      </c>
    </row>
    <row r="36547" spans="1:2" x14ac:dyDescent="0.25">
      <c r="A36547" s="2">
        <v>36542</v>
      </c>
      <c r="B36547" s="11" t="str">
        <f>"201412001508"</f>
        <v>201412001508</v>
      </c>
    </row>
    <row r="36548" spans="1:2" x14ac:dyDescent="0.25">
      <c r="A36548" s="2">
        <v>36543</v>
      </c>
      <c r="B36548" s="11" t="str">
        <f>"201412001593"</f>
        <v>201412001593</v>
      </c>
    </row>
    <row r="36549" spans="1:2" x14ac:dyDescent="0.25">
      <c r="A36549" s="2">
        <v>36544</v>
      </c>
      <c r="B36549" s="11" t="str">
        <f>"201412001619"</f>
        <v>201412001619</v>
      </c>
    </row>
    <row r="36550" spans="1:2" x14ac:dyDescent="0.25">
      <c r="A36550" s="2">
        <v>36545</v>
      </c>
      <c r="B36550" s="11" t="str">
        <f>"201412001647"</f>
        <v>201412001647</v>
      </c>
    </row>
    <row r="36551" spans="1:2" x14ac:dyDescent="0.25">
      <c r="A36551" s="2">
        <v>36546</v>
      </c>
      <c r="B36551" s="11" t="str">
        <f>"201412001648"</f>
        <v>201412001648</v>
      </c>
    </row>
    <row r="36552" spans="1:2" x14ac:dyDescent="0.25">
      <c r="A36552" s="2">
        <v>36547</v>
      </c>
      <c r="B36552" s="11" t="str">
        <f>"201412001649"</f>
        <v>201412001649</v>
      </c>
    </row>
    <row r="36553" spans="1:2" x14ac:dyDescent="0.25">
      <c r="A36553" s="2">
        <v>36548</v>
      </c>
      <c r="B36553" s="11" t="str">
        <f>"201412001687"</f>
        <v>201412001687</v>
      </c>
    </row>
    <row r="36554" spans="1:2" x14ac:dyDescent="0.25">
      <c r="A36554" s="2">
        <v>36549</v>
      </c>
      <c r="B36554" s="11" t="str">
        <f>"201412001708"</f>
        <v>201412001708</v>
      </c>
    </row>
    <row r="36555" spans="1:2" x14ac:dyDescent="0.25">
      <c r="A36555" s="2">
        <v>36550</v>
      </c>
      <c r="B36555" s="11" t="str">
        <f>"201412001723"</f>
        <v>201412001723</v>
      </c>
    </row>
    <row r="36556" spans="1:2" x14ac:dyDescent="0.25">
      <c r="A36556" s="2">
        <v>36551</v>
      </c>
      <c r="B36556" s="11" t="str">
        <f>"201412001731"</f>
        <v>201412001731</v>
      </c>
    </row>
    <row r="36557" spans="1:2" x14ac:dyDescent="0.25">
      <c r="A36557" s="2">
        <v>36552</v>
      </c>
      <c r="B36557" s="11" t="str">
        <f>"201412001769"</f>
        <v>201412001769</v>
      </c>
    </row>
    <row r="36558" spans="1:2" x14ac:dyDescent="0.25">
      <c r="A36558" s="2">
        <v>36553</v>
      </c>
      <c r="B36558" s="11" t="str">
        <f>"201412001770"</f>
        <v>201412001770</v>
      </c>
    </row>
    <row r="36559" spans="1:2" x14ac:dyDescent="0.25">
      <c r="A36559" s="2">
        <v>36554</v>
      </c>
      <c r="B36559" s="11" t="str">
        <f>"201412001791"</f>
        <v>201412001791</v>
      </c>
    </row>
    <row r="36560" spans="1:2" x14ac:dyDescent="0.25">
      <c r="A36560" s="2">
        <v>36555</v>
      </c>
      <c r="B36560" s="11" t="str">
        <f>"201412001796"</f>
        <v>201412001796</v>
      </c>
    </row>
    <row r="36561" spans="1:2" x14ac:dyDescent="0.25">
      <c r="A36561" s="2">
        <v>36556</v>
      </c>
      <c r="B36561" s="11" t="str">
        <f>"201412001815"</f>
        <v>201412001815</v>
      </c>
    </row>
    <row r="36562" spans="1:2" x14ac:dyDescent="0.25">
      <c r="A36562" s="2">
        <v>36557</v>
      </c>
      <c r="B36562" s="11" t="str">
        <f>"201412001816"</f>
        <v>201412001816</v>
      </c>
    </row>
    <row r="36563" spans="1:2" x14ac:dyDescent="0.25">
      <c r="A36563" s="2">
        <v>36558</v>
      </c>
      <c r="B36563" s="11" t="str">
        <f>"201412001818"</f>
        <v>201412001818</v>
      </c>
    </row>
    <row r="36564" spans="1:2" x14ac:dyDescent="0.25">
      <c r="A36564" s="2">
        <v>36559</v>
      </c>
      <c r="B36564" s="11" t="str">
        <f>"201412001819"</f>
        <v>201412001819</v>
      </c>
    </row>
    <row r="36565" spans="1:2" x14ac:dyDescent="0.25">
      <c r="A36565" s="2">
        <v>36560</v>
      </c>
      <c r="B36565" s="11" t="str">
        <f>"201412001821"</f>
        <v>201412001821</v>
      </c>
    </row>
    <row r="36566" spans="1:2" x14ac:dyDescent="0.25">
      <c r="A36566" s="2">
        <v>36561</v>
      </c>
      <c r="B36566" s="11" t="str">
        <f>"201412001833"</f>
        <v>201412001833</v>
      </c>
    </row>
    <row r="36567" spans="1:2" x14ac:dyDescent="0.25">
      <c r="A36567" s="2">
        <v>36562</v>
      </c>
      <c r="B36567" s="11" t="str">
        <f>"201412001871"</f>
        <v>201412001871</v>
      </c>
    </row>
    <row r="36568" spans="1:2" x14ac:dyDescent="0.25">
      <c r="A36568" s="2">
        <v>36563</v>
      </c>
      <c r="B36568" s="11" t="str">
        <f>"201412001891"</f>
        <v>201412001891</v>
      </c>
    </row>
    <row r="36569" spans="1:2" x14ac:dyDescent="0.25">
      <c r="A36569" s="2">
        <v>36564</v>
      </c>
      <c r="B36569" s="11" t="str">
        <f>"201412001902"</f>
        <v>201412001902</v>
      </c>
    </row>
    <row r="36570" spans="1:2" x14ac:dyDescent="0.25">
      <c r="A36570" s="2">
        <v>36565</v>
      </c>
      <c r="B36570" s="11" t="str">
        <f>"201412002020"</f>
        <v>201412002020</v>
      </c>
    </row>
    <row r="36571" spans="1:2" x14ac:dyDescent="0.25">
      <c r="A36571" s="2">
        <v>36566</v>
      </c>
      <c r="B36571" s="11" t="str">
        <f>"201412002033"</f>
        <v>201412002033</v>
      </c>
    </row>
    <row r="36572" spans="1:2" x14ac:dyDescent="0.25">
      <c r="A36572" s="2">
        <v>36567</v>
      </c>
      <c r="B36572" s="11" t="str">
        <f>"201412002046"</f>
        <v>201412002046</v>
      </c>
    </row>
    <row r="36573" spans="1:2" x14ac:dyDescent="0.25">
      <c r="A36573" s="2">
        <v>36568</v>
      </c>
      <c r="B36573" s="11" t="str">
        <f>"201412002057"</f>
        <v>201412002057</v>
      </c>
    </row>
    <row r="36574" spans="1:2" x14ac:dyDescent="0.25">
      <c r="A36574" s="2">
        <v>36569</v>
      </c>
      <c r="B36574" s="11" t="str">
        <f>"201412002058"</f>
        <v>201412002058</v>
      </c>
    </row>
    <row r="36575" spans="1:2" x14ac:dyDescent="0.25">
      <c r="A36575" s="2">
        <v>36570</v>
      </c>
      <c r="B36575" s="11" t="str">
        <f>"201412002060"</f>
        <v>201412002060</v>
      </c>
    </row>
    <row r="36576" spans="1:2" x14ac:dyDescent="0.25">
      <c r="A36576" s="2">
        <v>36571</v>
      </c>
      <c r="B36576" s="11" t="str">
        <f>"201412002071"</f>
        <v>201412002071</v>
      </c>
    </row>
    <row r="36577" spans="1:2" x14ac:dyDescent="0.25">
      <c r="A36577" s="2">
        <v>36572</v>
      </c>
      <c r="B36577" s="11" t="str">
        <f>"201412002073"</f>
        <v>201412002073</v>
      </c>
    </row>
    <row r="36578" spans="1:2" x14ac:dyDescent="0.25">
      <c r="A36578" s="2">
        <v>36573</v>
      </c>
      <c r="B36578" s="11" t="str">
        <f>"201412002122"</f>
        <v>201412002122</v>
      </c>
    </row>
    <row r="36579" spans="1:2" x14ac:dyDescent="0.25">
      <c r="A36579" s="2">
        <v>36574</v>
      </c>
      <c r="B36579" s="11" t="str">
        <f>"201412002139"</f>
        <v>201412002139</v>
      </c>
    </row>
    <row r="36580" spans="1:2" x14ac:dyDescent="0.25">
      <c r="A36580" s="2">
        <v>36575</v>
      </c>
      <c r="B36580" s="11" t="str">
        <f>"201412002154"</f>
        <v>201412002154</v>
      </c>
    </row>
    <row r="36581" spans="1:2" x14ac:dyDescent="0.25">
      <c r="A36581" s="2">
        <v>36576</v>
      </c>
      <c r="B36581" s="11" t="str">
        <f>"201412002161"</f>
        <v>201412002161</v>
      </c>
    </row>
    <row r="36582" spans="1:2" x14ac:dyDescent="0.25">
      <c r="A36582" s="2">
        <v>36577</v>
      </c>
      <c r="B36582" s="11" t="str">
        <f>"201412002173"</f>
        <v>201412002173</v>
      </c>
    </row>
    <row r="36583" spans="1:2" x14ac:dyDescent="0.25">
      <c r="A36583" s="2">
        <v>36578</v>
      </c>
      <c r="B36583" s="11" t="str">
        <f>"201412002194"</f>
        <v>201412002194</v>
      </c>
    </row>
    <row r="36584" spans="1:2" x14ac:dyDescent="0.25">
      <c r="A36584" s="2">
        <v>36579</v>
      </c>
      <c r="B36584" s="11" t="str">
        <f>"201412002238"</f>
        <v>201412002238</v>
      </c>
    </row>
    <row r="36585" spans="1:2" x14ac:dyDescent="0.25">
      <c r="A36585" s="2">
        <v>36580</v>
      </c>
      <c r="B36585" s="11" t="str">
        <f>"201412002270"</f>
        <v>201412002270</v>
      </c>
    </row>
    <row r="36586" spans="1:2" x14ac:dyDescent="0.25">
      <c r="A36586" s="2">
        <v>36581</v>
      </c>
      <c r="B36586" s="11" t="str">
        <f>"201412002272"</f>
        <v>201412002272</v>
      </c>
    </row>
    <row r="36587" spans="1:2" x14ac:dyDescent="0.25">
      <c r="A36587" s="2">
        <v>36582</v>
      </c>
      <c r="B36587" s="11" t="str">
        <f>"201412002276"</f>
        <v>201412002276</v>
      </c>
    </row>
    <row r="36588" spans="1:2" x14ac:dyDescent="0.25">
      <c r="A36588" s="2">
        <v>36583</v>
      </c>
      <c r="B36588" s="11" t="str">
        <f>"201412002282"</f>
        <v>201412002282</v>
      </c>
    </row>
    <row r="36589" spans="1:2" x14ac:dyDescent="0.25">
      <c r="A36589" s="2">
        <v>36584</v>
      </c>
      <c r="B36589" s="11" t="str">
        <f>"201412002284"</f>
        <v>201412002284</v>
      </c>
    </row>
    <row r="36590" spans="1:2" x14ac:dyDescent="0.25">
      <c r="A36590" s="2">
        <v>36585</v>
      </c>
      <c r="B36590" s="11" t="str">
        <f>"201412002292"</f>
        <v>201412002292</v>
      </c>
    </row>
    <row r="36591" spans="1:2" x14ac:dyDescent="0.25">
      <c r="A36591" s="2">
        <v>36586</v>
      </c>
      <c r="B36591" s="11" t="str">
        <f>"201412002441"</f>
        <v>201412002441</v>
      </c>
    </row>
    <row r="36592" spans="1:2" x14ac:dyDescent="0.25">
      <c r="A36592" s="2">
        <v>36587</v>
      </c>
      <c r="B36592" s="11" t="str">
        <f>"201412002455"</f>
        <v>201412002455</v>
      </c>
    </row>
    <row r="36593" spans="1:2" x14ac:dyDescent="0.25">
      <c r="A36593" s="2">
        <v>36588</v>
      </c>
      <c r="B36593" s="11" t="str">
        <f>"201412002485"</f>
        <v>201412002485</v>
      </c>
    </row>
    <row r="36594" spans="1:2" x14ac:dyDescent="0.25">
      <c r="A36594" s="2">
        <v>36589</v>
      </c>
      <c r="B36594" s="11" t="str">
        <f>"201412002492"</f>
        <v>201412002492</v>
      </c>
    </row>
    <row r="36595" spans="1:2" x14ac:dyDescent="0.25">
      <c r="A36595" s="2">
        <v>36590</v>
      </c>
      <c r="B36595" s="11" t="str">
        <f>"201412002510"</f>
        <v>201412002510</v>
      </c>
    </row>
    <row r="36596" spans="1:2" x14ac:dyDescent="0.25">
      <c r="A36596" s="2">
        <v>36591</v>
      </c>
      <c r="B36596" s="11" t="str">
        <f>"201412002521"</f>
        <v>201412002521</v>
      </c>
    </row>
    <row r="36597" spans="1:2" x14ac:dyDescent="0.25">
      <c r="A36597" s="2">
        <v>36592</v>
      </c>
      <c r="B36597" s="11" t="str">
        <f>"201412002525"</f>
        <v>201412002525</v>
      </c>
    </row>
    <row r="36598" spans="1:2" x14ac:dyDescent="0.25">
      <c r="A36598" s="2">
        <v>36593</v>
      </c>
      <c r="B36598" s="11" t="str">
        <f>"201412002543"</f>
        <v>201412002543</v>
      </c>
    </row>
    <row r="36599" spans="1:2" x14ac:dyDescent="0.25">
      <c r="A36599" s="2">
        <v>36594</v>
      </c>
      <c r="B36599" s="11" t="str">
        <f>"201412002544"</f>
        <v>201412002544</v>
      </c>
    </row>
    <row r="36600" spans="1:2" x14ac:dyDescent="0.25">
      <c r="A36600" s="2">
        <v>36595</v>
      </c>
      <c r="B36600" s="11" t="str">
        <f>"201412002574"</f>
        <v>201412002574</v>
      </c>
    </row>
    <row r="36601" spans="1:2" x14ac:dyDescent="0.25">
      <c r="A36601" s="2">
        <v>36596</v>
      </c>
      <c r="B36601" s="11" t="str">
        <f>"201412002621"</f>
        <v>201412002621</v>
      </c>
    </row>
    <row r="36602" spans="1:2" x14ac:dyDescent="0.25">
      <c r="A36602" s="2">
        <v>36597</v>
      </c>
      <c r="B36602" s="11" t="str">
        <f>"201412002643"</f>
        <v>201412002643</v>
      </c>
    </row>
    <row r="36603" spans="1:2" x14ac:dyDescent="0.25">
      <c r="A36603" s="2">
        <v>36598</v>
      </c>
      <c r="B36603" s="11" t="str">
        <f>"201412002645"</f>
        <v>201412002645</v>
      </c>
    </row>
    <row r="36604" spans="1:2" x14ac:dyDescent="0.25">
      <c r="A36604" s="2">
        <v>36599</v>
      </c>
      <c r="B36604" s="11" t="str">
        <f>"201412002654"</f>
        <v>201412002654</v>
      </c>
    </row>
    <row r="36605" spans="1:2" x14ac:dyDescent="0.25">
      <c r="A36605" s="2">
        <v>36600</v>
      </c>
      <c r="B36605" s="11" t="str">
        <f>"201412002675"</f>
        <v>201412002675</v>
      </c>
    </row>
    <row r="36606" spans="1:2" x14ac:dyDescent="0.25">
      <c r="A36606" s="2">
        <v>36601</v>
      </c>
      <c r="B36606" s="11" t="str">
        <f>"201412002680"</f>
        <v>201412002680</v>
      </c>
    </row>
    <row r="36607" spans="1:2" x14ac:dyDescent="0.25">
      <c r="A36607" s="2">
        <v>36602</v>
      </c>
      <c r="B36607" s="11" t="str">
        <f>"201412002694"</f>
        <v>201412002694</v>
      </c>
    </row>
    <row r="36608" spans="1:2" x14ac:dyDescent="0.25">
      <c r="A36608" s="2">
        <v>36603</v>
      </c>
      <c r="B36608" s="11" t="str">
        <f>"201412002741"</f>
        <v>201412002741</v>
      </c>
    </row>
    <row r="36609" spans="1:2" x14ac:dyDescent="0.25">
      <c r="A36609" s="2">
        <v>36604</v>
      </c>
      <c r="B36609" s="11" t="str">
        <f>"201412002743"</f>
        <v>201412002743</v>
      </c>
    </row>
    <row r="36610" spans="1:2" x14ac:dyDescent="0.25">
      <c r="A36610" s="2">
        <v>36605</v>
      </c>
      <c r="B36610" s="11" t="str">
        <f>"201412002749"</f>
        <v>201412002749</v>
      </c>
    </row>
    <row r="36611" spans="1:2" x14ac:dyDescent="0.25">
      <c r="A36611" s="2">
        <v>36606</v>
      </c>
      <c r="B36611" s="11" t="str">
        <f>"201412002785"</f>
        <v>201412002785</v>
      </c>
    </row>
    <row r="36612" spans="1:2" x14ac:dyDescent="0.25">
      <c r="A36612" s="2">
        <v>36607</v>
      </c>
      <c r="B36612" s="11" t="str">
        <f>"201412002812"</f>
        <v>201412002812</v>
      </c>
    </row>
    <row r="36613" spans="1:2" x14ac:dyDescent="0.25">
      <c r="A36613" s="2">
        <v>36608</v>
      </c>
      <c r="B36613" s="11" t="str">
        <f>"201412002862"</f>
        <v>201412002862</v>
      </c>
    </row>
    <row r="36614" spans="1:2" x14ac:dyDescent="0.25">
      <c r="A36614" s="2">
        <v>36609</v>
      </c>
      <c r="B36614" s="11" t="str">
        <f>"201412002871"</f>
        <v>201412002871</v>
      </c>
    </row>
    <row r="36615" spans="1:2" x14ac:dyDescent="0.25">
      <c r="A36615" s="2">
        <v>36610</v>
      </c>
      <c r="B36615" s="11" t="str">
        <f>"201412002875"</f>
        <v>201412002875</v>
      </c>
    </row>
    <row r="36616" spans="1:2" x14ac:dyDescent="0.25">
      <c r="A36616" s="2">
        <v>36611</v>
      </c>
      <c r="B36616" s="11" t="str">
        <f>"201412002912"</f>
        <v>201412002912</v>
      </c>
    </row>
    <row r="36617" spans="1:2" x14ac:dyDescent="0.25">
      <c r="A36617" s="2">
        <v>36612</v>
      </c>
      <c r="B36617" s="11" t="str">
        <f>"201412002914"</f>
        <v>201412002914</v>
      </c>
    </row>
    <row r="36618" spans="1:2" x14ac:dyDescent="0.25">
      <c r="A36618" s="2">
        <v>36613</v>
      </c>
      <c r="B36618" s="11" t="str">
        <f>"201412002940"</f>
        <v>201412002940</v>
      </c>
    </row>
    <row r="36619" spans="1:2" x14ac:dyDescent="0.25">
      <c r="A36619" s="2">
        <v>36614</v>
      </c>
      <c r="B36619" s="11" t="str">
        <f>"201412002961"</f>
        <v>201412002961</v>
      </c>
    </row>
    <row r="36620" spans="1:2" x14ac:dyDescent="0.25">
      <c r="A36620" s="2">
        <v>36615</v>
      </c>
      <c r="B36620" s="11" t="str">
        <f>"201412003007"</f>
        <v>201412003007</v>
      </c>
    </row>
    <row r="36621" spans="1:2" x14ac:dyDescent="0.25">
      <c r="A36621" s="2">
        <v>36616</v>
      </c>
      <c r="B36621" s="11" t="str">
        <f>"201412003093"</f>
        <v>201412003093</v>
      </c>
    </row>
    <row r="36622" spans="1:2" x14ac:dyDescent="0.25">
      <c r="A36622" s="2">
        <v>36617</v>
      </c>
      <c r="B36622" s="11" t="str">
        <f>"201412003121"</f>
        <v>201412003121</v>
      </c>
    </row>
    <row r="36623" spans="1:2" x14ac:dyDescent="0.25">
      <c r="A36623" s="2">
        <v>36618</v>
      </c>
      <c r="B36623" s="11" t="str">
        <f>"201412003158"</f>
        <v>201412003158</v>
      </c>
    </row>
    <row r="36624" spans="1:2" x14ac:dyDescent="0.25">
      <c r="A36624" s="2">
        <v>36619</v>
      </c>
      <c r="B36624" s="11" t="str">
        <f>"201412003164"</f>
        <v>201412003164</v>
      </c>
    </row>
    <row r="36625" spans="1:2" x14ac:dyDescent="0.25">
      <c r="A36625" s="2">
        <v>36620</v>
      </c>
      <c r="B36625" s="11" t="str">
        <f>"201412003253"</f>
        <v>201412003253</v>
      </c>
    </row>
    <row r="36626" spans="1:2" x14ac:dyDescent="0.25">
      <c r="A36626" s="2">
        <v>36621</v>
      </c>
      <c r="B36626" s="11" t="str">
        <f>"201412003265"</f>
        <v>201412003265</v>
      </c>
    </row>
    <row r="36627" spans="1:2" x14ac:dyDescent="0.25">
      <c r="A36627" s="2">
        <v>36622</v>
      </c>
      <c r="B36627" s="11" t="str">
        <f>"201412003277"</f>
        <v>201412003277</v>
      </c>
    </row>
    <row r="36628" spans="1:2" x14ac:dyDescent="0.25">
      <c r="A36628" s="2">
        <v>36623</v>
      </c>
      <c r="B36628" s="11" t="str">
        <f>"201412003287"</f>
        <v>201412003287</v>
      </c>
    </row>
    <row r="36629" spans="1:2" x14ac:dyDescent="0.25">
      <c r="A36629" s="2">
        <v>36624</v>
      </c>
      <c r="B36629" s="11" t="str">
        <f>"201412003301"</f>
        <v>201412003301</v>
      </c>
    </row>
    <row r="36630" spans="1:2" x14ac:dyDescent="0.25">
      <c r="A36630" s="2">
        <v>36625</v>
      </c>
      <c r="B36630" s="11" t="str">
        <f>"201412003347"</f>
        <v>201412003347</v>
      </c>
    </row>
    <row r="36631" spans="1:2" x14ac:dyDescent="0.25">
      <c r="A36631" s="2">
        <v>36626</v>
      </c>
      <c r="B36631" s="11" t="str">
        <f>"201412003433"</f>
        <v>201412003433</v>
      </c>
    </row>
    <row r="36632" spans="1:2" x14ac:dyDescent="0.25">
      <c r="A36632" s="2">
        <v>36627</v>
      </c>
      <c r="B36632" s="11" t="str">
        <f>"201412003458"</f>
        <v>201412003458</v>
      </c>
    </row>
    <row r="36633" spans="1:2" x14ac:dyDescent="0.25">
      <c r="A36633" s="2">
        <v>36628</v>
      </c>
      <c r="B36633" s="11" t="str">
        <f>"201412003468"</f>
        <v>201412003468</v>
      </c>
    </row>
    <row r="36634" spans="1:2" x14ac:dyDescent="0.25">
      <c r="A36634" s="2">
        <v>36629</v>
      </c>
      <c r="B36634" s="11" t="str">
        <f>"201412003486"</f>
        <v>201412003486</v>
      </c>
    </row>
    <row r="36635" spans="1:2" x14ac:dyDescent="0.25">
      <c r="A36635" s="2">
        <v>36630</v>
      </c>
      <c r="B36635" s="11" t="str">
        <f>"201412003722"</f>
        <v>201412003722</v>
      </c>
    </row>
    <row r="36636" spans="1:2" x14ac:dyDescent="0.25">
      <c r="A36636" s="2">
        <v>36631</v>
      </c>
      <c r="B36636" s="11" t="str">
        <f>"201412003752"</f>
        <v>201412003752</v>
      </c>
    </row>
    <row r="36637" spans="1:2" x14ac:dyDescent="0.25">
      <c r="A36637" s="2">
        <v>36632</v>
      </c>
      <c r="B36637" s="11" t="str">
        <f>"201412003804"</f>
        <v>201412003804</v>
      </c>
    </row>
    <row r="36638" spans="1:2" x14ac:dyDescent="0.25">
      <c r="A36638" s="2">
        <v>36633</v>
      </c>
      <c r="B36638" s="11" t="str">
        <f>"201412003823"</f>
        <v>201412003823</v>
      </c>
    </row>
    <row r="36639" spans="1:2" x14ac:dyDescent="0.25">
      <c r="A36639" s="2">
        <v>36634</v>
      </c>
      <c r="B36639" s="11" t="str">
        <f>"201412003837"</f>
        <v>201412003837</v>
      </c>
    </row>
    <row r="36640" spans="1:2" x14ac:dyDescent="0.25">
      <c r="A36640" s="2">
        <v>36635</v>
      </c>
      <c r="B36640" s="11" t="str">
        <f>"201412003851"</f>
        <v>201412003851</v>
      </c>
    </row>
    <row r="36641" spans="1:2" x14ac:dyDescent="0.25">
      <c r="A36641" s="2">
        <v>36636</v>
      </c>
      <c r="B36641" s="11" t="str">
        <f>"201412003856"</f>
        <v>201412003856</v>
      </c>
    </row>
    <row r="36642" spans="1:2" x14ac:dyDescent="0.25">
      <c r="A36642" s="2">
        <v>36637</v>
      </c>
      <c r="B36642" s="11" t="str">
        <f>"201412003861"</f>
        <v>201412003861</v>
      </c>
    </row>
    <row r="36643" spans="1:2" x14ac:dyDescent="0.25">
      <c r="A36643" s="2">
        <v>36638</v>
      </c>
      <c r="B36643" s="11" t="str">
        <f>"201412003863"</f>
        <v>201412003863</v>
      </c>
    </row>
    <row r="36644" spans="1:2" x14ac:dyDescent="0.25">
      <c r="A36644" s="2">
        <v>36639</v>
      </c>
      <c r="B36644" s="11" t="str">
        <f>"201412003872"</f>
        <v>201412003872</v>
      </c>
    </row>
    <row r="36645" spans="1:2" x14ac:dyDescent="0.25">
      <c r="A36645" s="2">
        <v>36640</v>
      </c>
      <c r="B36645" s="11" t="str">
        <f>"201412003896"</f>
        <v>201412003896</v>
      </c>
    </row>
    <row r="36646" spans="1:2" x14ac:dyDescent="0.25">
      <c r="A36646" s="2">
        <v>36641</v>
      </c>
      <c r="B36646" s="11" t="str">
        <f>"201412003909"</f>
        <v>201412003909</v>
      </c>
    </row>
    <row r="36647" spans="1:2" x14ac:dyDescent="0.25">
      <c r="A36647" s="2">
        <v>36642</v>
      </c>
      <c r="B36647" s="11" t="str">
        <f>"201412003946"</f>
        <v>201412003946</v>
      </c>
    </row>
    <row r="36648" spans="1:2" x14ac:dyDescent="0.25">
      <c r="A36648" s="2">
        <v>36643</v>
      </c>
      <c r="B36648" s="11" t="str">
        <f>"201412003959"</f>
        <v>201412003959</v>
      </c>
    </row>
    <row r="36649" spans="1:2" x14ac:dyDescent="0.25">
      <c r="A36649" s="2">
        <v>36644</v>
      </c>
      <c r="B36649" s="11" t="str">
        <f>"201412003982"</f>
        <v>201412003982</v>
      </c>
    </row>
    <row r="36650" spans="1:2" x14ac:dyDescent="0.25">
      <c r="A36650" s="2">
        <v>36645</v>
      </c>
      <c r="B36650" s="11" t="str">
        <f>"201412003990"</f>
        <v>201412003990</v>
      </c>
    </row>
    <row r="36651" spans="1:2" x14ac:dyDescent="0.25">
      <c r="A36651" s="2">
        <v>36646</v>
      </c>
      <c r="B36651" s="11" t="str">
        <f>"201412004016"</f>
        <v>201412004016</v>
      </c>
    </row>
    <row r="36652" spans="1:2" x14ac:dyDescent="0.25">
      <c r="A36652" s="2">
        <v>36647</v>
      </c>
      <c r="B36652" s="11" t="str">
        <f>"201412004076"</f>
        <v>201412004076</v>
      </c>
    </row>
    <row r="36653" spans="1:2" x14ac:dyDescent="0.25">
      <c r="A36653" s="2">
        <v>36648</v>
      </c>
      <c r="B36653" s="11" t="str">
        <f>"201412004132"</f>
        <v>201412004132</v>
      </c>
    </row>
    <row r="36654" spans="1:2" x14ac:dyDescent="0.25">
      <c r="A36654" s="2">
        <v>36649</v>
      </c>
      <c r="B36654" s="11" t="str">
        <f>"201412004145"</f>
        <v>201412004145</v>
      </c>
    </row>
    <row r="36655" spans="1:2" x14ac:dyDescent="0.25">
      <c r="A36655" s="2">
        <v>36650</v>
      </c>
      <c r="B36655" s="11" t="str">
        <f>"201412004163"</f>
        <v>201412004163</v>
      </c>
    </row>
    <row r="36656" spans="1:2" x14ac:dyDescent="0.25">
      <c r="A36656" s="2">
        <v>36651</v>
      </c>
      <c r="B36656" s="11" t="str">
        <f>"201412004196"</f>
        <v>201412004196</v>
      </c>
    </row>
    <row r="36657" spans="1:2" x14ac:dyDescent="0.25">
      <c r="A36657" s="2">
        <v>36652</v>
      </c>
      <c r="B36657" s="11" t="str">
        <f>"201412004256"</f>
        <v>201412004256</v>
      </c>
    </row>
    <row r="36658" spans="1:2" x14ac:dyDescent="0.25">
      <c r="A36658" s="2">
        <v>36653</v>
      </c>
      <c r="B36658" s="11" t="str">
        <f>"201412004268"</f>
        <v>201412004268</v>
      </c>
    </row>
    <row r="36659" spans="1:2" x14ac:dyDescent="0.25">
      <c r="A36659" s="2">
        <v>36654</v>
      </c>
      <c r="B36659" s="11" t="str">
        <f>"201412004313"</f>
        <v>201412004313</v>
      </c>
    </row>
    <row r="36660" spans="1:2" x14ac:dyDescent="0.25">
      <c r="A36660" s="2">
        <v>36655</v>
      </c>
      <c r="B36660" s="11" t="str">
        <f>"201412004346"</f>
        <v>201412004346</v>
      </c>
    </row>
    <row r="36661" spans="1:2" x14ac:dyDescent="0.25">
      <c r="A36661" s="2">
        <v>36656</v>
      </c>
      <c r="B36661" s="11" t="str">
        <f>"201412004356"</f>
        <v>201412004356</v>
      </c>
    </row>
    <row r="36662" spans="1:2" x14ac:dyDescent="0.25">
      <c r="A36662" s="2">
        <v>36657</v>
      </c>
      <c r="B36662" s="11" t="str">
        <f>"201412004357"</f>
        <v>201412004357</v>
      </c>
    </row>
    <row r="36663" spans="1:2" x14ac:dyDescent="0.25">
      <c r="A36663" s="2">
        <v>36658</v>
      </c>
      <c r="B36663" s="11" t="str">
        <f>"201412004378"</f>
        <v>201412004378</v>
      </c>
    </row>
    <row r="36664" spans="1:2" x14ac:dyDescent="0.25">
      <c r="A36664" s="2">
        <v>36659</v>
      </c>
      <c r="B36664" s="11" t="str">
        <f>"201412004389"</f>
        <v>201412004389</v>
      </c>
    </row>
    <row r="36665" spans="1:2" x14ac:dyDescent="0.25">
      <c r="A36665" s="2">
        <v>36660</v>
      </c>
      <c r="B36665" s="11" t="str">
        <f>"201412004408"</f>
        <v>201412004408</v>
      </c>
    </row>
    <row r="36666" spans="1:2" x14ac:dyDescent="0.25">
      <c r="A36666" s="2">
        <v>36661</v>
      </c>
      <c r="B36666" s="11" t="str">
        <f>"201412004482"</f>
        <v>201412004482</v>
      </c>
    </row>
    <row r="36667" spans="1:2" x14ac:dyDescent="0.25">
      <c r="A36667" s="2">
        <v>36662</v>
      </c>
      <c r="B36667" s="11" t="str">
        <f>"201412004492"</f>
        <v>201412004492</v>
      </c>
    </row>
    <row r="36668" spans="1:2" x14ac:dyDescent="0.25">
      <c r="A36668" s="2">
        <v>36663</v>
      </c>
      <c r="B36668" s="11" t="str">
        <f>"201412004501"</f>
        <v>201412004501</v>
      </c>
    </row>
    <row r="36669" spans="1:2" x14ac:dyDescent="0.25">
      <c r="A36669" s="2">
        <v>36664</v>
      </c>
      <c r="B36669" s="11" t="str">
        <f>"201412004505"</f>
        <v>201412004505</v>
      </c>
    </row>
    <row r="36670" spans="1:2" x14ac:dyDescent="0.25">
      <c r="A36670" s="2">
        <v>36665</v>
      </c>
      <c r="B36670" s="11" t="str">
        <f>"201412004538"</f>
        <v>201412004538</v>
      </c>
    </row>
    <row r="36671" spans="1:2" x14ac:dyDescent="0.25">
      <c r="A36671" s="2">
        <v>36666</v>
      </c>
      <c r="B36671" s="11" t="str">
        <f>"201412004606"</f>
        <v>201412004606</v>
      </c>
    </row>
    <row r="36672" spans="1:2" x14ac:dyDescent="0.25">
      <c r="A36672" s="2">
        <v>36667</v>
      </c>
      <c r="B36672" s="11" t="str">
        <f>"201412004621"</f>
        <v>201412004621</v>
      </c>
    </row>
    <row r="36673" spans="1:2" x14ac:dyDescent="0.25">
      <c r="A36673" s="2">
        <v>36668</v>
      </c>
      <c r="B36673" s="11" t="str">
        <f>"201412004627"</f>
        <v>201412004627</v>
      </c>
    </row>
    <row r="36674" spans="1:2" x14ac:dyDescent="0.25">
      <c r="A36674" s="2">
        <v>36669</v>
      </c>
      <c r="B36674" s="11" t="str">
        <f>"201412004662"</f>
        <v>201412004662</v>
      </c>
    </row>
    <row r="36675" spans="1:2" x14ac:dyDescent="0.25">
      <c r="A36675" s="2">
        <v>36670</v>
      </c>
      <c r="B36675" s="11" t="str">
        <f>"201412004682"</f>
        <v>201412004682</v>
      </c>
    </row>
    <row r="36676" spans="1:2" x14ac:dyDescent="0.25">
      <c r="A36676" s="2">
        <v>36671</v>
      </c>
      <c r="B36676" s="11" t="str">
        <f>"201412004687"</f>
        <v>201412004687</v>
      </c>
    </row>
    <row r="36677" spans="1:2" x14ac:dyDescent="0.25">
      <c r="A36677" s="2">
        <v>36672</v>
      </c>
      <c r="B36677" s="11" t="str">
        <f>"201412004743"</f>
        <v>201412004743</v>
      </c>
    </row>
    <row r="36678" spans="1:2" x14ac:dyDescent="0.25">
      <c r="A36678" s="2">
        <v>36673</v>
      </c>
      <c r="B36678" s="11" t="str">
        <f>"201412004766"</f>
        <v>201412004766</v>
      </c>
    </row>
    <row r="36679" spans="1:2" x14ac:dyDescent="0.25">
      <c r="A36679" s="2">
        <v>36674</v>
      </c>
      <c r="B36679" s="11" t="str">
        <f>"201412004774"</f>
        <v>201412004774</v>
      </c>
    </row>
    <row r="36680" spans="1:2" x14ac:dyDescent="0.25">
      <c r="A36680" s="2">
        <v>36675</v>
      </c>
      <c r="B36680" s="11" t="str">
        <f>"201412004775"</f>
        <v>201412004775</v>
      </c>
    </row>
    <row r="36681" spans="1:2" x14ac:dyDescent="0.25">
      <c r="A36681" s="2">
        <v>36676</v>
      </c>
      <c r="B36681" s="11" t="str">
        <f>"201412004785"</f>
        <v>201412004785</v>
      </c>
    </row>
    <row r="36682" spans="1:2" x14ac:dyDescent="0.25">
      <c r="A36682" s="2">
        <v>36677</v>
      </c>
      <c r="B36682" s="11" t="str">
        <f>"201412004799"</f>
        <v>201412004799</v>
      </c>
    </row>
    <row r="36683" spans="1:2" x14ac:dyDescent="0.25">
      <c r="A36683" s="2">
        <v>36678</v>
      </c>
      <c r="B36683" s="11" t="str">
        <f>"201412004802"</f>
        <v>201412004802</v>
      </c>
    </row>
    <row r="36684" spans="1:2" x14ac:dyDescent="0.25">
      <c r="A36684" s="2">
        <v>36679</v>
      </c>
      <c r="B36684" s="11" t="str">
        <f>"201412004843"</f>
        <v>201412004843</v>
      </c>
    </row>
    <row r="36685" spans="1:2" x14ac:dyDescent="0.25">
      <c r="A36685" s="2">
        <v>36680</v>
      </c>
      <c r="B36685" s="11" t="str">
        <f>"201412004847"</f>
        <v>201412004847</v>
      </c>
    </row>
    <row r="36686" spans="1:2" x14ac:dyDescent="0.25">
      <c r="A36686" s="2">
        <v>36681</v>
      </c>
      <c r="B36686" s="11" t="str">
        <f>"201412004958"</f>
        <v>201412004958</v>
      </c>
    </row>
    <row r="36687" spans="1:2" x14ac:dyDescent="0.25">
      <c r="A36687" s="2">
        <v>36682</v>
      </c>
      <c r="B36687" s="11" t="str">
        <f>"201412004959"</f>
        <v>201412004959</v>
      </c>
    </row>
    <row r="36688" spans="1:2" x14ac:dyDescent="0.25">
      <c r="A36688" s="2">
        <v>36683</v>
      </c>
      <c r="B36688" s="11" t="str">
        <f>"201412005096"</f>
        <v>201412005096</v>
      </c>
    </row>
    <row r="36689" spans="1:2" x14ac:dyDescent="0.25">
      <c r="A36689" s="2">
        <v>36684</v>
      </c>
      <c r="B36689" s="11" t="str">
        <f>"201412005170"</f>
        <v>201412005170</v>
      </c>
    </row>
    <row r="36690" spans="1:2" x14ac:dyDescent="0.25">
      <c r="A36690" s="2">
        <v>36685</v>
      </c>
      <c r="B36690" s="11" t="str">
        <f>"201412005184"</f>
        <v>201412005184</v>
      </c>
    </row>
    <row r="36691" spans="1:2" x14ac:dyDescent="0.25">
      <c r="A36691" s="2">
        <v>36686</v>
      </c>
      <c r="B36691" s="11" t="str">
        <f>"201412005201"</f>
        <v>201412005201</v>
      </c>
    </row>
    <row r="36692" spans="1:2" x14ac:dyDescent="0.25">
      <c r="A36692" s="2">
        <v>36687</v>
      </c>
      <c r="B36692" s="11" t="str">
        <f>"201412005254"</f>
        <v>201412005254</v>
      </c>
    </row>
    <row r="36693" spans="1:2" x14ac:dyDescent="0.25">
      <c r="A36693" s="2">
        <v>36688</v>
      </c>
      <c r="B36693" s="11" t="str">
        <f>"201412005258"</f>
        <v>201412005258</v>
      </c>
    </row>
    <row r="36694" spans="1:2" x14ac:dyDescent="0.25">
      <c r="A36694" s="2">
        <v>36689</v>
      </c>
      <c r="B36694" s="11" t="str">
        <f>"201412005277"</f>
        <v>201412005277</v>
      </c>
    </row>
    <row r="36695" spans="1:2" x14ac:dyDescent="0.25">
      <c r="A36695" s="2">
        <v>36690</v>
      </c>
      <c r="B36695" s="11" t="str">
        <f>"201412005282"</f>
        <v>201412005282</v>
      </c>
    </row>
    <row r="36696" spans="1:2" x14ac:dyDescent="0.25">
      <c r="A36696" s="2">
        <v>36691</v>
      </c>
      <c r="B36696" s="11" t="str">
        <f>"201412005287"</f>
        <v>201412005287</v>
      </c>
    </row>
    <row r="36697" spans="1:2" x14ac:dyDescent="0.25">
      <c r="A36697" s="2">
        <v>36692</v>
      </c>
      <c r="B36697" s="11" t="str">
        <f>"201412005294"</f>
        <v>201412005294</v>
      </c>
    </row>
    <row r="36698" spans="1:2" x14ac:dyDescent="0.25">
      <c r="A36698" s="2">
        <v>36693</v>
      </c>
      <c r="B36698" s="11" t="str">
        <f>"201412005309"</f>
        <v>201412005309</v>
      </c>
    </row>
    <row r="36699" spans="1:2" x14ac:dyDescent="0.25">
      <c r="A36699" s="2">
        <v>36694</v>
      </c>
      <c r="B36699" s="11" t="str">
        <f>"201412005334"</f>
        <v>201412005334</v>
      </c>
    </row>
    <row r="36700" spans="1:2" x14ac:dyDescent="0.25">
      <c r="A36700" s="2">
        <v>36695</v>
      </c>
      <c r="B36700" s="11" t="str">
        <f>"201412005358"</f>
        <v>201412005358</v>
      </c>
    </row>
    <row r="36701" spans="1:2" x14ac:dyDescent="0.25">
      <c r="A36701" s="2">
        <v>36696</v>
      </c>
      <c r="B36701" s="11" t="str">
        <f>"201412005390"</f>
        <v>201412005390</v>
      </c>
    </row>
    <row r="36702" spans="1:2" x14ac:dyDescent="0.25">
      <c r="A36702" s="2">
        <v>36697</v>
      </c>
      <c r="B36702" s="11" t="str">
        <f>"201412005392"</f>
        <v>201412005392</v>
      </c>
    </row>
    <row r="36703" spans="1:2" x14ac:dyDescent="0.25">
      <c r="A36703" s="2">
        <v>36698</v>
      </c>
      <c r="B36703" s="11" t="str">
        <f>"201412005416"</f>
        <v>201412005416</v>
      </c>
    </row>
    <row r="36704" spans="1:2" x14ac:dyDescent="0.25">
      <c r="A36704" s="2">
        <v>36699</v>
      </c>
      <c r="B36704" s="11" t="str">
        <f>"201412005437"</f>
        <v>201412005437</v>
      </c>
    </row>
    <row r="36705" spans="1:2" x14ac:dyDescent="0.25">
      <c r="A36705" s="2">
        <v>36700</v>
      </c>
      <c r="B36705" s="11" t="str">
        <f>"201412005476"</f>
        <v>201412005476</v>
      </c>
    </row>
    <row r="36706" spans="1:2" x14ac:dyDescent="0.25">
      <c r="A36706" s="2">
        <v>36701</v>
      </c>
      <c r="B36706" s="11" t="str">
        <f>"201412005484"</f>
        <v>201412005484</v>
      </c>
    </row>
    <row r="36707" spans="1:2" x14ac:dyDescent="0.25">
      <c r="A36707" s="2">
        <v>36702</v>
      </c>
      <c r="B36707" s="11" t="str">
        <f>"201412005486"</f>
        <v>201412005486</v>
      </c>
    </row>
    <row r="36708" spans="1:2" x14ac:dyDescent="0.25">
      <c r="A36708" s="2">
        <v>36703</v>
      </c>
      <c r="B36708" s="11" t="str">
        <f>"201412005487"</f>
        <v>201412005487</v>
      </c>
    </row>
    <row r="36709" spans="1:2" x14ac:dyDescent="0.25">
      <c r="A36709" s="2">
        <v>36704</v>
      </c>
      <c r="B36709" s="11" t="str">
        <f>"201412005512"</f>
        <v>201412005512</v>
      </c>
    </row>
    <row r="36710" spans="1:2" x14ac:dyDescent="0.25">
      <c r="A36710" s="2">
        <v>36705</v>
      </c>
      <c r="B36710" s="11" t="str">
        <f>"201412005537"</f>
        <v>201412005537</v>
      </c>
    </row>
    <row r="36711" spans="1:2" x14ac:dyDescent="0.25">
      <c r="A36711" s="2">
        <v>36706</v>
      </c>
      <c r="B36711" s="11" t="str">
        <f>"201412005550"</f>
        <v>201412005550</v>
      </c>
    </row>
    <row r="36712" spans="1:2" x14ac:dyDescent="0.25">
      <c r="A36712" s="2">
        <v>36707</v>
      </c>
      <c r="B36712" s="11" t="str">
        <f>"201412005559"</f>
        <v>201412005559</v>
      </c>
    </row>
    <row r="36713" spans="1:2" x14ac:dyDescent="0.25">
      <c r="A36713" s="2">
        <v>36708</v>
      </c>
      <c r="B36713" s="11" t="str">
        <f>"201412005569"</f>
        <v>201412005569</v>
      </c>
    </row>
    <row r="36714" spans="1:2" x14ac:dyDescent="0.25">
      <c r="A36714" s="2">
        <v>36709</v>
      </c>
      <c r="B36714" s="11" t="str">
        <f>"201412005586"</f>
        <v>201412005586</v>
      </c>
    </row>
    <row r="36715" spans="1:2" x14ac:dyDescent="0.25">
      <c r="A36715" s="2">
        <v>36710</v>
      </c>
      <c r="B36715" s="11" t="str">
        <f>"201412005587"</f>
        <v>201412005587</v>
      </c>
    </row>
    <row r="36716" spans="1:2" x14ac:dyDescent="0.25">
      <c r="A36716" s="2">
        <v>36711</v>
      </c>
      <c r="B36716" s="11" t="str">
        <f>"201412005630"</f>
        <v>201412005630</v>
      </c>
    </row>
    <row r="36717" spans="1:2" x14ac:dyDescent="0.25">
      <c r="A36717" s="2">
        <v>36712</v>
      </c>
      <c r="B36717" s="11" t="str">
        <f>"201412005669"</f>
        <v>201412005669</v>
      </c>
    </row>
    <row r="36718" spans="1:2" x14ac:dyDescent="0.25">
      <c r="A36718" s="2">
        <v>36713</v>
      </c>
      <c r="B36718" s="11" t="str">
        <f>"201412005673"</f>
        <v>201412005673</v>
      </c>
    </row>
    <row r="36719" spans="1:2" x14ac:dyDescent="0.25">
      <c r="A36719" s="2">
        <v>36714</v>
      </c>
      <c r="B36719" s="11" t="str">
        <f>"201412005687"</f>
        <v>201412005687</v>
      </c>
    </row>
    <row r="36720" spans="1:2" x14ac:dyDescent="0.25">
      <c r="A36720" s="2">
        <v>36715</v>
      </c>
      <c r="B36720" s="11" t="str">
        <f>"201412005688"</f>
        <v>201412005688</v>
      </c>
    </row>
    <row r="36721" spans="1:2" x14ac:dyDescent="0.25">
      <c r="A36721" s="2">
        <v>36716</v>
      </c>
      <c r="B36721" s="11" t="str">
        <f>"201412005727"</f>
        <v>201412005727</v>
      </c>
    </row>
    <row r="36722" spans="1:2" x14ac:dyDescent="0.25">
      <c r="A36722" s="2">
        <v>36717</v>
      </c>
      <c r="B36722" s="11" t="str">
        <f>"201412005765"</f>
        <v>201412005765</v>
      </c>
    </row>
    <row r="36723" spans="1:2" x14ac:dyDescent="0.25">
      <c r="A36723" s="2">
        <v>36718</v>
      </c>
      <c r="B36723" s="11" t="str">
        <f>"201412005777"</f>
        <v>201412005777</v>
      </c>
    </row>
    <row r="36724" spans="1:2" x14ac:dyDescent="0.25">
      <c r="A36724" s="2">
        <v>36719</v>
      </c>
      <c r="B36724" s="11" t="str">
        <f>"201412005834"</f>
        <v>201412005834</v>
      </c>
    </row>
    <row r="36725" spans="1:2" x14ac:dyDescent="0.25">
      <c r="A36725" s="2">
        <v>36720</v>
      </c>
      <c r="B36725" s="11" t="str">
        <f>"201412005860"</f>
        <v>201412005860</v>
      </c>
    </row>
    <row r="36726" spans="1:2" x14ac:dyDescent="0.25">
      <c r="A36726" s="2">
        <v>36721</v>
      </c>
      <c r="B36726" s="11" t="str">
        <f>"201412005881"</f>
        <v>201412005881</v>
      </c>
    </row>
    <row r="36727" spans="1:2" x14ac:dyDescent="0.25">
      <c r="A36727" s="2">
        <v>36722</v>
      </c>
      <c r="B36727" s="11" t="str">
        <f>"201412005899"</f>
        <v>201412005899</v>
      </c>
    </row>
    <row r="36728" spans="1:2" x14ac:dyDescent="0.25">
      <c r="A36728" s="2">
        <v>36723</v>
      </c>
      <c r="B36728" s="11" t="str">
        <f>"201412005927"</f>
        <v>201412005927</v>
      </c>
    </row>
    <row r="36729" spans="1:2" x14ac:dyDescent="0.25">
      <c r="A36729" s="2">
        <v>36724</v>
      </c>
      <c r="B36729" s="11" t="str">
        <f>"201412005947"</f>
        <v>201412005947</v>
      </c>
    </row>
    <row r="36730" spans="1:2" x14ac:dyDescent="0.25">
      <c r="A36730" s="2">
        <v>36725</v>
      </c>
      <c r="B36730" s="11" t="str">
        <f>"201412006018"</f>
        <v>201412006018</v>
      </c>
    </row>
    <row r="36731" spans="1:2" x14ac:dyDescent="0.25">
      <c r="A36731" s="2">
        <v>36726</v>
      </c>
      <c r="B36731" s="11" t="str">
        <f>"201412006022"</f>
        <v>201412006022</v>
      </c>
    </row>
    <row r="36732" spans="1:2" x14ac:dyDescent="0.25">
      <c r="A36732" s="2">
        <v>36727</v>
      </c>
      <c r="B36732" s="11" t="str">
        <f>"201412006040"</f>
        <v>201412006040</v>
      </c>
    </row>
    <row r="36733" spans="1:2" x14ac:dyDescent="0.25">
      <c r="A36733" s="2">
        <v>36728</v>
      </c>
      <c r="B36733" s="11" t="str">
        <f>"201412006043"</f>
        <v>201412006043</v>
      </c>
    </row>
    <row r="36734" spans="1:2" x14ac:dyDescent="0.25">
      <c r="A36734" s="2">
        <v>36729</v>
      </c>
      <c r="B36734" s="11" t="str">
        <f>"201412006059"</f>
        <v>201412006059</v>
      </c>
    </row>
    <row r="36735" spans="1:2" x14ac:dyDescent="0.25">
      <c r="A36735" s="2">
        <v>36730</v>
      </c>
      <c r="B36735" s="11" t="str">
        <f>"201412006088"</f>
        <v>201412006088</v>
      </c>
    </row>
    <row r="36736" spans="1:2" x14ac:dyDescent="0.25">
      <c r="A36736" s="2">
        <v>36731</v>
      </c>
      <c r="B36736" s="11" t="str">
        <f>"201412006093"</f>
        <v>201412006093</v>
      </c>
    </row>
    <row r="36737" spans="1:2" x14ac:dyDescent="0.25">
      <c r="A36737" s="2">
        <v>36732</v>
      </c>
      <c r="B36737" s="11" t="str">
        <f>"201412006118"</f>
        <v>201412006118</v>
      </c>
    </row>
    <row r="36738" spans="1:2" x14ac:dyDescent="0.25">
      <c r="A36738" s="2">
        <v>36733</v>
      </c>
      <c r="B36738" s="11" t="str">
        <f>"201412006173"</f>
        <v>201412006173</v>
      </c>
    </row>
    <row r="36739" spans="1:2" x14ac:dyDescent="0.25">
      <c r="A36739" s="2">
        <v>36734</v>
      </c>
      <c r="B36739" s="11" t="str">
        <f>"201412006252"</f>
        <v>201412006252</v>
      </c>
    </row>
    <row r="36740" spans="1:2" x14ac:dyDescent="0.25">
      <c r="A36740" s="2">
        <v>36735</v>
      </c>
      <c r="B36740" s="11" t="str">
        <f>"201412006263"</f>
        <v>201412006263</v>
      </c>
    </row>
    <row r="36741" spans="1:2" x14ac:dyDescent="0.25">
      <c r="A36741" s="2">
        <v>36736</v>
      </c>
      <c r="B36741" s="11" t="str">
        <f>"201412006317"</f>
        <v>201412006317</v>
      </c>
    </row>
    <row r="36742" spans="1:2" x14ac:dyDescent="0.25">
      <c r="A36742" s="2">
        <v>36737</v>
      </c>
      <c r="B36742" s="11" t="str">
        <f>"201412006324"</f>
        <v>201412006324</v>
      </c>
    </row>
    <row r="36743" spans="1:2" x14ac:dyDescent="0.25">
      <c r="A36743" s="2">
        <v>36738</v>
      </c>
      <c r="B36743" s="11" t="str">
        <f>"201412006398"</f>
        <v>201412006398</v>
      </c>
    </row>
    <row r="36744" spans="1:2" x14ac:dyDescent="0.25">
      <c r="A36744" s="2">
        <v>36739</v>
      </c>
      <c r="B36744" s="11" t="str">
        <f>"201412006404"</f>
        <v>201412006404</v>
      </c>
    </row>
    <row r="36745" spans="1:2" x14ac:dyDescent="0.25">
      <c r="A36745" s="2">
        <v>36740</v>
      </c>
      <c r="B36745" s="11" t="str">
        <f>"201412006432"</f>
        <v>201412006432</v>
      </c>
    </row>
    <row r="36746" spans="1:2" x14ac:dyDescent="0.25">
      <c r="A36746" s="2">
        <v>36741</v>
      </c>
      <c r="B36746" s="11" t="str">
        <f>"201412006435"</f>
        <v>201412006435</v>
      </c>
    </row>
    <row r="36747" spans="1:2" x14ac:dyDescent="0.25">
      <c r="A36747" s="2">
        <v>36742</v>
      </c>
      <c r="B36747" s="11" t="str">
        <f>"201412006444"</f>
        <v>201412006444</v>
      </c>
    </row>
    <row r="36748" spans="1:2" x14ac:dyDescent="0.25">
      <c r="A36748" s="2">
        <v>36743</v>
      </c>
      <c r="B36748" s="11" t="str">
        <f>"201412006482"</f>
        <v>201412006482</v>
      </c>
    </row>
    <row r="36749" spans="1:2" x14ac:dyDescent="0.25">
      <c r="A36749" s="2">
        <v>36744</v>
      </c>
      <c r="B36749" s="11" t="str">
        <f>"201412006512"</f>
        <v>201412006512</v>
      </c>
    </row>
    <row r="36750" spans="1:2" x14ac:dyDescent="0.25">
      <c r="A36750" s="2">
        <v>36745</v>
      </c>
      <c r="B36750" s="11" t="str">
        <f>"201412006517"</f>
        <v>201412006517</v>
      </c>
    </row>
    <row r="36751" spans="1:2" x14ac:dyDescent="0.25">
      <c r="A36751" s="2">
        <v>36746</v>
      </c>
      <c r="B36751" s="11" t="str">
        <f>"201412006519"</f>
        <v>201412006519</v>
      </c>
    </row>
    <row r="36752" spans="1:2" x14ac:dyDescent="0.25">
      <c r="A36752" s="2">
        <v>36747</v>
      </c>
      <c r="B36752" s="11" t="str">
        <f>"201412006534"</f>
        <v>201412006534</v>
      </c>
    </row>
    <row r="36753" spans="1:2" x14ac:dyDescent="0.25">
      <c r="A36753" s="2">
        <v>36748</v>
      </c>
      <c r="B36753" s="11" t="str">
        <f>"201412006542"</f>
        <v>201412006542</v>
      </c>
    </row>
    <row r="36754" spans="1:2" x14ac:dyDescent="0.25">
      <c r="A36754" s="2">
        <v>36749</v>
      </c>
      <c r="B36754" s="11" t="str">
        <f>"201412006551"</f>
        <v>201412006551</v>
      </c>
    </row>
    <row r="36755" spans="1:2" x14ac:dyDescent="0.25">
      <c r="A36755" s="2">
        <v>36750</v>
      </c>
      <c r="B36755" s="11" t="str">
        <f>"201412006553"</f>
        <v>201412006553</v>
      </c>
    </row>
    <row r="36756" spans="1:2" x14ac:dyDescent="0.25">
      <c r="A36756" s="2">
        <v>36751</v>
      </c>
      <c r="B36756" s="11" t="str">
        <f>"201412006554"</f>
        <v>201412006554</v>
      </c>
    </row>
    <row r="36757" spans="1:2" x14ac:dyDescent="0.25">
      <c r="A36757" s="2">
        <v>36752</v>
      </c>
      <c r="B36757" s="11" t="str">
        <f>"201412006559"</f>
        <v>201412006559</v>
      </c>
    </row>
    <row r="36758" spans="1:2" x14ac:dyDescent="0.25">
      <c r="A36758" s="2">
        <v>36753</v>
      </c>
      <c r="B36758" s="11" t="str">
        <f>"201412006588"</f>
        <v>201412006588</v>
      </c>
    </row>
    <row r="36759" spans="1:2" x14ac:dyDescent="0.25">
      <c r="A36759" s="2">
        <v>36754</v>
      </c>
      <c r="B36759" s="11" t="str">
        <f>"201412006611"</f>
        <v>201412006611</v>
      </c>
    </row>
    <row r="36760" spans="1:2" x14ac:dyDescent="0.25">
      <c r="A36760" s="2">
        <v>36755</v>
      </c>
      <c r="B36760" s="11" t="str">
        <f>"201412006687"</f>
        <v>201412006687</v>
      </c>
    </row>
    <row r="36761" spans="1:2" x14ac:dyDescent="0.25">
      <c r="A36761" s="2">
        <v>36756</v>
      </c>
      <c r="B36761" s="11" t="str">
        <f>"201412006693"</f>
        <v>201412006693</v>
      </c>
    </row>
    <row r="36762" spans="1:2" x14ac:dyDescent="0.25">
      <c r="A36762" s="2">
        <v>36757</v>
      </c>
      <c r="B36762" s="11" t="str">
        <f>"201412006745"</f>
        <v>201412006745</v>
      </c>
    </row>
    <row r="36763" spans="1:2" x14ac:dyDescent="0.25">
      <c r="A36763" s="2">
        <v>36758</v>
      </c>
      <c r="B36763" s="11" t="str">
        <f>"201412006758"</f>
        <v>201412006758</v>
      </c>
    </row>
    <row r="36764" spans="1:2" x14ac:dyDescent="0.25">
      <c r="A36764" s="2">
        <v>36759</v>
      </c>
      <c r="B36764" s="11" t="str">
        <f>"201412006767"</f>
        <v>201412006767</v>
      </c>
    </row>
    <row r="36765" spans="1:2" x14ac:dyDescent="0.25">
      <c r="A36765" s="2">
        <v>36760</v>
      </c>
      <c r="B36765" s="11" t="str">
        <f>"201412006845"</f>
        <v>201412006845</v>
      </c>
    </row>
    <row r="36766" spans="1:2" x14ac:dyDescent="0.25">
      <c r="A36766" s="2">
        <v>36761</v>
      </c>
      <c r="B36766" s="11" t="str">
        <f>"201412006879"</f>
        <v>201412006879</v>
      </c>
    </row>
    <row r="36767" spans="1:2" x14ac:dyDescent="0.25">
      <c r="A36767" s="2">
        <v>36762</v>
      </c>
      <c r="B36767" s="11" t="str">
        <f>"201412006885"</f>
        <v>201412006885</v>
      </c>
    </row>
    <row r="36768" spans="1:2" x14ac:dyDescent="0.25">
      <c r="A36768" s="2">
        <v>36763</v>
      </c>
      <c r="B36768" s="11" t="str">
        <f>"201412006925"</f>
        <v>201412006925</v>
      </c>
    </row>
    <row r="36769" spans="1:2" x14ac:dyDescent="0.25">
      <c r="A36769" s="2">
        <v>36764</v>
      </c>
      <c r="B36769" s="11" t="str">
        <f>"201412006930"</f>
        <v>201412006930</v>
      </c>
    </row>
    <row r="36770" spans="1:2" x14ac:dyDescent="0.25">
      <c r="A36770" s="2">
        <v>36765</v>
      </c>
      <c r="B36770" s="11" t="str">
        <f>"201412006980"</f>
        <v>201412006980</v>
      </c>
    </row>
    <row r="36771" spans="1:2" x14ac:dyDescent="0.25">
      <c r="A36771" s="2">
        <v>36766</v>
      </c>
      <c r="B36771" s="11" t="str">
        <f>"201412006981"</f>
        <v>201412006981</v>
      </c>
    </row>
    <row r="36772" spans="1:2" x14ac:dyDescent="0.25">
      <c r="A36772" s="2">
        <v>36767</v>
      </c>
      <c r="B36772" s="11" t="str">
        <f>"201412007007"</f>
        <v>201412007007</v>
      </c>
    </row>
    <row r="36773" spans="1:2" x14ac:dyDescent="0.25">
      <c r="A36773" s="2">
        <v>36768</v>
      </c>
      <c r="B36773" s="11" t="str">
        <f>"201412007028"</f>
        <v>201412007028</v>
      </c>
    </row>
    <row r="36774" spans="1:2" x14ac:dyDescent="0.25">
      <c r="A36774" s="2">
        <v>36769</v>
      </c>
      <c r="B36774" s="11" t="str">
        <f>"201412007043"</f>
        <v>201412007043</v>
      </c>
    </row>
    <row r="36775" spans="1:2" x14ac:dyDescent="0.25">
      <c r="A36775" s="2">
        <v>36770</v>
      </c>
      <c r="B36775" s="11" t="str">
        <f>"201412007072"</f>
        <v>201412007072</v>
      </c>
    </row>
    <row r="36776" spans="1:2" x14ac:dyDescent="0.25">
      <c r="A36776" s="2">
        <v>36771</v>
      </c>
      <c r="B36776" s="11" t="str">
        <f>"201412007083"</f>
        <v>201412007083</v>
      </c>
    </row>
    <row r="36777" spans="1:2" x14ac:dyDescent="0.25">
      <c r="A36777" s="2">
        <v>36772</v>
      </c>
      <c r="B36777" s="11" t="str">
        <f>"201412007085"</f>
        <v>201412007085</v>
      </c>
    </row>
    <row r="36778" spans="1:2" x14ac:dyDescent="0.25">
      <c r="A36778" s="2">
        <v>36773</v>
      </c>
      <c r="B36778" s="11" t="str">
        <f>"201412007088"</f>
        <v>201412007088</v>
      </c>
    </row>
    <row r="36779" spans="1:2" x14ac:dyDescent="0.25">
      <c r="A36779" s="2">
        <v>36774</v>
      </c>
      <c r="B36779" s="11" t="str">
        <f>"201412007160"</f>
        <v>201412007160</v>
      </c>
    </row>
    <row r="36780" spans="1:2" x14ac:dyDescent="0.25">
      <c r="A36780" s="2">
        <v>36775</v>
      </c>
      <c r="B36780" s="11" t="str">
        <f>"201412007178"</f>
        <v>201412007178</v>
      </c>
    </row>
    <row r="36781" spans="1:2" x14ac:dyDescent="0.25">
      <c r="A36781" s="2">
        <v>36776</v>
      </c>
      <c r="B36781" s="11" t="str">
        <f>"201412007196"</f>
        <v>201412007196</v>
      </c>
    </row>
    <row r="36782" spans="1:2" x14ac:dyDescent="0.25">
      <c r="A36782" s="2">
        <v>36777</v>
      </c>
      <c r="B36782" s="11" t="str">
        <f>"201412007213"</f>
        <v>201412007213</v>
      </c>
    </row>
    <row r="36783" spans="1:2" x14ac:dyDescent="0.25">
      <c r="A36783" s="2">
        <v>36778</v>
      </c>
      <c r="B36783" s="11" t="str">
        <f>"201412007215"</f>
        <v>201412007215</v>
      </c>
    </row>
    <row r="36784" spans="1:2" x14ac:dyDescent="0.25">
      <c r="A36784" s="2">
        <v>36779</v>
      </c>
      <c r="B36784" s="11" t="str">
        <f>"201412007297"</f>
        <v>201412007297</v>
      </c>
    </row>
    <row r="36785" spans="1:2" x14ac:dyDescent="0.25">
      <c r="A36785" s="2">
        <v>36780</v>
      </c>
      <c r="B36785" s="11" t="str">
        <f>"201412007317"</f>
        <v>201412007317</v>
      </c>
    </row>
    <row r="36786" spans="1:2" x14ac:dyDescent="0.25">
      <c r="A36786" s="2">
        <v>36781</v>
      </c>
      <c r="B36786" s="11" t="str">
        <f>"201412007320"</f>
        <v>201412007320</v>
      </c>
    </row>
    <row r="36787" spans="1:2" x14ac:dyDescent="0.25">
      <c r="A36787" s="2">
        <v>36782</v>
      </c>
      <c r="B36787" s="11" t="str">
        <f>"201412007326"</f>
        <v>201412007326</v>
      </c>
    </row>
    <row r="36788" spans="1:2" x14ac:dyDescent="0.25">
      <c r="A36788" s="2">
        <v>36783</v>
      </c>
      <c r="B36788" s="11" t="str">
        <f>"201412007437"</f>
        <v>201412007437</v>
      </c>
    </row>
    <row r="36789" spans="1:2" x14ac:dyDescent="0.25">
      <c r="A36789" s="2">
        <v>36784</v>
      </c>
      <c r="B36789" s="11" t="str">
        <f>"201501000028"</f>
        <v>201501000028</v>
      </c>
    </row>
    <row r="36790" spans="1:2" x14ac:dyDescent="0.25">
      <c r="A36790" s="2">
        <v>36785</v>
      </c>
      <c r="B36790" s="11" t="str">
        <f>"201501000335"</f>
        <v>201501000335</v>
      </c>
    </row>
    <row r="36791" spans="1:2" x14ac:dyDescent="0.25">
      <c r="A36791" s="2">
        <v>36786</v>
      </c>
      <c r="B36791" s="11" t="str">
        <f>"201501000517"</f>
        <v>201501000517</v>
      </c>
    </row>
    <row r="36792" spans="1:2" x14ac:dyDescent="0.25">
      <c r="A36792" s="2">
        <v>36787</v>
      </c>
      <c r="B36792" s="11" t="str">
        <f>"201501000531"</f>
        <v>201501000531</v>
      </c>
    </row>
    <row r="36793" spans="1:2" x14ac:dyDescent="0.25">
      <c r="A36793" s="2">
        <v>36788</v>
      </c>
      <c r="B36793" s="11" t="str">
        <f>"201502000185"</f>
        <v>201502000185</v>
      </c>
    </row>
    <row r="36794" spans="1:2" x14ac:dyDescent="0.25">
      <c r="A36794" s="2">
        <v>36789</v>
      </c>
      <c r="B36794" s="11" t="str">
        <f>"201502000229"</f>
        <v>201502000229</v>
      </c>
    </row>
    <row r="36795" spans="1:2" x14ac:dyDescent="0.25">
      <c r="A36795" s="2">
        <v>36790</v>
      </c>
      <c r="B36795" s="11" t="str">
        <f>"201502000246"</f>
        <v>201502000246</v>
      </c>
    </row>
    <row r="36796" spans="1:2" x14ac:dyDescent="0.25">
      <c r="A36796" s="2">
        <v>36791</v>
      </c>
      <c r="B36796" s="11" t="str">
        <f>"201502000467"</f>
        <v>201502000467</v>
      </c>
    </row>
    <row r="36797" spans="1:2" x14ac:dyDescent="0.25">
      <c r="A36797" s="2">
        <v>36792</v>
      </c>
      <c r="B36797" s="11" t="str">
        <f>"201502000488"</f>
        <v>201502000488</v>
      </c>
    </row>
    <row r="36798" spans="1:2" x14ac:dyDescent="0.25">
      <c r="A36798" s="2">
        <v>36793</v>
      </c>
      <c r="B36798" s="11" t="str">
        <f>"201502000594"</f>
        <v>201502000594</v>
      </c>
    </row>
    <row r="36799" spans="1:2" x14ac:dyDescent="0.25">
      <c r="A36799" s="2">
        <v>36794</v>
      </c>
      <c r="B36799" s="11" t="str">
        <f>"201502000683"</f>
        <v>201502000683</v>
      </c>
    </row>
    <row r="36800" spans="1:2" x14ac:dyDescent="0.25">
      <c r="A36800" s="2">
        <v>36795</v>
      </c>
      <c r="B36800" s="11" t="str">
        <f>"201502000816"</f>
        <v>201502000816</v>
      </c>
    </row>
    <row r="36801" spans="1:2" x14ac:dyDescent="0.25">
      <c r="A36801" s="2">
        <v>36796</v>
      </c>
      <c r="B36801" s="11" t="str">
        <f>"201502000819"</f>
        <v>201502000819</v>
      </c>
    </row>
    <row r="36802" spans="1:2" x14ac:dyDescent="0.25">
      <c r="A36802" s="2">
        <v>36797</v>
      </c>
      <c r="B36802" s="11" t="str">
        <f>"201502000845"</f>
        <v>201502000845</v>
      </c>
    </row>
    <row r="36803" spans="1:2" x14ac:dyDescent="0.25">
      <c r="A36803" s="2">
        <v>36798</v>
      </c>
      <c r="B36803" s="11" t="str">
        <f>"201502000870"</f>
        <v>201502000870</v>
      </c>
    </row>
    <row r="36804" spans="1:2" x14ac:dyDescent="0.25">
      <c r="A36804" s="2">
        <v>36799</v>
      </c>
      <c r="B36804" s="11" t="str">
        <f>"201502000914"</f>
        <v>201502000914</v>
      </c>
    </row>
    <row r="36805" spans="1:2" x14ac:dyDescent="0.25">
      <c r="A36805" s="2">
        <v>36800</v>
      </c>
      <c r="B36805" s="11" t="str">
        <f>"201502001000"</f>
        <v>201502001000</v>
      </c>
    </row>
    <row r="36806" spans="1:2" x14ac:dyDescent="0.25">
      <c r="A36806" s="2">
        <v>36801</v>
      </c>
      <c r="B36806" s="11" t="str">
        <f>"201502001006"</f>
        <v>201502001006</v>
      </c>
    </row>
    <row r="36807" spans="1:2" x14ac:dyDescent="0.25">
      <c r="A36807" s="2">
        <v>36802</v>
      </c>
      <c r="B36807" s="11" t="str">
        <f>"201502001073"</f>
        <v>201502001073</v>
      </c>
    </row>
    <row r="36808" spans="1:2" x14ac:dyDescent="0.25">
      <c r="A36808" s="2">
        <v>36803</v>
      </c>
      <c r="B36808" s="11" t="str">
        <f>"201502001075"</f>
        <v>201502001075</v>
      </c>
    </row>
    <row r="36809" spans="1:2" x14ac:dyDescent="0.25">
      <c r="A36809" s="2">
        <v>36804</v>
      </c>
      <c r="B36809" s="11" t="str">
        <f>"201502001171"</f>
        <v>201502001171</v>
      </c>
    </row>
    <row r="36810" spans="1:2" x14ac:dyDescent="0.25">
      <c r="A36810" s="2">
        <v>36805</v>
      </c>
      <c r="B36810" s="11" t="str">
        <f>"201502001186"</f>
        <v>201502001186</v>
      </c>
    </row>
    <row r="36811" spans="1:2" x14ac:dyDescent="0.25">
      <c r="A36811" s="2">
        <v>36806</v>
      </c>
      <c r="B36811" s="11" t="str">
        <f>"201502001187"</f>
        <v>201502001187</v>
      </c>
    </row>
    <row r="36812" spans="1:2" x14ac:dyDescent="0.25">
      <c r="A36812" s="2">
        <v>36807</v>
      </c>
      <c r="B36812" s="11" t="str">
        <f>"201502001203"</f>
        <v>201502001203</v>
      </c>
    </row>
    <row r="36813" spans="1:2" x14ac:dyDescent="0.25">
      <c r="A36813" s="2">
        <v>36808</v>
      </c>
      <c r="B36813" s="11" t="str">
        <f>"201502001230"</f>
        <v>201502001230</v>
      </c>
    </row>
    <row r="36814" spans="1:2" x14ac:dyDescent="0.25">
      <c r="A36814" s="2">
        <v>36809</v>
      </c>
      <c r="B36814" s="11" t="str">
        <f>"201502001236"</f>
        <v>201502001236</v>
      </c>
    </row>
    <row r="36815" spans="1:2" x14ac:dyDescent="0.25">
      <c r="A36815" s="2">
        <v>36810</v>
      </c>
      <c r="B36815" s="11" t="str">
        <f>"201502001291"</f>
        <v>201502001291</v>
      </c>
    </row>
    <row r="36816" spans="1:2" x14ac:dyDescent="0.25">
      <c r="A36816" s="2">
        <v>36811</v>
      </c>
      <c r="B36816" s="11" t="str">
        <f>"201502001326"</f>
        <v>201502001326</v>
      </c>
    </row>
    <row r="36817" spans="1:2" x14ac:dyDescent="0.25">
      <c r="A36817" s="2">
        <v>36812</v>
      </c>
      <c r="B36817" s="11" t="str">
        <f>"201502001431"</f>
        <v>201502001431</v>
      </c>
    </row>
    <row r="36818" spans="1:2" x14ac:dyDescent="0.25">
      <c r="A36818" s="2">
        <v>36813</v>
      </c>
      <c r="B36818" s="11" t="str">
        <f>"201502001440"</f>
        <v>201502001440</v>
      </c>
    </row>
    <row r="36819" spans="1:2" x14ac:dyDescent="0.25">
      <c r="A36819" s="2">
        <v>36814</v>
      </c>
      <c r="B36819" s="11" t="str">
        <f>"201502001481"</f>
        <v>201502001481</v>
      </c>
    </row>
    <row r="36820" spans="1:2" x14ac:dyDescent="0.25">
      <c r="A36820" s="2">
        <v>36815</v>
      </c>
      <c r="B36820" s="11" t="str">
        <f>"201502001541"</f>
        <v>201502001541</v>
      </c>
    </row>
    <row r="36821" spans="1:2" x14ac:dyDescent="0.25">
      <c r="A36821" s="2">
        <v>36816</v>
      </c>
      <c r="B36821" s="11" t="str">
        <f>"201502001556"</f>
        <v>201502001556</v>
      </c>
    </row>
    <row r="36822" spans="1:2" x14ac:dyDescent="0.25">
      <c r="A36822" s="2">
        <v>36817</v>
      </c>
      <c r="B36822" s="11" t="str">
        <f>"201502001667"</f>
        <v>201502001667</v>
      </c>
    </row>
    <row r="36823" spans="1:2" x14ac:dyDescent="0.25">
      <c r="A36823" s="2">
        <v>36818</v>
      </c>
      <c r="B36823" s="11" t="str">
        <f>"201502001777"</f>
        <v>201502001777</v>
      </c>
    </row>
    <row r="36824" spans="1:2" x14ac:dyDescent="0.25">
      <c r="A36824" s="2">
        <v>36819</v>
      </c>
      <c r="B36824" s="11" t="str">
        <f>"201502001840"</f>
        <v>201502001840</v>
      </c>
    </row>
    <row r="36825" spans="1:2" x14ac:dyDescent="0.25">
      <c r="A36825" s="2">
        <v>36820</v>
      </c>
      <c r="B36825" s="11" t="str">
        <f>"201502001847"</f>
        <v>201502001847</v>
      </c>
    </row>
    <row r="36826" spans="1:2" x14ac:dyDescent="0.25">
      <c r="A36826" s="2">
        <v>36821</v>
      </c>
      <c r="B36826" s="11" t="str">
        <f>"201502001979"</f>
        <v>201502001979</v>
      </c>
    </row>
    <row r="36827" spans="1:2" x14ac:dyDescent="0.25">
      <c r="A36827" s="2">
        <v>36822</v>
      </c>
      <c r="B36827" s="11" t="str">
        <f>"201502001986"</f>
        <v>201502001986</v>
      </c>
    </row>
    <row r="36828" spans="1:2" x14ac:dyDescent="0.25">
      <c r="A36828" s="2">
        <v>36823</v>
      </c>
      <c r="B36828" s="11" t="str">
        <f>"201502002029"</f>
        <v>201502002029</v>
      </c>
    </row>
    <row r="36829" spans="1:2" x14ac:dyDescent="0.25">
      <c r="A36829" s="2">
        <v>36824</v>
      </c>
      <c r="B36829" s="11" t="str">
        <f>"201502002032"</f>
        <v>201502002032</v>
      </c>
    </row>
    <row r="36830" spans="1:2" x14ac:dyDescent="0.25">
      <c r="A36830" s="2">
        <v>36825</v>
      </c>
      <c r="B36830" s="11" t="str">
        <f>"201502002129"</f>
        <v>201502002129</v>
      </c>
    </row>
    <row r="36831" spans="1:2" x14ac:dyDescent="0.25">
      <c r="A36831" s="2">
        <v>36826</v>
      </c>
      <c r="B36831" s="11" t="str">
        <f>"201502002158"</f>
        <v>201502002158</v>
      </c>
    </row>
    <row r="36832" spans="1:2" x14ac:dyDescent="0.25">
      <c r="A36832" s="2">
        <v>36827</v>
      </c>
      <c r="B36832" s="11" t="str">
        <f>"201502002165"</f>
        <v>201502002165</v>
      </c>
    </row>
    <row r="36833" spans="1:2" x14ac:dyDescent="0.25">
      <c r="A36833" s="2">
        <v>36828</v>
      </c>
      <c r="B36833" s="11" t="str">
        <f>"201502002184"</f>
        <v>201502002184</v>
      </c>
    </row>
    <row r="36834" spans="1:2" x14ac:dyDescent="0.25">
      <c r="A36834" s="2">
        <v>36829</v>
      </c>
      <c r="B36834" s="11" t="str">
        <f>"201502002191"</f>
        <v>201502002191</v>
      </c>
    </row>
    <row r="36835" spans="1:2" x14ac:dyDescent="0.25">
      <c r="A36835" s="2">
        <v>36830</v>
      </c>
      <c r="B36835" s="11" t="str">
        <f>"201502002349"</f>
        <v>201502002349</v>
      </c>
    </row>
    <row r="36836" spans="1:2" x14ac:dyDescent="0.25">
      <c r="A36836" s="2">
        <v>36831</v>
      </c>
      <c r="B36836" s="11" t="str">
        <f>"201502002422"</f>
        <v>201502002422</v>
      </c>
    </row>
    <row r="36837" spans="1:2" x14ac:dyDescent="0.25">
      <c r="A36837" s="2">
        <v>36832</v>
      </c>
      <c r="B36837" s="11" t="str">
        <f>"201502002436"</f>
        <v>201502002436</v>
      </c>
    </row>
    <row r="36838" spans="1:2" x14ac:dyDescent="0.25">
      <c r="A36838" s="2">
        <v>36833</v>
      </c>
      <c r="B36838" s="11" t="str">
        <f>"201502002494"</f>
        <v>201502002494</v>
      </c>
    </row>
    <row r="36839" spans="1:2" x14ac:dyDescent="0.25">
      <c r="A36839" s="2">
        <v>36834</v>
      </c>
      <c r="B36839" s="11" t="str">
        <f>"201502002570"</f>
        <v>201502002570</v>
      </c>
    </row>
    <row r="36840" spans="1:2" x14ac:dyDescent="0.25">
      <c r="A36840" s="2">
        <v>36835</v>
      </c>
      <c r="B36840" s="11" t="str">
        <f>"201502002658"</f>
        <v>201502002658</v>
      </c>
    </row>
    <row r="36841" spans="1:2" x14ac:dyDescent="0.25">
      <c r="A36841" s="2">
        <v>36836</v>
      </c>
      <c r="B36841" s="11" t="str">
        <f>"201502002696"</f>
        <v>201502002696</v>
      </c>
    </row>
    <row r="36842" spans="1:2" x14ac:dyDescent="0.25">
      <c r="A36842" s="2">
        <v>36837</v>
      </c>
      <c r="B36842" s="11" t="str">
        <f>"201502002716"</f>
        <v>201502002716</v>
      </c>
    </row>
    <row r="36843" spans="1:2" x14ac:dyDescent="0.25">
      <c r="A36843" s="2">
        <v>36838</v>
      </c>
      <c r="B36843" s="11" t="str">
        <f>"201502002742"</f>
        <v>201502002742</v>
      </c>
    </row>
    <row r="36844" spans="1:2" x14ac:dyDescent="0.25">
      <c r="A36844" s="2">
        <v>36839</v>
      </c>
      <c r="B36844" s="11" t="str">
        <f>"201502002818"</f>
        <v>201502002818</v>
      </c>
    </row>
    <row r="36845" spans="1:2" x14ac:dyDescent="0.25">
      <c r="A36845" s="2">
        <v>36840</v>
      </c>
      <c r="B36845" s="11" t="str">
        <f>"201502002864"</f>
        <v>201502002864</v>
      </c>
    </row>
    <row r="36846" spans="1:2" x14ac:dyDescent="0.25">
      <c r="A36846" s="2">
        <v>36841</v>
      </c>
      <c r="B36846" s="11" t="str">
        <f>"201502002927"</f>
        <v>201502002927</v>
      </c>
    </row>
    <row r="36847" spans="1:2" x14ac:dyDescent="0.25">
      <c r="A36847" s="2">
        <v>36842</v>
      </c>
      <c r="B36847" s="11" t="str">
        <f>"201502003008"</f>
        <v>201502003008</v>
      </c>
    </row>
    <row r="36848" spans="1:2" x14ac:dyDescent="0.25">
      <c r="A36848" s="2">
        <v>36843</v>
      </c>
      <c r="B36848" s="11" t="str">
        <f>"201502003078"</f>
        <v>201502003078</v>
      </c>
    </row>
    <row r="36849" spans="1:2" x14ac:dyDescent="0.25">
      <c r="A36849" s="2">
        <v>36844</v>
      </c>
      <c r="B36849" s="11" t="str">
        <f>"201502003155"</f>
        <v>201502003155</v>
      </c>
    </row>
    <row r="36850" spans="1:2" x14ac:dyDescent="0.25">
      <c r="A36850" s="2">
        <v>36845</v>
      </c>
      <c r="B36850" s="11" t="str">
        <f>"201502003171"</f>
        <v>201502003171</v>
      </c>
    </row>
    <row r="36851" spans="1:2" x14ac:dyDescent="0.25">
      <c r="A36851" s="2">
        <v>36846</v>
      </c>
      <c r="B36851" s="11" t="str">
        <f>"201502003188"</f>
        <v>201502003188</v>
      </c>
    </row>
    <row r="36852" spans="1:2" x14ac:dyDescent="0.25">
      <c r="A36852" s="2">
        <v>36847</v>
      </c>
      <c r="B36852" s="11" t="str">
        <f>"201502003290"</f>
        <v>201502003290</v>
      </c>
    </row>
    <row r="36853" spans="1:2" x14ac:dyDescent="0.25">
      <c r="A36853" s="2">
        <v>36848</v>
      </c>
      <c r="B36853" s="11" t="str">
        <f>"201502003337"</f>
        <v>201502003337</v>
      </c>
    </row>
    <row r="36854" spans="1:2" x14ac:dyDescent="0.25">
      <c r="A36854" s="2">
        <v>36849</v>
      </c>
      <c r="B36854" s="11" t="str">
        <f>"201502003362"</f>
        <v>201502003362</v>
      </c>
    </row>
    <row r="36855" spans="1:2" x14ac:dyDescent="0.25">
      <c r="A36855" s="2">
        <v>36850</v>
      </c>
      <c r="B36855" s="11" t="str">
        <f>"201502003448"</f>
        <v>201502003448</v>
      </c>
    </row>
    <row r="36856" spans="1:2" x14ac:dyDescent="0.25">
      <c r="A36856" s="2">
        <v>36851</v>
      </c>
      <c r="B36856" s="11" t="str">
        <f>"201502003469"</f>
        <v>201502003469</v>
      </c>
    </row>
    <row r="36857" spans="1:2" x14ac:dyDescent="0.25">
      <c r="A36857" s="2">
        <v>36852</v>
      </c>
      <c r="B36857" s="11" t="str">
        <f>"201502003500"</f>
        <v>201502003500</v>
      </c>
    </row>
    <row r="36858" spans="1:2" x14ac:dyDescent="0.25">
      <c r="A36858" s="2">
        <v>36853</v>
      </c>
      <c r="B36858" s="11" t="str">
        <f>"201502003517"</f>
        <v>201502003517</v>
      </c>
    </row>
    <row r="36859" spans="1:2" x14ac:dyDescent="0.25">
      <c r="A36859" s="2">
        <v>36854</v>
      </c>
      <c r="B36859" s="11" t="str">
        <f>"201502003539"</f>
        <v>201502003539</v>
      </c>
    </row>
    <row r="36860" spans="1:2" x14ac:dyDescent="0.25">
      <c r="A36860" s="2">
        <v>36855</v>
      </c>
      <c r="B36860" s="11" t="str">
        <f>"201502003587"</f>
        <v>201502003587</v>
      </c>
    </row>
    <row r="36861" spans="1:2" x14ac:dyDescent="0.25">
      <c r="A36861" s="2">
        <v>36856</v>
      </c>
      <c r="B36861" s="11" t="str">
        <f>"201502003741"</f>
        <v>201502003741</v>
      </c>
    </row>
    <row r="36862" spans="1:2" x14ac:dyDescent="0.25">
      <c r="A36862" s="2">
        <v>36857</v>
      </c>
      <c r="B36862" s="11" t="str">
        <f>"201502003804"</f>
        <v>201502003804</v>
      </c>
    </row>
    <row r="36863" spans="1:2" x14ac:dyDescent="0.25">
      <c r="A36863" s="2">
        <v>36858</v>
      </c>
      <c r="B36863" s="11" t="str">
        <f>"201502003928"</f>
        <v>201502003928</v>
      </c>
    </row>
    <row r="36864" spans="1:2" x14ac:dyDescent="0.25">
      <c r="A36864" s="2">
        <v>36859</v>
      </c>
      <c r="B36864" s="11" t="str">
        <f>"201502003931"</f>
        <v>201502003931</v>
      </c>
    </row>
    <row r="36865" spans="1:2" x14ac:dyDescent="0.25">
      <c r="A36865" s="2">
        <v>36860</v>
      </c>
      <c r="B36865" s="11" t="str">
        <f>"201502003960"</f>
        <v>201502003960</v>
      </c>
    </row>
    <row r="36866" spans="1:2" x14ac:dyDescent="0.25">
      <c r="A36866" s="2">
        <v>36861</v>
      </c>
      <c r="B36866" s="11" t="str">
        <f>"201502003981"</f>
        <v>201502003981</v>
      </c>
    </row>
    <row r="36867" spans="1:2" x14ac:dyDescent="0.25">
      <c r="A36867" s="2">
        <v>36862</v>
      </c>
      <c r="B36867" s="11" t="str">
        <f>"201502004055"</f>
        <v>201502004055</v>
      </c>
    </row>
    <row r="36868" spans="1:2" x14ac:dyDescent="0.25">
      <c r="A36868" s="2">
        <v>36863</v>
      </c>
      <c r="B36868" s="11" t="str">
        <f>"201502004117"</f>
        <v>201502004117</v>
      </c>
    </row>
    <row r="36869" spans="1:2" x14ac:dyDescent="0.25">
      <c r="A36869" s="2">
        <v>36864</v>
      </c>
      <c r="B36869" s="11" t="str">
        <f>"201503000008"</f>
        <v>201503000008</v>
      </c>
    </row>
    <row r="36870" spans="1:2" x14ac:dyDescent="0.25">
      <c r="A36870" s="2">
        <v>36865</v>
      </c>
      <c r="B36870" s="11" t="str">
        <f>"201503000027"</f>
        <v>201503000027</v>
      </c>
    </row>
    <row r="36871" spans="1:2" x14ac:dyDescent="0.25">
      <c r="A36871" s="2">
        <v>36866</v>
      </c>
      <c r="B36871" s="11" t="str">
        <f>"201503000035"</f>
        <v>201503000035</v>
      </c>
    </row>
    <row r="36872" spans="1:2" x14ac:dyDescent="0.25">
      <c r="A36872" s="2">
        <v>36867</v>
      </c>
      <c r="B36872" s="11" t="str">
        <f>"201503000070"</f>
        <v>201503000070</v>
      </c>
    </row>
    <row r="36873" spans="1:2" x14ac:dyDescent="0.25">
      <c r="A36873" s="2">
        <v>36868</v>
      </c>
      <c r="B36873" s="11" t="str">
        <f>"201503000135"</f>
        <v>201503000135</v>
      </c>
    </row>
    <row r="36874" spans="1:2" x14ac:dyDescent="0.25">
      <c r="A36874" s="2">
        <v>36869</v>
      </c>
      <c r="B36874" s="11" t="str">
        <f>"201503000161"</f>
        <v>201503000161</v>
      </c>
    </row>
    <row r="36875" spans="1:2" x14ac:dyDescent="0.25">
      <c r="A36875" s="2">
        <v>36870</v>
      </c>
      <c r="B36875" s="11" t="str">
        <f>"201503000185"</f>
        <v>201503000185</v>
      </c>
    </row>
    <row r="36876" spans="1:2" x14ac:dyDescent="0.25">
      <c r="A36876" s="2">
        <v>36871</v>
      </c>
      <c r="B36876" s="11" t="str">
        <f>"201503000347"</f>
        <v>201503000347</v>
      </c>
    </row>
    <row r="36877" spans="1:2" x14ac:dyDescent="0.25">
      <c r="A36877" s="2">
        <v>36872</v>
      </c>
      <c r="B36877" s="11" t="str">
        <f>"201503000368"</f>
        <v>201503000368</v>
      </c>
    </row>
    <row r="36878" spans="1:2" x14ac:dyDescent="0.25">
      <c r="A36878" s="2">
        <v>36873</v>
      </c>
      <c r="B36878" s="11" t="str">
        <f>"201503000392"</f>
        <v>201503000392</v>
      </c>
    </row>
    <row r="36879" spans="1:2" x14ac:dyDescent="0.25">
      <c r="A36879" s="2">
        <v>36874</v>
      </c>
      <c r="B36879" s="11" t="str">
        <f>"201503000540"</f>
        <v>201503000540</v>
      </c>
    </row>
    <row r="36880" spans="1:2" x14ac:dyDescent="0.25">
      <c r="A36880" s="2">
        <v>36875</v>
      </c>
      <c r="B36880" s="11" t="str">
        <f>"201504000025"</f>
        <v>201504000025</v>
      </c>
    </row>
    <row r="36881" spans="1:2" x14ac:dyDescent="0.25">
      <c r="A36881" s="2">
        <v>36876</v>
      </c>
      <c r="B36881" s="11" t="str">
        <f>"201504000040"</f>
        <v>201504000040</v>
      </c>
    </row>
    <row r="36882" spans="1:2" x14ac:dyDescent="0.25">
      <c r="A36882" s="2">
        <v>36877</v>
      </c>
      <c r="B36882" s="11" t="str">
        <f>"201504000246"</f>
        <v>201504000246</v>
      </c>
    </row>
    <row r="36883" spans="1:2" x14ac:dyDescent="0.25">
      <c r="A36883" s="2">
        <v>36878</v>
      </c>
      <c r="B36883" s="11" t="str">
        <f>"201504000310"</f>
        <v>201504000310</v>
      </c>
    </row>
    <row r="36884" spans="1:2" x14ac:dyDescent="0.25">
      <c r="A36884" s="2">
        <v>36879</v>
      </c>
      <c r="B36884" s="11" t="str">
        <f>"201504000348"</f>
        <v>201504000348</v>
      </c>
    </row>
    <row r="36885" spans="1:2" x14ac:dyDescent="0.25">
      <c r="A36885" s="2">
        <v>36880</v>
      </c>
      <c r="B36885" s="11" t="str">
        <f>"201504000361"</f>
        <v>201504000361</v>
      </c>
    </row>
    <row r="36886" spans="1:2" x14ac:dyDescent="0.25">
      <c r="A36886" s="2">
        <v>36881</v>
      </c>
      <c r="B36886" s="11" t="str">
        <f>"201504000383"</f>
        <v>201504000383</v>
      </c>
    </row>
    <row r="36887" spans="1:2" x14ac:dyDescent="0.25">
      <c r="A36887" s="2">
        <v>36882</v>
      </c>
      <c r="B36887" s="11" t="str">
        <f>"201504000387"</f>
        <v>201504000387</v>
      </c>
    </row>
    <row r="36888" spans="1:2" x14ac:dyDescent="0.25">
      <c r="A36888" s="2">
        <v>36883</v>
      </c>
      <c r="B36888" s="11" t="str">
        <f>"201504000501"</f>
        <v>201504000501</v>
      </c>
    </row>
    <row r="36889" spans="1:2" x14ac:dyDescent="0.25">
      <c r="A36889" s="2">
        <v>36884</v>
      </c>
      <c r="B36889" s="11" t="str">
        <f>"201504000542"</f>
        <v>201504000542</v>
      </c>
    </row>
    <row r="36890" spans="1:2" x14ac:dyDescent="0.25">
      <c r="A36890" s="2">
        <v>36885</v>
      </c>
      <c r="B36890" s="11" t="str">
        <f>"201504000649"</f>
        <v>201504000649</v>
      </c>
    </row>
    <row r="36891" spans="1:2" x14ac:dyDescent="0.25">
      <c r="A36891" s="2">
        <v>36886</v>
      </c>
      <c r="B36891" s="11" t="str">
        <f>"201504000669"</f>
        <v>201504000669</v>
      </c>
    </row>
    <row r="36892" spans="1:2" x14ac:dyDescent="0.25">
      <c r="A36892" s="2">
        <v>36887</v>
      </c>
      <c r="B36892" s="11" t="str">
        <f>"201504000682"</f>
        <v>201504000682</v>
      </c>
    </row>
    <row r="36893" spans="1:2" x14ac:dyDescent="0.25">
      <c r="A36893" s="2">
        <v>36888</v>
      </c>
      <c r="B36893" s="11" t="str">
        <f>"201504000719"</f>
        <v>201504000719</v>
      </c>
    </row>
    <row r="36894" spans="1:2" x14ac:dyDescent="0.25">
      <c r="A36894" s="2">
        <v>36889</v>
      </c>
      <c r="B36894" s="11" t="str">
        <f>"201504000745"</f>
        <v>201504000745</v>
      </c>
    </row>
    <row r="36895" spans="1:2" x14ac:dyDescent="0.25">
      <c r="A36895" s="2">
        <v>36890</v>
      </c>
      <c r="B36895" s="11" t="str">
        <f>"201504000778"</f>
        <v>201504000778</v>
      </c>
    </row>
    <row r="36896" spans="1:2" x14ac:dyDescent="0.25">
      <c r="A36896" s="2">
        <v>36891</v>
      </c>
      <c r="B36896" s="11" t="str">
        <f>"201504000814"</f>
        <v>201504000814</v>
      </c>
    </row>
    <row r="36897" spans="1:2" x14ac:dyDescent="0.25">
      <c r="A36897" s="2">
        <v>36892</v>
      </c>
      <c r="B36897" s="11" t="str">
        <f>"201504000898"</f>
        <v>201504000898</v>
      </c>
    </row>
    <row r="36898" spans="1:2" x14ac:dyDescent="0.25">
      <c r="A36898" s="2">
        <v>36893</v>
      </c>
      <c r="B36898" s="11" t="str">
        <f>"201504000940"</f>
        <v>201504000940</v>
      </c>
    </row>
    <row r="36899" spans="1:2" x14ac:dyDescent="0.25">
      <c r="A36899" s="2">
        <v>36894</v>
      </c>
      <c r="B36899" s="11" t="str">
        <f>"201504000960"</f>
        <v>201504000960</v>
      </c>
    </row>
    <row r="36900" spans="1:2" x14ac:dyDescent="0.25">
      <c r="A36900" s="2">
        <v>36895</v>
      </c>
      <c r="B36900" s="11" t="str">
        <f>"201504001068"</f>
        <v>201504001068</v>
      </c>
    </row>
    <row r="36901" spans="1:2" x14ac:dyDescent="0.25">
      <c r="A36901" s="2">
        <v>36896</v>
      </c>
      <c r="B36901" s="11" t="str">
        <f>"201504001122"</f>
        <v>201504001122</v>
      </c>
    </row>
    <row r="36902" spans="1:2" x14ac:dyDescent="0.25">
      <c r="A36902" s="2">
        <v>36897</v>
      </c>
      <c r="B36902" s="11" t="str">
        <f>"201504001179"</f>
        <v>201504001179</v>
      </c>
    </row>
    <row r="36903" spans="1:2" x14ac:dyDescent="0.25">
      <c r="A36903" s="2">
        <v>36898</v>
      </c>
      <c r="B36903" s="11" t="str">
        <f>"201504001200"</f>
        <v>201504001200</v>
      </c>
    </row>
    <row r="36904" spans="1:2" x14ac:dyDescent="0.25">
      <c r="A36904" s="2">
        <v>36899</v>
      </c>
      <c r="B36904" s="11" t="str">
        <f>"201504001365"</f>
        <v>201504001365</v>
      </c>
    </row>
    <row r="36905" spans="1:2" x14ac:dyDescent="0.25">
      <c r="A36905" s="2">
        <v>36900</v>
      </c>
      <c r="B36905" s="11" t="str">
        <f>"201504001366"</f>
        <v>201504001366</v>
      </c>
    </row>
    <row r="36906" spans="1:2" x14ac:dyDescent="0.25">
      <c r="A36906" s="2">
        <v>36901</v>
      </c>
      <c r="B36906" s="11" t="str">
        <f>"201504001398"</f>
        <v>201504001398</v>
      </c>
    </row>
    <row r="36907" spans="1:2" x14ac:dyDescent="0.25">
      <c r="A36907" s="2">
        <v>36902</v>
      </c>
      <c r="B36907" s="11" t="str">
        <f>"201504001429"</f>
        <v>201504001429</v>
      </c>
    </row>
    <row r="36908" spans="1:2" x14ac:dyDescent="0.25">
      <c r="A36908" s="2">
        <v>36903</v>
      </c>
      <c r="B36908" s="11" t="str">
        <f>"201504001486"</f>
        <v>201504001486</v>
      </c>
    </row>
    <row r="36909" spans="1:2" x14ac:dyDescent="0.25">
      <c r="A36909" s="2">
        <v>36904</v>
      </c>
      <c r="B36909" s="11" t="str">
        <f>"201504001565"</f>
        <v>201504001565</v>
      </c>
    </row>
    <row r="36910" spans="1:2" x14ac:dyDescent="0.25">
      <c r="A36910" s="2">
        <v>36905</v>
      </c>
      <c r="B36910" s="11" t="str">
        <f>"201504001578"</f>
        <v>201504001578</v>
      </c>
    </row>
    <row r="36911" spans="1:2" x14ac:dyDescent="0.25">
      <c r="A36911" s="2">
        <v>36906</v>
      </c>
      <c r="B36911" s="11" t="str">
        <f>"201504001713"</f>
        <v>201504001713</v>
      </c>
    </row>
    <row r="36912" spans="1:2" x14ac:dyDescent="0.25">
      <c r="A36912" s="2">
        <v>36907</v>
      </c>
      <c r="B36912" s="11" t="str">
        <f>"201504001755"</f>
        <v>201504001755</v>
      </c>
    </row>
    <row r="36913" spans="1:2" x14ac:dyDescent="0.25">
      <c r="A36913" s="2">
        <v>36908</v>
      </c>
      <c r="B36913" s="11" t="str">
        <f>"201504001780"</f>
        <v>201504001780</v>
      </c>
    </row>
    <row r="36914" spans="1:2" x14ac:dyDescent="0.25">
      <c r="A36914" s="2">
        <v>36909</v>
      </c>
      <c r="B36914" s="11" t="str">
        <f>"201504001844"</f>
        <v>201504001844</v>
      </c>
    </row>
    <row r="36915" spans="1:2" x14ac:dyDescent="0.25">
      <c r="A36915" s="2">
        <v>36910</v>
      </c>
      <c r="B36915" s="11" t="str">
        <f>"201504001953"</f>
        <v>201504001953</v>
      </c>
    </row>
    <row r="36916" spans="1:2" x14ac:dyDescent="0.25">
      <c r="A36916" s="2">
        <v>36911</v>
      </c>
      <c r="B36916" s="11" t="str">
        <f>"201504002022"</f>
        <v>201504002022</v>
      </c>
    </row>
    <row r="36917" spans="1:2" x14ac:dyDescent="0.25">
      <c r="A36917" s="2">
        <v>36912</v>
      </c>
      <c r="B36917" s="11" t="str">
        <f>"201504002089"</f>
        <v>201504002089</v>
      </c>
    </row>
    <row r="36918" spans="1:2" x14ac:dyDescent="0.25">
      <c r="A36918" s="2">
        <v>36913</v>
      </c>
      <c r="B36918" s="11" t="str">
        <f>"201504002142"</f>
        <v>201504002142</v>
      </c>
    </row>
    <row r="36919" spans="1:2" x14ac:dyDescent="0.25">
      <c r="A36919" s="2">
        <v>36914</v>
      </c>
      <c r="B36919" s="11" t="str">
        <f>"201504002168"</f>
        <v>201504002168</v>
      </c>
    </row>
    <row r="36920" spans="1:2" x14ac:dyDescent="0.25">
      <c r="A36920" s="2">
        <v>36915</v>
      </c>
      <c r="B36920" s="11" t="str">
        <f>"201504002202"</f>
        <v>201504002202</v>
      </c>
    </row>
    <row r="36921" spans="1:2" x14ac:dyDescent="0.25">
      <c r="A36921" s="2">
        <v>36916</v>
      </c>
      <c r="B36921" s="11" t="str">
        <f>"201504002229"</f>
        <v>201504002229</v>
      </c>
    </row>
    <row r="36922" spans="1:2" x14ac:dyDescent="0.25">
      <c r="A36922" s="2">
        <v>36917</v>
      </c>
      <c r="B36922" s="11" t="str">
        <f>"201504002363"</f>
        <v>201504002363</v>
      </c>
    </row>
    <row r="36923" spans="1:2" x14ac:dyDescent="0.25">
      <c r="A36923" s="2">
        <v>36918</v>
      </c>
      <c r="B36923" s="11" t="str">
        <f>"201504002387"</f>
        <v>201504002387</v>
      </c>
    </row>
    <row r="36924" spans="1:2" x14ac:dyDescent="0.25">
      <c r="A36924" s="2">
        <v>36919</v>
      </c>
      <c r="B36924" s="11" t="str">
        <f>"201504002399"</f>
        <v>201504002399</v>
      </c>
    </row>
    <row r="36925" spans="1:2" x14ac:dyDescent="0.25">
      <c r="A36925" s="2">
        <v>36920</v>
      </c>
      <c r="B36925" s="11" t="str">
        <f>"201504002493"</f>
        <v>201504002493</v>
      </c>
    </row>
    <row r="36926" spans="1:2" x14ac:dyDescent="0.25">
      <c r="A36926" s="2">
        <v>36921</v>
      </c>
      <c r="B36926" s="11" t="str">
        <f>"201504002509"</f>
        <v>201504002509</v>
      </c>
    </row>
    <row r="36927" spans="1:2" x14ac:dyDescent="0.25">
      <c r="A36927" s="2">
        <v>36922</v>
      </c>
      <c r="B36927" s="11" t="str">
        <f>"201504002515"</f>
        <v>201504002515</v>
      </c>
    </row>
    <row r="36928" spans="1:2" x14ac:dyDescent="0.25">
      <c r="A36928" s="2">
        <v>36923</v>
      </c>
      <c r="B36928" s="11" t="str">
        <f>"201504002567"</f>
        <v>201504002567</v>
      </c>
    </row>
    <row r="36929" spans="1:2" x14ac:dyDescent="0.25">
      <c r="A36929" s="2">
        <v>36924</v>
      </c>
      <c r="B36929" s="11" t="str">
        <f>"201504002842"</f>
        <v>201504002842</v>
      </c>
    </row>
    <row r="36930" spans="1:2" x14ac:dyDescent="0.25">
      <c r="A36930" s="2">
        <v>36925</v>
      </c>
      <c r="B36930" s="11" t="str">
        <f>"201504002864"</f>
        <v>201504002864</v>
      </c>
    </row>
    <row r="36931" spans="1:2" x14ac:dyDescent="0.25">
      <c r="A36931" s="2">
        <v>36926</v>
      </c>
      <c r="B36931" s="11" t="str">
        <f>"201504002907"</f>
        <v>201504002907</v>
      </c>
    </row>
    <row r="36932" spans="1:2" x14ac:dyDescent="0.25">
      <c r="A36932" s="2">
        <v>36927</v>
      </c>
      <c r="B36932" s="11" t="str">
        <f>"201504003004"</f>
        <v>201504003004</v>
      </c>
    </row>
    <row r="36933" spans="1:2" x14ac:dyDescent="0.25">
      <c r="A36933" s="2">
        <v>36928</v>
      </c>
      <c r="B36933" s="11" t="str">
        <f>"201504003011"</f>
        <v>201504003011</v>
      </c>
    </row>
    <row r="36934" spans="1:2" x14ac:dyDescent="0.25">
      <c r="A36934" s="2">
        <v>36929</v>
      </c>
      <c r="B36934" s="11" t="str">
        <f>"201504003050"</f>
        <v>201504003050</v>
      </c>
    </row>
    <row r="36935" spans="1:2" x14ac:dyDescent="0.25">
      <c r="A36935" s="2">
        <v>36930</v>
      </c>
      <c r="B36935" s="11" t="str">
        <f>"201504003052"</f>
        <v>201504003052</v>
      </c>
    </row>
    <row r="36936" spans="1:2" x14ac:dyDescent="0.25">
      <c r="A36936" s="2">
        <v>36931</v>
      </c>
      <c r="B36936" s="11" t="str">
        <f>"201504003075"</f>
        <v>201504003075</v>
      </c>
    </row>
    <row r="36937" spans="1:2" x14ac:dyDescent="0.25">
      <c r="A36937" s="2">
        <v>36932</v>
      </c>
      <c r="B36937" s="11" t="str">
        <f>"201504003087"</f>
        <v>201504003087</v>
      </c>
    </row>
    <row r="36938" spans="1:2" x14ac:dyDescent="0.25">
      <c r="A36938" s="2">
        <v>36933</v>
      </c>
      <c r="B36938" s="11" t="str">
        <f>"201504003114"</f>
        <v>201504003114</v>
      </c>
    </row>
    <row r="36939" spans="1:2" x14ac:dyDescent="0.25">
      <c r="A36939" s="2">
        <v>36934</v>
      </c>
      <c r="B36939" s="11" t="str">
        <f>"201504003212"</f>
        <v>201504003212</v>
      </c>
    </row>
    <row r="36940" spans="1:2" x14ac:dyDescent="0.25">
      <c r="A36940" s="2">
        <v>36935</v>
      </c>
      <c r="B36940" s="11" t="str">
        <f>"201504003214"</f>
        <v>201504003214</v>
      </c>
    </row>
    <row r="36941" spans="1:2" x14ac:dyDescent="0.25">
      <c r="A36941" s="2">
        <v>36936</v>
      </c>
      <c r="B36941" s="11" t="str">
        <f>"201504003345"</f>
        <v>201504003345</v>
      </c>
    </row>
    <row r="36942" spans="1:2" x14ac:dyDescent="0.25">
      <c r="A36942" s="2">
        <v>36937</v>
      </c>
      <c r="B36942" s="11" t="str">
        <f>"201504003371"</f>
        <v>201504003371</v>
      </c>
    </row>
    <row r="36943" spans="1:2" x14ac:dyDescent="0.25">
      <c r="A36943" s="2">
        <v>36938</v>
      </c>
      <c r="B36943" s="11" t="str">
        <f>"201504003462"</f>
        <v>201504003462</v>
      </c>
    </row>
    <row r="36944" spans="1:2" x14ac:dyDescent="0.25">
      <c r="A36944" s="2">
        <v>36939</v>
      </c>
      <c r="B36944" s="11" t="str">
        <f>"201504003591"</f>
        <v>201504003591</v>
      </c>
    </row>
    <row r="36945" spans="1:2" x14ac:dyDescent="0.25">
      <c r="A36945" s="2">
        <v>36940</v>
      </c>
      <c r="B36945" s="11" t="str">
        <f>"201504003598"</f>
        <v>201504003598</v>
      </c>
    </row>
    <row r="36946" spans="1:2" x14ac:dyDescent="0.25">
      <c r="A36946" s="2">
        <v>36941</v>
      </c>
      <c r="B36946" s="11" t="str">
        <f>"201504003718"</f>
        <v>201504003718</v>
      </c>
    </row>
    <row r="36947" spans="1:2" x14ac:dyDescent="0.25">
      <c r="A36947" s="2">
        <v>36942</v>
      </c>
      <c r="B36947" s="11" t="str">
        <f>"201504003727"</f>
        <v>201504003727</v>
      </c>
    </row>
    <row r="36948" spans="1:2" x14ac:dyDescent="0.25">
      <c r="A36948" s="2">
        <v>36943</v>
      </c>
      <c r="B36948" s="11" t="str">
        <f>"201504003775"</f>
        <v>201504003775</v>
      </c>
    </row>
    <row r="36949" spans="1:2" x14ac:dyDescent="0.25">
      <c r="A36949" s="2">
        <v>36944</v>
      </c>
      <c r="B36949" s="11" t="str">
        <f>"201504004107"</f>
        <v>201504004107</v>
      </c>
    </row>
    <row r="36950" spans="1:2" x14ac:dyDescent="0.25">
      <c r="A36950" s="2">
        <v>36945</v>
      </c>
      <c r="B36950" s="11" t="str">
        <f>"201504004257"</f>
        <v>201504004257</v>
      </c>
    </row>
    <row r="36951" spans="1:2" x14ac:dyDescent="0.25">
      <c r="A36951" s="2">
        <v>36946</v>
      </c>
      <c r="B36951" s="11" t="str">
        <f>"201504004362"</f>
        <v>201504004362</v>
      </c>
    </row>
    <row r="36952" spans="1:2" x14ac:dyDescent="0.25">
      <c r="A36952" s="2">
        <v>36947</v>
      </c>
      <c r="B36952" s="11" t="str">
        <f>"201504004429"</f>
        <v>201504004429</v>
      </c>
    </row>
    <row r="36953" spans="1:2" x14ac:dyDescent="0.25">
      <c r="A36953" s="2">
        <v>36948</v>
      </c>
      <c r="B36953" s="11" t="str">
        <f>"201504004459"</f>
        <v>201504004459</v>
      </c>
    </row>
    <row r="36954" spans="1:2" x14ac:dyDescent="0.25">
      <c r="A36954" s="2">
        <v>36949</v>
      </c>
      <c r="B36954" s="11" t="str">
        <f>"201504004530"</f>
        <v>201504004530</v>
      </c>
    </row>
    <row r="36955" spans="1:2" x14ac:dyDescent="0.25">
      <c r="A36955" s="2">
        <v>36950</v>
      </c>
      <c r="B36955" s="11" t="str">
        <f>"201504004554"</f>
        <v>201504004554</v>
      </c>
    </row>
    <row r="36956" spans="1:2" x14ac:dyDescent="0.25">
      <c r="A36956" s="2">
        <v>36951</v>
      </c>
      <c r="B36956" s="11" t="str">
        <f>"201504004618"</f>
        <v>201504004618</v>
      </c>
    </row>
    <row r="36957" spans="1:2" x14ac:dyDescent="0.25">
      <c r="A36957" s="2">
        <v>36952</v>
      </c>
      <c r="B36957" s="11" t="str">
        <f>"201504004676"</f>
        <v>201504004676</v>
      </c>
    </row>
    <row r="36958" spans="1:2" x14ac:dyDescent="0.25">
      <c r="A36958" s="2">
        <v>36953</v>
      </c>
      <c r="B36958" s="11" t="str">
        <f>"201504004710"</f>
        <v>201504004710</v>
      </c>
    </row>
    <row r="36959" spans="1:2" x14ac:dyDescent="0.25">
      <c r="A36959" s="2">
        <v>36954</v>
      </c>
      <c r="B36959" s="11" t="str">
        <f>"201504004752"</f>
        <v>201504004752</v>
      </c>
    </row>
    <row r="36960" spans="1:2" x14ac:dyDescent="0.25">
      <c r="A36960" s="2">
        <v>36955</v>
      </c>
      <c r="B36960" s="11" t="str">
        <f>"201504004767"</f>
        <v>201504004767</v>
      </c>
    </row>
    <row r="36961" spans="1:2" x14ac:dyDescent="0.25">
      <c r="A36961" s="2">
        <v>36956</v>
      </c>
      <c r="B36961" s="11" t="str">
        <f>"201504005041"</f>
        <v>201504005041</v>
      </c>
    </row>
    <row r="36962" spans="1:2" x14ac:dyDescent="0.25">
      <c r="A36962" s="2">
        <v>36957</v>
      </c>
      <c r="B36962" s="11" t="str">
        <f>"201504005186"</f>
        <v>201504005186</v>
      </c>
    </row>
    <row r="36963" spans="1:2" x14ac:dyDescent="0.25">
      <c r="A36963" s="2">
        <v>36958</v>
      </c>
      <c r="B36963" s="11" t="str">
        <f>"201504005254"</f>
        <v>201504005254</v>
      </c>
    </row>
    <row r="36964" spans="1:2" x14ac:dyDescent="0.25">
      <c r="A36964" s="2">
        <v>36959</v>
      </c>
      <c r="B36964" s="11" t="str">
        <f>"201504005356"</f>
        <v>201504005356</v>
      </c>
    </row>
    <row r="36965" spans="1:2" x14ac:dyDescent="0.25">
      <c r="A36965" s="2">
        <v>36960</v>
      </c>
      <c r="B36965" s="11" t="str">
        <f>"201504005374"</f>
        <v>201504005374</v>
      </c>
    </row>
    <row r="36966" spans="1:2" x14ac:dyDescent="0.25">
      <c r="A36966" s="2">
        <v>36961</v>
      </c>
      <c r="B36966" s="11" t="str">
        <f>"201505000011"</f>
        <v>201505000011</v>
      </c>
    </row>
    <row r="36967" spans="1:2" x14ac:dyDescent="0.25">
      <c r="A36967" s="2">
        <v>36962</v>
      </c>
      <c r="B36967" s="11" t="str">
        <f>"201505000054"</f>
        <v>201505000054</v>
      </c>
    </row>
    <row r="36968" spans="1:2" x14ac:dyDescent="0.25">
      <c r="A36968" s="2">
        <v>36963</v>
      </c>
      <c r="B36968" s="11" t="str">
        <f>"201505000069"</f>
        <v>201505000069</v>
      </c>
    </row>
    <row r="36969" spans="1:2" x14ac:dyDescent="0.25">
      <c r="A36969" s="2">
        <v>36964</v>
      </c>
      <c r="B36969" s="11" t="str">
        <f>"201505000167"</f>
        <v>201505000167</v>
      </c>
    </row>
    <row r="36970" spans="1:2" x14ac:dyDescent="0.25">
      <c r="A36970" s="2">
        <v>36965</v>
      </c>
      <c r="B36970" s="11" t="str">
        <f>"201505000211"</f>
        <v>201505000211</v>
      </c>
    </row>
    <row r="36971" spans="1:2" x14ac:dyDescent="0.25">
      <c r="A36971" s="2">
        <v>36966</v>
      </c>
      <c r="B36971" s="11" t="str">
        <f>"201505000249"</f>
        <v>201505000249</v>
      </c>
    </row>
    <row r="36972" spans="1:2" x14ac:dyDescent="0.25">
      <c r="A36972" s="2">
        <v>36967</v>
      </c>
      <c r="B36972" s="11" t="str">
        <f>"201505000329"</f>
        <v>201505000329</v>
      </c>
    </row>
    <row r="36973" spans="1:2" x14ac:dyDescent="0.25">
      <c r="A36973" s="2">
        <v>36968</v>
      </c>
      <c r="B36973" s="11" t="str">
        <f>"201505000381"</f>
        <v>201505000381</v>
      </c>
    </row>
    <row r="36974" spans="1:2" x14ac:dyDescent="0.25">
      <c r="A36974" s="2">
        <v>36969</v>
      </c>
      <c r="B36974" s="11" t="str">
        <f>"201505000391"</f>
        <v>201505000391</v>
      </c>
    </row>
    <row r="36975" spans="1:2" x14ac:dyDescent="0.25">
      <c r="A36975" s="2">
        <v>36970</v>
      </c>
      <c r="B36975" s="11" t="str">
        <f>"201505000408"</f>
        <v>201505000408</v>
      </c>
    </row>
    <row r="36976" spans="1:2" x14ac:dyDescent="0.25">
      <c r="A36976" s="2">
        <v>36971</v>
      </c>
      <c r="B36976" s="11" t="str">
        <f>"201505000427"</f>
        <v>201505000427</v>
      </c>
    </row>
    <row r="36977" spans="1:2" x14ac:dyDescent="0.25">
      <c r="A36977" s="2">
        <v>36972</v>
      </c>
      <c r="B36977" s="11" t="str">
        <f>"201505000487"</f>
        <v>201505000487</v>
      </c>
    </row>
    <row r="36978" spans="1:2" x14ac:dyDescent="0.25">
      <c r="A36978" s="2">
        <v>36973</v>
      </c>
      <c r="B36978" s="11" t="str">
        <f>"201505000526"</f>
        <v>201505000526</v>
      </c>
    </row>
    <row r="36979" spans="1:2" x14ac:dyDescent="0.25">
      <c r="A36979" s="2">
        <v>36974</v>
      </c>
      <c r="B36979" s="11" t="str">
        <f>"201506000084"</f>
        <v>201506000084</v>
      </c>
    </row>
    <row r="36980" spans="1:2" x14ac:dyDescent="0.25">
      <c r="A36980" s="2">
        <v>36975</v>
      </c>
      <c r="B36980" s="11" t="str">
        <f>"201506000110"</f>
        <v>201506000110</v>
      </c>
    </row>
    <row r="36981" spans="1:2" x14ac:dyDescent="0.25">
      <c r="A36981" s="2">
        <v>36976</v>
      </c>
      <c r="B36981" s="11" t="str">
        <f>"201506000125"</f>
        <v>201506000125</v>
      </c>
    </row>
    <row r="36982" spans="1:2" x14ac:dyDescent="0.25">
      <c r="A36982" s="2">
        <v>36977</v>
      </c>
      <c r="B36982" s="11" t="str">
        <f>"201506000161"</f>
        <v>201506000161</v>
      </c>
    </row>
    <row r="36983" spans="1:2" x14ac:dyDescent="0.25">
      <c r="A36983" s="2">
        <v>36978</v>
      </c>
      <c r="B36983" s="11" t="str">
        <f>"201506000346"</f>
        <v>201506000346</v>
      </c>
    </row>
    <row r="36984" spans="1:2" x14ac:dyDescent="0.25">
      <c r="A36984" s="2">
        <v>36979</v>
      </c>
      <c r="B36984" s="11" t="str">
        <f>"201506000381"</f>
        <v>201506000381</v>
      </c>
    </row>
    <row r="36985" spans="1:2" x14ac:dyDescent="0.25">
      <c r="A36985" s="2">
        <v>36980</v>
      </c>
      <c r="B36985" s="11" t="str">
        <f>"201506000402"</f>
        <v>201506000402</v>
      </c>
    </row>
    <row r="36986" spans="1:2" x14ac:dyDescent="0.25">
      <c r="A36986" s="2">
        <v>36981</v>
      </c>
      <c r="B36986" s="11" t="str">
        <f>"201506000424"</f>
        <v>201506000424</v>
      </c>
    </row>
    <row r="36987" spans="1:2" x14ac:dyDescent="0.25">
      <c r="A36987" s="2">
        <v>36982</v>
      </c>
      <c r="B36987" s="11" t="str">
        <f>"201506000465"</f>
        <v>201506000465</v>
      </c>
    </row>
    <row r="36988" spans="1:2" x14ac:dyDescent="0.25">
      <c r="A36988" s="2">
        <v>36983</v>
      </c>
      <c r="B36988" s="11" t="str">
        <f>"201506000466"</f>
        <v>201506000466</v>
      </c>
    </row>
    <row r="36989" spans="1:2" x14ac:dyDescent="0.25">
      <c r="A36989" s="2">
        <v>36984</v>
      </c>
      <c r="B36989" s="11" t="str">
        <f>"201506000491"</f>
        <v>201506000491</v>
      </c>
    </row>
    <row r="36990" spans="1:2" x14ac:dyDescent="0.25">
      <c r="A36990" s="2">
        <v>36985</v>
      </c>
      <c r="B36990" s="11" t="str">
        <f>"201506000518"</f>
        <v>201506000518</v>
      </c>
    </row>
    <row r="36991" spans="1:2" x14ac:dyDescent="0.25">
      <c r="A36991" s="2">
        <v>36986</v>
      </c>
      <c r="B36991" s="11" t="str">
        <f>"201506000598"</f>
        <v>201506000598</v>
      </c>
    </row>
    <row r="36992" spans="1:2" x14ac:dyDescent="0.25">
      <c r="A36992" s="2">
        <v>36987</v>
      </c>
      <c r="B36992" s="11" t="str">
        <f>"201506000620"</f>
        <v>201506000620</v>
      </c>
    </row>
    <row r="36993" spans="1:2" x14ac:dyDescent="0.25">
      <c r="A36993" s="2">
        <v>36988</v>
      </c>
      <c r="B36993" s="11" t="str">
        <f>"201506000735"</f>
        <v>201506000735</v>
      </c>
    </row>
    <row r="36994" spans="1:2" x14ac:dyDescent="0.25">
      <c r="A36994" s="2">
        <v>36989</v>
      </c>
      <c r="B36994" s="11" t="str">
        <f>"201506000783"</f>
        <v>201506000783</v>
      </c>
    </row>
    <row r="36995" spans="1:2" x14ac:dyDescent="0.25">
      <c r="A36995" s="2">
        <v>36990</v>
      </c>
      <c r="B36995" s="11" t="str">
        <f>"201506000825"</f>
        <v>201506000825</v>
      </c>
    </row>
    <row r="36996" spans="1:2" x14ac:dyDescent="0.25">
      <c r="A36996" s="2">
        <v>36991</v>
      </c>
      <c r="B36996" s="11" t="str">
        <f>"201506000840"</f>
        <v>201506000840</v>
      </c>
    </row>
    <row r="36997" spans="1:2" x14ac:dyDescent="0.25">
      <c r="A36997" s="2">
        <v>36992</v>
      </c>
      <c r="B36997" s="11" t="str">
        <f>"201506000884"</f>
        <v>201506000884</v>
      </c>
    </row>
    <row r="36998" spans="1:2" x14ac:dyDescent="0.25">
      <c r="A36998" s="2">
        <v>36993</v>
      </c>
      <c r="B36998" s="11" t="str">
        <f>"201506001058"</f>
        <v>201506001058</v>
      </c>
    </row>
    <row r="36999" spans="1:2" x14ac:dyDescent="0.25">
      <c r="A36999" s="2">
        <v>36994</v>
      </c>
      <c r="B36999" s="11" t="str">
        <f>"201506001114"</f>
        <v>201506001114</v>
      </c>
    </row>
    <row r="37000" spans="1:2" x14ac:dyDescent="0.25">
      <c r="A37000" s="2">
        <v>36995</v>
      </c>
      <c r="B37000" s="11" t="str">
        <f>"201506001147"</f>
        <v>201506001147</v>
      </c>
    </row>
    <row r="37001" spans="1:2" x14ac:dyDescent="0.25">
      <c r="A37001" s="2">
        <v>36996</v>
      </c>
      <c r="B37001" s="11" t="str">
        <f>"201506001173"</f>
        <v>201506001173</v>
      </c>
    </row>
    <row r="37002" spans="1:2" x14ac:dyDescent="0.25">
      <c r="A37002" s="2">
        <v>36997</v>
      </c>
      <c r="B37002" s="11" t="str">
        <f>"201506001198"</f>
        <v>201506001198</v>
      </c>
    </row>
    <row r="37003" spans="1:2" x14ac:dyDescent="0.25">
      <c r="A37003" s="2">
        <v>36998</v>
      </c>
      <c r="B37003" s="11" t="str">
        <f>"201506001276"</f>
        <v>201506001276</v>
      </c>
    </row>
    <row r="37004" spans="1:2" x14ac:dyDescent="0.25">
      <c r="A37004" s="2">
        <v>36999</v>
      </c>
      <c r="B37004" s="11" t="str">
        <f>"201506001304"</f>
        <v>201506001304</v>
      </c>
    </row>
    <row r="37005" spans="1:2" x14ac:dyDescent="0.25">
      <c r="A37005" s="2">
        <v>37000</v>
      </c>
      <c r="B37005" s="11" t="str">
        <f>"201506001314"</f>
        <v>201506001314</v>
      </c>
    </row>
    <row r="37006" spans="1:2" x14ac:dyDescent="0.25">
      <c r="A37006" s="2">
        <v>37001</v>
      </c>
      <c r="B37006" s="11" t="str">
        <f>"201506001331"</f>
        <v>201506001331</v>
      </c>
    </row>
    <row r="37007" spans="1:2" x14ac:dyDescent="0.25">
      <c r="A37007" s="2">
        <v>37002</v>
      </c>
      <c r="B37007" s="11" t="str">
        <f>"201506001383"</f>
        <v>201506001383</v>
      </c>
    </row>
    <row r="37008" spans="1:2" x14ac:dyDescent="0.25">
      <c r="A37008" s="2">
        <v>37003</v>
      </c>
      <c r="B37008" s="11" t="str">
        <f>"201506001402"</f>
        <v>201506001402</v>
      </c>
    </row>
    <row r="37009" spans="1:2" x14ac:dyDescent="0.25">
      <c r="A37009" s="2">
        <v>37004</v>
      </c>
      <c r="B37009" s="11" t="str">
        <f>"201506001435"</f>
        <v>201506001435</v>
      </c>
    </row>
    <row r="37010" spans="1:2" x14ac:dyDescent="0.25">
      <c r="A37010" s="2">
        <v>37005</v>
      </c>
      <c r="B37010" s="11" t="str">
        <f>"201506001501"</f>
        <v>201506001501</v>
      </c>
    </row>
    <row r="37011" spans="1:2" x14ac:dyDescent="0.25">
      <c r="A37011" s="2">
        <v>37006</v>
      </c>
      <c r="B37011" s="11" t="str">
        <f>"201506001523"</f>
        <v>201506001523</v>
      </c>
    </row>
    <row r="37012" spans="1:2" x14ac:dyDescent="0.25">
      <c r="A37012" s="2">
        <v>37007</v>
      </c>
      <c r="B37012" s="11" t="str">
        <f>"201506001533"</f>
        <v>201506001533</v>
      </c>
    </row>
    <row r="37013" spans="1:2" x14ac:dyDescent="0.25">
      <c r="A37013" s="2">
        <v>37008</v>
      </c>
      <c r="B37013" s="11" t="str">
        <f>"201506001656"</f>
        <v>201506001656</v>
      </c>
    </row>
    <row r="37014" spans="1:2" x14ac:dyDescent="0.25">
      <c r="A37014" s="2">
        <v>37009</v>
      </c>
      <c r="B37014" s="11" t="str">
        <f>"201506001696"</f>
        <v>201506001696</v>
      </c>
    </row>
    <row r="37015" spans="1:2" x14ac:dyDescent="0.25">
      <c r="A37015" s="2">
        <v>37010</v>
      </c>
      <c r="B37015" s="11" t="str">
        <f>"201506001777"</f>
        <v>201506001777</v>
      </c>
    </row>
    <row r="37016" spans="1:2" x14ac:dyDescent="0.25">
      <c r="A37016" s="2">
        <v>37011</v>
      </c>
      <c r="B37016" s="11" t="str">
        <f>"201506001781"</f>
        <v>201506001781</v>
      </c>
    </row>
    <row r="37017" spans="1:2" x14ac:dyDescent="0.25">
      <c r="A37017" s="2">
        <v>37012</v>
      </c>
      <c r="B37017" s="11" t="str">
        <f>"201506001810"</f>
        <v>201506001810</v>
      </c>
    </row>
    <row r="37018" spans="1:2" x14ac:dyDescent="0.25">
      <c r="A37018" s="2">
        <v>37013</v>
      </c>
      <c r="B37018" s="11" t="str">
        <f>"201506001812"</f>
        <v>201506001812</v>
      </c>
    </row>
    <row r="37019" spans="1:2" x14ac:dyDescent="0.25">
      <c r="A37019" s="2">
        <v>37014</v>
      </c>
      <c r="B37019" s="11" t="str">
        <f>"201506001838"</f>
        <v>201506001838</v>
      </c>
    </row>
    <row r="37020" spans="1:2" x14ac:dyDescent="0.25">
      <c r="A37020" s="2">
        <v>37015</v>
      </c>
      <c r="B37020" s="11" t="str">
        <f>"201506001880"</f>
        <v>201506001880</v>
      </c>
    </row>
    <row r="37021" spans="1:2" x14ac:dyDescent="0.25">
      <c r="A37021" s="2">
        <v>37016</v>
      </c>
      <c r="B37021" s="11" t="str">
        <f>"201506001947"</f>
        <v>201506001947</v>
      </c>
    </row>
    <row r="37022" spans="1:2" x14ac:dyDescent="0.25">
      <c r="A37022" s="2">
        <v>37017</v>
      </c>
      <c r="B37022" s="11" t="str">
        <f>"201506001990"</f>
        <v>201506001990</v>
      </c>
    </row>
    <row r="37023" spans="1:2" x14ac:dyDescent="0.25">
      <c r="A37023" s="2">
        <v>37018</v>
      </c>
      <c r="B37023" s="11" t="str">
        <f>"201506002017"</f>
        <v>201506002017</v>
      </c>
    </row>
    <row r="37024" spans="1:2" x14ac:dyDescent="0.25">
      <c r="A37024" s="2">
        <v>37019</v>
      </c>
      <c r="B37024" s="11" t="str">
        <f>"201506002141"</f>
        <v>201506002141</v>
      </c>
    </row>
    <row r="37025" spans="1:2" x14ac:dyDescent="0.25">
      <c r="A37025" s="2">
        <v>37020</v>
      </c>
      <c r="B37025" s="11" t="str">
        <f>"201506002343"</f>
        <v>201506002343</v>
      </c>
    </row>
    <row r="37026" spans="1:2" x14ac:dyDescent="0.25">
      <c r="A37026" s="2">
        <v>37021</v>
      </c>
      <c r="B37026" s="11" t="str">
        <f>"201506002345"</f>
        <v>201506002345</v>
      </c>
    </row>
    <row r="37027" spans="1:2" x14ac:dyDescent="0.25">
      <c r="A37027" s="2">
        <v>37022</v>
      </c>
      <c r="B37027" s="11" t="str">
        <f>"201506002370"</f>
        <v>201506002370</v>
      </c>
    </row>
    <row r="37028" spans="1:2" x14ac:dyDescent="0.25">
      <c r="A37028" s="2">
        <v>37023</v>
      </c>
      <c r="B37028" s="11" t="str">
        <f>"201506002402"</f>
        <v>201506002402</v>
      </c>
    </row>
    <row r="37029" spans="1:2" x14ac:dyDescent="0.25">
      <c r="A37029" s="2">
        <v>37024</v>
      </c>
      <c r="B37029" s="11" t="str">
        <f>"201506002445"</f>
        <v>201506002445</v>
      </c>
    </row>
    <row r="37030" spans="1:2" x14ac:dyDescent="0.25">
      <c r="A37030" s="2">
        <v>37025</v>
      </c>
      <c r="B37030" s="11" t="str">
        <f>"201506002669"</f>
        <v>201506002669</v>
      </c>
    </row>
    <row r="37031" spans="1:2" x14ac:dyDescent="0.25">
      <c r="A37031" s="2">
        <v>37026</v>
      </c>
      <c r="B37031" s="11" t="str">
        <f>"201506002677"</f>
        <v>201506002677</v>
      </c>
    </row>
    <row r="37032" spans="1:2" x14ac:dyDescent="0.25">
      <c r="A37032" s="2">
        <v>37027</v>
      </c>
      <c r="B37032" s="11" t="str">
        <f>"201506002715"</f>
        <v>201506002715</v>
      </c>
    </row>
    <row r="37033" spans="1:2" x14ac:dyDescent="0.25">
      <c r="A37033" s="2">
        <v>37028</v>
      </c>
      <c r="B37033" s="11" t="str">
        <f>"201506002724"</f>
        <v>201506002724</v>
      </c>
    </row>
    <row r="37034" spans="1:2" x14ac:dyDescent="0.25">
      <c r="A37034" s="2">
        <v>37029</v>
      </c>
      <c r="B37034" s="11" t="str">
        <f>"201506002740"</f>
        <v>201506002740</v>
      </c>
    </row>
    <row r="37035" spans="1:2" x14ac:dyDescent="0.25">
      <c r="A37035" s="2">
        <v>37030</v>
      </c>
      <c r="B37035" s="11" t="str">
        <f>"201506002750"</f>
        <v>201506002750</v>
      </c>
    </row>
    <row r="37036" spans="1:2" x14ac:dyDescent="0.25">
      <c r="A37036" s="2">
        <v>37031</v>
      </c>
      <c r="B37036" s="11" t="str">
        <f>"201506002871"</f>
        <v>201506002871</v>
      </c>
    </row>
    <row r="37037" spans="1:2" x14ac:dyDescent="0.25">
      <c r="A37037" s="2">
        <v>37032</v>
      </c>
      <c r="B37037" s="11" t="str">
        <f>"201506003035"</f>
        <v>201506003035</v>
      </c>
    </row>
    <row r="37038" spans="1:2" x14ac:dyDescent="0.25">
      <c r="A37038" s="2">
        <v>37033</v>
      </c>
      <c r="B37038" s="11" t="str">
        <f>"201506003090"</f>
        <v>201506003090</v>
      </c>
    </row>
    <row r="37039" spans="1:2" x14ac:dyDescent="0.25">
      <c r="A37039" s="2">
        <v>37034</v>
      </c>
      <c r="B37039" s="11" t="str">
        <f>"201506003111"</f>
        <v>201506003111</v>
      </c>
    </row>
    <row r="37040" spans="1:2" x14ac:dyDescent="0.25">
      <c r="A37040" s="2">
        <v>37035</v>
      </c>
      <c r="B37040" s="11" t="str">
        <f>"201506003212"</f>
        <v>201506003212</v>
      </c>
    </row>
    <row r="37041" spans="1:2" x14ac:dyDescent="0.25">
      <c r="A37041" s="2">
        <v>37036</v>
      </c>
      <c r="B37041" s="11" t="str">
        <f>"201506003244"</f>
        <v>201506003244</v>
      </c>
    </row>
    <row r="37042" spans="1:2" x14ac:dyDescent="0.25">
      <c r="A37042" s="2">
        <v>37037</v>
      </c>
      <c r="B37042" s="11" t="str">
        <f>"201506003252"</f>
        <v>201506003252</v>
      </c>
    </row>
    <row r="37043" spans="1:2" x14ac:dyDescent="0.25">
      <c r="A37043" s="2">
        <v>37038</v>
      </c>
      <c r="B37043" s="11" t="str">
        <f>"201506003277"</f>
        <v>201506003277</v>
      </c>
    </row>
    <row r="37044" spans="1:2" x14ac:dyDescent="0.25">
      <c r="A37044" s="2">
        <v>37039</v>
      </c>
      <c r="B37044" s="11" t="str">
        <f>"201506003370"</f>
        <v>201506003370</v>
      </c>
    </row>
    <row r="37045" spans="1:2" x14ac:dyDescent="0.25">
      <c r="A37045" s="2">
        <v>37040</v>
      </c>
      <c r="B37045" s="11" t="str">
        <f>"201506003393"</f>
        <v>201506003393</v>
      </c>
    </row>
    <row r="37046" spans="1:2" x14ac:dyDescent="0.25">
      <c r="A37046" s="2">
        <v>37041</v>
      </c>
      <c r="B37046" s="11" t="str">
        <f>"201506003448"</f>
        <v>201506003448</v>
      </c>
    </row>
    <row r="37047" spans="1:2" x14ac:dyDescent="0.25">
      <c r="A37047" s="2">
        <v>37042</v>
      </c>
      <c r="B37047" s="11" t="str">
        <f>"201506003615"</f>
        <v>201506003615</v>
      </c>
    </row>
    <row r="37048" spans="1:2" x14ac:dyDescent="0.25">
      <c r="A37048" s="2">
        <v>37043</v>
      </c>
      <c r="B37048" s="11" t="str">
        <f>"201506003680"</f>
        <v>201506003680</v>
      </c>
    </row>
    <row r="37049" spans="1:2" x14ac:dyDescent="0.25">
      <c r="A37049" s="2">
        <v>37044</v>
      </c>
      <c r="B37049" s="11" t="str">
        <f>"201506003722"</f>
        <v>201506003722</v>
      </c>
    </row>
    <row r="37050" spans="1:2" x14ac:dyDescent="0.25">
      <c r="A37050" s="2">
        <v>37045</v>
      </c>
      <c r="B37050" s="11" t="str">
        <f>"201506003727"</f>
        <v>201506003727</v>
      </c>
    </row>
    <row r="37051" spans="1:2" x14ac:dyDescent="0.25">
      <c r="A37051" s="2">
        <v>37046</v>
      </c>
      <c r="B37051" s="11" t="str">
        <f>"201506003777"</f>
        <v>201506003777</v>
      </c>
    </row>
    <row r="37052" spans="1:2" x14ac:dyDescent="0.25">
      <c r="A37052" s="2">
        <v>37047</v>
      </c>
      <c r="B37052" s="11" t="str">
        <f>"201506003956"</f>
        <v>201506003956</v>
      </c>
    </row>
    <row r="37053" spans="1:2" x14ac:dyDescent="0.25">
      <c r="A37053" s="2">
        <v>37048</v>
      </c>
      <c r="B37053" s="11" t="str">
        <f>"201506004049"</f>
        <v>201506004049</v>
      </c>
    </row>
    <row r="37054" spans="1:2" x14ac:dyDescent="0.25">
      <c r="A37054" s="2">
        <v>37049</v>
      </c>
      <c r="B37054" s="11" t="str">
        <f>"201506004080"</f>
        <v>201506004080</v>
      </c>
    </row>
    <row r="37055" spans="1:2" x14ac:dyDescent="0.25">
      <c r="A37055" s="2">
        <v>37050</v>
      </c>
      <c r="B37055" s="11" t="str">
        <f>"201506004087"</f>
        <v>201506004087</v>
      </c>
    </row>
    <row r="37056" spans="1:2" x14ac:dyDescent="0.25">
      <c r="A37056" s="2">
        <v>37051</v>
      </c>
      <c r="B37056" s="11" t="str">
        <f>"201506004093"</f>
        <v>201506004093</v>
      </c>
    </row>
    <row r="37057" spans="1:2" x14ac:dyDescent="0.25">
      <c r="A37057" s="2">
        <v>37052</v>
      </c>
      <c r="B37057" s="11" t="str">
        <f>"201506004095"</f>
        <v>201506004095</v>
      </c>
    </row>
    <row r="37058" spans="1:2" x14ac:dyDescent="0.25">
      <c r="A37058" s="2">
        <v>37053</v>
      </c>
      <c r="B37058" s="11" t="str">
        <f>"201506004159"</f>
        <v>201506004159</v>
      </c>
    </row>
    <row r="37059" spans="1:2" x14ac:dyDescent="0.25">
      <c r="A37059" s="2">
        <v>37054</v>
      </c>
      <c r="B37059" s="11" t="str">
        <f>"201506004164"</f>
        <v>201506004164</v>
      </c>
    </row>
    <row r="37060" spans="1:2" x14ac:dyDescent="0.25">
      <c r="A37060" s="2">
        <v>37055</v>
      </c>
      <c r="B37060" s="11" t="str">
        <f>"201506004165"</f>
        <v>201506004165</v>
      </c>
    </row>
    <row r="37061" spans="1:2" x14ac:dyDescent="0.25">
      <c r="A37061" s="2">
        <v>37056</v>
      </c>
      <c r="B37061" s="11" t="str">
        <f>"201506004219"</f>
        <v>201506004219</v>
      </c>
    </row>
    <row r="37062" spans="1:2" x14ac:dyDescent="0.25">
      <c r="A37062" s="2">
        <v>37057</v>
      </c>
      <c r="B37062" s="11" t="str">
        <f>"201506004330"</f>
        <v>201506004330</v>
      </c>
    </row>
    <row r="37063" spans="1:2" x14ac:dyDescent="0.25">
      <c r="A37063" s="2">
        <v>37058</v>
      </c>
      <c r="B37063" s="11" t="str">
        <f>"201506004375"</f>
        <v>201506004375</v>
      </c>
    </row>
    <row r="37064" spans="1:2" x14ac:dyDescent="0.25">
      <c r="A37064" s="2">
        <v>37059</v>
      </c>
      <c r="B37064" s="11" t="str">
        <f>"201506004428"</f>
        <v>201506004428</v>
      </c>
    </row>
    <row r="37065" spans="1:2" x14ac:dyDescent="0.25">
      <c r="A37065" s="2">
        <v>37060</v>
      </c>
      <c r="B37065" s="11" t="str">
        <f>"201506004465"</f>
        <v>201506004465</v>
      </c>
    </row>
    <row r="37066" spans="1:2" x14ac:dyDescent="0.25">
      <c r="A37066" s="2">
        <v>37061</v>
      </c>
      <c r="B37066" s="11" t="str">
        <f>"201506004474"</f>
        <v>201506004474</v>
      </c>
    </row>
    <row r="37067" spans="1:2" x14ac:dyDescent="0.25">
      <c r="A37067" s="2">
        <v>37062</v>
      </c>
      <c r="B37067" s="11" t="str">
        <f>"201506004477"</f>
        <v>201506004477</v>
      </c>
    </row>
    <row r="37068" spans="1:2" x14ac:dyDescent="0.25">
      <c r="A37068" s="2">
        <v>37063</v>
      </c>
      <c r="B37068" s="11" t="str">
        <f>"201506004524"</f>
        <v>201506004524</v>
      </c>
    </row>
    <row r="37069" spans="1:2" x14ac:dyDescent="0.25">
      <c r="A37069" s="2">
        <v>37064</v>
      </c>
      <c r="B37069" s="11" t="str">
        <f>"201507000018"</f>
        <v>201507000018</v>
      </c>
    </row>
    <row r="37070" spans="1:2" x14ac:dyDescent="0.25">
      <c r="A37070" s="2">
        <v>37065</v>
      </c>
      <c r="B37070" s="11" t="str">
        <f>"201507000058"</f>
        <v>201507000058</v>
      </c>
    </row>
    <row r="37071" spans="1:2" x14ac:dyDescent="0.25">
      <c r="A37071" s="2">
        <v>37066</v>
      </c>
      <c r="B37071" s="11" t="str">
        <f>"201507000073"</f>
        <v>201507000073</v>
      </c>
    </row>
    <row r="37072" spans="1:2" x14ac:dyDescent="0.25">
      <c r="A37072" s="2">
        <v>37067</v>
      </c>
      <c r="B37072" s="11" t="str">
        <f>"201507000096"</f>
        <v>201507000096</v>
      </c>
    </row>
    <row r="37073" spans="1:2" x14ac:dyDescent="0.25">
      <c r="A37073" s="2">
        <v>37068</v>
      </c>
      <c r="B37073" s="11" t="str">
        <f>"201507000097"</f>
        <v>201507000097</v>
      </c>
    </row>
    <row r="37074" spans="1:2" x14ac:dyDescent="0.25">
      <c r="A37074" s="2">
        <v>37069</v>
      </c>
      <c r="B37074" s="11" t="str">
        <f>"201507000132"</f>
        <v>201507000132</v>
      </c>
    </row>
    <row r="37075" spans="1:2" x14ac:dyDescent="0.25">
      <c r="A37075" s="2">
        <v>37070</v>
      </c>
      <c r="B37075" s="11" t="str">
        <f>"201507000164"</f>
        <v>201507000164</v>
      </c>
    </row>
    <row r="37076" spans="1:2" x14ac:dyDescent="0.25">
      <c r="A37076" s="2">
        <v>37071</v>
      </c>
      <c r="B37076" s="11" t="str">
        <f>"201507000221"</f>
        <v>201507000221</v>
      </c>
    </row>
    <row r="37077" spans="1:2" x14ac:dyDescent="0.25">
      <c r="A37077" s="2">
        <v>37072</v>
      </c>
      <c r="B37077" s="11" t="str">
        <f>"201507000261"</f>
        <v>201507000261</v>
      </c>
    </row>
    <row r="37078" spans="1:2" x14ac:dyDescent="0.25">
      <c r="A37078" s="2">
        <v>37073</v>
      </c>
      <c r="B37078" s="11" t="str">
        <f>"201507000274"</f>
        <v>201507000274</v>
      </c>
    </row>
    <row r="37079" spans="1:2" x14ac:dyDescent="0.25">
      <c r="A37079" s="2">
        <v>37074</v>
      </c>
      <c r="B37079" s="11" t="str">
        <f>"201507000280"</f>
        <v>201507000280</v>
      </c>
    </row>
    <row r="37080" spans="1:2" x14ac:dyDescent="0.25">
      <c r="A37080" s="2">
        <v>37075</v>
      </c>
      <c r="B37080" s="11" t="str">
        <f>"201507000325"</f>
        <v>201507000325</v>
      </c>
    </row>
    <row r="37081" spans="1:2" x14ac:dyDescent="0.25">
      <c r="A37081" s="2">
        <v>37076</v>
      </c>
      <c r="B37081" s="11" t="str">
        <f>"201507000348"</f>
        <v>201507000348</v>
      </c>
    </row>
    <row r="37082" spans="1:2" x14ac:dyDescent="0.25">
      <c r="A37082" s="2">
        <v>37077</v>
      </c>
      <c r="B37082" s="11" t="str">
        <f>"201507000418"</f>
        <v>201507000418</v>
      </c>
    </row>
    <row r="37083" spans="1:2" x14ac:dyDescent="0.25">
      <c r="A37083" s="2">
        <v>37078</v>
      </c>
      <c r="B37083" s="11" t="str">
        <f>"201507000435"</f>
        <v>201507000435</v>
      </c>
    </row>
    <row r="37084" spans="1:2" x14ac:dyDescent="0.25">
      <c r="A37084" s="2">
        <v>37079</v>
      </c>
      <c r="B37084" s="11" t="str">
        <f>"201507000454"</f>
        <v>201507000454</v>
      </c>
    </row>
    <row r="37085" spans="1:2" x14ac:dyDescent="0.25">
      <c r="A37085" s="2">
        <v>37080</v>
      </c>
      <c r="B37085" s="11" t="str">
        <f>"201507000494"</f>
        <v>201507000494</v>
      </c>
    </row>
    <row r="37086" spans="1:2" x14ac:dyDescent="0.25">
      <c r="A37086" s="2">
        <v>37081</v>
      </c>
      <c r="B37086" s="11" t="str">
        <f>"201507000526"</f>
        <v>201507000526</v>
      </c>
    </row>
    <row r="37087" spans="1:2" x14ac:dyDescent="0.25">
      <c r="A37087" s="2">
        <v>37082</v>
      </c>
      <c r="B37087" s="11" t="str">
        <f>"201507000531"</f>
        <v>201507000531</v>
      </c>
    </row>
    <row r="37088" spans="1:2" x14ac:dyDescent="0.25">
      <c r="A37088" s="2">
        <v>37083</v>
      </c>
      <c r="B37088" s="11" t="str">
        <f>"201507000586"</f>
        <v>201507000586</v>
      </c>
    </row>
    <row r="37089" spans="1:2" x14ac:dyDescent="0.25">
      <c r="A37089" s="2">
        <v>37084</v>
      </c>
      <c r="B37089" s="11" t="str">
        <f>"201507000593"</f>
        <v>201507000593</v>
      </c>
    </row>
    <row r="37090" spans="1:2" x14ac:dyDescent="0.25">
      <c r="A37090" s="2">
        <v>37085</v>
      </c>
      <c r="B37090" s="11" t="str">
        <f>"201507000597"</f>
        <v>201507000597</v>
      </c>
    </row>
    <row r="37091" spans="1:2" x14ac:dyDescent="0.25">
      <c r="A37091" s="2">
        <v>37086</v>
      </c>
      <c r="B37091" s="11" t="str">
        <f>"201507000675"</f>
        <v>201507000675</v>
      </c>
    </row>
    <row r="37092" spans="1:2" x14ac:dyDescent="0.25">
      <c r="A37092" s="2">
        <v>37087</v>
      </c>
      <c r="B37092" s="11" t="str">
        <f>"201507000691"</f>
        <v>201507000691</v>
      </c>
    </row>
    <row r="37093" spans="1:2" x14ac:dyDescent="0.25">
      <c r="A37093" s="2">
        <v>37088</v>
      </c>
      <c r="B37093" s="11" t="str">
        <f>"201507000695"</f>
        <v>201507000695</v>
      </c>
    </row>
    <row r="37094" spans="1:2" x14ac:dyDescent="0.25">
      <c r="A37094" s="2">
        <v>37089</v>
      </c>
      <c r="B37094" s="11" t="str">
        <f>"201507000736"</f>
        <v>201507000736</v>
      </c>
    </row>
    <row r="37095" spans="1:2" x14ac:dyDescent="0.25">
      <c r="A37095" s="2">
        <v>37090</v>
      </c>
      <c r="B37095" s="11" t="str">
        <f>"201507000764"</f>
        <v>201507000764</v>
      </c>
    </row>
    <row r="37096" spans="1:2" x14ac:dyDescent="0.25">
      <c r="A37096" s="2">
        <v>37091</v>
      </c>
      <c r="B37096" s="11" t="str">
        <f>"201507000823"</f>
        <v>201507000823</v>
      </c>
    </row>
    <row r="37097" spans="1:2" x14ac:dyDescent="0.25">
      <c r="A37097" s="2">
        <v>37092</v>
      </c>
      <c r="B37097" s="11" t="str">
        <f>"201507000861"</f>
        <v>201507000861</v>
      </c>
    </row>
    <row r="37098" spans="1:2" x14ac:dyDescent="0.25">
      <c r="A37098" s="2">
        <v>37093</v>
      </c>
      <c r="B37098" s="11" t="str">
        <f>"201507000865"</f>
        <v>201507000865</v>
      </c>
    </row>
    <row r="37099" spans="1:2" x14ac:dyDescent="0.25">
      <c r="A37099" s="2">
        <v>37094</v>
      </c>
      <c r="B37099" s="11" t="str">
        <f>"201507000953"</f>
        <v>201507000953</v>
      </c>
    </row>
    <row r="37100" spans="1:2" x14ac:dyDescent="0.25">
      <c r="A37100" s="2">
        <v>37095</v>
      </c>
      <c r="B37100" s="11" t="str">
        <f>"201507000995"</f>
        <v>201507000995</v>
      </c>
    </row>
    <row r="37101" spans="1:2" x14ac:dyDescent="0.25">
      <c r="A37101" s="2">
        <v>37096</v>
      </c>
      <c r="B37101" s="11" t="str">
        <f>"201507001039"</f>
        <v>201507001039</v>
      </c>
    </row>
    <row r="37102" spans="1:2" x14ac:dyDescent="0.25">
      <c r="A37102" s="2">
        <v>37097</v>
      </c>
      <c r="B37102" s="11" t="str">
        <f>"201507001053"</f>
        <v>201507001053</v>
      </c>
    </row>
    <row r="37103" spans="1:2" x14ac:dyDescent="0.25">
      <c r="A37103" s="2">
        <v>37098</v>
      </c>
      <c r="B37103" s="11" t="str">
        <f>"201507001086"</f>
        <v>201507001086</v>
      </c>
    </row>
    <row r="37104" spans="1:2" x14ac:dyDescent="0.25">
      <c r="A37104" s="2">
        <v>37099</v>
      </c>
      <c r="B37104" s="11" t="str">
        <f>"201507001124"</f>
        <v>201507001124</v>
      </c>
    </row>
    <row r="37105" spans="1:2" x14ac:dyDescent="0.25">
      <c r="A37105" s="2">
        <v>37100</v>
      </c>
      <c r="B37105" s="11" t="str">
        <f>"201507001274"</f>
        <v>201507001274</v>
      </c>
    </row>
    <row r="37106" spans="1:2" x14ac:dyDescent="0.25">
      <c r="A37106" s="2">
        <v>37101</v>
      </c>
      <c r="B37106" s="11" t="str">
        <f>"201507001277"</f>
        <v>201507001277</v>
      </c>
    </row>
    <row r="37107" spans="1:2" x14ac:dyDescent="0.25">
      <c r="A37107" s="2">
        <v>37102</v>
      </c>
      <c r="B37107" s="11" t="str">
        <f>"201507001279"</f>
        <v>201507001279</v>
      </c>
    </row>
    <row r="37108" spans="1:2" x14ac:dyDescent="0.25">
      <c r="A37108" s="2">
        <v>37103</v>
      </c>
      <c r="B37108" s="11" t="str">
        <f>"201507001330"</f>
        <v>201507001330</v>
      </c>
    </row>
    <row r="37109" spans="1:2" x14ac:dyDescent="0.25">
      <c r="A37109" s="2">
        <v>37104</v>
      </c>
      <c r="B37109" s="11" t="str">
        <f>"201507001384"</f>
        <v>201507001384</v>
      </c>
    </row>
    <row r="37110" spans="1:2" x14ac:dyDescent="0.25">
      <c r="A37110" s="2">
        <v>37105</v>
      </c>
      <c r="B37110" s="11" t="str">
        <f>"201507001410"</f>
        <v>201507001410</v>
      </c>
    </row>
    <row r="37111" spans="1:2" x14ac:dyDescent="0.25">
      <c r="A37111" s="2">
        <v>37106</v>
      </c>
      <c r="B37111" s="11" t="str">
        <f>"201507001461"</f>
        <v>201507001461</v>
      </c>
    </row>
    <row r="37112" spans="1:2" x14ac:dyDescent="0.25">
      <c r="A37112" s="2">
        <v>37107</v>
      </c>
      <c r="B37112" s="11" t="str">
        <f>"201507001521"</f>
        <v>201507001521</v>
      </c>
    </row>
    <row r="37113" spans="1:2" x14ac:dyDescent="0.25">
      <c r="A37113" s="2">
        <v>37108</v>
      </c>
      <c r="B37113" s="11" t="str">
        <f>"201507001626"</f>
        <v>201507001626</v>
      </c>
    </row>
    <row r="37114" spans="1:2" x14ac:dyDescent="0.25">
      <c r="A37114" s="2">
        <v>37109</v>
      </c>
      <c r="B37114" s="11" t="str">
        <f>"201507001633"</f>
        <v>201507001633</v>
      </c>
    </row>
    <row r="37115" spans="1:2" x14ac:dyDescent="0.25">
      <c r="A37115" s="2">
        <v>37110</v>
      </c>
      <c r="B37115" s="11" t="str">
        <f>"201507001645"</f>
        <v>201507001645</v>
      </c>
    </row>
    <row r="37116" spans="1:2" x14ac:dyDescent="0.25">
      <c r="A37116" s="2">
        <v>37111</v>
      </c>
      <c r="B37116" s="11" t="str">
        <f>"201507001650"</f>
        <v>201507001650</v>
      </c>
    </row>
    <row r="37117" spans="1:2" x14ac:dyDescent="0.25">
      <c r="A37117" s="2">
        <v>37112</v>
      </c>
      <c r="B37117" s="11" t="str">
        <f>"201507001651"</f>
        <v>201507001651</v>
      </c>
    </row>
    <row r="37118" spans="1:2" x14ac:dyDescent="0.25">
      <c r="A37118" s="2">
        <v>37113</v>
      </c>
      <c r="B37118" s="11" t="str">
        <f>"201507001690"</f>
        <v>201507001690</v>
      </c>
    </row>
    <row r="37119" spans="1:2" x14ac:dyDescent="0.25">
      <c r="A37119" s="2">
        <v>37114</v>
      </c>
      <c r="B37119" s="11" t="str">
        <f>"201507001695"</f>
        <v>201507001695</v>
      </c>
    </row>
    <row r="37120" spans="1:2" x14ac:dyDescent="0.25">
      <c r="A37120" s="2">
        <v>37115</v>
      </c>
      <c r="B37120" s="11" t="str">
        <f>"201507001718"</f>
        <v>201507001718</v>
      </c>
    </row>
    <row r="37121" spans="1:2" x14ac:dyDescent="0.25">
      <c r="A37121" s="2">
        <v>37116</v>
      </c>
      <c r="B37121" s="11" t="str">
        <f>"201507001726"</f>
        <v>201507001726</v>
      </c>
    </row>
    <row r="37122" spans="1:2" x14ac:dyDescent="0.25">
      <c r="A37122" s="2">
        <v>37117</v>
      </c>
      <c r="B37122" s="11" t="str">
        <f>"201507001755"</f>
        <v>201507001755</v>
      </c>
    </row>
    <row r="37123" spans="1:2" x14ac:dyDescent="0.25">
      <c r="A37123" s="2">
        <v>37118</v>
      </c>
      <c r="B37123" s="11" t="str">
        <f>"201507001773"</f>
        <v>201507001773</v>
      </c>
    </row>
    <row r="37124" spans="1:2" x14ac:dyDescent="0.25">
      <c r="A37124" s="2">
        <v>37119</v>
      </c>
      <c r="B37124" s="11" t="str">
        <f>"201507001974"</f>
        <v>201507001974</v>
      </c>
    </row>
    <row r="37125" spans="1:2" x14ac:dyDescent="0.25">
      <c r="A37125" s="2">
        <v>37120</v>
      </c>
      <c r="B37125" s="11" t="str">
        <f>"201507002015"</f>
        <v>201507002015</v>
      </c>
    </row>
    <row r="37126" spans="1:2" x14ac:dyDescent="0.25">
      <c r="A37126" s="2">
        <v>37121</v>
      </c>
      <c r="B37126" s="11" t="str">
        <f>"201507002047"</f>
        <v>201507002047</v>
      </c>
    </row>
    <row r="37127" spans="1:2" x14ac:dyDescent="0.25">
      <c r="A37127" s="2">
        <v>37122</v>
      </c>
      <c r="B37127" s="11" t="str">
        <f>"201507002068"</f>
        <v>201507002068</v>
      </c>
    </row>
    <row r="37128" spans="1:2" x14ac:dyDescent="0.25">
      <c r="A37128" s="2">
        <v>37123</v>
      </c>
      <c r="B37128" s="11" t="str">
        <f>"201507002091"</f>
        <v>201507002091</v>
      </c>
    </row>
    <row r="37129" spans="1:2" x14ac:dyDescent="0.25">
      <c r="A37129" s="2">
        <v>37124</v>
      </c>
      <c r="B37129" s="11" t="str">
        <f>"201507002112"</f>
        <v>201507002112</v>
      </c>
    </row>
    <row r="37130" spans="1:2" x14ac:dyDescent="0.25">
      <c r="A37130" s="2">
        <v>37125</v>
      </c>
      <c r="B37130" s="11" t="str">
        <f>"201507002132"</f>
        <v>201507002132</v>
      </c>
    </row>
    <row r="37131" spans="1:2" x14ac:dyDescent="0.25">
      <c r="A37131" s="2">
        <v>37126</v>
      </c>
      <c r="B37131" s="11" t="str">
        <f>"201507002161"</f>
        <v>201507002161</v>
      </c>
    </row>
    <row r="37132" spans="1:2" x14ac:dyDescent="0.25">
      <c r="A37132" s="2">
        <v>37127</v>
      </c>
      <c r="B37132" s="11" t="str">
        <f>"201507002248"</f>
        <v>201507002248</v>
      </c>
    </row>
    <row r="37133" spans="1:2" x14ac:dyDescent="0.25">
      <c r="A37133" s="2">
        <v>37128</v>
      </c>
      <c r="B37133" s="11" t="str">
        <f>"201507002252"</f>
        <v>201507002252</v>
      </c>
    </row>
    <row r="37134" spans="1:2" x14ac:dyDescent="0.25">
      <c r="A37134" s="2">
        <v>37129</v>
      </c>
      <c r="B37134" s="11" t="str">
        <f>"201507002272"</f>
        <v>201507002272</v>
      </c>
    </row>
    <row r="37135" spans="1:2" x14ac:dyDescent="0.25">
      <c r="A37135" s="2">
        <v>37130</v>
      </c>
      <c r="B37135" s="11" t="str">
        <f>"201507002328"</f>
        <v>201507002328</v>
      </c>
    </row>
    <row r="37136" spans="1:2" x14ac:dyDescent="0.25">
      <c r="A37136" s="2">
        <v>37131</v>
      </c>
      <c r="B37136" s="11" t="str">
        <f>"201507002378"</f>
        <v>201507002378</v>
      </c>
    </row>
    <row r="37137" spans="1:2" x14ac:dyDescent="0.25">
      <c r="A37137" s="2">
        <v>37132</v>
      </c>
      <c r="B37137" s="11" t="str">
        <f>"201507002556"</f>
        <v>201507002556</v>
      </c>
    </row>
    <row r="37138" spans="1:2" x14ac:dyDescent="0.25">
      <c r="A37138" s="2">
        <v>37133</v>
      </c>
      <c r="B37138" s="11" t="str">
        <f>"201507002565"</f>
        <v>201507002565</v>
      </c>
    </row>
    <row r="37139" spans="1:2" x14ac:dyDescent="0.25">
      <c r="A37139" s="2">
        <v>37134</v>
      </c>
      <c r="B37139" s="11" t="str">
        <f>"201507002600"</f>
        <v>201507002600</v>
      </c>
    </row>
    <row r="37140" spans="1:2" x14ac:dyDescent="0.25">
      <c r="A37140" s="2">
        <v>37135</v>
      </c>
      <c r="B37140" s="11" t="str">
        <f>"201507002604"</f>
        <v>201507002604</v>
      </c>
    </row>
    <row r="37141" spans="1:2" x14ac:dyDescent="0.25">
      <c r="A37141" s="2">
        <v>37136</v>
      </c>
      <c r="B37141" s="11" t="str">
        <f>"201507002614"</f>
        <v>201507002614</v>
      </c>
    </row>
    <row r="37142" spans="1:2" x14ac:dyDescent="0.25">
      <c r="A37142" s="2">
        <v>37137</v>
      </c>
      <c r="B37142" s="11" t="str">
        <f>"201507002650"</f>
        <v>201507002650</v>
      </c>
    </row>
    <row r="37143" spans="1:2" x14ac:dyDescent="0.25">
      <c r="A37143" s="2">
        <v>37138</v>
      </c>
      <c r="B37143" s="11" t="str">
        <f>"201507002658"</f>
        <v>201507002658</v>
      </c>
    </row>
    <row r="37144" spans="1:2" x14ac:dyDescent="0.25">
      <c r="A37144" s="2">
        <v>37139</v>
      </c>
      <c r="B37144" s="11" t="str">
        <f>"201507002702"</f>
        <v>201507002702</v>
      </c>
    </row>
    <row r="37145" spans="1:2" x14ac:dyDescent="0.25">
      <c r="A37145" s="2">
        <v>37140</v>
      </c>
      <c r="B37145" s="11" t="str">
        <f>"201507002716"</f>
        <v>201507002716</v>
      </c>
    </row>
    <row r="37146" spans="1:2" x14ac:dyDescent="0.25">
      <c r="A37146" s="2">
        <v>37141</v>
      </c>
      <c r="B37146" s="11" t="str">
        <f>"201507002755"</f>
        <v>201507002755</v>
      </c>
    </row>
    <row r="37147" spans="1:2" x14ac:dyDescent="0.25">
      <c r="A37147" s="2">
        <v>37142</v>
      </c>
      <c r="B37147" s="11" t="str">
        <f>"201507002772"</f>
        <v>201507002772</v>
      </c>
    </row>
    <row r="37148" spans="1:2" x14ac:dyDescent="0.25">
      <c r="A37148" s="2">
        <v>37143</v>
      </c>
      <c r="B37148" s="11" t="str">
        <f>"201507002785"</f>
        <v>201507002785</v>
      </c>
    </row>
    <row r="37149" spans="1:2" x14ac:dyDescent="0.25">
      <c r="A37149" s="2">
        <v>37144</v>
      </c>
      <c r="B37149" s="11" t="str">
        <f>"201507002866"</f>
        <v>201507002866</v>
      </c>
    </row>
    <row r="37150" spans="1:2" x14ac:dyDescent="0.25">
      <c r="A37150" s="2">
        <v>37145</v>
      </c>
      <c r="B37150" s="11" t="str">
        <f>"201507002931"</f>
        <v>201507002931</v>
      </c>
    </row>
    <row r="37151" spans="1:2" x14ac:dyDescent="0.25">
      <c r="A37151" s="2">
        <v>37146</v>
      </c>
      <c r="B37151" s="11" t="str">
        <f>"201507002961"</f>
        <v>201507002961</v>
      </c>
    </row>
    <row r="37152" spans="1:2" x14ac:dyDescent="0.25">
      <c r="A37152" s="2">
        <v>37147</v>
      </c>
      <c r="B37152" s="11" t="str">
        <f>"201507003008"</f>
        <v>201507003008</v>
      </c>
    </row>
    <row r="37153" spans="1:2" x14ac:dyDescent="0.25">
      <c r="A37153" s="2">
        <v>37148</v>
      </c>
      <c r="B37153" s="11" t="str">
        <f>"201507003011"</f>
        <v>201507003011</v>
      </c>
    </row>
    <row r="37154" spans="1:2" x14ac:dyDescent="0.25">
      <c r="A37154" s="2">
        <v>37149</v>
      </c>
      <c r="B37154" s="11" t="str">
        <f>"201507003036"</f>
        <v>201507003036</v>
      </c>
    </row>
    <row r="37155" spans="1:2" x14ac:dyDescent="0.25">
      <c r="A37155" s="2">
        <v>37150</v>
      </c>
      <c r="B37155" s="11" t="str">
        <f>"201507003044"</f>
        <v>201507003044</v>
      </c>
    </row>
    <row r="37156" spans="1:2" x14ac:dyDescent="0.25">
      <c r="A37156" s="2">
        <v>37151</v>
      </c>
      <c r="B37156" s="11" t="str">
        <f>"201507003051"</f>
        <v>201507003051</v>
      </c>
    </row>
    <row r="37157" spans="1:2" x14ac:dyDescent="0.25">
      <c r="A37157" s="2">
        <v>37152</v>
      </c>
      <c r="B37157" s="11" t="str">
        <f>"201507003060"</f>
        <v>201507003060</v>
      </c>
    </row>
    <row r="37158" spans="1:2" x14ac:dyDescent="0.25">
      <c r="A37158" s="2">
        <v>37153</v>
      </c>
      <c r="B37158" s="11" t="str">
        <f>"201507003061"</f>
        <v>201507003061</v>
      </c>
    </row>
    <row r="37159" spans="1:2" x14ac:dyDescent="0.25">
      <c r="A37159" s="2">
        <v>37154</v>
      </c>
      <c r="B37159" s="11" t="str">
        <f>"201507003195"</f>
        <v>201507003195</v>
      </c>
    </row>
    <row r="37160" spans="1:2" x14ac:dyDescent="0.25">
      <c r="A37160" s="2">
        <v>37155</v>
      </c>
      <c r="B37160" s="11" t="str">
        <f>"201507003229"</f>
        <v>201507003229</v>
      </c>
    </row>
    <row r="37161" spans="1:2" x14ac:dyDescent="0.25">
      <c r="A37161" s="2">
        <v>37156</v>
      </c>
      <c r="B37161" s="11" t="str">
        <f>"201507003337"</f>
        <v>201507003337</v>
      </c>
    </row>
    <row r="37162" spans="1:2" x14ac:dyDescent="0.25">
      <c r="A37162" s="2">
        <v>37157</v>
      </c>
      <c r="B37162" s="11" t="str">
        <f>"201507003373"</f>
        <v>201507003373</v>
      </c>
    </row>
    <row r="37163" spans="1:2" x14ac:dyDescent="0.25">
      <c r="A37163" s="2">
        <v>37158</v>
      </c>
      <c r="B37163" s="11" t="str">
        <f>"201507003383"</f>
        <v>201507003383</v>
      </c>
    </row>
    <row r="37164" spans="1:2" x14ac:dyDescent="0.25">
      <c r="A37164" s="2">
        <v>37159</v>
      </c>
      <c r="B37164" s="11" t="str">
        <f>"201507003429"</f>
        <v>201507003429</v>
      </c>
    </row>
    <row r="37165" spans="1:2" x14ac:dyDescent="0.25">
      <c r="A37165" s="2">
        <v>37160</v>
      </c>
      <c r="B37165" s="11" t="str">
        <f>"201507003449"</f>
        <v>201507003449</v>
      </c>
    </row>
    <row r="37166" spans="1:2" x14ac:dyDescent="0.25">
      <c r="A37166" s="2">
        <v>37161</v>
      </c>
      <c r="B37166" s="11" t="str">
        <f>"201507003458"</f>
        <v>201507003458</v>
      </c>
    </row>
    <row r="37167" spans="1:2" x14ac:dyDescent="0.25">
      <c r="A37167" s="2">
        <v>37162</v>
      </c>
      <c r="B37167" s="11" t="str">
        <f>"201507003548"</f>
        <v>201507003548</v>
      </c>
    </row>
    <row r="37168" spans="1:2" x14ac:dyDescent="0.25">
      <c r="A37168" s="2">
        <v>37163</v>
      </c>
      <c r="B37168" s="11" t="str">
        <f>"201507003637"</f>
        <v>201507003637</v>
      </c>
    </row>
    <row r="37169" spans="1:2" x14ac:dyDescent="0.25">
      <c r="A37169" s="2">
        <v>37164</v>
      </c>
      <c r="B37169" s="11" t="str">
        <f>"201507003648"</f>
        <v>201507003648</v>
      </c>
    </row>
    <row r="37170" spans="1:2" x14ac:dyDescent="0.25">
      <c r="A37170" s="2">
        <v>37165</v>
      </c>
      <c r="B37170" s="11" t="str">
        <f>"201507003655"</f>
        <v>201507003655</v>
      </c>
    </row>
    <row r="37171" spans="1:2" x14ac:dyDescent="0.25">
      <c r="A37171" s="2">
        <v>37166</v>
      </c>
      <c r="B37171" s="11" t="str">
        <f>"201507003659"</f>
        <v>201507003659</v>
      </c>
    </row>
    <row r="37172" spans="1:2" x14ac:dyDescent="0.25">
      <c r="A37172" s="2">
        <v>37167</v>
      </c>
      <c r="B37172" s="11" t="str">
        <f>"201507003688"</f>
        <v>201507003688</v>
      </c>
    </row>
    <row r="37173" spans="1:2" x14ac:dyDescent="0.25">
      <c r="A37173" s="2">
        <v>37168</v>
      </c>
      <c r="B37173" s="11" t="str">
        <f>"201507003711"</f>
        <v>201507003711</v>
      </c>
    </row>
    <row r="37174" spans="1:2" x14ac:dyDescent="0.25">
      <c r="A37174" s="2">
        <v>37169</v>
      </c>
      <c r="B37174" s="11" t="str">
        <f>"201507003738"</f>
        <v>201507003738</v>
      </c>
    </row>
    <row r="37175" spans="1:2" x14ac:dyDescent="0.25">
      <c r="A37175" s="2">
        <v>37170</v>
      </c>
      <c r="B37175" s="11" t="str">
        <f>"201507003744"</f>
        <v>201507003744</v>
      </c>
    </row>
    <row r="37176" spans="1:2" x14ac:dyDescent="0.25">
      <c r="A37176" s="2">
        <v>37171</v>
      </c>
      <c r="B37176" s="11" t="str">
        <f>"201507003749"</f>
        <v>201507003749</v>
      </c>
    </row>
    <row r="37177" spans="1:2" x14ac:dyDescent="0.25">
      <c r="A37177" s="2">
        <v>37172</v>
      </c>
      <c r="B37177" s="11" t="str">
        <f>"201507003758"</f>
        <v>201507003758</v>
      </c>
    </row>
    <row r="37178" spans="1:2" x14ac:dyDescent="0.25">
      <c r="A37178" s="2">
        <v>37173</v>
      </c>
      <c r="B37178" s="11" t="str">
        <f>"201507003806"</f>
        <v>201507003806</v>
      </c>
    </row>
    <row r="37179" spans="1:2" x14ac:dyDescent="0.25">
      <c r="A37179" s="2">
        <v>37174</v>
      </c>
      <c r="B37179" s="11" t="str">
        <f>"201507003807"</f>
        <v>201507003807</v>
      </c>
    </row>
    <row r="37180" spans="1:2" x14ac:dyDescent="0.25">
      <c r="A37180" s="2">
        <v>37175</v>
      </c>
      <c r="B37180" s="11" t="str">
        <f>"201507003858"</f>
        <v>201507003858</v>
      </c>
    </row>
    <row r="37181" spans="1:2" x14ac:dyDescent="0.25">
      <c r="A37181" s="2">
        <v>37176</v>
      </c>
      <c r="B37181" s="11" t="str">
        <f>"201507003866"</f>
        <v>201507003866</v>
      </c>
    </row>
    <row r="37182" spans="1:2" x14ac:dyDescent="0.25">
      <c r="A37182" s="2">
        <v>37177</v>
      </c>
      <c r="B37182" s="11" t="str">
        <f>"201507003885"</f>
        <v>201507003885</v>
      </c>
    </row>
    <row r="37183" spans="1:2" x14ac:dyDescent="0.25">
      <c r="A37183" s="2">
        <v>37178</v>
      </c>
      <c r="B37183" s="11" t="str">
        <f>"201507004074"</f>
        <v>201507004074</v>
      </c>
    </row>
    <row r="37184" spans="1:2" x14ac:dyDescent="0.25">
      <c r="A37184" s="2">
        <v>37179</v>
      </c>
      <c r="B37184" s="11" t="str">
        <f>"201507004192"</f>
        <v>201507004192</v>
      </c>
    </row>
    <row r="37185" spans="1:2" x14ac:dyDescent="0.25">
      <c r="A37185" s="2">
        <v>37180</v>
      </c>
      <c r="B37185" s="11" t="str">
        <f>"201507004232"</f>
        <v>201507004232</v>
      </c>
    </row>
    <row r="37186" spans="1:2" x14ac:dyDescent="0.25">
      <c r="A37186" s="2">
        <v>37181</v>
      </c>
      <c r="B37186" s="11" t="str">
        <f>"201507004260"</f>
        <v>201507004260</v>
      </c>
    </row>
    <row r="37187" spans="1:2" x14ac:dyDescent="0.25">
      <c r="A37187" s="2">
        <v>37182</v>
      </c>
      <c r="B37187" s="11" t="str">
        <f>"201507004264"</f>
        <v>201507004264</v>
      </c>
    </row>
    <row r="37188" spans="1:2" x14ac:dyDescent="0.25">
      <c r="A37188" s="2">
        <v>37183</v>
      </c>
      <c r="B37188" s="11" t="str">
        <f>"201507004324"</f>
        <v>201507004324</v>
      </c>
    </row>
    <row r="37189" spans="1:2" x14ac:dyDescent="0.25">
      <c r="A37189" s="2">
        <v>37184</v>
      </c>
      <c r="B37189" s="11" t="str">
        <f>"201507004406"</f>
        <v>201507004406</v>
      </c>
    </row>
    <row r="37190" spans="1:2" x14ac:dyDescent="0.25">
      <c r="A37190" s="2">
        <v>37185</v>
      </c>
      <c r="B37190" s="11" t="str">
        <f>"201507004425"</f>
        <v>201507004425</v>
      </c>
    </row>
    <row r="37191" spans="1:2" x14ac:dyDescent="0.25">
      <c r="A37191" s="2">
        <v>37186</v>
      </c>
      <c r="B37191" s="11" t="str">
        <f>"201507004508"</f>
        <v>201507004508</v>
      </c>
    </row>
    <row r="37192" spans="1:2" x14ac:dyDescent="0.25">
      <c r="A37192" s="2">
        <v>37187</v>
      </c>
      <c r="B37192" s="11" t="str">
        <f>"201507004511"</f>
        <v>201507004511</v>
      </c>
    </row>
    <row r="37193" spans="1:2" x14ac:dyDescent="0.25">
      <c r="A37193" s="2">
        <v>37188</v>
      </c>
      <c r="B37193" s="11" t="str">
        <f>"201507004597"</f>
        <v>201507004597</v>
      </c>
    </row>
    <row r="37194" spans="1:2" x14ac:dyDescent="0.25">
      <c r="A37194" s="2">
        <v>37189</v>
      </c>
      <c r="B37194" s="11" t="str">
        <f>"201507004624"</f>
        <v>201507004624</v>
      </c>
    </row>
    <row r="37195" spans="1:2" x14ac:dyDescent="0.25">
      <c r="A37195" s="2">
        <v>37190</v>
      </c>
      <c r="B37195" s="11" t="str">
        <f>"201507004636"</f>
        <v>201507004636</v>
      </c>
    </row>
    <row r="37196" spans="1:2" x14ac:dyDescent="0.25">
      <c r="A37196" s="2">
        <v>37191</v>
      </c>
      <c r="B37196" s="11" t="str">
        <f>"201507004667"</f>
        <v>201507004667</v>
      </c>
    </row>
    <row r="37197" spans="1:2" x14ac:dyDescent="0.25">
      <c r="A37197" s="2">
        <v>37192</v>
      </c>
      <c r="B37197" s="11" t="str">
        <f>"201507004669"</f>
        <v>201507004669</v>
      </c>
    </row>
    <row r="37198" spans="1:2" x14ac:dyDescent="0.25">
      <c r="A37198" s="2">
        <v>37193</v>
      </c>
      <c r="B37198" s="11" t="str">
        <f>"201507004683"</f>
        <v>201507004683</v>
      </c>
    </row>
    <row r="37199" spans="1:2" x14ac:dyDescent="0.25">
      <c r="A37199" s="2">
        <v>37194</v>
      </c>
      <c r="B37199" s="11" t="str">
        <f>"201507004688"</f>
        <v>201507004688</v>
      </c>
    </row>
    <row r="37200" spans="1:2" x14ac:dyDescent="0.25">
      <c r="A37200" s="2">
        <v>37195</v>
      </c>
      <c r="B37200" s="11" t="str">
        <f>"201507004761"</f>
        <v>201507004761</v>
      </c>
    </row>
    <row r="37201" spans="1:2" x14ac:dyDescent="0.25">
      <c r="A37201" s="2">
        <v>37196</v>
      </c>
      <c r="B37201" s="11" t="str">
        <f>"201507004783"</f>
        <v>201507004783</v>
      </c>
    </row>
    <row r="37202" spans="1:2" x14ac:dyDescent="0.25">
      <c r="A37202" s="2">
        <v>37197</v>
      </c>
      <c r="B37202" s="11" t="str">
        <f>"201507004789"</f>
        <v>201507004789</v>
      </c>
    </row>
    <row r="37203" spans="1:2" x14ac:dyDescent="0.25">
      <c r="A37203" s="2">
        <v>37198</v>
      </c>
      <c r="B37203" s="11" t="str">
        <f>"201507004825"</f>
        <v>201507004825</v>
      </c>
    </row>
    <row r="37204" spans="1:2" x14ac:dyDescent="0.25">
      <c r="A37204" s="2">
        <v>37199</v>
      </c>
      <c r="B37204" s="11" t="str">
        <f>"201507004881"</f>
        <v>201507004881</v>
      </c>
    </row>
    <row r="37205" spans="1:2" x14ac:dyDescent="0.25">
      <c r="A37205" s="2">
        <v>37200</v>
      </c>
      <c r="B37205" s="11" t="str">
        <f>"201507004883"</f>
        <v>201507004883</v>
      </c>
    </row>
    <row r="37206" spans="1:2" x14ac:dyDescent="0.25">
      <c r="A37206" s="2">
        <v>37201</v>
      </c>
      <c r="B37206" s="11" t="str">
        <f>"201507004905"</f>
        <v>201507004905</v>
      </c>
    </row>
    <row r="37207" spans="1:2" x14ac:dyDescent="0.25">
      <c r="A37207" s="2">
        <v>37202</v>
      </c>
      <c r="B37207" s="11" t="str">
        <f>"201507004923"</f>
        <v>201507004923</v>
      </c>
    </row>
    <row r="37208" spans="1:2" x14ac:dyDescent="0.25">
      <c r="A37208" s="2">
        <v>37203</v>
      </c>
      <c r="B37208" s="11" t="str">
        <f>"201507004951"</f>
        <v>201507004951</v>
      </c>
    </row>
    <row r="37209" spans="1:2" x14ac:dyDescent="0.25">
      <c r="A37209" s="2">
        <v>37204</v>
      </c>
      <c r="B37209" s="11" t="str">
        <f>"201507004974"</f>
        <v>201507004974</v>
      </c>
    </row>
    <row r="37210" spans="1:2" x14ac:dyDescent="0.25">
      <c r="A37210" s="2">
        <v>37205</v>
      </c>
      <c r="B37210" s="11" t="str">
        <f>"201507005006"</f>
        <v>201507005006</v>
      </c>
    </row>
    <row r="37211" spans="1:2" x14ac:dyDescent="0.25">
      <c r="A37211" s="2">
        <v>37206</v>
      </c>
      <c r="B37211" s="11" t="str">
        <f>"201507005013"</f>
        <v>201507005013</v>
      </c>
    </row>
    <row r="37212" spans="1:2" x14ac:dyDescent="0.25">
      <c r="A37212" s="2">
        <v>37207</v>
      </c>
      <c r="B37212" s="11" t="str">
        <f>"201507005030"</f>
        <v>201507005030</v>
      </c>
    </row>
    <row r="37213" spans="1:2" x14ac:dyDescent="0.25">
      <c r="A37213" s="2">
        <v>37208</v>
      </c>
      <c r="B37213" s="11" t="str">
        <f>"201507005035"</f>
        <v>201507005035</v>
      </c>
    </row>
    <row r="37214" spans="1:2" x14ac:dyDescent="0.25">
      <c r="A37214" s="2">
        <v>37209</v>
      </c>
      <c r="B37214" s="11" t="str">
        <f>"201507005043"</f>
        <v>201507005043</v>
      </c>
    </row>
    <row r="37215" spans="1:2" x14ac:dyDescent="0.25">
      <c r="A37215" s="2">
        <v>37210</v>
      </c>
      <c r="B37215" s="11" t="str">
        <f>"201507005247"</f>
        <v>201507005247</v>
      </c>
    </row>
    <row r="37216" spans="1:2" x14ac:dyDescent="0.25">
      <c r="A37216" s="2">
        <v>37211</v>
      </c>
      <c r="B37216" s="11" t="str">
        <f>"201507005253"</f>
        <v>201507005253</v>
      </c>
    </row>
    <row r="37217" spans="1:2" x14ac:dyDescent="0.25">
      <c r="A37217" s="2">
        <v>37212</v>
      </c>
      <c r="B37217" s="11" t="str">
        <f>"201507005326"</f>
        <v>201507005326</v>
      </c>
    </row>
    <row r="37218" spans="1:2" x14ac:dyDescent="0.25">
      <c r="A37218" s="2">
        <v>37213</v>
      </c>
      <c r="B37218" s="11" t="str">
        <f>"201508000175"</f>
        <v>201508000175</v>
      </c>
    </row>
    <row r="37219" spans="1:2" x14ac:dyDescent="0.25">
      <c r="A37219" s="2">
        <v>37214</v>
      </c>
      <c r="B37219" s="11" t="str">
        <f>"201508000191"</f>
        <v>201508000191</v>
      </c>
    </row>
    <row r="37220" spans="1:2" x14ac:dyDescent="0.25">
      <c r="A37220" s="2">
        <v>37215</v>
      </c>
      <c r="B37220" s="11" t="str">
        <f>"201509000218"</f>
        <v>201509000218</v>
      </c>
    </row>
    <row r="37221" spans="1:2" x14ac:dyDescent="0.25">
      <c r="A37221" s="2">
        <v>37216</v>
      </c>
      <c r="B37221" s="11" t="str">
        <f>"201509000381"</f>
        <v>201509000381</v>
      </c>
    </row>
    <row r="37222" spans="1:2" x14ac:dyDescent="0.25">
      <c r="A37222" s="2">
        <v>37217</v>
      </c>
      <c r="B37222" s="11" t="str">
        <f>"201510000083"</f>
        <v>201510000083</v>
      </c>
    </row>
    <row r="37223" spans="1:2" x14ac:dyDescent="0.25">
      <c r="A37223" s="2">
        <v>37218</v>
      </c>
      <c r="B37223" s="11" t="str">
        <f>"201510000090"</f>
        <v>201510000090</v>
      </c>
    </row>
    <row r="37224" spans="1:2" x14ac:dyDescent="0.25">
      <c r="A37224" s="2">
        <v>37219</v>
      </c>
      <c r="B37224" s="11" t="str">
        <f>"201510000102"</f>
        <v>201510000102</v>
      </c>
    </row>
    <row r="37225" spans="1:2" x14ac:dyDescent="0.25">
      <c r="A37225" s="2">
        <v>37220</v>
      </c>
      <c r="B37225" s="11" t="str">
        <f>"201510000104"</f>
        <v>201510000104</v>
      </c>
    </row>
    <row r="37226" spans="1:2" x14ac:dyDescent="0.25">
      <c r="A37226" s="2">
        <v>37221</v>
      </c>
      <c r="B37226" s="11" t="str">
        <f>"201510000134"</f>
        <v>201510000134</v>
      </c>
    </row>
    <row r="37227" spans="1:2" x14ac:dyDescent="0.25">
      <c r="A37227" s="2">
        <v>37222</v>
      </c>
      <c r="B37227" s="11" t="str">
        <f>"201510000135"</f>
        <v>201510000135</v>
      </c>
    </row>
    <row r="37228" spans="1:2" x14ac:dyDescent="0.25">
      <c r="A37228" s="2">
        <v>37223</v>
      </c>
      <c r="B37228" s="11" t="str">
        <f>"201510000168"</f>
        <v>201510000168</v>
      </c>
    </row>
    <row r="37229" spans="1:2" x14ac:dyDescent="0.25">
      <c r="A37229" s="2">
        <v>37224</v>
      </c>
      <c r="B37229" s="11" t="str">
        <f>"201510000218"</f>
        <v>201510000218</v>
      </c>
    </row>
    <row r="37230" spans="1:2" x14ac:dyDescent="0.25">
      <c r="A37230" s="2">
        <v>37225</v>
      </c>
      <c r="B37230" s="11" t="str">
        <f>"201510000235"</f>
        <v>201510000235</v>
      </c>
    </row>
    <row r="37231" spans="1:2" x14ac:dyDescent="0.25">
      <c r="A37231" s="2">
        <v>37226</v>
      </c>
      <c r="B37231" s="11" t="str">
        <f>"201510000289"</f>
        <v>201510000289</v>
      </c>
    </row>
    <row r="37232" spans="1:2" x14ac:dyDescent="0.25">
      <c r="A37232" s="2">
        <v>37227</v>
      </c>
      <c r="B37232" s="11" t="str">
        <f>"201510000361"</f>
        <v>201510000361</v>
      </c>
    </row>
    <row r="37233" spans="1:2" x14ac:dyDescent="0.25">
      <c r="A37233" s="2">
        <v>37228</v>
      </c>
      <c r="B37233" s="11" t="str">
        <f>"201510000424"</f>
        <v>201510000424</v>
      </c>
    </row>
    <row r="37234" spans="1:2" x14ac:dyDescent="0.25">
      <c r="A37234" s="2">
        <v>37229</v>
      </c>
      <c r="B37234" s="11" t="str">
        <f>"201510000432"</f>
        <v>201510000432</v>
      </c>
    </row>
    <row r="37235" spans="1:2" x14ac:dyDescent="0.25">
      <c r="A37235" s="2">
        <v>37230</v>
      </c>
      <c r="B37235" s="11" t="str">
        <f>"201510000441"</f>
        <v>201510000441</v>
      </c>
    </row>
    <row r="37236" spans="1:2" x14ac:dyDescent="0.25">
      <c r="A37236" s="2">
        <v>37231</v>
      </c>
      <c r="B37236" s="11" t="str">
        <f>"201510000465"</f>
        <v>201510000465</v>
      </c>
    </row>
    <row r="37237" spans="1:2" x14ac:dyDescent="0.25">
      <c r="A37237" s="2">
        <v>37232</v>
      </c>
      <c r="B37237" s="11" t="str">
        <f>"201510000467"</f>
        <v>201510000467</v>
      </c>
    </row>
    <row r="37238" spans="1:2" x14ac:dyDescent="0.25">
      <c r="A37238" s="2">
        <v>37233</v>
      </c>
      <c r="B37238" s="11" t="str">
        <f>"201510000504"</f>
        <v>201510000504</v>
      </c>
    </row>
    <row r="37239" spans="1:2" x14ac:dyDescent="0.25">
      <c r="A37239" s="2">
        <v>37234</v>
      </c>
      <c r="B37239" s="11" t="str">
        <f>"201510000523"</f>
        <v>201510000523</v>
      </c>
    </row>
    <row r="37240" spans="1:2" x14ac:dyDescent="0.25">
      <c r="A37240" s="2">
        <v>37235</v>
      </c>
      <c r="B37240" s="11" t="str">
        <f>"201510000581"</f>
        <v>201510000581</v>
      </c>
    </row>
    <row r="37241" spans="1:2" x14ac:dyDescent="0.25">
      <c r="A37241" s="2">
        <v>37236</v>
      </c>
      <c r="B37241" s="11" t="str">
        <f>"201510000637"</f>
        <v>201510000637</v>
      </c>
    </row>
    <row r="37242" spans="1:2" x14ac:dyDescent="0.25">
      <c r="A37242" s="2">
        <v>37237</v>
      </c>
      <c r="B37242" s="11" t="str">
        <f>"201510000661"</f>
        <v>201510000661</v>
      </c>
    </row>
    <row r="37243" spans="1:2" x14ac:dyDescent="0.25">
      <c r="A37243" s="2">
        <v>37238</v>
      </c>
      <c r="B37243" s="11" t="str">
        <f>"201510000668"</f>
        <v>201510000668</v>
      </c>
    </row>
    <row r="37244" spans="1:2" x14ac:dyDescent="0.25">
      <c r="A37244" s="2">
        <v>37239</v>
      </c>
      <c r="B37244" s="11" t="str">
        <f>"201510000675"</f>
        <v>201510000675</v>
      </c>
    </row>
    <row r="37245" spans="1:2" x14ac:dyDescent="0.25">
      <c r="A37245" s="2">
        <v>37240</v>
      </c>
      <c r="B37245" s="11" t="str">
        <f>"201510000757"</f>
        <v>201510000757</v>
      </c>
    </row>
    <row r="37246" spans="1:2" x14ac:dyDescent="0.25">
      <c r="A37246" s="2">
        <v>37241</v>
      </c>
      <c r="B37246" s="11" t="str">
        <f>"201510000783"</f>
        <v>201510000783</v>
      </c>
    </row>
    <row r="37247" spans="1:2" x14ac:dyDescent="0.25">
      <c r="A37247" s="2">
        <v>37242</v>
      </c>
      <c r="B37247" s="11" t="str">
        <f>"201510000806"</f>
        <v>201510000806</v>
      </c>
    </row>
    <row r="37248" spans="1:2" x14ac:dyDescent="0.25">
      <c r="A37248" s="2">
        <v>37243</v>
      </c>
      <c r="B37248" s="11" t="str">
        <f>"201510000866"</f>
        <v>201510000866</v>
      </c>
    </row>
    <row r="37249" spans="1:2" x14ac:dyDescent="0.25">
      <c r="A37249" s="2">
        <v>37244</v>
      </c>
      <c r="B37249" s="11" t="str">
        <f>"201510000935"</f>
        <v>201510000935</v>
      </c>
    </row>
    <row r="37250" spans="1:2" x14ac:dyDescent="0.25">
      <c r="A37250" s="2">
        <v>37245</v>
      </c>
      <c r="B37250" s="11" t="str">
        <f>"201510000937"</f>
        <v>201510000937</v>
      </c>
    </row>
    <row r="37251" spans="1:2" x14ac:dyDescent="0.25">
      <c r="A37251" s="2">
        <v>37246</v>
      </c>
      <c r="B37251" s="11" t="str">
        <f>"201510000955"</f>
        <v>201510000955</v>
      </c>
    </row>
    <row r="37252" spans="1:2" x14ac:dyDescent="0.25">
      <c r="A37252" s="2">
        <v>37247</v>
      </c>
      <c r="B37252" s="11" t="str">
        <f>"201510000965"</f>
        <v>201510000965</v>
      </c>
    </row>
    <row r="37253" spans="1:2" x14ac:dyDescent="0.25">
      <c r="A37253" s="2">
        <v>37248</v>
      </c>
      <c r="B37253" s="11" t="str">
        <f>"201510001138"</f>
        <v>201510001138</v>
      </c>
    </row>
    <row r="37254" spans="1:2" x14ac:dyDescent="0.25">
      <c r="A37254" s="2">
        <v>37249</v>
      </c>
      <c r="B37254" s="11" t="str">
        <f>"201510001173"</f>
        <v>201510001173</v>
      </c>
    </row>
    <row r="37255" spans="1:2" x14ac:dyDescent="0.25">
      <c r="A37255" s="2">
        <v>37250</v>
      </c>
      <c r="B37255" s="11" t="str">
        <f>"201510001210"</f>
        <v>201510001210</v>
      </c>
    </row>
    <row r="37256" spans="1:2" x14ac:dyDescent="0.25">
      <c r="A37256" s="2">
        <v>37251</v>
      </c>
      <c r="B37256" s="11" t="str">
        <f>"201510001243"</f>
        <v>201510001243</v>
      </c>
    </row>
    <row r="37257" spans="1:2" x14ac:dyDescent="0.25">
      <c r="A37257" s="2">
        <v>37252</v>
      </c>
      <c r="B37257" s="11" t="str">
        <f>"201510001290"</f>
        <v>201510001290</v>
      </c>
    </row>
    <row r="37258" spans="1:2" x14ac:dyDescent="0.25">
      <c r="A37258" s="2">
        <v>37253</v>
      </c>
      <c r="B37258" s="11" t="str">
        <f>"201510001321"</f>
        <v>201510001321</v>
      </c>
    </row>
    <row r="37259" spans="1:2" x14ac:dyDescent="0.25">
      <c r="A37259" s="2">
        <v>37254</v>
      </c>
      <c r="B37259" s="11" t="str">
        <f>"201510001443"</f>
        <v>201510001443</v>
      </c>
    </row>
    <row r="37260" spans="1:2" x14ac:dyDescent="0.25">
      <c r="A37260" s="2">
        <v>37255</v>
      </c>
      <c r="B37260" s="11" t="str">
        <f>"201510001605"</f>
        <v>201510001605</v>
      </c>
    </row>
    <row r="37261" spans="1:2" x14ac:dyDescent="0.25">
      <c r="A37261" s="2">
        <v>37256</v>
      </c>
      <c r="B37261" s="11" t="str">
        <f>"201510001637"</f>
        <v>201510001637</v>
      </c>
    </row>
    <row r="37262" spans="1:2" x14ac:dyDescent="0.25">
      <c r="A37262" s="2">
        <v>37257</v>
      </c>
      <c r="B37262" s="11" t="str">
        <f>"201510001668"</f>
        <v>201510001668</v>
      </c>
    </row>
    <row r="37263" spans="1:2" x14ac:dyDescent="0.25">
      <c r="A37263" s="2">
        <v>37258</v>
      </c>
      <c r="B37263" s="11" t="str">
        <f>"201510001803"</f>
        <v>201510001803</v>
      </c>
    </row>
    <row r="37264" spans="1:2" x14ac:dyDescent="0.25">
      <c r="A37264" s="2">
        <v>37259</v>
      </c>
      <c r="B37264" s="11" t="str">
        <f>"201510001827"</f>
        <v>201510001827</v>
      </c>
    </row>
    <row r="37265" spans="1:2" x14ac:dyDescent="0.25">
      <c r="A37265" s="2">
        <v>37260</v>
      </c>
      <c r="B37265" s="11" t="str">
        <f>"201510001896"</f>
        <v>201510001896</v>
      </c>
    </row>
    <row r="37266" spans="1:2" x14ac:dyDescent="0.25">
      <c r="A37266" s="2">
        <v>37261</v>
      </c>
      <c r="B37266" s="11" t="str">
        <f>"201510001943"</f>
        <v>201510001943</v>
      </c>
    </row>
    <row r="37267" spans="1:2" x14ac:dyDescent="0.25">
      <c r="A37267" s="2">
        <v>37262</v>
      </c>
      <c r="B37267" s="11" t="str">
        <f>"201510002045"</f>
        <v>201510002045</v>
      </c>
    </row>
    <row r="37268" spans="1:2" x14ac:dyDescent="0.25">
      <c r="A37268" s="2">
        <v>37263</v>
      </c>
      <c r="B37268" s="11" t="str">
        <f>"201510002131"</f>
        <v>201510002131</v>
      </c>
    </row>
    <row r="37269" spans="1:2" x14ac:dyDescent="0.25">
      <c r="A37269" s="2">
        <v>37264</v>
      </c>
      <c r="B37269" s="11" t="str">
        <f>"201510002199"</f>
        <v>201510002199</v>
      </c>
    </row>
    <row r="37270" spans="1:2" x14ac:dyDescent="0.25">
      <c r="A37270" s="2">
        <v>37265</v>
      </c>
      <c r="B37270" s="11" t="str">
        <f>"201510002210"</f>
        <v>201510002210</v>
      </c>
    </row>
    <row r="37271" spans="1:2" x14ac:dyDescent="0.25">
      <c r="A37271" s="2">
        <v>37266</v>
      </c>
      <c r="B37271" s="11" t="str">
        <f>"201510002243"</f>
        <v>201510002243</v>
      </c>
    </row>
    <row r="37272" spans="1:2" x14ac:dyDescent="0.25">
      <c r="A37272" s="2">
        <v>37267</v>
      </c>
      <c r="B37272" s="11" t="str">
        <f>"201510002259"</f>
        <v>201510002259</v>
      </c>
    </row>
    <row r="37273" spans="1:2" x14ac:dyDescent="0.25">
      <c r="A37273" s="2">
        <v>37268</v>
      </c>
      <c r="B37273" s="11" t="str">
        <f>"201510002464"</f>
        <v>201510002464</v>
      </c>
    </row>
    <row r="37274" spans="1:2" x14ac:dyDescent="0.25">
      <c r="A37274" s="2">
        <v>37269</v>
      </c>
      <c r="B37274" s="11" t="str">
        <f>"201510002475"</f>
        <v>201510002475</v>
      </c>
    </row>
    <row r="37275" spans="1:2" x14ac:dyDescent="0.25">
      <c r="A37275" s="2">
        <v>37270</v>
      </c>
      <c r="B37275" s="11" t="str">
        <f>"201510002555"</f>
        <v>201510002555</v>
      </c>
    </row>
    <row r="37276" spans="1:2" x14ac:dyDescent="0.25">
      <c r="A37276" s="2">
        <v>37271</v>
      </c>
      <c r="B37276" s="11" t="str">
        <f>"201510002570"</f>
        <v>201510002570</v>
      </c>
    </row>
    <row r="37277" spans="1:2" x14ac:dyDescent="0.25">
      <c r="A37277" s="2">
        <v>37272</v>
      </c>
      <c r="B37277" s="11" t="str">
        <f>"201510002585"</f>
        <v>201510002585</v>
      </c>
    </row>
    <row r="37278" spans="1:2" x14ac:dyDescent="0.25">
      <c r="A37278" s="2">
        <v>37273</v>
      </c>
      <c r="B37278" s="11" t="str">
        <f>"201510002782"</f>
        <v>201510002782</v>
      </c>
    </row>
    <row r="37279" spans="1:2" x14ac:dyDescent="0.25">
      <c r="A37279" s="2">
        <v>37274</v>
      </c>
      <c r="B37279" s="11" t="str">
        <f>"201510002939"</f>
        <v>201510002939</v>
      </c>
    </row>
    <row r="37280" spans="1:2" x14ac:dyDescent="0.25">
      <c r="A37280" s="2">
        <v>37275</v>
      </c>
      <c r="B37280" s="11" t="str">
        <f>"201510003034"</f>
        <v>201510003034</v>
      </c>
    </row>
    <row r="37281" spans="1:2" x14ac:dyDescent="0.25">
      <c r="A37281" s="2">
        <v>37276</v>
      </c>
      <c r="B37281" s="11" t="str">
        <f>"201510003092"</f>
        <v>201510003092</v>
      </c>
    </row>
    <row r="37282" spans="1:2" x14ac:dyDescent="0.25">
      <c r="A37282" s="2">
        <v>37277</v>
      </c>
      <c r="B37282" s="11" t="str">
        <f>"201510003136"</f>
        <v>201510003136</v>
      </c>
    </row>
    <row r="37283" spans="1:2" x14ac:dyDescent="0.25">
      <c r="A37283" s="2">
        <v>37278</v>
      </c>
      <c r="B37283" s="11" t="str">
        <f>"201510003286"</f>
        <v>201510003286</v>
      </c>
    </row>
    <row r="37284" spans="1:2" x14ac:dyDescent="0.25">
      <c r="A37284" s="2">
        <v>37279</v>
      </c>
      <c r="B37284" s="11" t="str">
        <f>"201510003333"</f>
        <v>201510003333</v>
      </c>
    </row>
    <row r="37285" spans="1:2" x14ac:dyDescent="0.25">
      <c r="A37285" s="2">
        <v>37280</v>
      </c>
      <c r="B37285" s="11" t="str">
        <f>"201510003450"</f>
        <v>201510003450</v>
      </c>
    </row>
    <row r="37286" spans="1:2" x14ac:dyDescent="0.25">
      <c r="A37286" s="2">
        <v>37281</v>
      </c>
      <c r="B37286" s="11" t="str">
        <f>"201510003462"</f>
        <v>201510003462</v>
      </c>
    </row>
    <row r="37287" spans="1:2" x14ac:dyDescent="0.25">
      <c r="A37287" s="2">
        <v>37282</v>
      </c>
      <c r="B37287" s="11" t="str">
        <f>"201510003503"</f>
        <v>201510003503</v>
      </c>
    </row>
    <row r="37288" spans="1:2" x14ac:dyDescent="0.25">
      <c r="A37288" s="2">
        <v>37283</v>
      </c>
      <c r="B37288" s="11" t="str">
        <f>"201510003609"</f>
        <v>201510003609</v>
      </c>
    </row>
    <row r="37289" spans="1:2" x14ac:dyDescent="0.25">
      <c r="A37289" s="2">
        <v>37284</v>
      </c>
      <c r="B37289" s="11" t="str">
        <f>"201510003625"</f>
        <v>201510003625</v>
      </c>
    </row>
    <row r="37290" spans="1:2" x14ac:dyDescent="0.25">
      <c r="A37290" s="2">
        <v>37285</v>
      </c>
      <c r="B37290" s="11" t="str">
        <f>"201510003641"</f>
        <v>201510003641</v>
      </c>
    </row>
    <row r="37291" spans="1:2" x14ac:dyDescent="0.25">
      <c r="A37291" s="2">
        <v>37286</v>
      </c>
      <c r="B37291" s="11" t="str">
        <f>"201510003671"</f>
        <v>201510003671</v>
      </c>
    </row>
    <row r="37292" spans="1:2" x14ac:dyDescent="0.25">
      <c r="A37292" s="2">
        <v>37287</v>
      </c>
      <c r="B37292" s="11" t="str">
        <f>"201510003674"</f>
        <v>201510003674</v>
      </c>
    </row>
    <row r="37293" spans="1:2" x14ac:dyDescent="0.25">
      <c r="A37293" s="2">
        <v>37288</v>
      </c>
      <c r="B37293" s="11" t="str">
        <f>"201510003690"</f>
        <v>201510003690</v>
      </c>
    </row>
    <row r="37294" spans="1:2" x14ac:dyDescent="0.25">
      <c r="A37294" s="2">
        <v>37289</v>
      </c>
      <c r="B37294" s="11" t="str">
        <f>"201510003714"</f>
        <v>201510003714</v>
      </c>
    </row>
    <row r="37295" spans="1:2" x14ac:dyDescent="0.25">
      <c r="A37295" s="2">
        <v>37290</v>
      </c>
      <c r="B37295" s="11" t="str">
        <f>"201510003731"</f>
        <v>201510003731</v>
      </c>
    </row>
    <row r="37296" spans="1:2" x14ac:dyDescent="0.25">
      <c r="A37296" s="2">
        <v>37291</v>
      </c>
      <c r="B37296" s="11" t="str">
        <f>"201510003800"</f>
        <v>201510003800</v>
      </c>
    </row>
    <row r="37297" spans="1:2" x14ac:dyDescent="0.25">
      <c r="A37297" s="2">
        <v>37292</v>
      </c>
      <c r="B37297" s="11" t="str">
        <f>"201510003820"</f>
        <v>201510003820</v>
      </c>
    </row>
    <row r="37298" spans="1:2" x14ac:dyDescent="0.25">
      <c r="A37298" s="2">
        <v>37293</v>
      </c>
      <c r="B37298" s="11" t="str">
        <f>"201510003896"</f>
        <v>201510003896</v>
      </c>
    </row>
    <row r="37299" spans="1:2" x14ac:dyDescent="0.25">
      <c r="A37299" s="2">
        <v>37294</v>
      </c>
      <c r="B37299" s="11" t="str">
        <f>"201510004003"</f>
        <v>201510004003</v>
      </c>
    </row>
    <row r="37300" spans="1:2" x14ac:dyDescent="0.25">
      <c r="A37300" s="2">
        <v>37295</v>
      </c>
      <c r="B37300" s="11" t="str">
        <f>"201510004093"</f>
        <v>201510004093</v>
      </c>
    </row>
    <row r="37301" spans="1:2" x14ac:dyDescent="0.25">
      <c r="A37301" s="2">
        <v>37296</v>
      </c>
      <c r="B37301" s="11" t="str">
        <f>"201510004163"</f>
        <v>201510004163</v>
      </c>
    </row>
    <row r="37302" spans="1:2" x14ac:dyDescent="0.25">
      <c r="A37302" s="2">
        <v>37297</v>
      </c>
      <c r="B37302" s="11" t="str">
        <f>"201510004178"</f>
        <v>201510004178</v>
      </c>
    </row>
    <row r="37303" spans="1:2" x14ac:dyDescent="0.25">
      <c r="A37303" s="2">
        <v>37298</v>
      </c>
      <c r="B37303" s="11" t="str">
        <f>"201510004184"</f>
        <v>201510004184</v>
      </c>
    </row>
    <row r="37304" spans="1:2" x14ac:dyDescent="0.25">
      <c r="A37304" s="2">
        <v>37299</v>
      </c>
      <c r="B37304" s="11" t="str">
        <f>"201510004240"</f>
        <v>201510004240</v>
      </c>
    </row>
    <row r="37305" spans="1:2" x14ac:dyDescent="0.25">
      <c r="A37305" s="2">
        <v>37300</v>
      </c>
      <c r="B37305" s="11" t="str">
        <f>"201510004299"</f>
        <v>201510004299</v>
      </c>
    </row>
    <row r="37306" spans="1:2" x14ac:dyDescent="0.25">
      <c r="A37306" s="2">
        <v>37301</v>
      </c>
      <c r="B37306" s="11" t="str">
        <f>"201510004397"</f>
        <v>201510004397</v>
      </c>
    </row>
    <row r="37307" spans="1:2" x14ac:dyDescent="0.25">
      <c r="A37307" s="2">
        <v>37302</v>
      </c>
      <c r="B37307" s="11" t="str">
        <f>"201510004431"</f>
        <v>201510004431</v>
      </c>
    </row>
    <row r="37308" spans="1:2" x14ac:dyDescent="0.25">
      <c r="A37308" s="2">
        <v>37303</v>
      </c>
      <c r="B37308" s="11" t="str">
        <f>"201510004544"</f>
        <v>201510004544</v>
      </c>
    </row>
    <row r="37309" spans="1:2" x14ac:dyDescent="0.25">
      <c r="A37309" s="2">
        <v>37304</v>
      </c>
      <c r="B37309" s="11" t="str">
        <f>"201510004601"</f>
        <v>201510004601</v>
      </c>
    </row>
    <row r="37310" spans="1:2" x14ac:dyDescent="0.25">
      <c r="A37310" s="2">
        <v>37305</v>
      </c>
      <c r="B37310" s="11" t="str">
        <f>"201510004652"</f>
        <v>201510004652</v>
      </c>
    </row>
    <row r="37311" spans="1:2" x14ac:dyDescent="0.25">
      <c r="A37311" s="2">
        <v>37306</v>
      </c>
      <c r="B37311" s="11" t="str">
        <f>"201510004682"</f>
        <v>201510004682</v>
      </c>
    </row>
    <row r="37312" spans="1:2" x14ac:dyDescent="0.25">
      <c r="A37312" s="2">
        <v>37307</v>
      </c>
      <c r="B37312" s="11" t="str">
        <f>"201510004692"</f>
        <v>201510004692</v>
      </c>
    </row>
    <row r="37313" spans="1:2" x14ac:dyDescent="0.25">
      <c r="A37313" s="2">
        <v>37308</v>
      </c>
      <c r="B37313" s="11" t="str">
        <f>"201510004744"</f>
        <v>201510004744</v>
      </c>
    </row>
    <row r="37314" spans="1:2" x14ac:dyDescent="0.25">
      <c r="A37314" s="2">
        <v>37309</v>
      </c>
      <c r="B37314" s="11" t="str">
        <f>"201510004745"</f>
        <v>201510004745</v>
      </c>
    </row>
    <row r="37315" spans="1:2" x14ac:dyDescent="0.25">
      <c r="A37315" s="2">
        <v>37310</v>
      </c>
      <c r="B37315" s="11" t="str">
        <f>"201510004801"</f>
        <v>201510004801</v>
      </c>
    </row>
    <row r="37316" spans="1:2" x14ac:dyDescent="0.25">
      <c r="A37316" s="2">
        <v>37311</v>
      </c>
      <c r="B37316" s="11" t="str">
        <f>"201510004879"</f>
        <v>201510004879</v>
      </c>
    </row>
    <row r="37317" spans="1:2" x14ac:dyDescent="0.25">
      <c r="A37317" s="2">
        <v>37312</v>
      </c>
      <c r="B37317" s="11" t="str">
        <f>"201510004911"</f>
        <v>201510004911</v>
      </c>
    </row>
    <row r="37318" spans="1:2" x14ac:dyDescent="0.25">
      <c r="A37318" s="2">
        <v>37313</v>
      </c>
      <c r="B37318" s="11" t="str">
        <f>"201510004914"</f>
        <v>201510004914</v>
      </c>
    </row>
    <row r="37319" spans="1:2" x14ac:dyDescent="0.25">
      <c r="A37319" s="2">
        <v>37314</v>
      </c>
      <c r="B37319" s="11" t="str">
        <f>"201510004919"</f>
        <v>201510004919</v>
      </c>
    </row>
    <row r="37320" spans="1:2" x14ac:dyDescent="0.25">
      <c r="A37320" s="2">
        <v>37315</v>
      </c>
      <c r="B37320" s="11" t="str">
        <f>"201510004933"</f>
        <v>201510004933</v>
      </c>
    </row>
    <row r="37321" spans="1:2" x14ac:dyDescent="0.25">
      <c r="A37321" s="2">
        <v>37316</v>
      </c>
      <c r="B37321" s="11" t="str">
        <f>"201510004951"</f>
        <v>201510004951</v>
      </c>
    </row>
    <row r="37322" spans="1:2" x14ac:dyDescent="0.25">
      <c r="A37322" s="2">
        <v>37317</v>
      </c>
      <c r="B37322" s="11" t="str">
        <f>"201510004984"</f>
        <v>201510004984</v>
      </c>
    </row>
    <row r="37323" spans="1:2" x14ac:dyDescent="0.25">
      <c r="A37323" s="2">
        <v>37318</v>
      </c>
      <c r="B37323" s="11" t="str">
        <f>"201510005045"</f>
        <v>201510005045</v>
      </c>
    </row>
    <row r="37324" spans="1:2" x14ac:dyDescent="0.25">
      <c r="A37324" s="2">
        <v>37319</v>
      </c>
      <c r="B37324" s="11" t="str">
        <f>"201510005057"</f>
        <v>201510005057</v>
      </c>
    </row>
    <row r="37325" spans="1:2" x14ac:dyDescent="0.25">
      <c r="A37325" s="2">
        <v>37320</v>
      </c>
      <c r="B37325" s="11" t="str">
        <f>"201510005114"</f>
        <v>201510005114</v>
      </c>
    </row>
    <row r="37326" spans="1:2" x14ac:dyDescent="0.25">
      <c r="A37326" s="2">
        <v>37321</v>
      </c>
      <c r="B37326" s="11" t="str">
        <f>"201510005140"</f>
        <v>201510005140</v>
      </c>
    </row>
    <row r="37327" spans="1:2" x14ac:dyDescent="0.25">
      <c r="A37327" s="2">
        <v>37322</v>
      </c>
      <c r="B37327" s="11" t="str">
        <f>"201511000011"</f>
        <v>201511000011</v>
      </c>
    </row>
    <row r="37328" spans="1:2" x14ac:dyDescent="0.25">
      <c r="A37328" s="2">
        <v>37323</v>
      </c>
      <c r="B37328" s="11" t="str">
        <f>"201511000066"</f>
        <v>201511000066</v>
      </c>
    </row>
    <row r="37329" spans="1:2" x14ac:dyDescent="0.25">
      <c r="A37329" s="2">
        <v>37324</v>
      </c>
      <c r="B37329" s="11" t="str">
        <f>"201511004404"</f>
        <v>201511004404</v>
      </c>
    </row>
    <row r="37330" spans="1:2" x14ac:dyDescent="0.25">
      <c r="A37330" s="2">
        <v>37325</v>
      </c>
      <c r="B37330" s="11" t="str">
        <f>"201511004449"</f>
        <v>201511004449</v>
      </c>
    </row>
    <row r="37331" spans="1:2" x14ac:dyDescent="0.25">
      <c r="A37331" s="2">
        <v>37326</v>
      </c>
      <c r="B37331" s="11" t="str">
        <f>"201511004470"</f>
        <v>201511004470</v>
      </c>
    </row>
    <row r="37332" spans="1:2" x14ac:dyDescent="0.25">
      <c r="A37332" s="2">
        <v>37327</v>
      </c>
      <c r="B37332" s="11" t="str">
        <f>"201511004479"</f>
        <v>201511004479</v>
      </c>
    </row>
    <row r="37333" spans="1:2" x14ac:dyDescent="0.25">
      <c r="A37333" s="2">
        <v>37328</v>
      </c>
      <c r="B37333" s="11" t="str">
        <f>"201511004514"</f>
        <v>201511004514</v>
      </c>
    </row>
    <row r="37334" spans="1:2" x14ac:dyDescent="0.25">
      <c r="A37334" s="2">
        <v>37329</v>
      </c>
      <c r="B37334" s="11" t="str">
        <f>"201511004519"</f>
        <v>201511004519</v>
      </c>
    </row>
    <row r="37335" spans="1:2" x14ac:dyDescent="0.25">
      <c r="A37335" s="2">
        <v>37330</v>
      </c>
      <c r="B37335" s="11" t="str">
        <f>"201511004523"</f>
        <v>201511004523</v>
      </c>
    </row>
    <row r="37336" spans="1:2" x14ac:dyDescent="0.25">
      <c r="A37336" s="2">
        <v>37331</v>
      </c>
      <c r="B37336" s="11" t="str">
        <f>"201511004542"</f>
        <v>201511004542</v>
      </c>
    </row>
    <row r="37337" spans="1:2" x14ac:dyDescent="0.25">
      <c r="A37337" s="2">
        <v>37332</v>
      </c>
      <c r="B37337" s="11" t="str">
        <f>"201511004572"</f>
        <v>201511004572</v>
      </c>
    </row>
    <row r="37338" spans="1:2" x14ac:dyDescent="0.25">
      <c r="A37338" s="2">
        <v>37333</v>
      </c>
      <c r="B37338" s="11" t="str">
        <f>"201511004589"</f>
        <v>201511004589</v>
      </c>
    </row>
    <row r="37339" spans="1:2" x14ac:dyDescent="0.25">
      <c r="A37339" s="2">
        <v>37334</v>
      </c>
      <c r="B37339" s="11" t="str">
        <f>"201511004595"</f>
        <v>201511004595</v>
      </c>
    </row>
    <row r="37340" spans="1:2" x14ac:dyDescent="0.25">
      <c r="A37340" s="2">
        <v>37335</v>
      </c>
      <c r="B37340" s="11" t="str">
        <f>"201511004655"</f>
        <v>201511004655</v>
      </c>
    </row>
    <row r="37341" spans="1:2" x14ac:dyDescent="0.25">
      <c r="A37341" s="2">
        <v>37336</v>
      </c>
      <c r="B37341" s="11" t="str">
        <f>"201511004721"</f>
        <v>201511004721</v>
      </c>
    </row>
    <row r="37342" spans="1:2" x14ac:dyDescent="0.25">
      <c r="A37342" s="2">
        <v>37337</v>
      </c>
      <c r="B37342" s="11" t="str">
        <f>"201511004744"</f>
        <v>201511004744</v>
      </c>
    </row>
    <row r="37343" spans="1:2" x14ac:dyDescent="0.25">
      <c r="A37343" s="2">
        <v>37338</v>
      </c>
      <c r="B37343" s="11" t="str">
        <f>"201511004786"</f>
        <v>201511004786</v>
      </c>
    </row>
    <row r="37344" spans="1:2" x14ac:dyDescent="0.25">
      <c r="A37344" s="2">
        <v>37339</v>
      </c>
      <c r="B37344" s="11" t="str">
        <f>"201511004803"</f>
        <v>201511004803</v>
      </c>
    </row>
    <row r="37345" spans="1:2" x14ac:dyDescent="0.25">
      <c r="A37345" s="2">
        <v>37340</v>
      </c>
      <c r="B37345" s="11" t="str">
        <f>"201511004854"</f>
        <v>201511004854</v>
      </c>
    </row>
    <row r="37346" spans="1:2" x14ac:dyDescent="0.25">
      <c r="A37346" s="2">
        <v>37341</v>
      </c>
      <c r="B37346" s="11" t="str">
        <f>"201511004860"</f>
        <v>201511004860</v>
      </c>
    </row>
    <row r="37347" spans="1:2" x14ac:dyDescent="0.25">
      <c r="A37347" s="2">
        <v>37342</v>
      </c>
      <c r="B37347" s="11" t="str">
        <f>"201511004866"</f>
        <v>201511004866</v>
      </c>
    </row>
    <row r="37348" spans="1:2" x14ac:dyDescent="0.25">
      <c r="A37348" s="2">
        <v>37343</v>
      </c>
      <c r="B37348" s="11" t="str">
        <f>"201511004934"</f>
        <v>201511004934</v>
      </c>
    </row>
    <row r="37349" spans="1:2" x14ac:dyDescent="0.25">
      <c r="A37349" s="2">
        <v>37344</v>
      </c>
      <c r="B37349" s="11" t="str">
        <f>"201511004985"</f>
        <v>201511004985</v>
      </c>
    </row>
    <row r="37350" spans="1:2" x14ac:dyDescent="0.25">
      <c r="A37350" s="2">
        <v>37345</v>
      </c>
      <c r="B37350" s="11" t="str">
        <f>"201511004987"</f>
        <v>201511004987</v>
      </c>
    </row>
    <row r="37351" spans="1:2" x14ac:dyDescent="0.25">
      <c r="A37351" s="2">
        <v>37346</v>
      </c>
      <c r="B37351" s="11" t="str">
        <f>"201511005066"</f>
        <v>201511005066</v>
      </c>
    </row>
    <row r="37352" spans="1:2" x14ac:dyDescent="0.25">
      <c r="A37352" s="2">
        <v>37347</v>
      </c>
      <c r="B37352" s="11" t="str">
        <f>"201511005141"</f>
        <v>201511005141</v>
      </c>
    </row>
    <row r="37353" spans="1:2" x14ac:dyDescent="0.25">
      <c r="A37353" s="2">
        <v>37348</v>
      </c>
      <c r="B37353" s="11" t="str">
        <f>"201511005159"</f>
        <v>201511005159</v>
      </c>
    </row>
    <row r="37354" spans="1:2" x14ac:dyDescent="0.25">
      <c r="A37354" s="2">
        <v>37349</v>
      </c>
      <c r="B37354" s="11" t="str">
        <f>"201511005229"</f>
        <v>201511005229</v>
      </c>
    </row>
    <row r="37355" spans="1:2" x14ac:dyDescent="0.25">
      <c r="A37355" s="2">
        <v>37350</v>
      </c>
      <c r="B37355" s="11" t="str">
        <f>"201511005289"</f>
        <v>201511005289</v>
      </c>
    </row>
    <row r="37356" spans="1:2" x14ac:dyDescent="0.25">
      <c r="A37356" s="2">
        <v>37351</v>
      </c>
      <c r="B37356" s="11" t="str">
        <f>"201511005411"</f>
        <v>201511005411</v>
      </c>
    </row>
    <row r="37357" spans="1:2" x14ac:dyDescent="0.25">
      <c r="A37357" s="2">
        <v>37352</v>
      </c>
      <c r="B37357" s="11" t="str">
        <f>"201511005492"</f>
        <v>201511005492</v>
      </c>
    </row>
    <row r="37358" spans="1:2" x14ac:dyDescent="0.25">
      <c r="A37358" s="2">
        <v>37353</v>
      </c>
      <c r="B37358" s="11" t="str">
        <f>"201511005520"</f>
        <v>201511005520</v>
      </c>
    </row>
    <row r="37359" spans="1:2" x14ac:dyDescent="0.25">
      <c r="A37359" s="2">
        <v>37354</v>
      </c>
      <c r="B37359" s="11" t="str">
        <f>"201511005528"</f>
        <v>201511005528</v>
      </c>
    </row>
    <row r="37360" spans="1:2" x14ac:dyDescent="0.25">
      <c r="A37360" s="2">
        <v>37355</v>
      </c>
      <c r="B37360" s="11" t="str">
        <f>"201511005567"</f>
        <v>201511005567</v>
      </c>
    </row>
    <row r="37361" spans="1:2" x14ac:dyDescent="0.25">
      <c r="A37361" s="2">
        <v>37356</v>
      </c>
      <c r="B37361" s="11" t="str">
        <f>"201511005642"</f>
        <v>201511005642</v>
      </c>
    </row>
    <row r="37362" spans="1:2" x14ac:dyDescent="0.25">
      <c r="A37362" s="2">
        <v>37357</v>
      </c>
      <c r="B37362" s="11" t="str">
        <f>"201511005647"</f>
        <v>201511005647</v>
      </c>
    </row>
    <row r="37363" spans="1:2" x14ac:dyDescent="0.25">
      <c r="A37363" s="2">
        <v>37358</v>
      </c>
      <c r="B37363" s="11" t="str">
        <f>"201511005658"</f>
        <v>201511005658</v>
      </c>
    </row>
    <row r="37364" spans="1:2" x14ac:dyDescent="0.25">
      <c r="A37364" s="2">
        <v>37359</v>
      </c>
      <c r="B37364" s="11" t="str">
        <f>"201511005668"</f>
        <v>201511005668</v>
      </c>
    </row>
    <row r="37365" spans="1:2" x14ac:dyDescent="0.25">
      <c r="A37365" s="2">
        <v>37360</v>
      </c>
      <c r="B37365" s="11" t="str">
        <f>"201511005718"</f>
        <v>201511005718</v>
      </c>
    </row>
    <row r="37366" spans="1:2" x14ac:dyDescent="0.25">
      <c r="A37366" s="2">
        <v>37361</v>
      </c>
      <c r="B37366" s="11" t="str">
        <f>"201511005760"</f>
        <v>201511005760</v>
      </c>
    </row>
    <row r="37367" spans="1:2" x14ac:dyDescent="0.25">
      <c r="A37367" s="2">
        <v>37362</v>
      </c>
      <c r="B37367" s="11" t="str">
        <f>"201511005777"</f>
        <v>201511005777</v>
      </c>
    </row>
    <row r="37368" spans="1:2" x14ac:dyDescent="0.25">
      <c r="A37368" s="2">
        <v>37363</v>
      </c>
      <c r="B37368" s="11" t="str">
        <f>"201511005824"</f>
        <v>201511005824</v>
      </c>
    </row>
    <row r="37369" spans="1:2" x14ac:dyDescent="0.25">
      <c r="A37369" s="2">
        <v>37364</v>
      </c>
      <c r="B37369" s="11" t="str">
        <f>"201511005836"</f>
        <v>201511005836</v>
      </c>
    </row>
    <row r="37370" spans="1:2" x14ac:dyDescent="0.25">
      <c r="A37370" s="2">
        <v>37365</v>
      </c>
      <c r="B37370" s="11" t="str">
        <f>"201511005844"</f>
        <v>201511005844</v>
      </c>
    </row>
    <row r="37371" spans="1:2" x14ac:dyDescent="0.25">
      <c r="A37371" s="2">
        <v>37366</v>
      </c>
      <c r="B37371" s="11" t="str">
        <f>"201511005903"</f>
        <v>201511005903</v>
      </c>
    </row>
    <row r="37372" spans="1:2" x14ac:dyDescent="0.25">
      <c r="A37372" s="2">
        <v>37367</v>
      </c>
      <c r="B37372" s="11" t="str">
        <f>"201511005912"</f>
        <v>201511005912</v>
      </c>
    </row>
    <row r="37373" spans="1:2" x14ac:dyDescent="0.25">
      <c r="A37373" s="2">
        <v>37368</v>
      </c>
      <c r="B37373" s="11" t="str">
        <f>"201511006002"</f>
        <v>201511006002</v>
      </c>
    </row>
    <row r="37374" spans="1:2" x14ac:dyDescent="0.25">
      <c r="A37374" s="2">
        <v>37369</v>
      </c>
      <c r="B37374" s="11" t="str">
        <f>"201511006029"</f>
        <v>201511006029</v>
      </c>
    </row>
    <row r="37375" spans="1:2" x14ac:dyDescent="0.25">
      <c r="A37375" s="2">
        <v>37370</v>
      </c>
      <c r="B37375" s="11" t="str">
        <f>"201511006042"</f>
        <v>201511006042</v>
      </c>
    </row>
    <row r="37376" spans="1:2" x14ac:dyDescent="0.25">
      <c r="A37376" s="2">
        <v>37371</v>
      </c>
      <c r="B37376" s="11" t="str">
        <f>"201511006110"</f>
        <v>201511006110</v>
      </c>
    </row>
    <row r="37377" spans="1:2" x14ac:dyDescent="0.25">
      <c r="A37377" s="2">
        <v>37372</v>
      </c>
      <c r="B37377" s="11" t="str">
        <f>"201511006112"</f>
        <v>201511006112</v>
      </c>
    </row>
    <row r="37378" spans="1:2" x14ac:dyDescent="0.25">
      <c r="A37378" s="2">
        <v>37373</v>
      </c>
      <c r="B37378" s="11" t="str">
        <f>"201511006118"</f>
        <v>201511006118</v>
      </c>
    </row>
    <row r="37379" spans="1:2" x14ac:dyDescent="0.25">
      <c r="A37379" s="2">
        <v>37374</v>
      </c>
      <c r="B37379" s="11" t="str">
        <f>"201511006152"</f>
        <v>201511006152</v>
      </c>
    </row>
    <row r="37380" spans="1:2" x14ac:dyDescent="0.25">
      <c r="A37380" s="2">
        <v>37375</v>
      </c>
      <c r="B37380" s="11" t="str">
        <f>"201511006236"</f>
        <v>201511006236</v>
      </c>
    </row>
    <row r="37381" spans="1:2" x14ac:dyDescent="0.25">
      <c r="A37381" s="2">
        <v>37376</v>
      </c>
      <c r="B37381" s="11" t="str">
        <f>"201511006345"</f>
        <v>201511006345</v>
      </c>
    </row>
    <row r="37382" spans="1:2" x14ac:dyDescent="0.25">
      <c r="A37382" s="2">
        <v>37377</v>
      </c>
      <c r="B37382" s="11" t="str">
        <f>"201511006348"</f>
        <v>201511006348</v>
      </c>
    </row>
    <row r="37383" spans="1:2" x14ac:dyDescent="0.25">
      <c r="A37383" s="2">
        <v>37378</v>
      </c>
      <c r="B37383" s="11" t="str">
        <f>"201511006372"</f>
        <v>201511006372</v>
      </c>
    </row>
    <row r="37384" spans="1:2" x14ac:dyDescent="0.25">
      <c r="A37384" s="2">
        <v>37379</v>
      </c>
      <c r="B37384" s="11" t="str">
        <f>"201511006404"</f>
        <v>201511006404</v>
      </c>
    </row>
    <row r="37385" spans="1:2" x14ac:dyDescent="0.25">
      <c r="A37385" s="2">
        <v>37380</v>
      </c>
      <c r="B37385" s="11" t="str">
        <f>"201511006433"</f>
        <v>201511006433</v>
      </c>
    </row>
    <row r="37386" spans="1:2" x14ac:dyDescent="0.25">
      <c r="A37386" s="2">
        <v>37381</v>
      </c>
      <c r="B37386" s="11" t="str">
        <f>"201511006444"</f>
        <v>201511006444</v>
      </c>
    </row>
    <row r="37387" spans="1:2" x14ac:dyDescent="0.25">
      <c r="A37387" s="2">
        <v>37382</v>
      </c>
      <c r="B37387" s="11" t="str">
        <f>"201511006494"</f>
        <v>201511006494</v>
      </c>
    </row>
    <row r="37388" spans="1:2" x14ac:dyDescent="0.25">
      <c r="A37388" s="2">
        <v>37383</v>
      </c>
      <c r="B37388" s="11" t="str">
        <f>"201511006501"</f>
        <v>201511006501</v>
      </c>
    </row>
    <row r="37389" spans="1:2" x14ac:dyDescent="0.25">
      <c r="A37389" s="2">
        <v>37384</v>
      </c>
      <c r="B37389" s="11" t="str">
        <f>"201511006531"</f>
        <v>201511006531</v>
      </c>
    </row>
    <row r="37390" spans="1:2" x14ac:dyDescent="0.25">
      <c r="A37390" s="2">
        <v>37385</v>
      </c>
      <c r="B37390" s="11" t="str">
        <f>"201511006553"</f>
        <v>201511006553</v>
      </c>
    </row>
    <row r="37391" spans="1:2" x14ac:dyDescent="0.25">
      <c r="A37391" s="2">
        <v>37386</v>
      </c>
      <c r="B37391" s="11" t="str">
        <f>"201511006641"</f>
        <v>201511006641</v>
      </c>
    </row>
    <row r="37392" spans="1:2" x14ac:dyDescent="0.25">
      <c r="A37392" s="2">
        <v>37387</v>
      </c>
      <c r="B37392" s="11" t="str">
        <f>"201511006717"</f>
        <v>201511006717</v>
      </c>
    </row>
    <row r="37393" spans="1:2" x14ac:dyDescent="0.25">
      <c r="A37393" s="2">
        <v>37388</v>
      </c>
      <c r="B37393" s="11" t="str">
        <f>"201511006718"</f>
        <v>201511006718</v>
      </c>
    </row>
    <row r="37394" spans="1:2" x14ac:dyDescent="0.25">
      <c r="A37394" s="2">
        <v>37389</v>
      </c>
      <c r="B37394" s="11" t="str">
        <f>"201511006738"</f>
        <v>201511006738</v>
      </c>
    </row>
    <row r="37395" spans="1:2" x14ac:dyDescent="0.25">
      <c r="A37395" s="2">
        <v>37390</v>
      </c>
      <c r="B37395" s="11" t="str">
        <f>"201511006799"</f>
        <v>201511006799</v>
      </c>
    </row>
    <row r="37396" spans="1:2" x14ac:dyDescent="0.25">
      <c r="A37396" s="2">
        <v>37391</v>
      </c>
      <c r="B37396" s="11" t="str">
        <f>"201511006812"</f>
        <v>201511006812</v>
      </c>
    </row>
    <row r="37397" spans="1:2" x14ac:dyDescent="0.25">
      <c r="A37397" s="2">
        <v>37392</v>
      </c>
      <c r="B37397" s="11" t="str">
        <f>"201511006840"</f>
        <v>201511006840</v>
      </c>
    </row>
    <row r="37398" spans="1:2" x14ac:dyDescent="0.25">
      <c r="A37398" s="2">
        <v>37393</v>
      </c>
      <c r="B37398" s="11" t="str">
        <f>"201511006851"</f>
        <v>201511006851</v>
      </c>
    </row>
    <row r="37399" spans="1:2" x14ac:dyDescent="0.25">
      <c r="A37399" s="2">
        <v>37394</v>
      </c>
      <c r="B37399" s="11" t="str">
        <f>"201511006899"</f>
        <v>201511006899</v>
      </c>
    </row>
    <row r="37400" spans="1:2" x14ac:dyDescent="0.25">
      <c r="A37400" s="2">
        <v>37395</v>
      </c>
      <c r="B37400" s="11" t="str">
        <f>"201511006902"</f>
        <v>201511006902</v>
      </c>
    </row>
    <row r="37401" spans="1:2" x14ac:dyDescent="0.25">
      <c r="A37401" s="2">
        <v>37396</v>
      </c>
      <c r="B37401" s="11" t="str">
        <f>"201511006923"</f>
        <v>201511006923</v>
      </c>
    </row>
    <row r="37402" spans="1:2" x14ac:dyDescent="0.25">
      <c r="A37402" s="2">
        <v>37397</v>
      </c>
      <c r="B37402" s="11" t="str">
        <f>"201511006970"</f>
        <v>201511006970</v>
      </c>
    </row>
    <row r="37403" spans="1:2" x14ac:dyDescent="0.25">
      <c r="A37403" s="2">
        <v>37398</v>
      </c>
      <c r="B37403" s="11" t="str">
        <f>"201511006993"</f>
        <v>201511006993</v>
      </c>
    </row>
    <row r="37404" spans="1:2" x14ac:dyDescent="0.25">
      <c r="A37404" s="2">
        <v>37399</v>
      </c>
      <c r="B37404" s="11" t="str">
        <f>"201511007131"</f>
        <v>201511007131</v>
      </c>
    </row>
    <row r="37405" spans="1:2" x14ac:dyDescent="0.25">
      <c r="A37405" s="2">
        <v>37400</v>
      </c>
      <c r="B37405" s="11" t="str">
        <f>"201511007141"</f>
        <v>201511007141</v>
      </c>
    </row>
    <row r="37406" spans="1:2" x14ac:dyDescent="0.25">
      <c r="A37406" s="2">
        <v>37401</v>
      </c>
      <c r="B37406" s="11" t="str">
        <f>"201511007178"</f>
        <v>201511007178</v>
      </c>
    </row>
    <row r="37407" spans="1:2" x14ac:dyDescent="0.25">
      <c r="A37407" s="2">
        <v>37402</v>
      </c>
      <c r="B37407" s="11" t="str">
        <f>"201511007196"</f>
        <v>201511007196</v>
      </c>
    </row>
    <row r="37408" spans="1:2" x14ac:dyDescent="0.25">
      <c r="A37408" s="2">
        <v>37403</v>
      </c>
      <c r="B37408" s="11" t="str">
        <f>"201511007246"</f>
        <v>201511007246</v>
      </c>
    </row>
    <row r="37409" spans="1:2" x14ac:dyDescent="0.25">
      <c r="A37409" s="2">
        <v>37404</v>
      </c>
      <c r="B37409" s="11" t="str">
        <f>"201511007323"</f>
        <v>201511007323</v>
      </c>
    </row>
    <row r="37410" spans="1:2" x14ac:dyDescent="0.25">
      <c r="A37410" s="2">
        <v>37405</v>
      </c>
      <c r="B37410" s="11" t="str">
        <f>"201511007325"</f>
        <v>201511007325</v>
      </c>
    </row>
    <row r="37411" spans="1:2" x14ac:dyDescent="0.25">
      <c r="A37411" s="2">
        <v>37406</v>
      </c>
      <c r="B37411" s="11" t="str">
        <f>"201511007360"</f>
        <v>201511007360</v>
      </c>
    </row>
    <row r="37412" spans="1:2" x14ac:dyDescent="0.25">
      <c r="A37412" s="2">
        <v>37407</v>
      </c>
      <c r="B37412" s="11" t="str">
        <f>"201511007443"</f>
        <v>201511007443</v>
      </c>
    </row>
    <row r="37413" spans="1:2" x14ac:dyDescent="0.25">
      <c r="A37413" s="2">
        <v>37408</v>
      </c>
      <c r="B37413" s="11" t="str">
        <f>"201511007466"</f>
        <v>201511007466</v>
      </c>
    </row>
    <row r="37414" spans="1:2" x14ac:dyDescent="0.25">
      <c r="A37414" s="2">
        <v>37409</v>
      </c>
      <c r="B37414" s="11" t="str">
        <f>"201511007468"</f>
        <v>201511007468</v>
      </c>
    </row>
    <row r="37415" spans="1:2" x14ac:dyDescent="0.25">
      <c r="A37415" s="2">
        <v>37410</v>
      </c>
      <c r="B37415" s="11" t="str">
        <f>"201511007522"</f>
        <v>201511007522</v>
      </c>
    </row>
    <row r="37416" spans="1:2" x14ac:dyDescent="0.25">
      <c r="A37416" s="2">
        <v>37411</v>
      </c>
      <c r="B37416" s="11" t="str">
        <f>"201511007529"</f>
        <v>201511007529</v>
      </c>
    </row>
    <row r="37417" spans="1:2" x14ac:dyDescent="0.25">
      <c r="A37417" s="2">
        <v>37412</v>
      </c>
      <c r="B37417" s="11" t="str">
        <f>"201511007531"</f>
        <v>201511007531</v>
      </c>
    </row>
    <row r="37418" spans="1:2" x14ac:dyDescent="0.25">
      <c r="A37418" s="2">
        <v>37413</v>
      </c>
      <c r="B37418" s="11" t="str">
        <f>"201511007584"</f>
        <v>201511007584</v>
      </c>
    </row>
    <row r="37419" spans="1:2" x14ac:dyDescent="0.25">
      <c r="A37419" s="2">
        <v>37414</v>
      </c>
      <c r="B37419" s="11" t="str">
        <f>"201511007591"</f>
        <v>201511007591</v>
      </c>
    </row>
    <row r="37420" spans="1:2" x14ac:dyDescent="0.25">
      <c r="A37420" s="2">
        <v>37415</v>
      </c>
      <c r="B37420" s="11" t="str">
        <f>"201511007665"</f>
        <v>201511007665</v>
      </c>
    </row>
    <row r="37421" spans="1:2" x14ac:dyDescent="0.25">
      <c r="A37421" s="2">
        <v>37416</v>
      </c>
      <c r="B37421" s="11" t="str">
        <f>"201511007672"</f>
        <v>201511007672</v>
      </c>
    </row>
    <row r="37422" spans="1:2" x14ac:dyDescent="0.25">
      <c r="A37422" s="2">
        <v>37417</v>
      </c>
      <c r="B37422" s="11" t="str">
        <f>"201511007757"</f>
        <v>201511007757</v>
      </c>
    </row>
    <row r="37423" spans="1:2" x14ac:dyDescent="0.25">
      <c r="A37423" s="2">
        <v>37418</v>
      </c>
      <c r="B37423" s="11" t="str">
        <f>"201511007812"</f>
        <v>201511007812</v>
      </c>
    </row>
    <row r="37424" spans="1:2" x14ac:dyDescent="0.25">
      <c r="A37424" s="2">
        <v>37419</v>
      </c>
      <c r="B37424" s="11" t="str">
        <f>"201511007841"</f>
        <v>201511007841</v>
      </c>
    </row>
    <row r="37425" spans="1:2" x14ac:dyDescent="0.25">
      <c r="A37425" s="2">
        <v>37420</v>
      </c>
      <c r="B37425" s="11" t="str">
        <f>"201511007919"</f>
        <v>201511007919</v>
      </c>
    </row>
    <row r="37426" spans="1:2" x14ac:dyDescent="0.25">
      <c r="A37426" s="2">
        <v>37421</v>
      </c>
      <c r="B37426" s="11" t="str">
        <f>"201511007930"</f>
        <v>201511007930</v>
      </c>
    </row>
    <row r="37427" spans="1:2" x14ac:dyDescent="0.25">
      <c r="A37427" s="2">
        <v>37422</v>
      </c>
      <c r="B37427" s="11" t="str">
        <f>"201511007972"</f>
        <v>201511007972</v>
      </c>
    </row>
    <row r="37428" spans="1:2" x14ac:dyDescent="0.25">
      <c r="A37428" s="2">
        <v>37423</v>
      </c>
      <c r="B37428" s="11" t="str">
        <f>"201511008099"</f>
        <v>201511008099</v>
      </c>
    </row>
    <row r="37429" spans="1:2" x14ac:dyDescent="0.25">
      <c r="A37429" s="2">
        <v>37424</v>
      </c>
      <c r="B37429" s="11" t="str">
        <f>"201511008122"</f>
        <v>201511008122</v>
      </c>
    </row>
    <row r="37430" spans="1:2" x14ac:dyDescent="0.25">
      <c r="A37430" s="2">
        <v>37425</v>
      </c>
      <c r="B37430" s="11" t="str">
        <f>"201511008126"</f>
        <v>201511008126</v>
      </c>
    </row>
    <row r="37431" spans="1:2" x14ac:dyDescent="0.25">
      <c r="A37431" s="2">
        <v>37426</v>
      </c>
      <c r="B37431" s="11" t="str">
        <f>"201511008145"</f>
        <v>201511008145</v>
      </c>
    </row>
    <row r="37432" spans="1:2" x14ac:dyDescent="0.25">
      <c r="A37432" s="2">
        <v>37427</v>
      </c>
      <c r="B37432" s="11" t="str">
        <f>"201511008154"</f>
        <v>201511008154</v>
      </c>
    </row>
    <row r="37433" spans="1:2" x14ac:dyDescent="0.25">
      <c r="A37433" s="2">
        <v>37428</v>
      </c>
      <c r="B37433" s="11" t="str">
        <f>"201511008200"</f>
        <v>201511008200</v>
      </c>
    </row>
    <row r="37434" spans="1:2" x14ac:dyDescent="0.25">
      <c r="A37434" s="2">
        <v>37429</v>
      </c>
      <c r="B37434" s="11" t="str">
        <f>"201511008209"</f>
        <v>201511008209</v>
      </c>
    </row>
    <row r="37435" spans="1:2" x14ac:dyDescent="0.25">
      <c r="A37435" s="2">
        <v>37430</v>
      </c>
      <c r="B37435" s="11" t="str">
        <f>"201511008223"</f>
        <v>201511008223</v>
      </c>
    </row>
    <row r="37436" spans="1:2" x14ac:dyDescent="0.25">
      <c r="A37436" s="2">
        <v>37431</v>
      </c>
      <c r="B37436" s="11" t="str">
        <f>"201511008350"</f>
        <v>201511008350</v>
      </c>
    </row>
    <row r="37437" spans="1:2" x14ac:dyDescent="0.25">
      <c r="A37437" s="2">
        <v>37432</v>
      </c>
      <c r="B37437" s="11" t="str">
        <f>"201511008378"</f>
        <v>201511008378</v>
      </c>
    </row>
    <row r="37438" spans="1:2" x14ac:dyDescent="0.25">
      <c r="A37438" s="2">
        <v>37433</v>
      </c>
      <c r="B37438" s="11" t="str">
        <f>"201511008441"</f>
        <v>201511008441</v>
      </c>
    </row>
    <row r="37439" spans="1:2" x14ac:dyDescent="0.25">
      <c r="A37439" s="2">
        <v>37434</v>
      </c>
      <c r="B37439" s="11" t="str">
        <f>"201511008460"</f>
        <v>201511008460</v>
      </c>
    </row>
    <row r="37440" spans="1:2" x14ac:dyDescent="0.25">
      <c r="A37440" s="2">
        <v>37435</v>
      </c>
      <c r="B37440" s="11" t="str">
        <f>"201511008479"</f>
        <v>201511008479</v>
      </c>
    </row>
    <row r="37441" spans="1:2" x14ac:dyDescent="0.25">
      <c r="A37441" s="2">
        <v>37436</v>
      </c>
      <c r="B37441" s="11" t="str">
        <f>"201511008559"</f>
        <v>201511008559</v>
      </c>
    </row>
    <row r="37442" spans="1:2" x14ac:dyDescent="0.25">
      <c r="A37442" s="2">
        <v>37437</v>
      </c>
      <c r="B37442" s="11" t="str">
        <f>"201511008561"</f>
        <v>201511008561</v>
      </c>
    </row>
    <row r="37443" spans="1:2" x14ac:dyDescent="0.25">
      <c r="A37443" s="2">
        <v>37438</v>
      </c>
      <c r="B37443" s="11" t="str">
        <f>"201511008579"</f>
        <v>201511008579</v>
      </c>
    </row>
    <row r="37444" spans="1:2" x14ac:dyDescent="0.25">
      <c r="A37444" s="2">
        <v>37439</v>
      </c>
      <c r="B37444" s="11" t="str">
        <f>"201511008608"</f>
        <v>201511008608</v>
      </c>
    </row>
    <row r="37445" spans="1:2" x14ac:dyDescent="0.25">
      <c r="A37445" s="2">
        <v>37440</v>
      </c>
      <c r="B37445" s="11" t="str">
        <f>"201511008656"</f>
        <v>201511008656</v>
      </c>
    </row>
    <row r="37446" spans="1:2" x14ac:dyDescent="0.25">
      <c r="A37446" s="2">
        <v>37441</v>
      </c>
      <c r="B37446" s="11" t="str">
        <f>"201511008674"</f>
        <v>201511008674</v>
      </c>
    </row>
    <row r="37447" spans="1:2" x14ac:dyDescent="0.25">
      <c r="A37447" s="2">
        <v>37442</v>
      </c>
      <c r="B37447" s="11" t="str">
        <f>"201511008710"</f>
        <v>201511008710</v>
      </c>
    </row>
    <row r="37448" spans="1:2" x14ac:dyDescent="0.25">
      <c r="A37448" s="2">
        <v>37443</v>
      </c>
      <c r="B37448" s="11" t="str">
        <f>"201511008744"</f>
        <v>201511008744</v>
      </c>
    </row>
    <row r="37449" spans="1:2" x14ac:dyDescent="0.25">
      <c r="A37449" s="2">
        <v>37444</v>
      </c>
      <c r="B37449" s="11" t="str">
        <f>"201511008753"</f>
        <v>201511008753</v>
      </c>
    </row>
    <row r="37450" spans="1:2" x14ac:dyDescent="0.25">
      <c r="A37450" s="2">
        <v>37445</v>
      </c>
      <c r="B37450" s="11" t="str">
        <f>"201511008792"</f>
        <v>201511008792</v>
      </c>
    </row>
    <row r="37451" spans="1:2" x14ac:dyDescent="0.25">
      <c r="A37451" s="2">
        <v>37446</v>
      </c>
      <c r="B37451" s="11" t="str">
        <f>"201511008800"</f>
        <v>201511008800</v>
      </c>
    </row>
    <row r="37452" spans="1:2" x14ac:dyDescent="0.25">
      <c r="A37452" s="2">
        <v>37447</v>
      </c>
      <c r="B37452" s="11" t="str">
        <f>"201511008899"</f>
        <v>201511008899</v>
      </c>
    </row>
    <row r="37453" spans="1:2" x14ac:dyDescent="0.25">
      <c r="A37453" s="2">
        <v>37448</v>
      </c>
      <c r="B37453" s="11" t="str">
        <f>"201511008931"</f>
        <v>201511008931</v>
      </c>
    </row>
    <row r="37454" spans="1:2" x14ac:dyDescent="0.25">
      <c r="A37454" s="2">
        <v>37449</v>
      </c>
      <c r="B37454" s="11" t="str">
        <f>"201511008938"</f>
        <v>201511008938</v>
      </c>
    </row>
    <row r="37455" spans="1:2" x14ac:dyDescent="0.25">
      <c r="A37455" s="2">
        <v>37450</v>
      </c>
      <c r="B37455" s="11" t="str">
        <f>"201511009044"</f>
        <v>201511009044</v>
      </c>
    </row>
    <row r="37456" spans="1:2" x14ac:dyDescent="0.25">
      <c r="A37456" s="2">
        <v>37451</v>
      </c>
      <c r="B37456" s="11" t="str">
        <f>"201511009062"</f>
        <v>201511009062</v>
      </c>
    </row>
    <row r="37457" spans="1:2" x14ac:dyDescent="0.25">
      <c r="A37457" s="2">
        <v>37452</v>
      </c>
      <c r="B37457" s="11" t="str">
        <f>"201511009082"</f>
        <v>201511009082</v>
      </c>
    </row>
    <row r="37458" spans="1:2" x14ac:dyDescent="0.25">
      <c r="A37458" s="2">
        <v>37453</v>
      </c>
      <c r="B37458" s="11" t="str">
        <f>"201511009127"</f>
        <v>201511009127</v>
      </c>
    </row>
    <row r="37459" spans="1:2" x14ac:dyDescent="0.25">
      <c r="A37459" s="2">
        <v>37454</v>
      </c>
      <c r="B37459" s="11" t="str">
        <f>"201511009140"</f>
        <v>201511009140</v>
      </c>
    </row>
    <row r="37460" spans="1:2" x14ac:dyDescent="0.25">
      <c r="A37460" s="2">
        <v>37455</v>
      </c>
      <c r="B37460" s="11" t="str">
        <f>"201511009142"</f>
        <v>201511009142</v>
      </c>
    </row>
    <row r="37461" spans="1:2" x14ac:dyDescent="0.25">
      <c r="A37461" s="2">
        <v>37456</v>
      </c>
      <c r="B37461" s="11" t="str">
        <f>"201511009269"</f>
        <v>201511009269</v>
      </c>
    </row>
    <row r="37462" spans="1:2" x14ac:dyDescent="0.25">
      <c r="A37462" s="2">
        <v>37457</v>
      </c>
      <c r="B37462" s="11" t="str">
        <f>"201511009354"</f>
        <v>201511009354</v>
      </c>
    </row>
    <row r="37463" spans="1:2" x14ac:dyDescent="0.25">
      <c r="A37463" s="2">
        <v>37458</v>
      </c>
      <c r="B37463" s="11" t="str">
        <f>"201511009426"</f>
        <v>201511009426</v>
      </c>
    </row>
    <row r="37464" spans="1:2" x14ac:dyDescent="0.25">
      <c r="A37464" s="2">
        <v>37459</v>
      </c>
      <c r="B37464" s="11" t="str">
        <f>"201511009447"</f>
        <v>201511009447</v>
      </c>
    </row>
    <row r="37465" spans="1:2" x14ac:dyDescent="0.25">
      <c r="A37465" s="2">
        <v>37460</v>
      </c>
      <c r="B37465" s="11" t="str">
        <f>"201511009507"</f>
        <v>201511009507</v>
      </c>
    </row>
    <row r="37466" spans="1:2" x14ac:dyDescent="0.25">
      <c r="A37466" s="2">
        <v>37461</v>
      </c>
      <c r="B37466" s="11" t="str">
        <f>"201511009539"</f>
        <v>201511009539</v>
      </c>
    </row>
    <row r="37467" spans="1:2" x14ac:dyDescent="0.25">
      <c r="A37467" s="2">
        <v>37462</v>
      </c>
      <c r="B37467" s="11" t="str">
        <f>"201511009622"</f>
        <v>201511009622</v>
      </c>
    </row>
    <row r="37468" spans="1:2" x14ac:dyDescent="0.25">
      <c r="A37468" s="2">
        <v>37463</v>
      </c>
      <c r="B37468" s="11" t="str">
        <f>"201511009631"</f>
        <v>201511009631</v>
      </c>
    </row>
    <row r="37469" spans="1:2" x14ac:dyDescent="0.25">
      <c r="A37469" s="2">
        <v>37464</v>
      </c>
      <c r="B37469" s="11" t="str">
        <f>"201511009739"</f>
        <v>201511009739</v>
      </c>
    </row>
    <row r="37470" spans="1:2" x14ac:dyDescent="0.25">
      <c r="A37470" s="2">
        <v>37465</v>
      </c>
      <c r="B37470" s="11" t="str">
        <f>"201511009772"</f>
        <v>201511009772</v>
      </c>
    </row>
    <row r="37471" spans="1:2" x14ac:dyDescent="0.25">
      <c r="A37471" s="2">
        <v>37466</v>
      </c>
      <c r="B37471" s="11" t="str">
        <f>"201511009966"</f>
        <v>201511009966</v>
      </c>
    </row>
    <row r="37472" spans="1:2" x14ac:dyDescent="0.25">
      <c r="A37472" s="2">
        <v>37467</v>
      </c>
      <c r="B37472" s="11" t="str">
        <f>"201511009968"</f>
        <v>201511009968</v>
      </c>
    </row>
    <row r="37473" spans="1:2" x14ac:dyDescent="0.25">
      <c r="A37473" s="2">
        <v>37468</v>
      </c>
      <c r="B37473" s="11" t="str">
        <f>"201511009994"</f>
        <v>201511009994</v>
      </c>
    </row>
    <row r="37474" spans="1:2" x14ac:dyDescent="0.25">
      <c r="A37474" s="2">
        <v>37469</v>
      </c>
      <c r="B37474" s="11" t="str">
        <f>"201511010048"</f>
        <v>201511010048</v>
      </c>
    </row>
    <row r="37475" spans="1:2" x14ac:dyDescent="0.25">
      <c r="A37475" s="2">
        <v>37470</v>
      </c>
      <c r="B37475" s="11" t="str">
        <f>"201511010072"</f>
        <v>201511010072</v>
      </c>
    </row>
    <row r="37476" spans="1:2" x14ac:dyDescent="0.25">
      <c r="A37476" s="2">
        <v>37471</v>
      </c>
      <c r="B37476" s="11" t="str">
        <f>"201511010130"</f>
        <v>201511010130</v>
      </c>
    </row>
    <row r="37477" spans="1:2" x14ac:dyDescent="0.25">
      <c r="A37477" s="2">
        <v>37472</v>
      </c>
      <c r="B37477" s="11" t="str">
        <f>"201511010270"</f>
        <v>201511010270</v>
      </c>
    </row>
    <row r="37478" spans="1:2" x14ac:dyDescent="0.25">
      <c r="A37478" s="2">
        <v>37473</v>
      </c>
      <c r="B37478" s="11" t="str">
        <f>"201511010292"</f>
        <v>201511010292</v>
      </c>
    </row>
    <row r="37479" spans="1:2" x14ac:dyDescent="0.25">
      <c r="A37479" s="2">
        <v>37474</v>
      </c>
      <c r="B37479" s="11" t="str">
        <f>"201511010347"</f>
        <v>201511010347</v>
      </c>
    </row>
    <row r="37480" spans="1:2" x14ac:dyDescent="0.25">
      <c r="A37480" s="2">
        <v>37475</v>
      </c>
      <c r="B37480" s="11" t="str">
        <f>"201511010417"</f>
        <v>201511010417</v>
      </c>
    </row>
    <row r="37481" spans="1:2" x14ac:dyDescent="0.25">
      <c r="A37481" s="2">
        <v>37476</v>
      </c>
      <c r="B37481" s="11" t="str">
        <f>"201511010419"</f>
        <v>201511010419</v>
      </c>
    </row>
    <row r="37482" spans="1:2" x14ac:dyDescent="0.25">
      <c r="A37482" s="2">
        <v>37477</v>
      </c>
      <c r="B37482" s="11" t="str">
        <f>"201511010434"</f>
        <v>201511010434</v>
      </c>
    </row>
    <row r="37483" spans="1:2" x14ac:dyDescent="0.25">
      <c r="A37483" s="2">
        <v>37478</v>
      </c>
      <c r="B37483" s="11" t="str">
        <f>"201511010438"</f>
        <v>201511010438</v>
      </c>
    </row>
    <row r="37484" spans="1:2" x14ac:dyDescent="0.25">
      <c r="A37484" s="2">
        <v>37479</v>
      </c>
      <c r="B37484" s="11" t="str">
        <f>"201511010455"</f>
        <v>201511010455</v>
      </c>
    </row>
    <row r="37485" spans="1:2" x14ac:dyDescent="0.25">
      <c r="A37485" s="2">
        <v>37480</v>
      </c>
      <c r="B37485" s="11" t="str">
        <f>"201511010481"</f>
        <v>201511010481</v>
      </c>
    </row>
    <row r="37486" spans="1:2" x14ac:dyDescent="0.25">
      <c r="A37486" s="2">
        <v>37481</v>
      </c>
      <c r="B37486" s="11" t="str">
        <f>"201511010492"</f>
        <v>201511010492</v>
      </c>
    </row>
    <row r="37487" spans="1:2" x14ac:dyDescent="0.25">
      <c r="A37487" s="2">
        <v>37482</v>
      </c>
      <c r="B37487" s="11" t="str">
        <f>"201511010498"</f>
        <v>201511010498</v>
      </c>
    </row>
    <row r="37488" spans="1:2" x14ac:dyDescent="0.25">
      <c r="A37488" s="2">
        <v>37483</v>
      </c>
      <c r="B37488" s="11" t="str">
        <f>"201511010513"</f>
        <v>201511010513</v>
      </c>
    </row>
    <row r="37489" spans="1:2" x14ac:dyDescent="0.25">
      <c r="A37489" s="2">
        <v>37484</v>
      </c>
      <c r="B37489" s="11" t="str">
        <f>"201511010551"</f>
        <v>201511010551</v>
      </c>
    </row>
    <row r="37490" spans="1:2" x14ac:dyDescent="0.25">
      <c r="A37490" s="2">
        <v>37485</v>
      </c>
      <c r="B37490" s="11" t="str">
        <f>"201511010573"</f>
        <v>201511010573</v>
      </c>
    </row>
    <row r="37491" spans="1:2" x14ac:dyDescent="0.25">
      <c r="A37491" s="2">
        <v>37486</v>
      </c>
      <c r="B37491" s="11" t="str">
        <f>"201511010617"</f>
        <v>201511010617</v>
      </c>
    </row>
    <row r="37492" spans="1:2" x14ac:dyDescent="0.25">
      <c r="A37492" s="2">
        <v>37487</v>
      </c>
      <c r="B37492" s="11" t="str">
        <f>"201511010619"</f>
        <v>201511010619</v>
      </c>
    </row>
    <row r="37493" spans="1:2" x14ac:dyDescent="0.25">
      <c r="A37493" s="2">
        <v>37488</v>
      </c>
      <c r="B37493" s="11" t="str">
        <f>"201511010623"</f>
        <v>201511010623</v>
      </c>
    </row>
    <row r="37494" spans="1:2" x14ac:dyDescent="0.25">
      <c r="A37494" s="2">
        <v>37489</v>
      </c>
      <c r="B37494" s="11" t="str">
        <f>"201511010644"</f>
        <v>201511010644</v>
      </c>
    </row>
    <row r="37495" spans="1:2" x14ac:dyDescent="0.25">
      <c r="A37495" s="2">
        <v>37490</v>
      </c>
      <c r="B37495" s="11" t="str">
        <f>"201511010664"</f>
        <v>201511010664</v>
      </c>
    </row>
    <row r="37496" spans="1:2" x14ac:dyDescent="0.25">
      <c r="A37496" s="2">
        <v>37491</v>
      </c>
      <c r="B37496" s="11" t="str">
        <f>"201511010696"</f>
        <v>201511010696</v>
      </c>
    </row>
    <row r="37497" spans="1:2" x14ac:dyDescent="0.25">
      <c r="A37497" s="2">
        <v>37492</v>
      </c>
      <c r="B37497" s="11" t="str">
        <f>"201511010718"</f>
        <v>201511010718</v>
      </c>
    </row>
    <row r="37498" spans="1:2" x14ac:dyDescent="0.25">
      <c r="A37498" s="2">
        <v>37493</v>
      </c>
      <c r="B37498" s="11" t="str">
        <f>"201511010757"</f>
        <v>201511010757</v>
      </c>
    </row>
    <row r="37499" spans="1:2" x14ac:dyDescent="0.25">
      <c r="A37499" s="2">
        <v>37494</v>
      </c>
      <c r="B37499" s="11" t="str">
        <f>"201511010758"</f>
        <v>201511010758</v>
      </c>
    </row>
    <row r="37500" spans="1:2" x14ac:dyDescent="0.25">
      <c r="A37500" s="2">
        <v>37495</v>
      </c>
      <c r="B37500" s="11" t="str">
        <f>"201511010793"</f>
        <v>201511010793</v>
      </c>
    </row>
    <row r="37501" spans="1:2" x14ac:dyDescent="0.25">
      <c r="A37501" s="2">
        <v>37496</v>
      </c>
      <c r="B37501" s="11" t="str">
        <f>"201511010814"</f>
        <v>201511010814</v>
      </c>
    </row>
    <row r="37502" spans="1:2" x14ac:dyDescent="0.25">
      <c r="A37502" s="2">
        <v>37497</v>
      </c>
      <c r="B37502" s="11" t="str">
        <f>"201511010840"</f>
        <v>201511010840</v>
      </c>
    </row>
    <row r="37503" spans="1:2" x14ac:dyDescent="0.25">
      <c r="A37503" s="2">
        <v>37498</v>
      </c>
      <c r="B37503" s="11" t="str">
        <f>"201511010849"</f>
        <v>201511010849</v>
      </c>
    </row>
    <row r="37504" spans="1:2" x14ac:dyDescent="0.25">
      <c r="A37504" s="2">
        <v>37499</v>
      </c>
      <c r="B37504" s="11" t="str">
        <f>"201511010892"</f>
        <v>201511010892</v>
      </c>
    </row>
    <row r="37505" spans="1:2" x14ac:dyDescent="0.25">
      <c r="A37505" s="2">
        <v>37500</v>
      </c>
      <c r="B37505" s="11" t="str">
        <f>"201511010898"</f>
        <v>201511010898</v>
      </c>
    </row>
    <row r="37506" spans="1:2" x14ac:dyDescent="0.25">
      <c r="A37506" s="2">
        <v>37501</v>
      </c>
      <c r="B37506" s="11" t="str">
        <f>"201511010932"</f>
        <v>201511010932</v>
      </c>
    </row>
    <row r="37507" spans="1:2" x14ac:dyDescent="0.25">
      <c r="A37507" s="2">
        <v>37502</v>
      </c>
      <c r="B37507" s="11" t="str">
        <f>"201511010950"</f>
        <v>201511010950</v>
      </c>
    </row>
    <row r="37508" spans="1:2" x14ac:dyDescent="0.25">
      <c r="A37508" s="2">
        <v>37503</v>
      </c>
      <c r="B37508" s="11" t="str">
        <f>"201511010957"</f>
        <v>201511010957</v>
      </c>
    </row>
    <row r="37509" spans="1:2" x14ac:dyDescent="0.25">
      <c r="A37509" s="2">
        <v>37504</v>
      </c>
      <c r="B37509" s="11" t="str">
        <f>"201511010967"</f>
        <v>201511010967</v>
      </c>
    </row>
    <row r="37510" spans="1:2" x14ac:dyDescent="0.25">
      <c r="A37510" s="2">
        <v>37505</v>
      </c>
      <c r="B37510" s="11" t="str">
        <f>"201511011021"</f>
        <v>201511011021</v>
      </c>
    </row>
    <row r="37511" spans="1:2" x14ac:dyDescent="0.25">
      <c r="A37511" s="2">
        <v>37506</v>
      </c>
      <c r="B37511" s="11" t="str">
        <f>"201511011027"</f>
        <v>201511011027</v>
      </c>
    </row>
    <row r="37512" spans="1:2" x14ac:dyDescent="0.25">
      <c r="A37512" s="2">
        <v>37507</v>
      </c>
      <c r="B37512" s="11" t="str">
        <f>"201511011065"</f>
        <v>201511011065</v>
      </c>
    </row>
    <row r="37513" spans="1:2" x14ac:dyDescent="0.25">
      <c r="A37513" s="2">
        <v>37508</v>
      </c>
      <c r="B37513" s="11" t="str">
        <f>"201511011076"</f>
        <v>201511011076</v>
      </c>
    </row>
    <row r="37514" spans="1:2" x14ac:dyDescent="0.25">
      <c r="A37514" s="2">
        <v>37509</v>
      </c>
      <c r="B37514" s="11" t="str">
        <f>"201511011116"</f>
        <v>201511011116</v>
      </c>
    </row>
    <row r="37515" spans="1:2" x14ac:dyDescent="0.25">
      <c r="A37515" s="2">
        <v>37510</v>
      </c>
      <c r="B37515" s="11" t="str">
        <f>"201511011166"</f>
        <v>201511011166</v>
      </c>
    </row>
    <row r="37516" spans="1:2" x14ac:dyDescent="0.25">
      <c r="A37516" s="2">
        <v>37511</v>
      </c>
      <c r="B37516" s="11" t="str">
        <f>"201511011244"</f>
        <v>201511011244</v>
      </c>
    </row>
    <row r="37517" spans="1:2" x14ac:dyDescent="0.25">
      <c r="A37517" s="2">
        <v>37512</v>
      </c>
      <c r="B37517" s="11" t="str">
        <f>"201511011352"</f>
        <v>201511011352</v>
      </c>
    </row>
    <row r="37518" spans="1:2" x14ac:dyDescent="0.25">
      <c r="A37518" s="2">
        <v>37513</v>
      </c>
      <c r="B37518" s="11" t="str">
        <f>"201511011361"</f>
        <v>201511011361</v>
      </c>
    </row>
    <row r="37519" spans="1:2" x14ac:dyDescent="0.25">
      <c r="A37519" s="2">
        <v>37514</v>
      </c>
      <c r="B37519" s="11" t="str">
        <f>"201511011394"</f>
        <v>201511011394</v>
      </c>
    </row>
    <row r="37520" spans="1:2" x14ac:dyDescent="0.25">
      <c r="A37520" s="2">
        <v>37515</v>
      </c>
      <c r="B37520" s="11" t="str">
        <f>"201511011403"</f>
        <v>201511011403</v>
      </c>
    </row>
    <row r="37521" spans="1:2" x14ac:dyDescent="0.25">
      <c r="A37521" s="2">
        <v>37516</v>
      </c>
      <c r="B37521" s="11" t="str">
        <f>"201511011493"</f>
        <v>201511011493</v>
      </c>
    </row>
    <row r="37522" spans="1:2" x14ac:dyDescent="0.25">
      <c r="A37522" s="2">
        <v>37517</v>
      </c>
      <c r="B37522" s="11" t="str">
        <f>"201511011537"</f>
        <v>201511011537</v>
      </c>
    </row>
    <row r="37523" spans="1:2" x14ac:dyDescent="0.25">
      <c r="A37523" s="2">
        <v>37518</v>
      </c>
      <c r="B37523" s="11" t="str">
        <f>"201511011562"</f>
        <v>201511011562</v>
      </c>
    </row>
    <row r="37524" spans="1:2" x14ac:dyDescent="0.25">
      <c r="A37524" s="2">
        <v>37519</v>
      </c>
      <c r="B37524" s="11" t="str">
        <f>"201511011747"</f>
        <v>201511011747</v>
      </c>
    </row>
    <row r="37525" spans="1:2" x14ac:dyDescent="0.25">
      <c r="A37525" s="2">
        <v>37520</v>
      </c>
      <c r="B37525" s="11" t="str">
        <f>"201511011792"</f>
        <v>201511011792</v>
      </c>
    </row>
    <row r="37526" spans="1:2" x14ac:dyDescent="0.25">
      <c r="A37526" s="2">
        <v>37521</v>
      </c>
      <c r="B37526" s="11" t="str">
        <f>"201511011856"</f>
        <v>201511011856</v>
      </c>
    </row>
    <row r="37527" spans="1:2" x14ac:dyDescent="0.25">
      <c r="A37527" s="2">
        <v>37522</v>
      </c>
      <c r="B37527" s="11" t="str">
        <f>"201511011870"</f>
        <v>201511011870</v>
      </c>
    </row>
    <row r="37528" spans="1:2" x14ac:dyDescent="0.25">
      <c r="A37528" s="2">
        <v>37523</v>
      </c>
      <c r="B37528" s="11" t="str">
        <f>"201511011903"</f>
        <v>201511011903</v>
      </c>
    </row>
    <row r="37529" spans="1:2" x14ac:dyDescent="0.25">
      <c r="A37529" s="2">
        <v>37524</v>
      </c>
      <c r="B37529" s="11" t="str">
        <f>"201511012029"</f>
        <v>201511012029</v>
      </c>
    </row>
    <row r="37530" spans="1:2" x14ac:dyDescent="0.25">
      <c r="A37530" s="2">
        <v>37525</v>
      </c>
      <c r="B37530" s="11" t="str">
        <f>"201511012040"</f>
        <v>201511012040</v>
      </c>
    </row>
    <row r="37531" spans="1:2" x14ac:dyDescent="0.25">
      <c r="A37531" s="2">
        <v>37526</v>
      </c>
      <c r="B37531" s="11" t="str">
        <f>"201511012107"</f>
        <v>201511012107</v>
      </c>
    </row>
    <row r="37532" spans="1:2" x14ac:dyDescent="0.25">
      <c r="A37532" s="2">
        <v>37527</v>
      </c>
      <c r="B37532" s="11" t="str">
        <f>"201511012122"</f>
        <v>201511012122</v>
      </c>
    </row>
    <row r="37533" spans="1:2" x14ac:dyDescent="0.25">
      <c r="A37533" s="2">
        <v>37528</v>
      </c>
      <c r="B37533" s="11" t="str">
        <f>"201511012140"</f>
        <v>201511012140</v>
      </c>
    </row>
    <row r="37534" spans="1:2" x14ac:dyDescent="0.25">
      <c r="A37534" s="2">
        <v>37529</v>
      </c>
      <c r="B37534" s="11" t="str">
        <f>"201511012142"</f>
        <v>201511012142</v>
      </c>
    </row>
    <row r="37535" spans="1:2" x14ac:dyDescent="0.25">
      <c r="A37535" s="2">
        <v>37530</v>
      </c>
      <c r="B37535" s="11" t="str">
        <f>"201511012161"</f>
        <v>201511012161</v>
      </c>
    </row>
    <row r="37536" spans="1:2" x14ac:dyDescent="0.25">
      <c r="A37536" s="2">
        <v>37531</v>
      </c>
      <c r="B37536" s="11" t="str">
        <f>"201511012195"</f>
        <v>201511012195</v>
      </c>
    </row>
    <row r="37537" spans="1:2" x14ac:dyDescent="0.25">
      <c r="A37537" s="2">
        <v>37532</v>
      </c>
      <c r="B37537" s="11" t="str">
        <f>"201511012223"</f>
        <v>201511012223</v>
      </c>
    </row>
    <row r="37538" spans="1:2" x14ac:dyDescent="0.25">
      <c r="A37538" s="2">
        <v>37533</v>
      </c>
      <c r="B37538" s="11" t="str">
        <f>"201511012227"</f>
        <v>201511012227</v>
      </c>
    </row>
    <row r="37539" spans="1:2" x14ac:dyDescent="0.25">
      <c r="A37539" s="2">
        <v>37534</v>
      </c>
      <c r="B37539" s="11" t="str">
        <f>"201511012228"</f>
        <v>201511012228</v>
      </c>
    </row>
    <row r="37540" spans="1:2" x14ac:dyDescent="0.25">
      <c r="A37540" s="2">
        <v>37535</v>
      </c>
      <c r="B37540" s="11" t="str">
        <f>"201511012251"</f>
        <v>201511012251</v>
      </c>
    </row>
    <row r="37541" spans="1:2" x14ac:dyDescent="0.25">
      <c r="A37541" s="2">
        <v>37536</v>
      </c>
      <c r="B37541" s="11" t="str">
        <f>"201511012269"</f>
        <v>201511012269</v>
      </c>
    </row>
    <row r="37542" spans="1:2" x14ac:dyDescent="0.25">
      <c r="A37542" s="2">
        <v>37537</v>
      </c>
      <c r="B37542" s="11" t="str">
        <f>"201511012281"</f>
        <v>201511012281</v>
      </c>
    </row>
    <row r="37543" spans="1:2" x14ac:dyDescent="0.25">
      <c r="A37543" s="2">
        <v>37538</v>
      </c>
      <c r="B37543" s="11" t="str">
        <f>"201511012342"</f>
        <v>201511012342</v>
      </c>
    </row>
    <row r="37544" spans="1:2" x14ac:dyDescent="0.25">
      <c r="A37544" s="2">
        <v>37539</v>
      </c>
      <c r="B37544" s="11" t="str">
        <f>"201511012346"</f>
        <v>201511012346</v>
      </c>
    </row>
    <row r="37545" spans="1:2" x14ac:dyDescent="0.25">
      <c r="A37545" s="2">
        <v>37540</v>
      </c>
      <c r="B37545" s="11" t="str">
        <f>"201511012374"</f>
        <v>201511012374</v>
      </c>
    </row>
    <row r="37546" spans="1:2" x14ac:dyDescent="0.25">
      <c r="A37546" s="2">
        <v>37541</v>
      </c>
      <c r="B37546" s="11" t="str">
        <f>"201511012389"</f>
        <v>201511012389</v>
      </c>
    </row>
    <row r="37547" spans="1:2" x14ac:dyDescent="0.25">
      <c r="A37547" s="2">
        <v>37542</v>
      </c>
      <c r="B37547" s="11" t="str">
        <f>"201511012437"</f>
        <v>201511012437</v>
      </c>
    </row>
    <row r="37548" spans="1:2" x14ac:dyDescent="0.25">
      <c r="A37548" s="2">
        <v>37543</v>
      </c>
      <c r="B37548" s="11" t="str">
        <f>"201511012502"</f>
        <v>201511012502</v>
      </c>
    </row>
    <row r="37549" spans="1:2" x14ac:dyDescent="0.25">
      <c r="A37549" s="2">
        <v>37544</v>
      </c>
      <c r="B37549" s="11" t="str">
        <f>"201511012527"</f>
        <v>201511012527</v>
      </c>
    </row>
    <row r="37550" spans="1:2" x14ac:dyDescent="0.25">
      <c r="A37550" s="2">
        <v>37545</v>
      </c>
      <c r="B37550" s="11" t="str">
        <f>"201511012569"</f>
        <v>201511012569</v>
      </c>
    </row>
    <row r="37551" spans="1:2" x14ac:dyDescent="0.25">
      <c r="A37551" s="2">
        <v>37546</v>
      </c>
      <c r="B37551" s="11" t="str">
        <f>"201511012674"</f>
        <v>201511012674</v>
      </c>
    </row>
    <row r="37552" spans="1:2" x14ac:dyDescent="0.25">
      <c r="A37552" s="2">
        <v>37547</v>
      </c>
      <c r="B37552" s="11" t="str">
        <f>"201511012705"</f>
        <v>201511012705</v>
      </c>
    </row>
    <row r="37553" spans="1:2" x14ac:dyDescent="0.25">
      <c r="A37553" s="2">
        <v>37548</v>
      </c>
      <c r="B37553" s="11" t="str">
        <f>"201511012708"</f>
        <v>201511012708</v>
      </c>
    </row>
    <row r="37554" spans="1:2" x14ac:dyDescent="0.25">
      <c r="A37554" s="2">
        <v>37549</v>
      </c>
      <c r="B37554" s="11" t="str">
        <f>"201511012734"</f>
        <v>201511012734</v>
      </c>
    </row>
    <row r="37555" spans="1:2" x14ac:dyDescent="0.25">
      <c r="A37555" s="2">
        <v>37550</v>
      </c>
      <c r="B37555" s="11" t="str">
        <f>"201511012750"</f>
        <v>201511012750</v>
      </c>
    </row>
    <row r="37556" spans="1:2" x14ac:dyDescent="0.25">
      <c r="A37556" s="2">
        <v>37551</v>
      </c>
      <c r="B37556" s="11" t="str">
        <f>"201511012766"</f>
        <v>201511012766</v>
      </c>
    </row>
    <row r="37557" spans="1:2" x14ac:dyDescent="0.25">
      <c r="A37557" s="2">
        <v>37552</v>
      </c>
      <c r="B37557" s="11" t="str">
        <f>"201511012831"</f>
        <v>201511012831</v>
      </c>
    </row>
    <row r="37558" spans="1:2" x14ac:dyDescent="0.25">
      <c r="A37558" s="2">
        <v>37553</v>
      </c>
      <c r="B37558" s="11" t="str">
        <f>"201511012862"</f>
        <v>201511012862</v>
      </c>
    </row>
    <row r="37559" spans="1:2" x14ac:dyDescent="0.25">
      <c r="A37559" s="2">
        <v>37554</v>
      </c>
      <c r="B37559" s="11" t="str">
        <f>"201511012927"</f>
        <v>201511012927</v>
      </c>
    </row>
    <row r="37560" spans="1:2" x14ac:dyDescent="0.25">
      <c r="A37560" s="2">
        <v>37555</v>
      </c>
      <c r="B37560" s="11" t="str">
        <f>"201511013032"</f>
        <v>201511013032</v>
      </c>
    </row>
    <row r="37561" spans="1:2" x14ac:dyDescent="0.25">
      <c r="A37561" s="2">
        <v>37556</v>
      </c>
      <c r="B37561" s="11" t="str">
        <f>"201511013061"</f>
        <v>201511013061</v>
      </c>
    </row>
    <row r="37562" spans="1:2" x14ac:dyDescent="0.25">
      <c r="A37562" s="2">
        <v>37557</v>
      </c>
      <c r="B37562" s="11" t="str">
        <f>"201511013081"</f>
        <v>201511013081</v>
      </c>
    </row>
    <row r="37563" spans="1:2" x14ac:dyDescent="0.25">
      <c r="A37563" s="2">
        <v>37558</v>
      </c>
      <c r="B37563" s="11" t="str">
        <f>"201511013219"</f>
        <v>201511013219</v>
      </c>
    </row>
    <row r="37564" spans="1:2" x14ac:dyDescent="0.25">
      <c r="A37564" s="2">
        <v>37559</v>
      </c>
      <c r="B37564" s="11" t="str">
        <f>"201511013302"</f>
        <v>201511013302</v>
      </c>
    </row>
    <row r="37565" spans="1:2" x14ac:dyDescent="0.25">
      <c r="A37565" s="2">
        <v>37560</v>
      </c>
      <c r="B37565" s="11" t="str">
        <f>"201511013304"</f>
        <v>201511013304</v>
      </c>
    </row>
    <row r="37566" spans="1:2" x14ac:dyDescent="0.25">
      <c r="A37566" s="2">
        <v>37561</v>
      </c>
      <c r="B37566" s="11" t="str">
        <f>"201511013320"</f>
        <v>201511013320</v>
      </c>
    </row>
    <row r="37567" spans="1:2" x14ac:dyDescent="0.25">
      <c r="A37567" s="2">
        <v>37562</v>
      </c>
      <c r="B37567" s="11" t="str">
        <f>"201511013555"</f>
        <v>201511013555</v>
      </c>
    </row>
    <row r="37568" spans="1:2" x14ac:dyDescent="0.25">
      <c r="A37568" s="2">
        <v>37563</v>
      </c>
      <c r="B37568" s="11" t="str">
        <f>"201511013582"</f>
        <v>201511013582</v>
      </c>
    </row>
    <row r="37569" spans="1:2" x14ac:dyDescent="0.25">
      <c r="A37569" s="2">
        <v>37564</v>
      </c>
      <c r="B37569" s="11" t="str">
        <f>"201511013688"</f>
        <v>201511013688</v>
      </c>
    </row>
    <row r="37570" spans="1:2" x14ac:dyDescent="0.25">
      <c r="A37570" s="2">
        <v>37565</v>
      </c>
      <c r="B37570" s="11" t="str">
        <f>"201511013693"</f>
        <v>201511013693</v>
      </c>
    </row>
    <row r="37571" spans="1:2" x14ac:dyDescent="0.25">
      <c r="A37571" s="2">
        <v>37566</v>
      </c>
      <c r="B37571" s="11" t="str">
        <f>"201511013707"</f>
        <v>201511013707</v>
      </c>
    </row>
    <row r="37572" spans="1:2" x14ac:dyDescent="0.25">
      <c r="A37572" s="2">
        <v>37567</v>
      </c>
      <c r="B37572" s="11" t="str">
        <f>"201511013730"</f>
        <v>201511013730</v>
      </c>
    </row>
    <row r="37573" spans="1:2" x14ac:dyDescent="0.25">
      <c r="A37573" s="2">
        <v>37568</v>
      </c>
      <c r="B37573" s="11" t="str">
        <f>"201511013760"</f>
        <v>201511013760</v>
      </c>
    </row>
    <row r="37574" spans="1:2" x14ac:dyDescent="0.25">
      <c r="A37574" s="2">
        <v>37569</v>
      </c>
      <c r="B37574" s="11" t="str">
        <f>"201511013769"</f>
        <v>201511013769</v>
      </c>
    </row>
    <row r="37575" spans="1:2" x14ac:dyDescent="0.25">
      <c r="A37575" s="2">
        <v>37570</v>
      </c>
      <c r="B37575" s="11" t="str">
        <f>"201511013937"</f>
        <v>201511013937</v>
      </c>
    </row>
    <row r="37576" spans="1:2" x14ac:dyDescent="0.25">
      <c r="A37576" s="2">
        <v>37571</v>
      </c>
      <c r="B37576" s="11" t="str">
        <f>"201511013945"</f>
        <v>201511013945</v>
      </c>
    </row>
    <row r="37577" spans="1:2" x14ac:dyDescent="0.25">
      <c r="A37577" s="2">
        <v>37572</v>
      </c>
      <c r="B37577" s="11" t="str">
        <f>"201511014069"</f>
        <v>201511014069</v>
      </c>
    </row>
    <row r="37578" spans="1:2" x14ac:dyDescent="0.25">
      <c r="A37578" s="2">
        <v>37573</v>
      </c>
      <c r="B37578" s="11" t="str">
        <f>"201511014076"</f>
        <v>201511014076</v>
      </c>
    </row>
    <row r="37579" spans="1:2" x14ac:dyDescent="0.25">
      <c r="A37579" s="2">
        <v>37574</v>
      </c>
      <c r="B37579" s="11" t="str">
        <f>"201511014080"</f>
        <v>201511014080</v>
      </c>
    </row>
    <row r="37580" spans="1:2" x14ac:dyDescent="0.25">
      <c r="A37580" s="2">
        <v>37575</v>
      </c>
      <c r="B37580" s="11" t="str">
        <f>"201511014135"</f>
        <v>201511014135</v>
      </c>
    </row>
    <row r="37581" spans="1:2" x14ac:dyDescent="0.25">
      <c r="A37581" s="2">
        <v>37576</v>
      </c>
      <c r="B37581" s="11" t="str">
        <f>"201511014141"</f>
        <v>201511014141</v>
      </c>
    </row>
    <row r="37582" spans="1:2" x14ac:dyDescent="0.25">
      <c r="A37582" s="2">
        <v>37577</v>
      </c>
      <c r="B37582" s="11" t="str">
        <f>"201511014183"</f>
        <v>201511014183</v>
      </c>
    </row>
    <row r="37583" spans="1:2" x14ac:dyDescent="0.25">
      <c r="A37583" s="2">
        <v>37578</v>
      </c>
      <c r="B37583" s="11" t="str">
        <f>"201511014213"</f>
        <v>201511014213</v>
      </c>
    </row>
    <row r="37584" spans="1:2" x14ac:dyDescent="0.25">
      <c r="A37584" s="2">
        <v>37579</v>
      </c>
      <c r="B37584" s="11" t="str">
        <f>"201511014219"</f>
        <v>201511014219</v>
      </c>
    </row>
    <row r="37585" spans="1:2" x14ac:dyDescent="0.25">
      <c r="A37585" s="2">
        <v>37580</v>
      </c>
      <c r="B37585" s="11" t="str">
        <f>"201511014268"</f>
        <v>201511014268</v>
      </c>
    </row>
    <row r="37586" spans="1:2" x14ac:dyDescent="0.25">
      <c r="A37586" s="2">
        <v>37581</v>
      </c>
      <c r="B37586" s="11" t="str">
        <f>"201511014303"</f>
        <v>201511014303</v>
      </c>
    </row>
    <row r="37587" spans="1:2" x14ac:dyDescent="0.25">
      <c r="A37587" s="2">
        <v>37582</v>
      </c>
      <c r="B37587" s="11" t="str">
        <f>"201511014305"</f>
        <v>201511014305</v>
      </c>
    </row>
    <row r="37588" spans="1:2" x14ac:dyDescent="0.25">
      <c r="A37588" s="2">
        <v>37583</v>
      </c>
      <c r="B37588" s="11" t="str">
        <f>"201511014368"</f>
        <v>201511014368</v>
      </c>
    </row>
    <row r="37589" spans="1:2" x14ac:dyDescent="0.25">
      <c r="A37589" s="2">
        <v>37584</v>
      </c>
      <c r="B37589" s="11" t="str">
        <f>"201511014384"</f>
        <v>201511014384</v>
      </c>
    </row>
    <row r="37590" spans="1:2" x14ac:dyDescent="0.25">
      <c r="A37590" s="2">
        <v>37585</v>
      </c>
      <c r="B37590" s="11" t="str">
        <f>"201511014401"</f>
        <v>201511014401</v>
      </c>
    </row>
    <row r="37591" spans="1:2" x14ac:dyDescent="0.25">
      <c r="A37591" s="2">
        <v>37586</v>
      </c>
      <c r="B37591" s="11" t="str">
        <f>"201511014461"</f>
        <v>201511014461</v>
      </c>
    </row>
    <row r="37592" spans="1:2" x14ac:dyDescent="0.25">
      <c r="A37592" s="2">
        <v>37587</v>
      </c>
      <c r="B37592" s="11" t="str">
        <f>"201511014483"</f>
        <v>201511014483</v>
      </c>
    </row>
    <row r="37593" spans="1:2" x14ac:dyDescent="0.25">
      <c r="A37593" s="2">
        <v>37588</v>
      </c>
      <c r="B37593" s="11" t="str">
        <f>"201511014498"</f>
        <v>201511014498</v>
      </c>
    </row>
    <row r="37594" spans="1:2" x14ac:dyDescent="0.25">
      <c r="A37594" s="2">
        <v>37589</v>
      </c>
      <c r="B37594" s="11" t="str">
        <f>"201511014535"</f>
        <v>201511014535</v>
      </c>
    </row>
    <row r="37595" spans="1:2" x14ac:dyDescent="0.25">
      <c r="A37595" s="2">
        <v>37590</v>
      </c>
      <c r="B37595" s="11" t="str">
        <f>"201511014607"</f>
        <v>201511014607</v>
      </c>
    </row>
    <row r="37596" spans="1:2" x14ac:dyDescent="0.25">
      <c r="A37596" s="2">
        <v>37591</v>
      </c>
      <c r="B37596" s="11" t="str">
        <f>"201511014610"</f>
        <v>201511014610</v>
      </c>
    </row>
    <row r="37597" spans="1:2" x14ac:dyDescent="0.25">
      <c r="A37597" s="2">
        <v>37592</v>
      </c>
      <c r="B37597" s="11" t="str">
        <f>"201511014630"</f>
        <v>201511014630</v>
      </c>
    </row>
    <row r="37598" spans="1:2" x14ac:dyDescent="0.25">
      <c r="A37598" s="2">
        <v>37593</v>
      </c>
      <c r="B37598" s="11" t="str">
        <f>"201511014653"</f>
        <v>201511014653</v>
      </c>
    </row>
    <row r="37599" spans="1:2" x14ac:dyDescent="0.25">
      <c r="A37599" s="2">
        <v>37594</v>
      </c>
      <c r="B37599" s="11" t="str">
        <f>"201511014736"</f>
        <v>201511014736</v>
      </c>
    </row>
    <row r="37600" spans="1:2" x14ac:dyDescent="0.25">
      <c r="A37600" s="2">
        <v>37595</v>
      </c>
      <c r="B37600" s="11" t="str">
        <f>"201511014745"</f>
        <v>201511014745</v>
      </c>
    </row>
    <row r="37601" spans="1:2" x14ac:dyDescent="0.25">
      <c r="A37601" s="2">
        <v>37596</v>
      </c>
      <c r="B37601" s="11" t="str">
        <f>"201511014795"</f>
        <v>201511014795</v>
      </c>
    </row>
    <row r="37602" spans="1:2" x14ac:dyDescent="0.25">
      <c r="A37602" s="2">
        <v>37597</v>
      </c>
      <c r="B37602" s="11" t="str">
        <f>"201511014829"</f>
        <v>201511014829</v>
      </c>
    </row>
    <row r="37603" spans="1:2" x14ac:dyDescent="0.25">
      <c r="A37603" s="2">
        <v>37598</v>
      </c>
      <c r="B37603" s="11" t="str">
        <f>"201511014877"</f>
        <v>201511014877</v>
      </c>
    </row>
    <row r="37604" spans="1:2" x14ac:dyDescent="0.25">
      <c r="A37604" s="2">
        <v>37599</v>
      </c>
      <c r="B37604" s="11" t="str">
        <f>"201511014890"</f>
        <v>201511014890</v>
      </c>
    </row>
    <row r="37605" spans="1:2" x14ac:dyDescent="0.25">
      <c r="A37605" s="2">
        <v>37600</v>
      </c>
      <c r="B37605" s="11" t="str">
        <f>"201511015012"</f>
        <v>201511015012</v>
      </c>
    </row>
    <row r="37606" spans="1:2" x14ac:dyDescent="0.25">
      <c r="A37606" s="2">
        <v>37601</v>
      </c>
      <c r="B37606" s="11" t="str">
        <f>"201511015033"</f>
        <v>201511015033</v>
      </c>
    </row>
    <row r="37607" spans="1:2" x14ac:dyDescent="0.25">
      <c r="A37607" s="2">
        <v>37602</v>
      </c>
      <c r="B37607" s="11" t="str">
        <f>"201511015094"</f>
        <v>201511015094</v>
      </c>
    </row>
    <row r="37608" spans="1:2" x14ac:dyDescent="0.25">
      <c r="A37608" s="2">
        <v>37603</v>
      </c>
      <c r="B37608" s="11" t="str">
        <f>"201511015117"</f>
        <v>201511015117</v>
      </c>
    </row>
    <row r="37609" spans="1:2" x14ac:dyDescent="0.25">
      <c r="A37609" s="2">
        <v>37604</v>
      </c>
      <c r="B37609" s="11" t="str">
        <f>"201511015119"</f>
        <v>201511015119</v>
      </c>
    </row>
    <row r="37610" spans="1:2" x14ac:dyDescent="0.25">
      <c r="A37610" s="2">
        <v>37605</v>
      </c>
      <c r="B37610" s="11" t="str">
        <f>"201511015128"</f>
        <v>201511015128</v>
      </c>
    </row>
    <row r="37611" spans="1:2" x14ac:dyDescent="0.25">
      <c r="A37611" s="2">
        <v>37606</v>
      </c>
      <c r="B37611" s="11" t="str">
        <f>"201511015204"</f>
        <v>201511015204</v>
      </c>
    </row>
    <row r="37612" spans="1:2" x14ac:dyDescent="0.25">
      <c r="A37612" s="2">
        <v>37607</v>
      </c>
      <c r="B37612" s="11" t="str">
        <f>"201511015217"</f>
        <v>201511015217</v>
      </c>
    </row>
    <row r="37613" spans="1:2" x14ac:dyDescent="0.25">
      <c r="A37613" s="2">
        <v>37608</v>
      </c>
      <c r="B37613" s="11" t="str">
        <f>"201511015236"</f>
        <v>201511015236</v>
      </c>
    </row>
    <row r="37614" spans="1:2" x14ac:dyDescent="0.25">
      <c r="A37614" s="2">
        <v>37609</v>
      </c>
      <c r="B37614" s="11" t="str">
        <f>"201511015303"</f>
        <v>201511015303</v>
      </c>
    </row>
    <row r="37615" spans="1:2" x14ac:dyDescent="0.25">
      <c r="A37615" s="2">
        <v>37610</v>
      </c>
      <c r="B37615" s="11" t="str">
        <f>"201511015346"</f>
        <v>201511015346</v>
      </c>
    </row>
    <row r="37616" spans="1:2" x14ac:dyDescent="0.25">
      <c r="A37616" s="2">
        <v>37611</v>
      </c>
      <c r="B37616" s="11" t="str">
        <f>"201511015430"</f>
        <v>201511015430</v>
      </c>
    </row>
    <row r="37617" spans="1:2" x14ac:dyDescent="0.25">
      <c r="A37617" s="2">
        <v>37612</v>
      </c>
      <c r="B37617" s="11" t="str">
        <f>"201511015471"</f>
        <v>201511015471</v>
      </c>
    </row>
    <row r="37618" spans="1:2" x14ac:dyDescent="0.25">
      <c r="A37618" s="2">
        <v>37613</v>
      </c>
      <c r="B37618" s="11" t="str">
        <f>"201511015602"</f>
        <v>201511015602</v>
      </c>
    </row>
    <row r="37619" spans="1:2" x14ac:dyDescent="0.25">
      <c r="A37619" s="2">
        <v>37614</v>
      </c>
      <c r="B37619" s="11" t="str">
        <f>"201511015610"</f>
        <v>201511015610</v>
      </c>
    </row>
    <row r="37620" spans="1:2" x14ac:dyDescent="0.25">
      <c r="A37620" s="2">
        <v>37615</v>
      </c>
      <c r="B37620" s="11" t="str">
        <f>"201511015644"</f>
        <v>201511015644</v>
      </c>
    </row>
    <row r="37621" spans="1:2" x14ac:dyDescent="0.25">
      <c r="A37621" s="2">
        <v>37616</v>
      </c>
      <c r="B37621" s="11" t="str">
        <f>"201511015661"</f>
        <v>201511015661</v>
      </c>
    </row>
    <row r="37622" spans="1:2" x14ac:dyDescent="0.25">
      <c r="A37622" s="2">
        <v>37617</v>
      </c>
      <c r="B37622" s="11" t="str">
        <f>"201511015690"</f>
        <v>201511015690</v>
      </c>
    </row>
    <row r="37623" spans="1:2" x14ac:dyDescent="0.25">
      <c r="A37623" s="2">
        <v>37618</v>
      </c>
      <c r="B37623" s="11" t="str">
        <f>"201511015743"</f>
        <v>201511015743</v>
      </c>
    </row>
    <row r="37624" spans="1:2" x14ac:dyDescent="0.25">
      <c r="A37624" s="2">
        <v>37619</v>
      </c>
      <c r="B37624" s="11" t="str">
        <f>"201511015773"</f>
        <v>201511015773</v>
      </c>
    </row>
    <row r="37625" spans="1:2" x14ac:dyDescent="0.25">
      <c r="A37625" s="2">
        <v>37620</v>
      </c>
      <c r="B37625" s="11" t="str">
        <f>"201511015822"</f>
        <v>201511015822</v>
      </c>
    </row>
    <row r="37626" spans="1:2" x14ac:dyDescent="0.25">
      <c r="A37626" s="2">
        <v>37621</v>
      </c>
      <c r="B37626" s="11" t="str">
        <f>"201511015841"</f>
        <v>201511015841</v>
      </c>
    </row>
    <row r="37627" spans="1:2" x14ac:dyDescent="0.25">
      <c r="A37627" s="2">
        <v>37622</v>
      </c>
      <c r="B37627" s="11" t="str">
        <f>"201511015883"</f>
        <v>201511015883</v>
      </c>
    </row>
    <row r="37628" spans="1:2" x14ac:dyDescent="0.25">
      <c r="A37628" s="2">
        <v>37623</v>
      </c>
      <c r="B37628" s="11" t="str">
        <f>"201511015893"</f>
        <v>201511015893</v>
      </c>
    </row>
    <row r="37629" spans="1:2" x14ac:dyDescent="0.25">
      <c r="A37629" s="2">
        <v>37624</v>
      </c>
      <c r="B37629" s="11" t="str">
        <f>"201511015906"</f>
        <v>201511015906</v>
      </c>
    </row>
    <row r="37630" spans="1:2" x14ac:dyDescent="0.25">
      <c r="A37630" s="2">
        <v>37625</v>
      </c>
      <c r="B37630" s="11" t="str">
        <f>"201511015931"</f>
        <v>201511015931</v>
      </c>
    </row>
    <row r="37631" spans="1:2" x14ac:dyDescent="0.25">
      <c r="A37631" s="2">
        <v>37626</v>
      </c>
      <c r="B37631" s="11" t="str">
        <f>"201511016008"</f>
        <v>201511016008</v>
      </c>
    </row>
    <row r="37632" spans="1:2" x14ac:dyDescent="0.25">
      <c r="A37632" s="2">
        <v>37627</v>
      </c>
      <c r="B37632" s="11" t="str">
        <f>"201511016010"</f>
        <v>201511016010</v>
      </c>
    </row>
    <row r="37633" spans="1:2" x14ac:dyDescent="0.25">
      <c r="A37633" s="2">
        <v>37628</v>
      </c>
      <c r="B37633" s="11" t="str">
        <f>"201511016058"</f>
        <v>201511016058</v>
      </c>
    </row>
    <row r="37634" spans="1:2" x14ac:dyDescent="0.25">
      <c r="A37634" s="2">
        <v>37629</v>
      </c>
      <c r="B37634" s="11" t="str">
        <f>"201511016064"</f>
        <v>201511016064</v>
      </c>
    </row>
    <row r="37635" spans="1:2" x14ac:dyDescent="0.25">
      <c r="A37635" s="2">
        <v>37630</v>
      </c>
      <c r="B37635" s="11" t="str">
        <f>"201511016117"</f>
        <v>201511016117</v>
      </c>
    </row>
    <row r="37636" spans="1:2" x14ac:dyDescent="0.25">
      <c r="A37636" s="2">
        <v>37631</v>
      </c>
      <c r="B37636" s="11" t="str">
        <f>"201511016160"</f>
        <v>201511016160</v>
      </c>
    </row>
    <row r="37637" spans="1:2" x14ac:dyDescent="0.25">
      <c r="A37637" s="2">
        <v>37632</v>
      </c>
      <c r="B37637" s="11" t="str">
        <f>"201511016226"</f>
        <v>201511016226</v>
      </c>
    </row>
    <row r="37638" spans="1:2" x14ac:dyDescent="0.25">
      <c r="A37638" s="2">
        <v>37633</v>
      </c>
      <c r="B37638" s="11" t="str">
        <f>"201511016252"</f>
        <v>201511016252</v>
      </c>
    </row>
    <row r="37639" spans="1:2" x14ac:dyDescent="0.25">
      <c r="A37639" s="2">
        <v>37634</v>
      </c>
      <c r="B37639" s="11" t="str">
        <f>"201511016265"</f>
        <v>201511016265</v>
      </c>
    </row>
    <row r="37640" spans="1:2" x14ac:dyDescent="0.25">
      <c r="A37640" s="2">
        <v>37635</v>
      </c>
      <c r="B37640" s="11" t="str">
        <f>"201511016371"</f>
        <v>201511016371</v>
      </c>
    </row>
    <row r="37641" spans="1:2" x14ac:dyDescent="0.25">
      <c r="A37641" s="2">
        <v>37636</v>
      </c>
      <c r="B37641" s="11" t="str">
        <f>"201511016633"</f>
        <v>201511016633</v>
      </c>
    </row>
    <row r="37642" spans="1:2" x14ac:dyDescent="0.25">
      <c r="A37642" s="2">
        <v>37637</v>
      </c>
      <c r="B37642" s="11" t="str">
        <f>"201511016672"</f>
        <v>201511016672</v>
      </c>
    </row>
    <row r="37643" spans="1:2" x14ac:dyDescent="0.25">
      <c r="A37643" s="2">
        <v>37638</v>
      </c>
      <c r="B37643" s="11" t="str">
        <f>"201511016725"</f>
        <v>201511016725</v>
      </c>
    </row>
    <row r="37644" spans="1:2" x14ac:dyDescent="0.25">
      <c r="A37644" s="2">
        <v>37639</v>
      </c>
      <c r="B37644" s="11" t="str">
        <f>"201511016743"</f>
        <v>201511016743</v>
      </c>
    </row>
    <row r="37645" spans="1:2" x14ac:dyDescent="0.25">
      <c r="A37645" s="2">
        <v>37640</v>
      </c>
      <c r="B37645" s="11" t="str">
        <f>"201511016907"</f>
        <v>201511016907</v>
      </c>
    </row>
    <row r="37646" spans="1:2" x14ac:dyDescent="0.25">
      <c r="A37646" s="2">
        <v>37641</v>
      </c>
      <c r="B37646" s="11" t="str">
        <f>"201511016908"</f>
        <v>201511016908</v>
      </c>
    </row>
    <row r="37647" spans="1:2" x14ac:dyDescent="0.25">
      <c r="A37647" s="2">
        <v>37642</v>
      </c>
      <c r="B37647" s="11" t="str">
        <f>"201511016971"</f>
        <v>201511016971</v>
      </c>
    </row>
    <row r="37648" spans="1:2" x14ac:dyDescent="0.25">
      <c r="A37648" s="2">
        <v>37643</v>
      </c>
      <c r="B37648" s="11" t="str">
        <f>"201511016991"</f>
        <v>201511016991</v>
      </c>
    </row>
    <row r="37649" spans="1:2" x14ac:dyDescent="0.25">
      <c r="A37649" s="2">
        <v>37644</v>
      </c>
      <c r="B37649" s="11" t="str">
        <f>"201511017001"</f>
        <v>201511017001</v>
      </c>
    </row>
    <row r="37650" spans="1:2" x14ac:dyDescent="0.25">
      <c r="A37650" s="2">
        <v>37645</v>
      </c>
      <c r="B37650" s="11" t="str">
        <f>"201511017029"</f>
        <v>201511017029</v>
      </c>
    </row>
    <row r="37651" spans="1:2" x14ac:dyDescent="0.25">
      <c r="A37651" s="2">
        <v>37646</v>
      </c>
      <c r="B37651" s="11" t="str">
        <f>"201511017056"</f>
        <v>201511017056</v>
      </c>
    </row>
    <row r="37652" spans="1:2" x14ac:dyDescent="0.25">
      <c r="A37652" s="2">
        <v>37647</v>
      </c>
      <c r="B37652" s="11" t="str">
        <f>"201511017057"</f>
        <v>201511017057</v>
      </c>
    </row>
    <row r="37653" spans="1:2" x14ac:dyDescent="0.25">
      <c r="A37653" s="2">
        <v>37648</v>
      </c>
      <c r="B37653" s="11" t="str">
        <f>"201511017067"</f>
        <v>201511017067</v>
      </c>
    </row>
    <row r="37654" spans="1:2" x14ac:dyDescent="0.25">
      <c r="A37654" s="2">
        <v>37649</v>
      </c>
      <c r="B37654" s="11" t="str">
        <f>"201511017121"</f>
        <v>201511017121</v>
      </c>
    </row>
    <row r="37655" spans="1:2" x14ac:dyDescent="0.25">
      <c r="A37655" s="2">
        <v>37650</v>
      </c>
      <c r="B37655" s="11" t="str">
        <f>"201511017168"</f>
        <v>201511017168</v>
      </c>
    </row>
    <row r="37656" spans="1:2" x14ac:dyDescent="0.25">
      <c r="A37656" s="2">
        <v>37651</v>
      </c>
      <c r="B37656" s="11" t="str">
        <f>"201511017184"</f>
        <v>201511017184</v>
      </c>
    </row>
    <row r="37657" spans="1:2" x14ac:dyDescent="0.25">
      <c r="A37657" s="2">
        <v>37652</v>
      </c>
      <c r="B37657" s="11" t="str">
        <f>"201511017261"</f>
        <v>201511017261</v>
      </c>
    </row>
    <row r="37658" spans="1:2" x14ac:dyDescent="0.25">
      <c r="A37658" s="2">
        <v>37653</v>
      </c>
      <c r="B37658" s="11" t="str">
        <f>"201511017349"</f>
        <v>201511017349</v>
      </c>
    </row>
    <row r="37659" spans="1:2" x14ac:dyDescent="0.25">
      <c r="A37659" s="2">
        <v>37654</v>
      </c>
      <c r="B37659" s="11" t="str">
        <f>"201511017407"</f>
        <v>201511017407</v>
      </c>
    </row>
    <row r="37660" spans="1:2" x14ac:dyDescent="0.25">
      <c r="A37660" s="2">
        <v>37655</v>
      </c>
      <c r="B37660" s="11" t="str">
        <f>"201511017429"</f>
        <v>201511017429</v>
      </c>
    </row>
    <row r="37661" spans="1:2" x14ac:dyDescent="0.25">
      <c r="A37661" s="2">
        <v>37656</v>
      </c>
      <c r="B37661" s="11" t="str">
        <f>"201511017461"</f>
        <v>201511017461</v>
      </c>
    </row>
    <row r="37662" spans="1:2" x14ac:dyDescent="0.25">
      <c r="A37662" s="2">
        <v>37657</v>
      </c>
      <c r="B37662" s="11" t="str">
        <f>"201511017500"</f>
        <v>201511017500</v>
      </c>
    </row>
    <row r="37663" spans="1:2" x14ac:dyDescent="0.25">
      <c r="A37663" s="2">
        <v>37658</v>
      </c>
      <c r="B37663" s="11" t="str">
        <f>"201511017504"</f>
        <v>201511017504</v>
      </c>
    </row>
    <row r="37664" spans="1:2" x14ac:dyDescent="0.25">
      <c r="A37664" s="2">
        <v>37659</v>
      </c>
      <c r="B37664" s="11" t="str">
        <f>"201511017505"</f>
        <v>201511017505</v>
      </c>
    </row>
    <row r="37665" spans="1:2" x14ac:dyDescent="0.25">
      <c r="A37665" s="2">
        <v>37660</v>
      </c>
      <c r="B37665" s="11" t="str">
        <f>"201511017506"</f>
        <v>201511017506</v>
      </c>
    </row>
    <row r="37666" spans="1:2" x14ac:dyDescent="0.25">
      <c r="A37666" s="2">
        <v>37661</v>
      </c>
      <c r="B37666" s="11" t="str">
        <f>"201511017518"</f>
        <v>201511017518</v>
      </c>
    </row>
    <row r="37667" spans="1:2" x14ac:dyDescent="0.25">
      <c r="A37667" s="2">
        <v>37662</v>
      </c>
      <c r="B37667" s="11" t="str">
        <f>"201511017525"</f>
        <v>201511017525</v>
      </c>
    </row>
    <row r="37668" spans="1:2" x14ac:dyDescent="0.25">
      <c r="A37668" s="2">
        <v>37663</v>
      </c>
      <c r="B37668" s="11" t="str">
        <f>"201511017561"</f>
        <v>201511017561</v>
      </c>
    </row>
    <row r="37669" spans="1:2" x14ac:dyDescent="0.25">
      <c r="A37669" s="2">
        <v>37664</v>
      </c>
      <c r="B37669" s="11" t="str">
        <f>"201511017587"</f>
        <v>201511017587</v>
      </c>
    </row>
    <row r="37670" spans="1:2" x14ac:dyDescent="0.25">
      <c r="A37670" s="2">
        <v>37665</v>
      </c>
      <c r="B37670" s="11" t="str">
        <f>"201511017608"</f>
        <v>201511017608</v>
      </c>
    </row>
    <row r="37671" spans="1:2" x14ac:dyDescent="0.25">
      <c r="A37671" s="2">
        <v>37666</v>
      </c>
      <c r="B37671" s="11" t="str">
        <f>"201511017642"</f>
        <v>201511017642</v>
      </c>
    </row>
    <row r="37672" spans="1:2" x14ac:dyDescent="0.25">
      <c r="A37672" s="2">
        <v>37667</v>
      </c>
      <c r="B37672" s="11" t="str">
        <f>"201511017644"</f>
        <v>201511017644</v>
      </c>
    </row>
    <row r="37673" spans="1:2" x14ac:dyDescent="0.25">
      <c r="A37673" s="2">
        <v>37668</v>
      </c>
      <c r="B37673" s="11" t="str">
        <f>"201511017648"</f>
        <v>201511017648</v>
      </c>
    </row>
    <row r="37674" spans="1:2" x14ac:dyDescent="0.25">
      <c r="A37674" s="2">
        <v>37669</v>
      </c>
      <c r="B37674" s="11" t="str">
        <f>"201511017662"</f>
        <v>201511017662</v>
      </c>
    </row>
    <row r="37675" spans="1:2" x14ac:dyDescent="0.25">
      <c r="A37675" s="2">
        <v>37670</v>
      </c>
      <c r="B37675" s="11" t="str">
        <f>"201511017713"</f>
        <v>201511017713</v>
      </c>
    </row>
    <row r="37676" spans="1:2" x14ac:dyDescent="0.25">
      <c r="A37676" s="2">
        <v>37671</v>
      </c>
      <c r="B37676" s="11" t="str">
        <f>"201511017726"</f>
        <v>201511017726</v>
      </c>
    </row>
    <row r="37677" spans="1:2" x14ac:dyDescent="0.25">
      <c r="A37677" s="2">
        <v>37672</v>
      </c>
      <c r="B37677" s="11" t="str">
        <f>"201511017799"</f>
        <v>201511017799</v>
      </c>
    </row>
    <row r="37678" spans="1:2" x14ac:dyDescent="0.25">
      <c r="A37678" s="2">
        <v>37673</v>
      </c>
      <c r="B37678" s="11" t="str">
        <f>"201511017800"</f>
        <v>201511017800</v>
      </c>
    </row>
    <row r="37679" spans="1:2" x14ac:dyDescent="0.25">
      <c r="A37679" s="2">
        <v>37674</v>
      </c>
      <c r="B37679" s="11" t="str">
        <f>"201511017839"</f>
        <v>201511017839</v>
      </c>
    </row>
    <row r="37680" spans="1:2" x14ac:dyDescent="0.25">
      <c r="A37680" s="2">
        <v>37675</v>
      </c>
      <c r="B37680" s="11" t="str">
        <f>"201511017862"</f>
        <v>201511017862</v>
      </c>
    </row>
    <row r="37681" spans="1:2" x14ac:dyDescent="0.25">
      <c r="A37681" s="2">
        <v>37676</v>
      </c>
      <c r="B37681" s="11" t="str">
        <f>"201511017883"</f>
        <v>201511017883</v>
      </c>
    </row>
    <row r="37682" spans="1:2" x14ac:dyDescent="0.25">
      <c r="A37682" s="2">
        <v>37677</v>
      </c>
      <c r="B37682" s="11" t="str">
        <f>"201511017944"</f>
        <v>201511017944</v>
      </c>
    </row>
    <row r="37683" spans="1:2" x14ac:dyDescent="0.25">
      <c r="A37683" s="2">
        <v>37678</v>
      </c>
      <c r="B37683" s="11" t="str">
        <f>"201511017957"</f>
        <v>201511017957</v>
      </c>
    </row>
    <row r="37684" spans="1:2" x14ac:dyDescent="0.25">
      <c r="A37684" s="2">
        <v>37679</v>
      </c>
      <c r="B37684" s="11" t="str">
        <f>"201511017962"</f>
        <v>201511017962</v>
      </c>
    </row>
    <row r="37685" spans="1:2" x14ac:dyDescent="0.25">
      <c r="A37685" s="2">
        <v>37680</v>
      </c>
      <c r="B37685" s="11" t="str">
        <f>"201511017969"</f>
        <v>201511017969</v>
      </c>
    </row>
    <row r="37686" spans="1:2" x14ac:dyDescent="0.25">
      <c r="A37686" s="2">
        <v>37681</v>
      </c>
      <c r="B37686" s="11" t="str">
        <f>"201511017987"</f>
        <v>201511017987</v>
      </c>
    </row>
    <row r="37687" spans="1:2" x14ac:dyDescent="0.25">
      <c r="A37687" s="2">
        <v>37682</v>
      </c>
      <c r="B37687" s="11" t="str">
        <f>"201511018004"</f>
        <v>201511018004</v>
      </c>
    </row>
    <row r="37688" spans="1:2" x14ac:dyDescent="0.25">
      <c r="A37688" s="2">
        <v>37683</v>
      </c>
      <c r="B37688" s="11" t="str">
        <f>"201511018006"</f>
        <v>201511018006</v>
      </c>
    </row>
    <row r="37689" spans="1:2" x14ac:dyDescent="0.25">
      <c r="A37689" s="2">
        <v>37684</v>
      </c>
      <c r="B37689" s="11" t="str">
        <f>"201511018077"</f>
        <v>201511018077</v>
      </c>
    </row>
    <row r="37690" spans="1:2" x14ac:dyDescent="0.25">
      <c r="A37690" s="2">
        <v>37685</v>
      </c>
      <c r="B37690" s="11" t="str">
        <f>"201511018104"</f>
        <v>201511018104</v>
      </c>
    </row>
    <row r="37691" spans="1:2" x14ac:dyDescent="0.25">
      <c r="A37691" s="2">
        <v>37686</v>
      </c>
      <c r="B37691" s="11" t="str">
        <f>"201511018163"</f>
        <v>201511018163</v>
      </c>
    </row>
    <row r="37692" spans="1:2" x14ac:dyDescent="0.25">
      <c r="A37692" s="2">
        <v>37687</v>
      </c>
      <c r="B37692" s="11" t="str">
        <f>"201511018251"</f>
        <v>201511018251</v>
      </c>
    </row>
    <row r="37693" spans="1:2" x14ac:dyDescent="0.25">
      <c r="A37693" s="2">
        <v>37688</v>
      </c>
      <c r="B37693" s="11" t="str">
        <f>"201511018290"</f>
        <v>201511018290</v>
      </c>
    </row>
    <row r="37694" spans="1:2" x14ac:dyDescent="0.25">
      <c r="A37694" s="2">
        <v>37689</v>
      </c>
      <c r="B37694" s="11" t="str">
        <f>"201511018307"</f>
        <v>201511018307</v>
      </c>
    </row>
    <row r="37695" spans="1:2" x14ac:dyDescent="0.25">
      <c r="A37695" s="2">
        <v>37690</v>
      </c>
      <c r="B37695" s="11" t="str">
        <f>"201511018363"</f>
        <v>201511018363</v>
      </c>
    </row>
    <row r="37696" spans="1:2" x14ac:dyDescent="0.25">
      <c r="A37696" s="2">
        <v>37691</v>
      </c>
      <c r="B37696" s="11" t="str">
        <f>"201511018377"</f>
        <v>201511018377</v>
      </c>
    </row>
    <row r="37697" spans="1:2" x14ac:dyDescent="0.25">
      <c r="A37697" s="2">
        <v>37692</v>
      </c>
      <c r="B37697" s="11" t="str">
        <f>"201511018391"</f>
        <v>201511018391</v>
      </c>
    </row>
    <row r="37698" spans="1:2" x14ac:dyDescent="0.25">
      <c r="A37698" s="2">
        <v>37693</v>
      </c>
      <c r="B37698" s="11" t="str">
        <f>"201511018440"</f>
        <v>201511018440</v>
      </c>
    </row>
    <row r="37699" spans="1:2" x14ac:dyDescent="0.25">
      <c r="A37699" s="2">
        <v>37694</v>
      </c>
      <c r="B37699" s="11" t="str">
        <f>"201511018502"</f>
        <v>201511018502</v>
      </c>
    </row>
    <row r="37700" spans="1:2" x14ac:dyDescent="0.25">
      <c r="A37700" s="2">
        <v>37695</v>
      </c>
      <c r="B37700" s="11" t="str">
        <f>"201511018523"</f>
        <v>201511018523</v>
      </c>
    </row>
    <row r="37701" spans="1:2" x14ac:dyDescent="0.25">
      <c r="A37701" s="2">
        <v>37696</v>
      </c>
      <c r="B37701" s="11" t="str">
        <f>"201511018539"</f>
        <v>201511018539</v>
      </c>
    </row>
    <row r="37702" spans="1:2" x14ac:dyDescent="0.25">
      <c r="A37702" s="2">
        <v>37697</v>
      </c>
      <c r="B37702" s="11" t="str">
        <f>"201511018575"</f>
        <v>201511018575</v>
      </c>
    </row>
    <row r="37703" spans="1:2" x14ac:dyDescent="0.25">
      <c r="A37703" s="2">
        <v>37698</v>
      </c>
      <c r="B37703" s="11" t="str">
        <f>"201511018612"</f>
        <v>201511018612</v>
      </c>
    </row>
    <row r="37704" spans="1:2" x14ac:dyDescent="0.25">
      <c r="A37704" s="2">
        <v>37699</v>
      </c>
      <c r="B37704" s="11" t="str">
        <f>"201511018661"</f>
        <v>201511018661</v>
      </c>
    </row>
    <row r="37705" spans="1:2" x14ac:dyDescent="0.25">
      <c r="A37705" s="2">
        <v>37700</v>
      </c>
      <c r="B37705" s="11" t="str">
        <f>"201511018718"</f>
        <v>201511018718</v>
      </c>
    </row>
    <row r="37706" spans="1:2" x14ac:dyDescent="0.25">
      <c r="A37706" s="2">
        <v>37701</v>
      </c>
      <c r="B37706" s="11" t="str">
        <f>"201511018755"</f>
        <v>201511018755</v>
      </c>
    </row>
    <row r="37707" spans="1:2" x14ac:dyDescent="0.25">
      <c r="A37707" s="2">
        <v>37702</v>
      </c>
      <c r="B37707" s="11" t="str">
        <f>"201511018799"</f>
        <v>201511018799</v>
      </c>
    </row>
    <row r="37708" spans="1:2" x14ac:dyDescent="0.25">
      <c r="A37708" s="2">
        <v>37703</v>
      </c>
      <c r="B37708" s="11" t="str">
        <f>"201511018819"</f>
        <v>201511018819</v>
      </c>
    </row>
    <row r="37709" spans="1:2" x14ac:dyDescent="0.25">
      <c r="A37709" s="2">
        <v>37704</v>
      </c>
      <c r="B37709" s="11" t="str">
        <f>"201511018846"</f>
        <v>201511018846</v>
      </c>
    </row>
    <row r="37710" spans="1:2" x14ac:dyDescent="0.25">
      <c r="A37710" s="2">
        <v>37705</v>
      </c>
      <c r="B37710" s="11" t="str">
        <f>"201511018853"</f>
        <v>201511018853</v>
      </c>
    </row>
    <row r="37711" spans="1:2" x14ac:dyDescent="0.25">
      <c r="A37711" s="2">
        <v>37706</v>
      </c>
      <c r="B37711" s="11" t="str">
        <f>"201511018894"</f>
        <v>201511018894</v>
      </c>
    </row>
    <row r="37712" spans="1:2" x14ac:dyDescent="0.25">
      <c r="A37712" s="2">
        <v>37707</v>
      </c>
      <c r="B37712" s="11" t="str">
        <f>"201511018993"</f>
        <v>201511018993</v>
      </c>
    </row>
    <row r="37713" spans="1:2" x14ac:dyDescent="0.25">
      <c r="A37713" s="2">
        <v>37708</v>
      </c>
      <c r="B37713" s="11" t="str">
        <f>"201511018994"</f>
        <v>201511018994</v>
      </c>
    </row>
    <row r="37714" spans="1:2" x14ac:dyDescent="0.25">
      <c r="A37714" s="2">
        <v>37709</v>
      </c>
      <c r="B37714" s="11" t="str">
        <f>"201511019001"</f>
        <v>201511019001</v>
      </c>
    </row>
    <row r="37715" spans="1:2" x14ac:dyDescent="0.25">
      <c r="A37715" s="2">
        <v>37710</v>
      </c>
      <c r="B37715" s="11" t="str">
        <f>"201511019023"</f>
        <v>201511019023</v>
      </c>
    </row>
    <row r="37716" spans="1:2" x14ac:dyDescent="0.25">
      <c r="A37716" s="2">
        <v>37711</v>
      </c>
      <c r="B37716" s="11" t="str">
        <f>"201511019091"</f>
        <v>201511019091</v>
      </c>
    </row>
    <row r="37717" spans="1:2" x14ac:dyDescent="0.25">
      <c r="A37717" s="2">
        <v>37712</v>
      </c>
      <c r="B37717" s="11" t="str">
        <f>"201511019108"</f>
        <v>201511019108</v>
      </c>
    </row>
    <row r="37718" spans="1:2" x14ac:dyDescent="0.25">
      <c r="A37718" s="2">
        <v>37713</v>
      </c>
      <c r="B37718" s="11" t="str">
        <f>"201511019125"</f>
        <v>201511019125</v>
      </c>
    </row>
    <row r="37719" spans="1:2" x14ac:dyDescent="0.25">
      <c r="A37719" s="2">
        <v>37714</v>
      </c>
      <c r="B37719" s="11" t="str">
        <f>"201511019133"</f>
        <v>201511019133</v>
      </c>
    </row>
    <row r="37720" spans="1:2" x14ac:dyDescent="0.25">
      <c r="A37720" s="2">
        <v>37715</v>
      </c>
      <c r="B37720" s="11" t="str">
        <f>"201511019158"</f>
        <v>201511019158</v>
      </c>
    </row>
    <row r="37721" spans="1:2" x14ac:dyDescent="0.25">
      <c r="A37721" s="2">
        <v>37716</v>
      </c>
      <c r="B37721" s="11" t="str">
        <f>"201511019188"</f>
        <v>201511019188</v>
      </c>
    </row>
    <row r="37722" spans="1:2" x14ac:dyDescent="0.25">
      <c r="A37722" s="2">
        <v>37717</v>
      </c>
      <c r="B37722" s="11" t="str">
        <f>"201511019200"</f>
        <v>201511019200</v>
      </c>
    </row>
    <row r="37723" spans="1:2" x14ac:dyDescent="0.25">
      <c r="A37723" s="2">
        <v>37718</v>
      </c>
      <c r="B37723" s="11" t="str">
        <f>"201511019256"</f>
        <v>201511019256</v>
      </c>
    </row>
    <row r="37724" spans="1:2" x14ac:dyDescent="0.25">
      <c r="A37724" s="2">
        <v>37719</v>
      </c>
      <c r="B37724" s="11" t="str">
        <f>"201511019257"</f>
        <v>201511019257</v>
      </c>
    </row>
    <row r="37725" spans="1:2" x14ac:dyDescent="0.25">
      <c r="A37725" s="2">
        <v>37720</v>
      </c>
      <c r="B37725" s="11" t="str">
        <f>"201511019274"</f>
        <v>201511019274</v>
      </c>
    </row>
    <row r="37726" spans="1:2" x14ac:dyDescent="0.25">
      <c r="A37726" s="2">
        <v>37721</v>
      </c>
      <c r="B37726" s="11" t="str">
        <f>"201511019277"</f>
        <v>201511019277</v>
      </c>
    </row>
    <row r="37727" spans="1:2" x14ac:dyDescent="0.25">
      <c r="A37727" s="2">
        <v>37722</v>
      </c>
      <c r="B37727" s="11" t="str">
        <f>"201511019290"</f>
        <v>201511019290</v>
      </c>
    </row>
    <row r="37728" spans="1:2" x14ac:dyDescent="0.25">
      <c r="A37728" s="2">
        <v>37723</v>
      </c>
      <c r="B37728" s="11" t="str">
        <f>"201511019314"</f>
        <v>201511019314</v>
      </c>
    </row>
    <row r="37729" spans="1:2" x14ac:dyDescent="0.25">
      <c r="A37729" s="2">
        <v>37724</v>
      </c>
      <c r="B37729" s="11" t="str">
        <f>"201511019386"</f>
        <v>201511019386</v>
      </c>
    </row>
    <row r="37730" spans="1:2" x14ac:dyDescent="0.25">
      <c r="A37730" s="2">
        <v>37725</v>
      </c>
      <c r="B37730" s="11" t="str">
        <f>"201511019388"</f>
        <v>201511019388</v>
      </c>
    </row>
    <row r="37731" spans="1:2" x14ac:dyDescent="0.25">
      <c r="A37731" s="2">
        <v>37726</v>
      </c>
      <c r="B37731" s="11" t="str">
        <f>"201511019423"</f>
        <v>201511019423</v>
      </c>
    </row>
    <row r="37732" spans="1:2" x14ac:dyDescent="0.25">
      <c r="A37732" s="2">
        <v>37727</v>
      </c>
      <c r="B37732" s="11" t="str">
        <f>"201511019427"</f>
        <v>201511019427</v>
      </c>
    </row>
    <row r="37733" spans="1:2" x14ac:dyDescent="0.25">
      <c r="A37733" s="2">
        <v>37728</v>
      </c>
      <c r="B37733" s="11" t="str">
        <f>"201511019431"</f>
        <v>201511019431</v>
      </c>
    </row>
    <row r="37734" spans="1:2" x14ac:dyDescent="0.25">
      <c r="A37734" s="2">
        <v>37729</v>
      </c>
      <c r="B37734" s="11" t="str">
        <f>"201511019489"</f>
        <v>201511019489</v>
      </c>
    </row>
    <row r="37735" spans="1:2" x14ac:dyDescent="0.25">
      <c r="A37735" s="2">
        <v>37730</v>
      </c>
      <c r="B37735" s="11" t="str">
        <f>"201511019557"</f>
        <v>201511019557</v>
      </c>
    </row>
    <row r="37736" spans="1:2" x14ac:dyDescent="0.25">
      <c r="A37736" s="2">
        <v>37731</v>
      </c>
      <c r="B37736" s="11" t="str">
        <f>"201511019575"</f>
        <v>201511019575</v>
      </c>
    </row>
    <row r="37737" spans="1:2" x14ac:dyDescent="0.25">
      <c r="A37737" s="2">
        <v>37732</v>
      </c>
      <c r="B37737" s="11" t="str">
        <f>"201511019577"</f>
        <v>201511019577</v>
      </c>
    </row>
    <row r="37738" spans="1:2" x14ac:dyDescent="0.25">
      <c r="A37738" s="2">
        <v>37733</v>
      </c>
      <c r="B37738" s="11" t="str">
        <f>"201511019653"</f>
        <v>201511019653</v>
      </c>
    </row>
    <row r="37739" spans="1:2" x14ac:dyDescent="0.25">
      <c r="A37739" s="2">
        <v>37734</v>
      </c>
      <c r="B37739" s="11" t="str">
        <f>"201511019696"</f>
        <v>201511019696</v>
      </c>
    </row>
    <row r="37740" spans="1:2" x14ac:dyDescent="0.25">
      <c r="A37740" s="2">
        <v>37735</v>
      </c>
      <c r="B37740" s="11" t="str">
        <f>"201511019766"</f>
        <v>201511019766</v>
      </c>
    </row>
    <row r="37741" spans="1:2" x14ac:dyDescent="0.25">
      <c r="A37741" s="2">
        <v>37736</v>
      </c>
      <c r="B37741" s="11" t="str">
        <f>"201511019773"</f>
        <v>201511019773</v>
      </c>
    </row>
    <row r="37742" spans="1:2" x14ac:dyDescent="0.25">
      <c r="A37742" s="2">
        <v>37737</v>
      </c>
      <c r="B37742" s="11" t="str">
        <f>"201511019782"</f>
        <v>201511019782</v>
      </c>
    </row>
    <row r="37743" spans="1:2" x14ac:dyDescent="0.25">
      <c r="A37743" s="2">
        <v>37738</v>
      </c>
      <c r="B37743" s="11" t="str">
        <f>"201511019795"</f>
        <v>201511019795</v>
      </c>
    </row>
    <row r="37744" spans="1:2" x14ac:dyDescent="0.25">
      <c r="A37744" s="2">
        <v>37739</v>
      </c>
      <c r="B37744" s="11" t="str">
        <f>"201511019811"</f>
        <v>201511019811</v>
      </c>
    </row>
    <row r="37745" spans="1:2" x14ac:dyDescent="0.25">
      <c r="A37745" s="2">
        <v>37740</v>
      </c>
      <c r="B37745" s="11" t="str">
        <f>"201511019929"</f>
        <v>201511019929</v>
      </c>
    </row>
    <row r="37746" spans="1:2" x14ac:dyDescent="0.25">
      <c r="A37746" s="2">
        <v>37741</v>
      </c>
      <c r="B37746" s="11" t="str">
        <f>"201511019968"</f>
        <v>201511019968</v>
      </c>
    </row>
    <row r="37747" spans="1:2" x14ac:dyDescent="0.25">
      <c r="A37747" s="2">
        <v>37742</v>
      </c>
      <c r="B37747" s="11" t="str">
        <f>"201511019975"</f>
        <v>201511019975</v>
      </c>
    </row>
    <row r="37748" spans="1:2" x14ac:dyDescent="0.25">
      <c r="A37748" s="2">
        <v>37743</v>
      </c>
      <c r="B37748" s="11" t="str">
        <f>"201511019985"</f>
        <v>201511019985</v>
      </c>
    </row>
    <row r="37749" spans="1:2" x14ac:dyDescent="0.25">
      <c r="A37749" s="2">
        <v>37744</v>
      </c>
      <c r="B37749" s="11" t="str">
        <f>"201511020072"</f>
        <v>201511020072</v>
      </c>
    </row>
    <row r="37750" spans="1:2" x14ac:dyDescent="0.25">
      <c r="A37750" s="2">
        <v>37745</v>
      </c>
      <c r="B37750" s="11" t="str">
        <f>"201511020086"</f>
        <v>201511020086</v>
      </c>
    </row>
    <row r="37751" spans="1:2" x14ac:dyDescent="0.25">
      <c r="A37751" s="2">
        <v>37746</v>
      </c>
      <c r="B37751" s="11" t="str">
        <f>"201511020111"</f>
        <v>201511020111</v>
      </c>
    </row>
    <row r="37752" spans="1:2" x14ac:dyDescent="0.25">
      <c r="A37752" s="2">
        <v>37747</v>
      </c>
      <c r="B37752" s="11" t="str">
        <f>"201511020196"</f>
        <v>201511020196</v>
      </c>
    </row>
    <row r="37753" spans="1:2" x14ac:dyDescent="0.25">
      <c r="A37753" s="2">
        <v>37748</v>
      </c>
      <c r="B37753" s="11" t="str">
        <f>"201511020307"</f>
        <v>201511020307</v>
      </c>
    </row>
    <row r="37754" spans="1:2" x14ac:dyDescent="0.25">
      <c r="A37754" s="2">
        <v>37749</v>
      </c>
      <c r="B37754" s="11" t="str">
        <f>"201511020311"</f>
        <v>201511020311</v>
      </c>
    </row>
    <row r="37755" spans="1:2" x14ac:dyDescent="0.25">
      <c r="A37755" s="2">
        <v>37750</v>
      </c>
      <c r="B37755" s="11" t="str">
        <f>"201511020323"</f>
        <v>201511020323</v>
      </c>
    </row>
    <row r="37756" spans="1:2" x14ac:dyDescent="0.25">
      <c r="A37756" s="2">
        <v>37751</v>
      </c>
      <c r="B37756" s="11" t="str">
        <f>"201511020381"</f>
        <v>201511020381</v>
      </c>
    </row>
    <row r="37757" spans="1:2" x14ac:dyDescent="0.25">
      <c r="A37757" s="2">
        <v>37752</v>
      </c>
      <c r="B37757" s="11" t="str">
        <f>"201511020430"</f>
        <v>201511020430</v>
      </c>
    </row>
    <row r="37758" spans="1:2" x14ac:dyDescent="0.25">
      <c r="A37758" s="2">
        <v>37753</v>
      </c>
      <c r="B37758" s="11" t="str">
        <f>"201511020452"</f>
        <v>201511020452</v>
      </c>
    </row>
    <row r="37759" spans="1:2" x14ac:dyDescent="0.25">
      <c r="A37759" s="2">
        <v>37754</v>
      </c>
      <c r="B37759" s="11" t="str">
        <f>"201511020486"</f>
        <v>201511020486</v>
      </c>
    </row>
    <row r="37760" spans="1:2" x14ac:dyDescent="0.25">
      <c r="A37760" s="2">
        <v>37755</v>
      </c>
      <c r="B37760" s="11" t="str">
        <f>"201511020530"</f>
        <v>201511020530</v>
      </c>
    </row>
    <row r="37761" spans="1:2" x14ac:dyDescent="0.25">
      <c r="A37761" s="2">
        <v>37756</v>
      </c>
      <c r="B37761" s="11" t="str">
        <f>"201511020617"</f>
        <v>201511020617</v>
      </c>
    </row>
    <row r="37762" spans="1:2" x14ac:dyDescent="0.25">
      <c r="A37762" s="2">
        <v>37757</v>
      </c>
      <c r="B37762" s="11" t="str">
        <f>"201511020661"</f>
        <v>201511020661</v>
      </c>
    </row>
    <row r="37763" spans="1:2" x14ac:dyDescent="0.25">
      <c r="A37763" s="2">
        <v>37758</v>
      </c>
      <c r="B37763" s="11" t="str">
        <f>"201511020772"</f>
        <v>201511020772</v>
      </c>
    </row>
    <row r="37764" spans="1:2" x14ac:dyDescent="0.25">
      <c r="A37764" s="2">
        <v>37759</v>
      </c>
      <c r="B37764" s="11" t="str">
        <f>"201511020798"</f>
        <v>201511020798</v>
      </c>
    </row>
    <row r="37765" spans="1:2" x14ac:dyDescent="0.25">
      <c r="A37765" s="2">
        <v>37760</v>
      </c>
      <c r="B37765" s="11" t="str">
        <f>"201511020800"</f>
        <v>201511020800</v>
      </c>
    </row>
    <row r="37766" spans="1:2" x14ac:dyDescent="0.25">
      <c r="A37766" s="2">
        <v>37761</v>
      </c>
      <c r="B37766" s="11" t="str">
        <f>"201511020826"</f>
        <v>201511020826</v>
      </c>
    </row>
    <row r="37767" spans="1:2" x14ac:dyDescent="0.25">
      <c r="A37767" s="2">
        <v>37762</v>
      </c>
      <c r="B37767" s="11" t="str">
        <f>"201511020912"</f>
        <v>201511020912</v>
      </c>
    </row>
    <row r="37768" spans="1:2" x14ac:dyDescent="0.25">
      <c r="A37768" s="2">
        <v>37763</v>
      </c>
      <c r="B37768" s="11" t="str">
        <f>"201511020942"</f>
        <v>201511020942</v>
      </c>
    </row>
    <row r="37769" spans="1:2" x14ac:dyDescent="0.25">
      <c r="A37769" s="2">
        <v>37764</v>
      </c>
      <c r="B37769" s="11" t="str">
        <f>"201511020987"</f>
        <v>201511020987</v>
      </c>
    </row>
    <row r="37770" spans="1:2" x14ac:dyDescent="0.25">
      <c r="A37770" s="2">
        <v>37765</v>
      </c>
      <c r="B37770" s="11" t="str">
        <f>"201511021000"</f>
        <v>201511021000</v>
      </c>
    </row>
    <row r="37771" spans="1:2" x14ac:dyDescent="0.25">
      <c r="A37771" s="2">
        <v>37766</v>
      </c>
      <c r="B37771" s="11" t="str">
        <f>"201511021026"</f>
        <v>201511021026</v>
      </c>
    </row>
    <row r="37772" spans="1:2" x14ac:dyDescent="0.25">
      <c r="A37772" s="2">
        <v>37767</v>
      </c>
      <c r="B37772" s="11" t="str">
        <f>"201511021223"</f>
        <v>201511021223</v>
      </c>
    </row>
    <row r="37773" spans="1:2" x14ac:dyDescent="0.25">
      <c r="A37773" s="2">
        <v>37768</v>
      </c>
      <c r="B37773" s="11" t="str">
        <f>"201511021257"</f>
        <v>201511021257</v>
      </c>
    </row>
    <row r="37774" spans="1:2" x14ac:dyDescent="0.25">
      <c r="A37774" s="2">
        <v>37769</v>
      </c>
      <c r="B37774" s="11" t="str">
        <f>"201511021278"</f>
        <v>201511021278</v>
      </c>
    </row>
    <row r="37775" spans="1:2" x14ac:dyDescent="0.25">
      <c r="A37775" s="2">
        <v>37770</v>
      </c>
      <c r="B37775" s="11" t="str">
        <f>"201511021281"</f>
        <v>201511021281</v>
      </c>
    </row>
    <row r="37776" spans="1:2" x14ac:dyDescent="0.25">
      <c r="A37776" s="2">
        <v>37771</v>
      </c>
      <c r="B37776" s="11" t="str">
        <f>"201511021342"</f>
        <v>201511021342</v>
      </c>
    </row>
    <row r="37777" spans="1:2" x14ac:dyDescent="0.25">
      <c r="A37777" s="2">
        <v>37772</v>
      </c>
      <c r="B37777" s="11" t="str">
        <f>"201511021352"</f>
        <v>201511021352</v>
      </c>
    </row>
    <row r="37778" spans="1:2" x14ac:dyDescent="0.25">
      <c r="A37778" s="2">
        <v>37773</v>
      </c>
      <c r="B37778" s="11" t="str">
        <f>"201511021365"</f>
        <v>201511021365</v>
      </c>
    </row>
    <row r="37779" spans="1:2" x14ac:dyDescent="0.25">
      <c r="A37779" s="2">
        <v>37774</v>
      </c>
      <c r="B37779" s="11" t="str">
        <f>"201511021375"</f>
        <v>201511021375</v>
      </c>
    </row>
    <row r="37780" spans="1:2" x14ac:dyDescent="0.25">
      <c r="A37780" s="2">
        <v>37775</v>
      </c>
      <c r="B37780" s="11" t="str">
        <f>"201511021388"</f>
        <v>201511021388</v>
      </c>
    </row>
    <row r="37781" spans="1:2" x14ac:dyDescent="0.25">
      <c r="A37781" s="2">
        <v>37776</v>
      </c>
      <c r="B37781" s="11" t="str">
        <f>"201511021397"</f>
        <v>201511021397</v>
      </c>
    </row>
    <row r="37782" spans="1:2" x14ac:dyDescent="0.25">
      <c r="A37782" s="2">
        <v>37777</v>
      </c>
      <c r="B37782" s="11" t="str">
        <f>"201511021415"</f>
        <v>201511021415</v>
      </c>
    </row>
    <row r="37783" spans="1:2" x14ac:dyDescent="0.25">
      <c r="A37783" s="2">
        <v>37778</v>
      </c>
      <c r="B37783" s="11" t="str">
        <f>"201511021417"</f>
        <v>201511021417</v>
      </c>
    </row>
    <row r="37784" spans="1:2" x14ac:dyDescent="0.25">
      <c r="A37784" s="2">
        <v>37779</v>
      </c>
      <c r="B37784" s="11" t="str">
        <f>"201511021434"</f>
        <v>201511021434</v>
      </c>
    </row>
    <row r="37785" spans="1:2" x14ac:dyDescent="0.25">
      <c r="A37785" s="2">
        <v>37780</v>
      </c>
      <c r="B37785" s="11" t="str">
        <f>"201511021443"</f>
        <v>201511021443</v>
      </c>
    </row>
    <row r="37786" spans="1:2" x14ac:dyDescent="0.25">
      <c r="A37786" s="2">
        <v>37781</v>
      </c>
      <c r="B37786" s="11" t="str">
        <f>"201511021465"</f>
        <v>201511021465</v>
      </c>
    </row>
    <row r="37787" spans="1:2" x14ac:dyDescent="0.25">
      <c r="A37787" s="2">
        <v>37782</v>
      </c>
      <c r="B37787" s="11" t="str">
        <f>"201511021606"</f>
        <v>201511021606</v>
      </c>
    </row>
    <row r="37788" spans="1:2" x14ac:dyDescent="0.25">
      <c r="A37788" s="2">
        <v>37783</v>
      </c>
      <c r="B37788" s="11" t="str">
        <f>"201511021625"</f>
        <v>201511021625</v>
      </c>
    </row>
    <row r="37789" spans="1:2" x14ac:dyDescent="0.25">
      <c r="A37789" s="2">
        <v>37784</v>
      </c>
      <c r="B37789" s="11" t="str">
        <f>"201511021634"</f>
        <v>201511021634</v>
      </c>
    </row>
    <row r="37790" spans="1:2" x14ac:dyDescent="0.25">
      <c r="A37790" s="2">
        <v>37785</v>
      </c>
      <c r="B37790" s="11" t="str">
        <f>"201511021671"</f>
        <v>201511021671</v>
      </c>
    </row>
    <row r="37791" spans="1:2" x14ac:dyDescent="0.25">
      <c r="A37791" s="2">
        <v>37786</v>
      </c>
      <c r="B37791" s="11" t="str">
        <f>"201511021739"</f>
        <v>201511021739</v>
      </c>
    </row>
    <row r="37792" spans="1:2" x14ac:dyDescent="0.25">
      <c r="A37792" s="2">
        <v>37787</v>
      </c>
      <c r="B37792" s="11" t="str">
        <f>"201511021773"</f>
        <v>201511021773</v>
      </c>
    </row>
    <row r="37793" spans="1:2" x14ac:dyDescent="0.25">
      <c r="A37793" s="2">
        <v>37788</v>
      </c>
      <c r="B37793" s="11" t="str">
        <f>"201511021829"</f>
        <v>201511021829</v>
      </c>
    </row>
    <row r="37794" spans="1:2" x14ac:dyDescent="0.25">
      <c r="A37794" s="2">
        <v>37789</v>
      </c>
      <c r="B37794" s="11" t="str">
        <f>"201511021948"</f>
        <v>201511021948</v>
      </c>
    </row>
    <row r="37795" spans="1:2" x14ac:dyDescent="0.25">
      <c r="A37795" s="2">
        <v>37790</v>
      </c>
      <c r="B37795" s="11" t="str">
        <f>"201511021998"</f>
        <v>201511021998</v>
      </c>
    </row>
    <row r="37796" spans="1:2" x14ac:dyDescent="0.25">
      <c r="A37796" s="2">
        <v>37791</v>
      </c>
      <c r="B37796" s="11" t="str">
        <f>"201511022171"</f>
        <v>201511022171</v>
      </c>
    </row>
    <row r="37797" spans="1:2" x14ac:dyDescent="0.25">
      <c r="A37797" s="2">
        <v>37792</v>
      </c>
      <c r="B37797" s="11" t="str">
        <f>"201511022204"</f>
        <v>201511022204</v>
      </c>
    </row>
    <row r="37798" spans="1:2" x14ac:dyDescent="0.25">
      <c r="A37798" s="2">
        <v>37793</v>
      </c>
      <c r="B37798" s="11" t="str">
        <f>"201511022211"</f>
        <v>201511022211</v>
      </c>
    </row>
    <row r="37799" spans="1:2" x14ac:dyDescent="0.25">
      <c r="A37799" s="2">
        <v>37794</v>
      </c>
      <c r="B37799" s="11" t="str">
        <f>"201511022244"</f>
        <v>201511022244</v>
      </c>
    </row>
    <row r="37800" spans="1:2" x14ac:dyDescent="0.25">
      <c r="A37800" s="2">
        <v>37795</v>
      </c>
      <c r="B37800" s="11" t="str">
        <f>"201511022249"</f>
        <v>201511022249</v>
      </c>
    </row>
    <row r="37801" spans="1:2" x14ac:dyDescent="0.25">
      <c r="A37801" s="2">
        <v>37796</v>
      </c>
      <c r="B37801" s="11" t="str">
        <f>"201511022265"</f>
        <v>201511022265</v>
      </c>
    </row>
    <row r="37802" spans="1:2" x14ac:dyDescent="0.25">
      <c r="A37802" s="2">
        <v>37797</v>
      </c>
      <c r="B37802" s="11" t="str">
        <f>"201511022299"</f>
        <v>201511022299</v>
      </c>
    </row>
    <row r="37803" spans="1:2" x14ac:dyDescent="0.25">
      <c r="A37803" s="2">
        <v>37798</v>
      </c>
      <c r="B37803" s="11" t="str">
        <f>"201511022376"</f>
        <v>201511022376</v>
      </c>
    </row>
    <row r="37804" spans="1:2" x14ac:dyDescent="0.25">
      <c r="A37804" s="2">
        <v>37799</v>
      </c>
      <c r="B37804" s="11" t="str">
        <f>"201511022400"</f>
        <v>201511022400</v>
      </c>
    </row>
    <row r="37805" spans="1:2" x14ac:dyDescent="0.25">
      <c r="A37805" s="2">
        <v>37800</v>
      </c>
      <c r="B37805" s="11" t="str">
        <f>"201511022428"</f>
        <v>201511022428</v>
      </c>
    </row>
    <row r="37806" spans="1:2" x14ac:dyDescent="0.25">
      <c r="A37806" s="2">
        <v>37801</v>
      </c>
      <c r="B37806" s="11" t="str">
        <f>"201511022466"</f>
        <v>201511022466</v>
      </c>
    </row>
    <row r="37807" spans="1:2" x14ac:dyDescent="0.25">
      <c r="A37807" s="2">
        <v>37802</v>
      </c>
      <c r="B37807" s="11" t="str">
        <f>"201511022476"</f>
        <v>201511022476</v>
      </c>
    </row>
    <row r="37808" spans="1:2" x14ac:dyDescent="0.25">
      <c r="A37808" s="2">
        <v>37803</v>
      </c>
      <c r="B37808" s="11" t="str">
        <f>"201511022529"</f>
        <v>201511022529</v>
      </c>
    </row>
    <row r="37809" spans="1:2" x14ac:dyDescent="0.25">
      <c r="A37809" s="2">
        <v>37804</v>
      </c>
      <c r="B37809" s="11" t="str">
        <f>"201511022579"</f>
        <v>201511022579</v>
      </c>
    </row>
    <row r="37810" spans="1:2" x14ac:dyDescent="0.25">
      <c r="A37810" s="2">
        <v>37805</v>
      </c>
      <c r="B37810" s="11" t="str">
        <f>"201511022685"</f>
        <v>201511022685</v>
      </c>
    </row>
    <row r="37811" spans="1:2" x14ac:dyDescent="0.25">
      <c r="A37811" s="2">
        <v>37806</v>
      </c>
      <c r="B37811" s="11" t="str">
        <f>"201511022710"</f>
        <v>201511022710</v>
      </c>
    </row>
    <row r="37812" spans="1:2" x14ac:dyDescent="0.25">
      <c r="A37812" s="2">
        <v>37807</v>
      </c>
      <c r="B37812" s="11" t="str">
        <f>"201511022718"</f>
        <v>201511022718</v>
      </c>
    </row>
    <row r="37813" spans="1:2" x14ac:dyDescent="0.25">
      <c r="A37813" s="2">
        <v>37808</v>
      </c>
      <c r="B37813" s="11" t="str">
        <f>"201511022727"</f>
        <v>201511022727</v>
      </c>
    </row>
    <row r="37814" spans="1:2" x14ac:dyDescent="0.25">
      <c r="A37814" s="2">
        <v>37809</v>
      </c>
      <c r="B37814" s="11" t="str">
        <f>"201511022730"</f>
        <v>201511022730</v>
      </c>
    </row>
    <row r="37815" spans="1:2" x14ac:dyDescent="0.25">
      <c r="A37815" s="2">
        <v>37810</v>
      </c>
      <c r="B37815" s="11" t="str">
        <f>"201511022815"</f>
        <v>201511022815</v>
      </c>
    </row>
    <row r="37816" spans="1:2" x14ac:dyDescent="0.25">
      <c r="A37816" s="2">
        <v>37811</v>
      </c>
      <c r="B37816" s="11" t="str">
        <f>"201511022905"</f>
        <v>201511022905</v>
      </c>
    </row>
    <row r="37817" spans="1:2" x14ac:dyDescent="0.25">
      <c r="A37817" s="2">
        <v>37812</v>
      </c>
      <c r="B37817" s="11" t="str">
        <f>"201511022981"</f>
        <v>201511022981</v>
      </c>
    </row>
    <row r="37818" spans="1:2" x14ac:dyDescent="0.25">
      <c r="A37818" s="2">
        <v>37813</v>
      </c>
      <c r="B37818" s="11" t="str">
        <f>"201511023057"</f>
        <v>201511023057</v>
      </c>
    </row>
    <row r="37819" spans="1:2" x14ac:dyDescent="0.25">
      <c r="A37819" s="2">
        <v>37814</v>
      </c>
      <c r="B37819" s="11" t="str">
        <f>"201511023102"</f>
        <v>201511023102</v>
      </c>
    </row>
    <row r="37820" spans="1:2" x14ac:dyDescent="0.25">
      <c r="A37820" s="2">
        <v>37815</v>
      </c>
      <c r="B37820" s="11" t="str">
        <f>"201511023124"</f>
        <v>201511023124</v>
      </c>
    </row>
    <row r="37821" spans="1:2" x14ac:dyDescent="0.25">
      <c r="A37821" s="2">
        <v>37816</v>
      </c>
      <c r="B37821" s="11" t="str">
        <f>"201511023179"</f>
        <v>201511023179</v>
      </c>
    </row>
    <row r="37822" spans="1:2" x14ac:dyDescent="0.25">
      <c r="A37822" s="2">
        <v>37817</v>
      </c>
      <c r="B37822" s="11" t="str">
        <f>"201511023231"</f>
        <v>201511023231</v>
      </c>
    </row>
    <row r="37823" spans="1:2" x14ac:dyDescent="0.25">
      <c r="A37823" s="2">
        <v>37818</v>
      </c>
      <c r="B37823" s="11" t="str">
        <f>"201511023262"</f>
        <v>201511023262</v>
      </c>
    </row>
    <row r="37824" spans="1:2" x14ac:dyDescent="0.25">
      <c r="A37824" s="2">
        <v>37819</v>
      </c>
      <c r="B37824" s="11" t="str">
        <f>"201511023277"</f>
        <v>201511023277</v>
      </c>
    </row>
    <row r="37825" spans="1:2" x14ac:dyDescent="0.25">
      <c r="A37825" s="2">
        <v>37820</v>
      </c>
      <c r="B37825" s="11" t="str">
        <f>"201511023280"</f>
        <v>201511023280</v>
      </c>
    </row>
    <row r="37826" spans="1:2" x14ac:dyDescent="0.25">
      <c r="A37826" s="2">
        <v>37821</v>
      </c>
      <c r="B37826" s="11" t="str">
        <f>"201511023305"</f>
        <v>201511023305</v>
      </c>
    </row>
    <row r="37827" spans="1:2" x14ac:dyDescent="0.25">
      <c r="A37827" s="2">
        <v>37822</v>
      </c>
      <c r="B37827" s="11" t="str">
        <f>"201511023312"</f>
        <v>201511023312</v>
      </c>
    </row>
    <row r="37828" spans="1:2" x14ac:dyDescent="0.25">
      <c r="A37828" s="2">
        <v>37823</v>
      </c>
      <c r="B37828" s="11" t="str">
        <f>"201511023360"</f>
        <v>201511023360</v>
      </c>
    </row>
    <row r="37829" spans="1:2" x14ac:dyDescent="0.25">
      <c r="A37829" s="2">
        <v>37824</v>
      </c>
      <c r="B37829" s="11" t="str">
        <f>"201511023362"</f>
        <v>201511023362</v>
      </c>
    </row>
    <row r="37830" spans="1:2" x14ac:dyDescent="0.25">
      <c r="A37830" s="2">
        <v>37825</v>
      </c>
      <c r="B37830" s="11" t="str">
        <f>"201511023378"</f>
        <v>201511023378</v>
      </c>
    </row>
    <row r="37831" spans="1:2" x14ac:dyDescent="0.25">
      <c r="A37831" s="2">
        <v>37826</v>
      </c>
      <c r="B37831" s="11" t="str">
        <f>"201511023386"</f>
        <v>201511023386</v>
      </c>
    </row>
    <row r="37832" spans="1:2" x14ac:dyDescent="0.25">
      <c r="A37832" s="2">
        <v>37827</v>
      </c>
      <c r="B37832" s="11" t="str">
        <f>"201511023468"</f>
        <v>201511023468</v>
      </c>
    </row>
    <row r="37833" spans="1:2" x14ac:dyDescent="0.25">
      <c r="A37833" s="2">
        <v>37828</v>
      </c>
      <c r="B37833" s="11" t="str">
        <f>"201511023520"</f>
        <v>201511023520</v>
      </c>
    </row>
    <row r="37834" spans="1:2" x14ac:dyDescent="0.25">
      <c r="A37834" s="2">
        <v>37829</v>
      </c>
      <c r="B37834" s="11" t="str">
        <f>"201511023575"</f>
        <v>201511023575</v>
      </c>
    </row>
    <row r="37835" spans="1:2" x14ac:dyDescent="0.25">
      <c r="A37835" s="2">
        <v>37830</v>
      </c>
      <c r="B37835" s="11" t="str">
        <f>"201511023603"</f>
        <v>201511023603</v>
      </c>
    </row>
    <row r="37836" spans="1:2" x14ac:dyDescent="0.25">
      <c r="A37836" s="2">
        <v>37831</v>
      </c>
      <c r="B37836" s="11" t="str">
        <f>"201511023648"</f>
        <v>201511023648</v>
      </c>
    </row>
    <row r="37837" spans="1:2" x14ac:dyDescent="0.25">
      <c r="A37837" s="2">
        <v>37832</v>
      </c>
      <c r="B37837" s="11" t="str">
        <f>"201511023657"</f>
        <v>201511023657</v>
      </c>
    </row>
    <row r="37838" spans="1:2" x14ac:dyDescent="0.25">
      <c r="A37838" s="2">
        <v>37833</v>
      </c>
      <c r="B37838" s="11" t="str">
        <f>"201511023704"</f>
        <v>201511023704</v>
      </c>
    </row>
    <row r="37839" spans="1:2" x14ac:dyDescent="0.25">
      <c r="A37839" s="2">
        <v>37834</v>
      </c>
      <c r="B37839" s="11" t="str">
        <f>"201511023731"</f>
        <v>201511023731</v>
      </c>
    </row>
    <row r="37840" spans="1:2" x14ac:dyDescent="0.25">
      <c r="A37840" s="2">
        <v>37835</v>
      </c>
      <c r="B37840" s="11" t="str">
        <f>"201511023744"</f>
        <v>201511023744</v>
      </c>
    </row>
    <row r="37841" spans="1:2" x14ac:dyDescent="0.25">
      <c r="A37841" s="2">
        <v>37836</v>
      </c>
      <c r="B37841" s="11" t="str">
        <f>"201511023755"</f>
        <v>201511023755</v>
      </c>
    </row>
    <row r="37842" spans="1:2" x14ac:dyDescent="0.25">
      <c r="A37842" s="2">
        <v>37837</v>
      </c>
      <c r="B37842" s="11" t="str">
        <f>"201511023831"</f>
        <v>201511023831</v>
      </c>
    </row>
    <row r="37843" spans="1:2" x14ac:dyDescent="0.25">
      <c r="A37843" s="2">
        <v>37838</v>
      </c>
      <c r="B37843" s="11" t="str">
        <f>"201511023832"</f>
        <v>201511023832</v>
      </c>
    </row>
    <row r="37844" spans="1:2" x14ac:dyDescent="0.25">
      <c r="A37844" s="2">
        <v>37839</v>
      </c>
      <c r="B37844" s="11" t="str">
        <f>"201511023842"</f>
        <v>201511023842</v>
      </c>
    </row>
    <row r="37845" spans="1:2" x14ac:dyDescent="0.25">
      <c r="A37845" s="2">
        <v>37840</v>
      </c>
      <c r="B37845" s="11" t="str">
        <f>"201511023869"</f>
        <v>201511023869</v>
      </c>
    </row>
    <row r="37846" spans="1:2" x14ac:dyDescent="0.25">
      <c r="A37846" s="2">
        <v>37841</v>
      </c>
      <c r="B37846" s="11" t="str">
        <f>"201511023899"</f>
        <v>201511023899</v>
      </c>
    </row>
    <row r="37847" spans="1:2" x14ac:dyDescent="0.25">
      <c r="A37847" s="2">
        <v>37842</v>
      </c>
      <c r="B37847" s="11" t="str">
        <f>"201511023913"</f>
        <v>201511023913</v>
      </c>
    </row>
    <row r="37848" spans="1:2" x14ac:dyDescent="0.25">
      <c r="A37848" s="2">
        <v>37843</v>
      </c>
      <c r="B37848" s="11" t="str">
        <f>"201511023974"</f>
        <v>201511023974</v>
      </c>
    </row>
    <row r="37849" spans="1:2" x14ac:dyDescent="0.25">
      <c r="A37849" s="2">
        <v>37844</v>
      </c>
      <c r="B37849" s="11" t="str">
        <f>"201511024035"</f>
        <v>201511024035</v>
      </c>
    </row>
    <row r="37850" spans="1:2" x14ac:dyDescent="0.25">
      <c r="A37850" s="2">
        <v>37845</v>
      </c>
      <c r="B37850" s="11" t="str">
        <f>"201511024054"</f>
        <v>201511024054</v>
      </c>
    </row>
    <row r="37851" spans="1:2" x14ac:dyDescent="0.25">
      <c r="A37851" s="2">
        <v>37846</v>
      </c>
      <c r="B37851" s="11" t="str">
        <f>"201511024058"</f>
        <v>201511024058</v>
      </c>
    </row>
    <row r="37852" spans="1:2" x14ac:dyDescent="0.25">
      <c r="A37852" s="2">
        <v>37847</v>
      </c>
      <c r="B37852" s="11" t="str">
        <f>"201511024071"</f>
        <v>201511024071</v>
      </c>
    </row>
    <row r="37853" spans="1:2" x14ac:dyDescent="0.25">
      <c r="A37853" s="2">
        <v>37848</v>
      </c>
      <c r="B37853" s="11" t="str">
        <f>"201511024073"</f>
        <v>201511024073</v>
      </c>
    </row>
    <row r="37854" spans="1:2" x14ac:dyDescent="0.25">
      <c r="A37854" s="2">
        <v>37849</v>
      </c>
      <c r="B37854" s="11" t="str">
        <f>"201511024102"</f>
        <v>201511024102</v>
      </c>
    </row>
    <row r="37855" spans="1:2" x14ac:dyDescent="0.25">
      <c r="A37855" s="2">
        <v>37850</v>
      </c>
      <c r="B37855" s="11" t="str">
        <f>"201511024153"</f>
        <v>201511024153</v>
      </c>
    </row>
    <row r="37856" spans="1:2" x14ac:dyDescent="0.25">
      <c r="A37856" s="2">
        <v>37851</v>
      </c>
      <c r="B37856" s="11" t="str">
        <f>"201511024238"</f>
        <v>201511024238</v>
      </c>
    </row>
    <row r="37857" spans="1:2" x14ac:dyDescent="0.25">
      <c r="A37857" s="2">
        <v>37852</v>
      </c>
      <c r="B37857" s="11" t="str">
        <f>"201511024247"</f>
        <v>201511024247</v>
      </c>
    </row>
    <row r="37858" spans="1:2" x14ac:dyDescent="0.25">
      <c r="A37858" s="2">
        <v>37853</v>
      </c>
      <c r="B37858" s="11" t="str">
        <f>"201511024252"</f>
        <v>201511024252</v>
      </c>
    </row>
    <row r="37859" spans="1:2" x14ac:dyDescent="0.25">
      <c r="A37859" s="2">
        <v>37854</v>
      </c>
      <c r="B37859" s="11" t="str">
        <f>"201511024313"</f>
        <v>201511024313</v>
      </c>
    </row>
    <row r="37860" spans="1:2" x14ac:dyDescent="0.25">
      <c r="A37860" s="2">
        <v>37855</v>
      </c>
      <c r="B37860" s="11" t="str">
        <f>"201511024337"</f>
        <v>201511024337</v>
      </c>
    </row>
    <row r="37861" spans="1:2" x14ac:dyDescent="0.25">
      <c r="A37861" s="2">
        <v>37856</v>
      </c>
      <c r="B37861" s="11" t="str">
        <f>"201511024352"</f>
        <v>201511024352</v>
      </c>
    </row>
    <row r="37862" spans="1:2" x14ac:dyDescent="0.25">
      <c r="A37862" s="2">
        <v>37857</v>
      </c>
      <c r="B37862" s="11" t="str">
        <f>"201511024360"</f>
        <v>201511024360</v>
      </c>
    </row>
    <row r="37863" spans="1:2" x14ac:dyDescent="0.25">
      <c r="A37863" s="2">
        <v>37858</v>
      </c>
      <c r="B37863" s="11" t="str">
        <f>"201511024367"</f>
        <v>201511024367</v>
      </c>
    </row>
    <row r="37864" spans="1:2" x14ac:dyDescent="0.25">
      <c r="A37864" s="2">
        <v>37859</v>
      </c>
      <c r="B37864" s="11" t="str">
        <f>"201511024369"</f>
        <v>201511024369</v>
      </c>
    </row>
    <row r="37865" spans="1:2" x14ac:dyDescent="0.25">
      <c r="A37865" s="2">
        <v>37860</v>
      </c>
      <c r="B37865" s="11" t="str">
        <f>"201511024399"</f>
        <v>201511024399</v>
      </c>
    </row>
    <row r="37866" spans="1:2" x14ac:dyDescent="0.25">
      <c r="A37866" s="2">
        <v>37861</v>
      </c>
      <c r="B37866" s="11" t="str">
        <f>"201511024422"</f>
        <v>201511024422</v>
      </c>
    </row>
    <row r="37867" spans="1:2" x14ac:dyDescent="0.25">
      <c r="A37867" s="2">
        <v>37862</v>
      </c>
      <c r="B37867" s="11" t="str">
        <f>"201511024450"</f>
        <v>201511024450</v>
      </c>
    </row>
    <row r="37868" spans="1:2" x14ac:dyDescent="0.25">
      <c r="A37868" s="2">
        <v>37863</v>
      </c>
      <c r="B37868" s="11" t="str">
        <f>"201511024536"</f>
        <v>201511024536</v>
      </c>
    </row>
    <row r="37869" spans="1:2" x14ac:dyDescent="0.25">
      <c r="A37869" s="2">
        <v>37864</v>
      </c>
      <c r="B37869" s="11" t="str">
        <f>"201511024548"</f>
        <v>201511024548</v>
      </c>
    </row>
    <row r="37870" spans="1:2" x14ac:dyDescent="0.25">
      <c r="A37870" s="2">
        <v>37865</v>
      </c>
      <c r="B37870" s="11" t="str">
        <f>"201511024550"</f>
        <v>201511024550</v>
      </c>
    </row>
    <row r="37871" spans="1:2" x14ac:dyDescent="0.25">
      <c r="A37871" s="2">
        <v>37866</v>
      </c>
      <c r="B37871" s="11" t="str">
        <f>"201511024565"</f>
        <v>201511024565</v>
      </c>
    </row>
    <row r="37872" spans="1:2" x14ac:dyDescent="0.25">
      <c r="A37872" s="2">
        <v>37867</v>
      </c>
      <c r="B37872" s="11" t="str">
        <f>"201511024699"</f>
        <v>201511024699</v>
      </c>
    </row>
    <row r="37873" spans="1:2" x14ac:dyDescent="0.25">
      <c r="A37873" s="2">
        <v>37868</v>
      </c>
      <c r="B37873" s="11" t="str">
        <f>"201511024720"</f>
        <v>201511024720</v>
      </c>
    </row>
    <row r="37874" spans="1:2" x14ac:dyDescent="0.25">
      <c r="A37874" s="2">
        <v>37869</v>
      </c>
      <c r="B37874" s="11" t="str">
        <f>"201511024765"</f>
        <v>201511024765</v>
      </c>
    </row>
    <row r="37875" spans="1:2" x14ac:dyDescent="0.25">
      <c r="A37875" s="2">
        <v>37870</v>
      </c>
      <c r="B37875" s="11" t="str">
        <f>"201511024791"</f>
        <v>201511024791</v>
      </c>
    </row>
    <row r="37876" spans="1:2" x14ac:dyDescent="0.25">
      <c r="A37876" s="2">
        <v>37871</v>
      </c>
      <c r="B37876" s="11" t="str">
        <f>"201511024806"</f>
        <v>201511024806</v>
      </c>
    </row>
    <row r="37877" spans="1:2" x14ac:dyDescent="0.25">
      <c r="A37877" s="2">
        <v>37872</v>
      </c>
      <c r="B37877" s="11" t="str">
        <f>"201511024825"</f>
        <v>201511024825</v>
      </c>
    </row>
    <row r="37878" spans="1:2" x14ac:dyDescent="0.25">
      <c r="A37878" s="2">
        <v>37873</v>
      </c>
      <c r="B37878" s="11" t="str">
        <f>"201511024893"</f>
        <v>201511024893</v>
      </c>
    </row>
    <row r="37879" spans="1:2" x14ac:dyDescent="0.25">
      <c r="A37879" s="2">
        <v>37874</v>
      </c>
      <c r="B37879" s="11" t="str">
        <f>"201511024921"</f>
        <v>201511024921</v>
      </c>
    </row>
    <row r="37880" spans="1:2" x14ac:dyDescent="0.25">
      <c r="A37880" s="2">
        <v>37875</v>
      </c>
      <c r="B37880" s="11" t="str">
        <f>"201511024953"</f>
        <v>201511024953</v>
      </c>
    </row>
    <row r="37881" spans="1:2" x14ac:dyDescent="0.25">
      <c r="A37881" s="2">
        <v>37876</v>
      </c>
      <c r="B37881" s="11" t="str">
        <f>"201511025008"</f>
        <v>201511025008</v>
      </c>
    </row>
    <row r="37882" spans="1:2" x14ac:dyDescent="0.25">
      <c r="A37882" s="2">
        <v>37877</v>
      </c>
      <c r="B37882" s="11" t="str">
        <f>"201511025040"</f>
        <v>201511025040</v>
      </c>
    </row>
    <row r="37883" spans="1:2" x14ac:dyDescent="0.25">
      <c r="A37883" s="2">
        <v>37878</v>
      </c>
      <c r="B37883" s="11" t="str">
        <f>"201511025061"</f>
        <v>201511025061</v>
      </c>
    </row>
    <row r="37884" spans="1:2" x14ac:dyDescent="0.25">
      <c r="A37884" s="2">
        <v>37879</v>
      </c>
      <c r="B37884" s="11" t="str">
        <f>"201511025115"</f>
        <v>201511025115</v>
      </c>
    </row>
    <row r="37885" spans="1:2" x14ac:dyDescent="0.25">
      <c r="A37885" s="2">
        <v>37880</v>
      </c>
      <c r="B37885" s="11" t="str">
        <f>"201511025131"</f>
        <v>201511025131</v>
      </c>
    </row>
    <row r="37886" spans="1:2" x14ac:dyDescent="0.25">
      <c r="A37886" s="2">
        <v>37881</v>
      </c>
      <c r="B37886" s="11" t="str">
        <f>"201511025235"</f>
        <v>201511025235</v>
      </c>
    </row>
    <row r="37887" spans="1:2" x14ac:dyDescent="0.25">
      <c r="A37887" s="2">
        <v>37882</v>
      </c>
      <c r="B37887" s="11" t="str">
        <f>"201511025280"</f>
        <v>201511025280</v>
      </c>
    </row>
    <row r="37888" spans="1:2" x14ac:dyDescent="0.25">
      <c r="A37888" s="2">
        <v>37883</v>
      </c>
      <c r="B37888" s="11" t="str">
        <f>"201511025313"</f>
        <v>201511025313</v>
      </c>
    </row>
    <row r="37889" spans="1:2" x14ac:dyDescent="0.25">
      <c r="A37889" s="2">
        <v>37884</v>
      </c>
      <c r="B37889" s="11" t="str">
        <f>"201511025424"</f>
        <v>201511025424</v>
      </c>
    </row>
    <row r="37890" spans="1:2" x14ac:dyDescent="0.25">
      <c r="A37890" s="2">
        <v>37885</v>
      </c>
      <c r="B37890" s="11" t="str">
        <f>"201511025454"</f>
        <v>201511025454</v>
      </c>
    </row>
    <row r="37891" spans="1:2" x14ac:dyDescent="0.25">
      <c r="A37891" s="2">
        <v>37886</v>
      </c>
      <c r="B37891" s="11" t="str">
        <f>"201511025470"</f>
        <v>201511025470</v>
      </c>
    </row>
    <row r="37892" spans="1:2" x14ac:dyDescent="0.25">
      <c r="A37892" s="2">
        <v>37887</v>
      </c>
      <c r="B37892" s="11" t="str">
        <f>"201511025496"</f>
        <v>201511025496</v>
      </c>
    </row>
    <row r="37893" spans="1:2" x14ac:dyDescent="0.25">
      <c r="A37893" s="2">
        <v>37888</v>
      </c>
      <c r="B37893" s="11" t="str">
        <f>"201511025500"</f>
        <v>201511025500</v>
      </c>
    </row>
    <row r="37894" spans="1:2" x14ac:dyDescent="0.25">
      <c r="A37894" s="2">
        <v>37889</v>
      </c>
      <c r="B37894" s="11" t="str">
        <f>"201511025647"</f>
        <v>201511025647</v>
      </c>
    </row>
    <row r="37895" spans="1:2" x14ac:dyDescent="0.25">
      <c r="A37895" s="2">
        <v>37890</v>
      </c>
      <c r="B37895" s="11" t="str">
        <f>"201511025728"</f>
        <v>201511025728</v>
      </c>
    </row>
    <row r="37896" spans="1:2" x14ac:dyDescent="0.25">
      <c r="A37896" s="2">
        <v>37891</v>
      </c>
      <c r="B37896" s="11" t="str">
        <f>"201511025789"</f>
        <v>201511025789</v>
      </c>
    </row>
    <row r="37897" spans="1:2" x14ac:dyDescent="0.25">
      <c r="A37897" s="2">
        <v>37892</v>
      </c>
      <c r="B37897" s="11" t="str">
        <f>"201511025812"</f>
        <v>201511025812</v>
      </c>
    </row>
    <row r="37898" spans="1:2" x14ac:dyDescent="0.25">
      <c r="A37898" s="2">
        <v>37893</v>
      </c>
      <c r="B37898" s="11" t="str">
        <f>"201511025835"</f>
        <v>201511025835</v>
      </c>
    </row>
    <row r="37899" spans="1:2" x14ac:dyDescent="0.25">
      <c r="A37899" s="2">
        <v>37894</v>
      </c>
      <c r="B37899" s="11" t="str">
        <f>"201511025859"</f>
        <v>201511025859</v>
      </c>
    </row>
    <row r="37900" spans="1:2" x14ac:dyDescent="0.25">
      <c r="A37900" s="2">
        <v>37895</v>
      </c>
      <c r="B37900" s="11" t="str">
        <f>"201511025913"</f>
        <v>201511025913</v>
      </c>
    </row>
    <row r="37901" spans="1:2" x14ac:dyDescent="0.25">
      <c r="A37901" s="2">
        <v>37896</v>
      </c>
      <c r="B37901" s="11" t="str">
        <f>"201511025965"</f>
        <v>201511025965</v>
      </c>
    </row>
    <row r="37902" spans="1:2" x14ac:dyDescent="0.25">
      <c r="A37902" s="2">
        <v>37897</v>
      </c>
      <c r="B37902" s="11" t="str">
        <f>"201511025970"</f>
        <v>201511025970</v>
      </c>
    </row>
    <row r="37903" spans="1:2" x14ac:dyDescent="0.25">
      <c r="A37903" s="2">
        <v>37898</v>
      </c>
      <c r="B37903" s="11" t="str">
        <f>"201511026023"</f>
        <v>201511026023</v>
      </c>
    </row>
    <row r="37904" spans="1:2" x14ac:dyDescent="0.25">
      <c r="A37904" s="2">
        <v>37899</v>
      </c>
      <c r="B37904" s="11" t="str">
        <f>"201511026062"</f>
        <v>201511026062</v>
      </c>
    </row>
    <row r="37905" spans="1:2" x14ac:dyDescent="0.25">
      <c r="A37905" s="2">
        <v>37900</v>
      </c>
      <c r="B37905" s="11" t="str">
        <f>"201511026082"</f>
        <v>201511026082</v>
      </c>
    </row>
    <row r="37906" spans="1:2" x14ac:dyDescent="0.25">
      <c r="A37906" s="2">
        <v>37901</v>
      </c>
      <c r="B37906" s="11" t="str">
        <f>"201511026090"</f>
        <v>201511026090</v>
      </c>
    </row>
    <row r="37907" spans="1:2" x14ac:dyDescent="0.25">
      <c r="A37907" s="2">
        <v>37902</v>
      </c>
      <c r="B37907" s="11" t="str">
        <f>"201511026099"</f>
        <v>201511026099</v>
      </c>
    </row>
    <row r="37908" spans="1:2" x14ac:dyDescent="0.25">
      <c r="A37908" s="2">
        <v>37903</v>
      </c>
      <c r="B37908" s="11" t="str">
        <f>"201511026103"</f>
        <v>201511026103</v>
      </c>
    </row>
    <row r="37909" spans="1:2" x14ac:dyDescent="0.25">
      <c r="A37909" s="2">
        <v>37904</v>
      </c>
      <c r="B37909" s="11" t="str">
        <f>"201511026204"</f>
        <v>201511026204</v>
      </c>
    </row>
    <row r="37910" spans="1:2" x14ac:dyDescent="0.25">
      <c r="A37910" s="2">
        <v>37905</v>
      </c>
      <c r="B37910" s="11" t="str">
        <f>"201511026320"</f>
        <v>201511026320</v>
      </c>
    </row>
    <row r="37911" spans="1:2" x14ac:dyDescent="0.25">
      <c r="A37911" s="2">
        <v>37906</v>
      </c>
      <c r="B37911" s="11" t="str">
        <f>"201511026321"</f>
        <v>201511026321</v>
      </c>
    </row>
    <row r="37912" spans="1:2" x14ac:dyDescent="0.25">
      <c r="A37912" s="2">
        <v>37907</v>
      </c>
      <c r="B37912" s="11" t="str">
        <f>"201511026343"</f>
        <v>201511026343</v>
      </c>
    </row>
    <row r="37913" spans="1:2" x14ac:dyDescent="0.25">
      <c r="A37913" s="2">
        <v>37908</v>
      </c>
      <c r="B37913" s="11" t="str">
        <f>"201511026367"</f>
        <v>201511026367</v>
      </c>
    </row>
    <row r="37914" spans="1:2" x14ac:dyDescent="0.25">
      <c r="A37914" s="2">
        <v>37909</v>
      </c>
      <c r="B37914" s="11" t="str">
        <f>"201511026376"</f>
        <v>201511026376</v>
      </c>
    </row>
    <row r="37915" spans="1:2" x14ac:dyDescent="0.25">
      <c r="A37915" s="2">
        <v>37910</v>
      </c>
      <c r="B37915" s="11" t="str">
        <f>"201511026377"</f>
        <v>201511026377</v>
      </c>
    </row>
    <row r="37916" spans="1:2" x14ac:dyDescent="0.25">
      <c r="A37916" s="2">
        <v>37911</v>
      </c>
      <c r="B37916" s="11" t="str">
        <f>"201511026470"</f>
        <v>201511026470</v>
      </c>
    </row>
    <row r="37917" spans="1:2" x14ac:dyDescent="0.25">
      <c r="A37917" s="2">
        <v>37912</v>
      </c>
      <c r="B37917" s="11" t="str">
        <f>"201511026585"</f>
        <v>201511026585</v>
      </c>
    </row>
    <row r="37918" spans="1:2" x14ac:dyDescent="0.25">
      <c r="A37918" s="2">
        <v>37913</v>
      </c>
      <c r="B37918" s="11" t="str">
        <f>"201511026625"</f>
        <v>201511026625</v>
      </c>
    </row>
    <row r="37919" spans="1:2" x14ac:dyDescent="0.25">
      <c r="A37919" s="2">
        <v>37914</v>
      </c>
      <c r="B37919" s="11" t="str">
        <f>"201511026637"</f>
        <v>201511026637</v>
      </c>
    </row>
    <row r="37920" spans="1:2" x14ac:dyDescent="0.25">
      <c r="A37920" s="2">
        <v>37915</v>
      </c>
      <c r="B37920" s="11" t="str">
        <f>"201511026661"</f>
        <v>201511026661</v>
      </c>
    </row>
    <row r="37921" spans="1:2" x14ac:dyDescent="0.25">
      <c r="A37921" s="2">
        <v>37916</v>
      </c>
      <c r="B37921" s="11" t="str">
        <f>"201511026731"</f>
        <v>201511026731</v>
      </c>
    </row>
    <row r="37922" spans="1:2" x14ac:dyDescent="0.25">
      <c r="A37922" s="2">
        <v>37917</v>
      </c>
      <c r="B37922" s="11" t="str">
        <f>"201511026784"</f>
        <v>201511026784</v>
      </c>
    </row>
    <row r="37923" spans="1:2" x14ac:dyDescent="0.25">
      <c r="A37923" s="2">
        <v>37918</v>
      </c>
      <c r="B37923" s="11" t="str">
        <f>"201511026788"</f>
        <v>201511026788</v>
      </c>
    </row>
    <row r="37924" spans="1:2" x14ac:dyDescent="0.25">
      <c r="A37924" s="2">
        <v>37919</v>
      </c>
      <c r="B37924" s="11" t="str">
        <f>"201511026837"</f>
        <v>201511026837</v>
      </c>
    </row>
    <row r="37925" spans="1:2" x14ac:dyDescent="0.25">
      <c r="A37925" s="2">
        <v>37920</v>
      </c>
      <c r="B37925" s="11" t="str">
        <f>"201511026887"</f>
        <v>201511026887</v>
      </c>
    </row>
    <row r="37926" spans="1:2" x14ac:dyDescent="0.25">
      <c r="A37926" s="2">
        <v>37921</v>
      </c>
      <c r="B37926" s="11" t="str">
        <f>"201511026899"</f>
        <v>201511026899</v>
      </c>
    </row>
    <row r="37927" spans="1:2" x14ac:dyDescent="0.25">
      <c r="A37927" s="2">
        <v>37922</v>
      </c>
      <c r="B37927" s="11" t="str">
        <f>"201511026902"</f>
        <v>201511026902</v>
      </c>
    </row>
    <row r="37928" spans="1:2" x14ac:dyDescent="0.25">
      <c r="A37928" s="2">
        <v>37923</v>
      </c>
      <c r="B37928" s="11" t="str">
        <f>"201511026947"</f>
        <v>201511026947</v>
      </c>
    </row>
    <row r="37929" spans="1:2" x14ac:dyDescent="0.25">
      <c r="A37929" s="2">
        <v>37924</v>
      </c>
      <c r="B37929" s="11" t="str">
        <f>"201511026950"</f>
        <v>201511026950</v>
      </c>
    </row>
    <row r="37930" spans="1:2" x14ac:dyDescent="0.25">
      <c r="A37930" s="2">
        <v>37925</v>
      </c>
      <c r="B37930" s="11" t="str">
        <f>"201511026956"</f>
        <v>201511026956</v>
      </c>
    </row>
    <row r="37931" spans="1:2" x14ac:dyDescent="0.25">
      <c r="A37931" s="2">
        <v>37926</v>
      </c>
      <c r="B37931" s="11" t="str">
        <f>"201511026967"</f>
        <v>201511026967</v>
      </c>
    </row>
    <row r="37932" spans="1:2" x14ac:dyDescent="0.25">
      <c r="A37932" s="2">
        <v>37927</v>
      </c>
      <c r="B37932" s="11" t="str">
        <f>"201511026986"</f>
        <v>201511026986</v>
      </c>
    </row>
    <row r="37933" spans="1:2" x14ac:dyDescent="0.25">
      <c r="A37933" s="2">
        <v>37928</v>
      </c>
      <c r="B37933" s="11" t="str">
        <f>"201511027085"</f>
        <v>201511027085</v>
      </c>
    </row>
    <row r="37934" spans="1:2" x14ac:dyDescent="0.25">
      <c r="A37934" s="2">
        <v>37929</v>
      </c>
      <c r="B37934" s="11" t="str">
        <f>"201511027093"</f>
        <v>201511027093</v>
      </c>
    </row>
    <row r="37935" spans="1:2" x14ac:dyDescent="0.25">
      <c r="A37935" s="2">
        <v>37930</v>
      </c>
      <c r="B37935" s="11" t="str">
        <f>"201511027101"</f>
        <v>201511027101</v>
      </c>
    </row>
    <row r="37936" spans="1:2" x14ac:dyDescent="0.25">
      <c r="A37936" s="2">
        <v>37931</v>
      </c>
      <c r="B37936" s="11" t="str">
        <f>"201511027130"</f>
        <v>201511027130</v>
      </c>
    </row>
    <row r="37937" spans="1:2" x14ac:dyDescent="0.25">
      <c r="A37937" s="2">
        <v>37932</v>
      </c>
      <c r="B37937" s="11" t="str">
        <f>"201511027240"</f>
        <v>201511027240</v>
      </c>
    </row>
    <row r="37938" spans="1:2" x14ac:dyDescent="0.25">
      <c r="A37938" s="2">
        <v>37933</v>
      </c>
      <c r="B37938" s="11" t="str">
        <f>"201511027306"</f>
        <v>201511027306</v>
      </c>
    </row>
    <row r="37939" spans="1:2" x14ac:dyDescent="0.25">
      <c r="A37939" s="2">
        <v>37934</v>
      </c>
      <c r="B37939" s="11" t="str">
        <f>"201511027322"</f>
        <v>201511027322</v>
      </c>
    </row>
    <row r="37940" spans="1:2" x14ac:dyDescent="0.25">
      <c r="A37940" s="2">
        <v>37935</v>
      </c>
      <c r="B37940" s="11" t="str">
        <f>"201511027324"</f>
        <v>201511027324</v>
      </c>
    </row>
    <row r="37941" spans="1:2" x14ac:dyDescent="0.25">
      <c r="A37941" s="2">
        <v>37936</v>
      </c>
      <c r="B37941" s="11" t="str">
        <f>"201511027326"</f>
        <v>201511027326</v>
      </c>
    </row>
    <row r="37942" spans="1:2" x14ac:dyDescent="0.25">
      <c r="A37942" s="2">
        <v>37937</v>
      </c>
      <c r="B37942" s="11" t="str">
        <f>"201511027393"</f>
        <v>201511027393</v>
      </c>
    </row>
    <row r="37943" spans="1:2" x14ac:dyDescent="0.25">
      <c r="A37943" s="2">
        <v>37938</v>
      </c>
      <c r="B37943" s="11" t="str">
        <f>"201511027424"</f>
        <v>201511027424</v>
      </c>
    </row>
    <row r="37944" spans="1:2" x14ac:dyDescent="0.25">
      <c r="A37944" s="2">
        <v>37939</v>
      </c>
      <c r="B37944" s="11" t="str">
        <f>"201511027486"</f>
        <v>201511027486</v>
      </c>
    </row>
    <row r="37945" spans="1:2" x14ac:dyDescent="0.25">
      <c r="A37945" s="2">
        <v>37940</v>
      </c>
      <c r="B37945" s="11" t="str">
        <f>"201511027494"</f>
        <v>201511027494</v>
      </c>
    </row>
    <row r="37946" spans="1:2" x14ac:dyDescent="0.25">
      <c r="A37946" s="2">
        <v>37941</v>
      </c>
      <c r="B37946" s="11" t="str">
        <f>"201511027615"</f>
        <v>201511027615</v>
      </c>
    </row>
    <row r="37947" spans="1:2" x14ac:dyDescent="0.25">
      <c r="A37947" s="2">
        <v>37942</v>
      </c>
      <c r="B37947" s="11" t="str">
        <f>"201511027629"</f>
        <v>201511027629</v>
      </c>
    </row>
    <row r="37948" spans="1:2" x14ac:dyDescent="0.25">
      <c r="A37948" s="2">
        <v>37943</v>
      </c>
      <c r="B37948" s="11" t="str">
        <f>"201511027660"</f>
        <v>201511027660</v>
      </c>
    </row>
    <row r="37949" spans="1:2" x14ac:dyDescent="0.25">
      <c r="A37949" s="2">
        <v>37944</v>
      </c>
      <c r="B37949" s="11" t="str">
        <f>"201511027664"</f>
        <v>201511027664</v>
      </c>
    </row>
    <row r="37950" spans="1:2" x14ac:dyDescent="0.25">
      <c r="A37950" s="2">
        <v>37945</v>
      </c>
      <c r="B37950" s="11" t="str">
        <f>"201511027683"</f>
        <v>201511027683</v>
      </c>
    </row>
    <row r="37951" spans="1:2" x14ac:dyDescent="0.25">
      <c r="A37951" s="2">
        <v>37946</v>
      </c>
      <c r="B37951" s="11" t="str">
        <f>"201511027684"</f>
        <v>201511027684</v>
      </c>
    </row>
    <row r="37952" spans="1:2" x14ac:dyDescent="0.25">
      <c r="A37952" s="2">
        <v>37947</v>
      </c>
      <c r="B37952" s="11" t="str">
        <f>"201511027710"</f>
        <v>201511027710</v>
      </c>
    </row>
    <row r="37953" spans="1:2" x14ac:dyDescent="0.25">
      <c r="A37953" s="2">
        <v>37948</v>
      </c>
      <c r="B37953" s="11" t="str">
        <f>"201511027757"</f>
        <v>201511027757</v>
      </c>
    </row>
    <row r="37954" spans="1:2" x14ac:dyDescent="0.25">
      <c r="A37954" s="2">
        <v>37949</v>
      </c>
      <c r="B37954" s="11" t="str">
        <f>"201511027786"</f>
        <v>201511027786</v>
      </c>
    </row>
    <row r="37955" spans="1:2" x14ac:dyDescent="0.25">
      <c r="A37955" s="2">
        <v>37950</v>
      </c>
      <c r="B37955" s="11" t="str">
        <f>"201511027846"</f>
        <v>201511027846</v>
      </c>
    </row>
    <row r="37956" spans="1:2" x14ac:dyDescent="0.25">
      <c r="A37956" s="2">
        <v>37951</v>
      </c>
      <c r="B37956" s="11" t="str">
        <f>"201511027856"</f>
        <v>201511027856</v>
      </c>
    </row>
    <row r="37957" spans="1:2" x14ac:dyDescent="0.25">
      <c r="A37957" s="2">
        <v>37952</v>
      </c>
      <c r="B37957" s="11" t="str">
        <f>"201511027938"</f>
        <v>201511027938</v>
      </c>
    </row>
    <row r="37958" spans="1:2" x14ac:dyDescent="0.25">
      <c r="A37958" s="2">
        <v>37953</v>
      </c>
      <c r="B37958" s="11" t="str">
        <f>"201511027984"</f>
        <v>201511027984</v>
      </c>
    </row>
    <row r="37959" spans="1:2" x14ac:dyDescent="0.25">
      <c r="A37959" s="2">
        <v>37954</v>
      </c>
      <c r="B37959" s="11" t="str">
        <f>"201511028025"</f>
        <v>201511028025</v>
      </c>
    </row>
    <row r="37960" spans="1:2" x14ac:dyDescent="0.25">
      <c r="A37960" s="2">
        <v>37955</v>
      </c>
      <c r="B37960" s="11" t="str">
        <f>"201511028050"</f>
        <v>201511028050</v>
      </c>
    </row>
    <row r="37961" spans="1:2" x14ac:dyDescent="0.25">
      <c r="A37961" s="2">
        <v>37956</v>
      </c>
      <c r="B37961" s="11" t="str">
        <f>"201511028060"</f>
        <v>201511028060</v>
      </c>
    </row>
    <row r="37962" spans="1:2" x14ac:dyDescent="0.25">
      <c r="A37962" s="2">
        <v>37957</v>
      </c>
      <c r="B37962" s="11" t="str">
        <f>"201511028073"</f>
        <v>201511028073</v>
      </c>
    </row>
    <row r="37963" spans="1:2" x14ac:dyDescent="0.25">
      <c r="A37963" s="2">
        <v>37958</v>
      </c>
      <c r="B37963" s="11" t="str">
        <f>"201511028102"</f>
        <v>201511028102</v>
      </c>
    </row>
    <row r="37964" spans="1:2" x14ac:dyDescent="0.25">
      <c r="A37964" s="2">
        <v>37959</v>
      </c>
      <c r="B37964" s="11" t="str">
        <f>"201511028104"</f>
        <v>201511028104</v>
      </c>
    </row>
    <row r="37965" spans="1:2" x14ac:dyDescent="0.25">
      <c r="A37965" s="2">
        <v>37960</v>
      </c>
      <c r="B37965" s="11" t="str">
        <f>"201511028123"</f>
        <v>201511028123</v>
      </c>
    </row>
    <row r="37966" spans="1:2" x14ac:dyDescent="0.25">
      <c r="A37966" s="2">
        <v>37961</v>
      </c>
      <c r="B37966" s="11" t="str">
        <f>"201511028134"</f>
        <v>201511028134</v>
      </c>
    </row>
    <row r="37967" spans="1:2" x14ac:dyDescent="0.25">
      <c r="A37967" s="2">
        <v>37962</v>
      </c>
      <c r="B37967" s="11" t="str">
        <f>"201511028174"</f>
        <v>201511028174</v>
      </c>
    </row>
    <row r="37968" spans="1:2" x14ac:dyDescent="0.25">
      <c r="A37968" s="2">
        <v>37963</v>
      </c>
      <c r="B37968" s="11" t="str">
        <f>"201511028193"</f>
        <v>201511028193</v>
      </c>
    </row>
    <row r="37969" spans="1:2" x14ac:dyDescent="0.25">
      <c r="A37969" s="2">
        <v>37964</v>
      </c>
      <c r="B37969" s="11" t="str">
        <f>"201511028251"</f>
        <v>201511028251</v>
      </c>
    </row>
    <row r="37970" spans="1:2" x14ac:dyDescent="0.25">
      <c r="A37970" s="2">
        <v>37965</v>
      </c>
      <c r="B37970" s="11" t="str">
        <f>"201511028261"</f>
        <v>201511028261</v>
      </c>
    </row>
    <row r="37971" spans="1:2" x14ac:dyDescent="0.25">
      <c r="A37971" s="2">
        <v>37966</v>
      </c>
      <c r="B37971" s="11" t="str">
        <f>"201511028289"</f>
        <v>201511028289</v>
      </c>
    </row>
    <row r="37972" spans="1:2" x14ac:dyDescent="0.25">
      <c r="A37972" s="2">
        <v>37967</v>
      </c>
      <c r="B37972" s="11" t="str">
        <f>"201511028339"</f>
        <v>201511028339</v>
      </c>
    </row>
    <row r="37973" spans="1:2" x14ac:dyDescent="0.25">
      <c r="A37973" s="2">
        <v>37968</v>
      </c>
      <c r="B37973" s="11" t="str">
        <f>"201511028349"</f>
        <v>201511028349</v>
      </c>
    </row>
    <row r="37974" spans="1:2" x14ac:dyDescent="0.25">
      <c r="A37974" s="2">
        <v>37969</v>
      </c>
      <c r="B37974" s="11" t="str">
        <f>"201511028358"</f>
        <v>201511028358</v>
      </c>
    </row>
    <row r="37975" spans="1:2" x14ac:dyDescent="0.25">
      <c r="A37975" s="2">
        <v>37970</v>
      </c>
      <c r="B37975" s="11" t="str">
        <f>"201511028366"</f>
        <v>201511028366</v>
      </c>
    </row>
    <row r="37976" spans="1:2" x14ac:dyDescent="0.25">
      <c r="A37976" s="2">
        <v>37971</v>
      </c>
      <c r="B37976" s="11" t="str">
        <f>"201511028461"</f>
        <v>201511028461</v>
      </c>
    </row>
    <row r="37977" spans="1:2" x14ac:dyDescent="0.25">
      <c r="A37977" s="2">
        <v>37972</v>
      </c>
      <c r="B37977" s="11" t="str">
        <f>"201511028487"</f>
        <v>201511028487</v>
      </c>
    </row>
    <row r="37978" spans="1:2" x14ac:dyDescent="0.25">
      <c r="A37978" s="2">
        <v>37973</v>
      </c>
      <c r="B37978" s="11" t="str">
        <f>"201511028581"</f>
        <v>201511028581</v>
      </c>
    </row>
    <row r="37979" spans="1:2" x14ac:dyDescent="0.25">
      <c r="A37979" s="2">
        <v>37974</v>
      </c>
      <c r="B37979" s="11" t="str">
        <f>"201511028634"</f>
        <v>201511028634</v>
      </c>
    </row>
    <row r="37980" spans="1:2" x14ac:dyDescent="0.25">
      <c r="A37980" s="2">
        <v>37975</v>
      </c>
      <c r="B37980" s="11" t="str">
        <f>"201511028824"</f>
        <v>201511028824</v>
      </c>
    </row>
    <row r="37981" spans="1:2" x14ac:dyDescent="0.25">
      <c r="A37981" s="2">
        <v>37976</v>
      </c>
      <c r="B37981" s="11" t="str">
        <f>"201511028859"</f>
        <v>201511028859</v>
      </c>
    </row>
    <row r="37982" spans="1:2" x14ac:dyDescent="0.25">
      <c r="A37982" s="2">
        <v>37977</v>
      </c>
      <c r="B37982" s="11" t="str">
        <f>"201511028863"</f>
        <v>201511028863</v>
      </c>
    </row>
    <row r="37983" spans="1:2" x14ac:dyDescent="0.25">
      <c r="A37983" s="2">
        <v>37978</v>
      </c>
      <c r="B37983" s="11" t="str">
        <f>"201511028872"</f>
        <v>201511028872</v>
      </c>
    </row>
    <row r="37984" spans="1:2" x14ac:dyDescent="0.25">
      <c r="A37984" s="2">
        <v>37979</v>
      </c>
      <c r="B37984" s="11" t="str">
        <f>"201511028876"</f>
        <v>201511028876</v>
      </c>
    </row>
    <row r="37985" spans="1:2" x14ac:dyDescent="0.25">
      <c r="A37985" s="2">
        <v>37980</v>
      </c>
      <c r="B37985" s="11" t="str">
        <f>"201511028905"</f>
        <v>201511028905</v>
      </c>
    </row>
    <row r="37986" spans="1:2" x14ac:dyDescent="0.25">
      <c r="A37986" s="2">
        <v>37981</v>
      </c>
      <c r="B37986" s="11" t="str">
        <f>"201511028915"</f>
        <v>201511028915</v>
      </c>
    </row>
    <row r="37987" spans="1:2" x14ac:dyDescent="0.25">
      <c r="A37987" s="2">
        <v>37982</v>
      </c>
      <c r="B37987" s="11" t="str">
        <f>"201511028924"</f>
        <v>201511028924</v>
      </c>
    </row>
    <row r="37988" spans="1:2" x14ac:dyDescent="0.25">
      <c r="A37988" s="2">
        <v>37983</v>
      </c>
      <c r="B37988" s="11" t="str">
        <f>"201511028971"</f>
        <v>201511028971</v>
      </c>
    </row>
    <row r="37989" spans="1:2" x14ac:dyDescent="0.25">
      <c r="A37989" s="2">
        <v>37984</v>
      </c>
      <c r="B37989" s="11" t="str">
        <f>"201511028992"</f>
        <v>201511028992</v>
      </c>
    </row>
    <row r="37990" spans="1:2" x14ac:dyDescent="0.25">
      <c r="A37990" s="2">
        <v>37985</v>
      </c>
      <c r="B37990" s="11" t="str">
        <f>"201511029005"</f>
        <v>201511029005</v>
      </c>
    </row>
    <row r="37991" spans="1:2" x14ac:dyDescent="0.25">
      <c r="A37991" s="2">
        <v>37986</v>
      </c>
      <c r="B37991" s="11" t="str">
        <f>"201511029031"</f>
        <v>201511029031</v>
      </c>
    </row>
    <row r="37992" spans="1:2" x14ac:dyDescent="0.25">
      <c r="A37992" s="2">
        <v>37987</v>
      </c>
      <c r="B37992" s="11" t="str">
        <f>"201511029040"</f>
        <v>201511029040</v>
      </c>
    </row>
    <row r="37993" spans="1:2" x14ac:dyDescent="0.25">
      <c r="A37993" s="2">
        <v>37988</v>
      </c>
      <c r="B37993" s="11" t="str">
        <f>"201511029048"</f>
        <v>201511029048</v>
      </c>
    </row>
    <row r="37994" spans="1:2" x14ac:dyDescent="0.25">
      <c r="A37994" s="2">
        <v>37989</v>
      </c>
      <c r="B37994" s="11" t="str">
        <f>"201511029052"</f>
        <v>201511029052</v>
      </c>
    </row>
    <row r="37995" spans="1:2" x14ac:dyDescent="0.25">
      <c r="A37995" s="2">
        <v>37990</v>
      </c>
      <c r="B37995" s="11" t="str">
        <f>"201511029064"</f>
        <v>201511029064</v>
      </c>
    </row>
    <row r="37996" spans="1:2" x14ac:dyDescent="0.25">
      <c r="A37996" s="2">
        <v>37991</v>
      </c>
      <c r="B37996" s="11" t="str">
        <f>"201511029093"</f>
        <v>201511029093</v>
      </c>
    </row>
    <row r="37997" spans="1:2" x14ac:dyDescent="0.25">
      <c r="A37997" s="2">
        <v>37992</v>
      </c>
      <c r="B37997" s="11" t="str">
        <f>"201511029109"</f>
        <v>201511029109</v>
      </c>
    </row>
    <row r="37998" spans="1:2" x14ac:dyDescent="0.25">
      <c r="A37998" s="2">
        <v>37993</v>
      </c>
      <c r="B37998" s="11" t="str">
        <f>"201511029125"</f>
        <v>201511029125</v>
      </c>
    </row>
    <row r="37999" spans="1:2" x14ac:dyDescent="0.25">
      <c r="A37999" s="2">
        <v>37994</v>
      </c>
      <c r="B37999" s="11" t="str">
        <f>"201511029174"</f>
        <v>201511029174</v>
      </c>
    </row>
    <row r="38000" spans="1:2" x14ac:dyDescent="0.25">
      <c r="A38000" s="2">
        <v>37995</v>
      </c>
      <c r="B38000" s="11" t="str">
        <f>"201511029234"</f>
        <v>201511029234</v>
      </c>
    </row>
    <row r="38001" spans="1:2" x14ac:dyDescent="0.25">
      <c r="A38001" s="2">
        <v>37996</v>
      </c>
      <c r="B38001" s="11" t="str">
        <f>"201511029260"</f>
        <v>201511029260</v>
      </c>
    </row>
    <row r="38002" spans="1:2" x14ac:dyDescent="0.25">
      <c r="A38002" s="2">
        <v>37997</v>
      </c>
      <c r="B38002" s="11" t="str">
        <f>"201511029287"</f>
        <v>201511029287</v>
      </c>
    </row>
    <row r="38003" spans="1:2" x14ac:dyDescent="0.25">
      <c r="A38003" s="2">
        <v>37998</v>
      </c>
      <c r="B38003" s="11" t="str">
        <f>"201511029308"</f>
        <v>201511029308</v>
      </c>
    </row>
    <row r="38004" spans="1:2" x14ac:dyDescent="0.25">
      <c r="A38004" s="2">
        <v>37999</v>
      </c>
      <c r="B38004" s="11" t="str">
        <f>"201511029311"</f>
        <v>201511029311</v>
      </c>
    </row>
    <row r="38005" spans="1:2" x14ac:dyDescent="0.25">
      <c r="A38005" s="2">
        <v>38000</v>
      </c>
      <c r="B38005" s="11" t="str">
        <f>"201511029337"</f>
        <v>201511029337</v>
      </c>
    </row>
    <row r="38006" spans="1:2" x14ac:dyDescent="0.25">
      <c r="A38006" s="2">
        <v>38001</v>
      </c>
      <c r="B38006" s="11" t="str">
        <f>"201511029349"</f>
        <v>201511029349</v>
      </c>
    </row>
    <row r="38007" spans="1:2" x14ac:dyDescent="0.25">
      <c r="A38007" s="2">
        <v>38002</v>
      </c>
      <c r="B38007" s="11" t="str">
        <f>"201511029366"</f>
        <v>201511029366</v>
      </c>
    </row>
    <row r="38008" spans="1:2" x14ac:dyDescent="0.25">
      <c r="A38008" s="2">
        <v>38003</v>
      </c>
      <c r="B38008" s="11" t="str">
        <f>"201511029371"</f>
        <v>201511029371</v>
      </c>
    </row>
    <row r="38009" spans="1:2" x14ac:dyDescent="0.25">
      <c r="A38009" s="2">
        <v>38004</v>
      </c>
      <c r="B38009" s="11" t="str">
        <f>"201511029404"</f>
        <v>201511029404</v>
      </c>
    </row>
    <row r="38010" spans="1:2" x14ac:dyDescent="0.25">
      <c r="A38010" s="2">
        <v>38005</v>
      </c>
      <c r="B38010" s="11" t="str">
        <f>"201511029407"</f>
        <v>201511029407</v>
      </c>
    </row>
    <row r="38011" spans="1:2" x14ac:dyDescent="0.25">
      <c r="A38011" s="2">
        <v>38006</v>
      </c>
      <c r="B38011" s="11" t="str">
        <f>"201511029427"</f>
        <v>201511029427</v>
      </c>
    </row>
    <row r="38012" spans="1:2" x14ac:dyDescent="0.25">
      <c r="A38012" s="2">
        <v>38007</v>
      </c>
      <c r="B38012" s="11" t="str">
        <f>"201511029454"</f>
        <v>201511029454</v>
      </c>
    </row>
    <row r="38013" spans="1:2" x14ac:dyDescent="0.25">
      <c r="A38013" s="2">
        <v>38008</v>
      </c>
      <c r="B38013" s="11" t="str">
        <f>"201511029462"</f>
        <v>201511029462</v>
      </c>
    </row>
    <row r="38014" spans="1:2" x14ac:dyDescent="0.25">
      <c r="A38014" s="2">
        <v>38009</v>
      </c>
      <c r="B38014" s="11" t="str">
        <f>"201511029486"</f>
        <v>201511029486</v>
      </c>
    </row>
    <row r="38015" spans="1:2" x14ac:dyDescent="0.25">
      <c r="A38015" s="2">
        <v>38010</v>
      </c>
      <c r="B38015" s="11" t="str">
        <f>"201511029499"</f>
        <v>201511029499</v>
      </c>
    </row>
    <row r="38016" spans="1:2" x14ac:dyDescent="0.25">
      <c r="A38016" s="2">
        <v>38011</v>
      </c>
      <c r="B38016" s="11" t="str">
        <f>"201511029501"</f>
        <v>201511029501</v>
      </c>
    </row>
    <row r="38017" spans="1:2" x14ac:dyDescent="0.25">
      <c r="A38017" s="2">
        <v>38012</v>
      </c>
      <c r="B38017" s="11" t="str">
        <f>"201511029506"</f>
        <v>201511029506</v>
      </c>
    </row>
    <row r="38018" spans="1:2" x14ac:dyDescent="0.25">
      <c r="A38018" s="2">
        <v>38013</v>
      </c>
      <c r="B38018" s="11" t="str">
        <f>"201511029510"</f>
        <v>201511029510</v>
      </c>
    </row>
    <row r="38019" spans="1:2" x14ac:dyDescent="0.25">
      <c r="A38019" s="2">
        <v>38014</v>
      </c>
      <c r="B38019" s="11" t="str">
        <f>"201511029522"</f>
        <v>201511029522</v>
      </c>
    </row>
    <row r="38020" spans="1:2" x14ac:dyDescent="0.25">
      <c r="A38020" s="2">
        <v>38015</v>
      </c>
      <c r="B38020" s="11" t="str">
        <f>"201511029535"</f>
        <v>201511029535</v>
      </c>
    </row>
    <row r="38021" spans="1:2" x14ac:dyDescent="0.25">
      <c r="A38021" s="2">
        <v>38016</v>
      </c>
      <c r="B38021" s="11" t="str">
        <f>"201511029540"</f>
        <v>201511029540</v>
      </c>
    </row>
    <row r="38022" spans="1:2" x14ac:dyDescent="0.25">
      <c r="A38022" s="2">
        <v>38017</v>
      </c>
      <c r="B38022" s="11" t="str">
        <f>"201511029592"</f>
        <v>201511029592</v>
      </c>
    </row>
    <row r="38023" spans="1:2" x14ac:dyDescent="0.25">
      <c r="A38023" s="2">
        <v>38018</v>
      </c>
      <c r="B38023" s="11" t="str">
        <f>"201511029649"</f>
        <v>201511029649</v>
      </c>
    </row>
    <row r="38024" spans="1:2" x14ac:dyDescent="0.25">
      <c r="A38024" s="2">
        <v>38019</v>
      </c>
      <c r="B38024" s="11" t="str">
        <f>"201511029760"</f>
        <v>201511029760</v>
      </c>
    </row>
    <row r="38025" spans="1:2" x14ac:dyDescent="0.25">
      <c r="A38025" s="2">
        <v>38020</v>
      </c>
      <c r="B38025" s="11" t="str">
        <f>"201511029769"</f>
        <v>201511029769</v>
      </c>
    </row>
    <row r="38026" spans="1:2" x14ac:dyDescent="0.25">
      <c r="A38026" s="2">
        <v>38021</v>
      </c>
      <c r="B38026" s="11" t="str">
        <f>"201511029796"</f>
        <v>201511029796</v>
      </c>
    </row>
    <row r="38027" spans="1:2" x14ac:dyDescent="0.25">
      <c r="A38027" s="2">
        <v>38022</v>
      </c>
      <c r="B38027" s="11" t="str">
        <f>"201511029821"</f>
        <v>201511029821</v>
      </c>
    </row>
    <row r="38028" spans="1:2" x14ac:dyDescent="0.25">
      <c r="A38028" s="2">
        <v>38023</v>
      </c>
      <c r="B38028" s="11" t="str">
        <f>"201511029839"</f>
        <v>201511029839</v>
      </c>
    </row>
    <row r="38029" spans="1:2" x14ac:dyDescent="0.25">
      <c r="A38029" s="2">
        <v>38024</v>
      </c>
      <c r="B38029" s="11" t="str">
        <f>"201511029925"</f>
        <v>201511029925</v>
      </c>
    </row>
    <row r="38030" spans="1:2" x14ac:dyDescent="0.25">
      <c r="A38030" s="2">
        <v>38025</v>
      </c>
      <c r="B38030" s="11" t="str">
        <f>"201511029926"</f>
        <v>201511029926</v>
      </c>
    </row>
    <row r="38031" spans="1:2" x14ac:dyDescent="0.25">
      <c r="A38031" s="2">
        <v>38026</v>
      </c>
      <c r="B38031" s="11" t="str">
        <f>"201511029928"</f>
        <v>201511029928</v>
      </c>
    </row>
    <row r="38032" spans="1:2" x14ac:dyDescent="0.25">
      <c r="A38032" s="2">
        <v>38027</v>
      </c>
      <c r="B38032" s="11" t="str">
        <f>"201511029966"</f>
        <v>201511029966</v>
      </c>
    </row>
    <row r="38033" spans="1:2" x14ac:dyDescent="0.25">
      <c r="A38033" s="2">
        <v>38028</v>
      </c>
      <c r="B38033" s="11" t="str">
        <f>"201511030012"</f>
        <v>201511030012</v>
      </c>
    </row>
    <row r="38034" spans="1:2" x14ac:dyDescent="0.25">
      <c r="A38034" s="2">
        <v>38029</v>
      </c>
      <c r="B38034" s="11" t="str">
        <f>"201511030030"</f>
        <v>201511030030</v>
      </c>
    </row>
    <row r="38035" spans="1:2" x14ac:dyDescent="0.25">
      <c r="A38035" s="2">
        <v>38030</v>
      </c>
      <c r="B38035" s="11" t="str">
        <f>"201511030031"</f>
        <v>201511030031</v>
      </c>
    </row>
    <row r="38036" spans="1:2" x14ac:dyDescent="0.25">
      <c r="A38036" s="2">
        <v>38031</v>
      </c>
      <c r="B38036" s="11" t="str">
        <f>"201511030038"</f>
        <v>201511030038</v>
      </c>
    </row>
    <row r="38037" spans="1:2" x14ac:dyDescent="0.25">
      <c r="A38037" s="2">
        <v>38032</v>
      </c>
      <c r="B38037" s="11" t="str">
        <f>"201511030049"</f>
        <v>201511030049</v>
      </c>
    </row>
    <row r="38038" spans="1:2" x14ac:dyDescent="0.25">
      <c r="A38038" s="2">
        <v>38033</v>
      </c>
      <c r="B38038" s="11" t="str">
        <f>"201511030098"</f>
        <v>201511030098</v>
      </c>
    </row>
    <row r="38039" spans="1:2" x14ac:dyDescent="0.25">
      <c r="A38039" s="2">
        <v>38034</v>
      </c>
      <c r="B38039" s="11" t="str">
        <f>"201511030099"</f>
        <v>201511030099</v>
      </c>
    </row>
    <row r="38040" spans="1:2" x14ac:dyDescent="0.25">
      <c r="A38040" s="2">
        <v>38035</v>
      </c>
      <c r="B38040" s="11" t="str">
        <f>"201511030108"</f>
        <v>201511030108</v>
      </c>
    </row>
    <row r="38041" spans="1:2" x14ac:dyDescent="0.25">
      <c r="A38041" s="2">
        <v>38036</v>
      </c>
      <c r="B38041" s="11" t="str">
        <f>"201511030179"</f>
        <v>201511030179</v>
      </c>
    </row>
    <row r="38042" spans="1:2" x14ac:dyDescent="0.25">
      <c r="A38042" s="2">
        <v>38037</v>
      </c>
      <c r="B38042" s="11" t="str">
        <f>"201511030226"</f>
        <v>201511030226</v>
      </c>
    </row>
    <row r="38043" spans="1:2" x14ac:dyDescent="0.25">
      <c r="A38043" s="2">
        <v>38038</v>
      </c>
      <c r="B38043" s="11" t="str">
        <f>"201511030259"</f>
        <v>201511030259</v>
      </c>
    </row>
    <row r="38044" spans="1:2" x14ac:dyDescent="0.25">
      <c r="A38044" s="2">
        <v>38039</v>
      </c>
      <c r="B38044" s="11" t="str">
        <f>"201511030288"</f>
        <v>201511030288</v>
      </c>
    </row>
    <row r="38045" spans="1:2" x14ac:dyDescent="0.25">
      <c r="A38045" s="2">
        <v>38040</v>
      </c>
      <c r="B38045" s="11" t="str">
        <f>"201511030295"</f>
        <v>201511030295</v>
      </c>
    </row>
    <row r="38046" spans="1:2" x14ac:dyDescent="0.25">
      <c r="A38046" s="2">
        <v>38041</v>
      </c>
      <c r="B38046" s="11" t="str">
        <f>"201511030303"</f>
        <v>201511030303</v>
      </c>
    </row>
    <row r="38047" spans="1:2" x14ac:dyDescent="0.25">
      <c r="A38047" s="2">
        <v>38042</v>
      </c>
      <c r="B38047" s="11" t="str">
        <f>"201511030313"</f>
        <v>201511030313</v>
      </c>
    </row>
    <row r="38048" spans="1:2" x14ac:dyDescent="0.25">
      <c r="A38048" s="2">
        <v>38043</v>
      </c>
      <c r="B38048" s="11" t="str">
        <f>"201511030407"</f>
        <v>201511030407</v>
      </c>
    </row>
    <row r="38049" spans="1:2" x14ac:dyDescent="0.25">
      <c r="A38049" s="2">
        <v>38044</v>
      </c>
      <c r="B38049" s="11" t="str">
        <f>"201511030427"</f>
        <v>201511030427</v>
      </c>
    </row>
    <row r="38050" spans="1:2" x14ac:dyDescent="0.25">
      <c r="A38050" s="2">
        <v>38045</v>
      </c>
      <c r="B38050" s="11" t="str">
        <f>"201511030436"</f>
        <v>201511030436</v>
      </c>
    </row>
    <row r="38051" spans="1:2" x14ac:dyDescent="0.25">
      <c r="A38051" s="2">
        <v>38046</v>
      </c>
      <c r="B38051" s="11" t="str">
        <f>"201511030485"</f>
        <v>201511030485</v>
      </c>
    </row>
    <row r="38052" spans="1:2" x14ac:dyDescent="0.25">
      <c r="A38052" s="2">
        <v>38047</v>
      </c>
      <c r="B38052" s="11" t="str">
        <f>"201511030527"</f>
        <v>201511030527</v>
      </c>
    </row>
    <row r="38053" spans="1:2" x14ac:dyDescent="0.25">
      <c r="A38053" s="2">
        <v>38048</v>
      </c>
      <c r="B38053" s="11" t="str">
        <f>"201511030653"</f>
        <v>201511030653</v>
      </c>
    </row>
    <row r="38054" spans="1:2" x14ac:dyDescent="0.25">
      <c r="A38054" s="2">
        <v>38049</v>
      </c>
      <c r="B38054" s="11" t="str">
        <f>"201511030715"</f>
        <v>201511030715</v>
      </c>
    </row>
    <row r="38055" spans="1:2" x14ac:dyDescent="0.25">
      <c r="A38055" s="2">
        <v>38050</v>
      </c>
      <c r="B38055" s="11" t="str">
        <f>"201511030760"</f>
        <v>201511030760</v>
      </c>
    </row>
    <row r="38056" spans="1:2" x14ac:dyDescent="0.25">
      <c r="A38056" s="2">
        <v>38051</v>
      </c>
      <c r="B38056" s="11" t="str">
        <f>"201511030837"</f>
        <v>201511030837</v>
      </c>
    </row>
    <row r="38057" spans="1:2" x14ac:dyDescent="0.25">
      <c r="A38057" s="2">
        <v>38052</v>
      </c>
      <c r="B38057" s="11" t="str">
        <f>"201511030923"</f>
        <v>201511030923</v>
      </c>
    </row>
    <row r="38058" spans="1:2" x14ac:dyDescent="0.25">
      <c r="A38058" s="2">
        <v>38053</v>
      </c>
      <c r="B38058" s="11" t="str">
        <f>"201511030937"</f>
        <v>201511030937</v>
      </c>
    </row>
    <row r="38059" spans="1:2" x14ac:dyDescent="0.25">
      <c r="A38059" s="2">
        <v>38054</v>
      </c>
      <c r="B38059" s="11" t="str">
        <f>"201511030944"</f>
        <v>201511030944</v>
      </c>
    </row>
    <row r="38060" spans="1:2" x14ac:dyDescent="0.25">
      <c r="A38060" s="2">
        <v>38055</v>
      </c>
      <c r="B38060" s="11" t="str">
        <f>"201511030976"</f>
        <v>201511030976</v>
      </c>
    </row>
    <row r="38061" spans="1:2" x14ac:dyDescent="0.25">
      <c r="A38061" s="2">
        <v>38056</v>
      </c>
      <c r="B38061" s="11" t="str">
        <f>"201511031009"</f>
        <v>201511031009</v>
      </c>
    </row>
    <row r="38062" spans="1:2" x14ac:dyDescent="0.25">
      <c r="A38062" s="2">
        <v>38057</v>
      </c>
      <c r="B38062" s="11" t="str">
        <f>"201511031020"</f>
        <v>201511031020</v>
      </c>
    </row>
    <row r="38063" spans="1:2" x14ac:dyDescent="0.25">
      <c r="A38063" s="2">
        <v>38058</v>
      </c>
      <c r="B38063" s="11" t="str">
        <f>"201511031191"</f>
        <v>201511031191</v>
      </c>
    </row>
    <row r="38064" spans="1:2" x14ac:dyDescent="0.25">
      <c r="A38064" s="2">
        <v>38059</v>
      </c>
      <c r="B38064" s="11" t="str">
        <f>"201511031219"</f>
        <v>201511031219</v>
      </c>
    </row>
    <row r="38065" spans="1:2" x14ac:dyDescent="0.25">
      <c r="A38065" s="2">
        <v>38060</v>
      </c>
      <c r="B38065" s="11" t="str">
        <f>"201511031231"</f>
        <v>201511031231</v>
      </c>
    </row>
    <row r="38066" spans="1:2" x14ac:dyDescent="0.25">
      <c r="A38066" s="2">
        <v>38061</v>
      </c>
      <c r="B38066" s="11" t="str">
        <f>"201511031256"</f>
        <v>201511031256</v>
      </c>
    </row>
    <row r="38067" spans="1:2" x14ac:dyDescent="0.25">
      <c r="A38067" s="2">
        <v>38062</v>
      </c>
      <c r="B38067" s="11" t="str">
        <f>"201511031292"</f>
        <v>201511031292</v>
      </c>
    </row>
    <row r="38068" spans="1:2" x14ac:dyDescent="0.25">
      <c r="A38068" s="2">
        <v>38063</v>
      </c>
      <c r="B38068" s="11" t="str">
        <f>"201511031339"</f>
        <v>201511031339</v>
      </c>
    </row>
    <row r="38069" spans="1:2" x14ac:dyDescent="0.25">
      <c r="A38069" s="2">
        <v>38064</v>
      </c>
      <c r="B38069" s="11" t="str">
        <f>"201511031392"</f>
        <v>201511031392</v>
      </c>
    </row>
    <row r="38070" spans="1:2" x14ac:dyDescent="0.25">
      <c r="A38070" s="2">
        <v>38065</v>
      </c>
      <c r="B38070" s="11" t="str">
        <f>"201511031405"</f>
        <v>201511031405</v>
      </c>
    </row>
    <row r="38071" spans="1:2" x14ac:dyDescent="0.25">
      <c r="A38071" s="2">
        <v>38066</v>
      </c>
      <c r="B38071" s="11" t="str">
        <f>"201511031418"</f>
        <v>201511031418</v>
      </c>
    </row>
    <row r="38072" spans="1:2" x14ac:dyDescent="0.25">
      <c r="A38072" s="2">
        <v>38067</v>
      </c>
      <c r="B38072" s="11" t="str">
        <f>"201511031439"</f>
        <v>201511031439</v>
      </c>
    </row>
    <row r="38073" spans="1:2" x14ac:dyDescent="0.25">
      <c r="A38073" s="2">
        <v>38068</v>
      </c>
      <c r="B38073" s="11" t="str">
        <f>"201511031459"</f>
        <v>201511031459</v>
      </c>
    </row>
    <row r="38074" spans="1:2" x14ac:dyDescent="0.25">
      <c r="A38074" s="2">
        <v>38069</v>
      </c>
      <c r="B38074" s="11" t="str">
        <f>"201511031467"</f>
        <v>201511031467</v>
      </c>
    </row>
    <row r="38075" spans="1:2" x14ac:dyDescent="0.25">
      <c r="A38075" s="2">
        <v>38070</v>
      </c>
      <c r="B38075" s="11" t="str">
        <f>"201511031495"</f>
        <v>201511031495</v>
      </c>
    </row>
    <row r="38076" spans="1:2" x14ac:dyDescent="0.25">
      <c r="A38076" s="2">
        <v>38071</v>
      </c>
      <c r="B38076" s="11" t="str">
        <f>"201511031499"</f>
        <v>201511031499</v>
      </c>
    </row>
    <row r="38077" spans="1:2" x14ac:dyDescent="0.25">
      <c r="A38077" s="2">
        <v>38072</v>
      </c>
      <c r="B38077" s="11" t="str">
        <f>"201511031516"</f>
        <v>201511031516</v>
      </c>
    </row>
    <row r="38078" spans="1:2" x14ac:dyDescent="0.25">
      <c r="A38078" s="2">
        <v>38073</v>
      </c>
      <c r="B38078" s="11" t="str">
        <f>"201511031524"</f>
        <v>201511031524</v>
      </c>
    </row>
    <row r="38079" spans="1:2" x14ac:dyDescent="0.25">
      <c r="A38079" s="2">
        <v>38074</v>
      </c>
      <c r="B38079" s="11" t="str">
        <f>"201511031593"</f>
        <v>201511031593</v>
      </c>
    </row>
    <row r="38080" spans="1:2" x14ac:dyDescent="0.25">
      <c r="A38080" s="2">
        <v>38075</v>
      </c>
      <c r="B38080" s="11" t="str">
        <f>"201511031602"</f>
        <v>201511031602</v>
      </c>
    </row>
    <row r="38081" spans="1:2" x14ac:dyDescent="0.25">
      <c r="A38081" s="2">
        <v>38076</v>
      </c>
      <c r="B38081" s="11" t="str">
        <f>"201511031609"</f>
        <v>201511031609</v>
      </c>
    </row>
    <row r="38082" spans="1:2" x14ac:dyDescent="0.25">
      <c r="A38082" s="2">
        <v>38077</v>
      </c>
      <c r="B38082" s="11" t="str">
        <f>"201511031613"</f>
        <v>201511031613</v>
      </c>
    </row>
    <row r="38083" spans="1:2" x14ac:dyDescent="0.25">
      <c r="A38083" s="2">
        <v>38078</v>
      </c>
      <c r="B38083" s="11" t="str">
        <f>"201511031671"</f>
        <v>201511031671</v>
      </c>
    </row>
    <row r="38084" spans="1:2" x14ac:dyDescent="0.25">
      <c r="A38084" s="2">
        <v>38079</v>
      </c>
      <c r="B38084" s="11" t="str">
        <f>"201511031672"</f>
        <v>201511031672</v>
      </c>
    </row>
    <row r="38085" spans="1:2" x14ac:dyDescent="0.25">
      <c r="A38085" s="2">
        <v>38080</v>
      </c>
      <c r="B38085" s="11" t="str">
        <f>"201511031693"</f>
        <v>201511031693</v>
      </c>
    </row>
    <row r="38086" spans="1:2" x14ac:dyDescent="0.25">
      <c r="A38086" s="2">
        <v>38081</v>
      </c>
      <c r="B38086" s="11" t="str">
        <f>"201511031698"</f>
        <v>201511031698</v>
      </c>
    </row>
    <row r="38087" spans="1:2" x14ac:dyDescent="0.25">
      <c r="A38087" s="2">
        <v>38082</v>
      </c>
      <c r="B38087" s="11" t="str">
        <f>"201511031782"</f>
        <v>201511031782</v>
      </c>
    </row>
    <row r="38088" spans="1:2" x14ac:dyDescent="0.25">
      <c r="A38088" s="2">
        <v>38083</v>
      </c>
      <c r="B38088" s="11" t="str">
        <f>"201511031894"</f>
        <v>201511031894</v>
      </c>
    </row>
    <row r="38089" spans="1:2" x14ac:dyDescent="0.25">
      <c r="A38089" s="2">
        <v>38084</v>
      </c>
      <c r="B38089" s="11" t="str">
        <f>"201511031949"</f>
        <v>201511031949</v>
      </c>
    </row>
    <row r="38090" spans="1:2" x14ac:dyDescent="0.25">
      <c r="A38090" s="2">
        <v>38085</v>
      </c>
      <c r="B38090" s="11" t="str">
        <f>"201511031992"</f>
        <v>201511031992</v>
      </c>
    </row>
    <row r="38091" spans="1:2" x14ac:dyDescent="0.25">
      <c r="A38091" s="2">
        <v>38086</v>
      </c>
      <c r="B38091" s="11" t="str">
        <f>"201511031993"</f>
        <v>201511031993</v>
      </c>
    </row>
    <row r="38092" spans="1:2" x14ac:dyDescent="0.25">
      <c r="A38092" s="2">
        <v>38087</v>
      </c>
      <c r="B38092" s="11" t="str">
        <f>"201511032024"</f>
        <v>201511032024</v>
      </c>
    </row>
    <row r="38093" spans="1:2" x14ac:dyDescent="0.25">
      <c r="A38093" s="2">
        <v>38088</v>
      </c>
      <c r="B38093" s="11" t="str">
        <f>"201511032042"</f>
        <v>201511032042</v>
      </c>
    </row>
    <row r="38094" spans="1:2" x14ac:dyDescent="0.25">
      <c r="A38094" s="2">
        <v>38089</v>
      </c>
      <c r="B38094" s="11" t="str">
        <f>"201511032070"</f>
        <v>201511032070</v>
      </c>
    </row>
    <row r="38095" spans="1:2" x14ac:dyDescent="0.25">
      <c r="A38095" s="2">
        <v>38090</v>
      </c>
      <c r="B38095" s="11" t="str">
        <f>"201511032075"</f>
        <v>201511032075</v>
      </c>
    </row>
    <row r="38096" spans="1:2" x14ac:dyDescent="0.25">
      <c r="A38096" s="2">
        <v>38091</v>
      </c>
      <c r="B38096" s="11" t="str">
        <f>"201511032076"</f>
        <v>201511032076</v>
      </c>
    </row>
    <row r="38097" spans="1:2" x14ac:dyDescent="0.25">
      <c r="A38097" s="2">
        <v>38092</v>
      </c>
      <c r="B38097" s="11" t="str">
        <f>"201511032079"</f>
        <v>201511032079</v>
      </c>
    </row>
    <row r="38098" spans="1:2" x14ac:dyDescent="0.25">
      <c r="A38098" s="2">
        <v>38093</v>
      </c>
      <c r="B38098" s="11" t="str">
        <f>"201511032090"</f>
        <v>201511032090</v>
      </c>
    </row>
    <row r="38099" spans="1:2" x14ac:dyDescent="0.25">
      <c r="A38099" s="2">
        <v>38094</v>
      </c>
      <c r="B38099" s="11" t="str">
        <f>"201511032119"</f>
        <v>201511032119</v>
      </c>
    </row>
    <row r="38100" spans="1:2" x14ac:dyDescent="0.25">
      <c r="A38100" s="2">
        <v>38095</v>
      </c>
      <c r="B38100" s="11" t="str">
        <f>"201511032122"</f>
        <v>201511032122</v>
      </c>
    </row>
    <row r="38101" spans="1:2" x14ac:dyDescent="0.25">
      <c r="A38101" s="2">
        <v>38096</v>
      </c>
      <c r="B38101" s="11" t="str">
        <f>"201511032150"</f>
        <v>201511032150</v>
      </c>
    </row>
    <row r="38102" spans="1:2" x14ac:dyDescent="0.25">
      <c r="A38102" s="2">
        <v>38097</v>
      </c>
      <c r="B38102" s="11" t="str">
        <f>"201511032248"</f>
        <v>201511032248</v>
      </c>
    </row>
    <row r="38103" spans="1:2" x14ac:dyDescent="0.25">
      <c r="A38103" s="2">
        <v>38098</v>
      </c>
      <c r="B38103" s="11" t="str">
        <f>"201511032264"</f>
        <v>201511032264</v>
      </c>
    </row>
    <row r="38104" spans="1:2" x14ac:dyDescent="0.25">
      <c r="A38104" s="2">
        <v>38099</v>
      </c>
      <c r="B38104" s="11" t="str">
        <f>"201511032312"</f>
        <v>201511032312</v>
      </c>
    </row>
    <row r="38105" spans="1:2" x14ac:dyDescent="0.25">
      <c r="A38105" s="2">
        <v>38100</v>
      </c>
      <c r="B38105" s="11" t="str">
        <f>"201511032416"</f>
        <v>201511032416</v>
      </c>
    </row>
    <row r="38106" spans="1:2" x14ac:dyDescent="0.25">
      <c r="A38106" s="2">
        <v>38101</v>
      </c>
      <c r="B38106" s="11" t="str">
        <f>"201511032461"</f>
        <v>201511032461</v>
      </c>
    </row>
    <row r="38107" spans="1:2" x14ac:dyDescent="0.25">
      <c r="A38107" s="2">
        <v>38102</v>
      </c>
      <c r="B38107" s="11" t="str">
        <f>"201511032471"</f>
        <v>201511032471</v>
      </c>
    </row>
    <row r="38108" spans="1:2" x14ac:dyDescent="0.25">
      <c r="A38108" s="2">
        <v>38103</v>
      </c>
      <c r="B38108" s="11" t="str">
        <f>"201511032501"</f>
        <v>201511032501</v>
      </c>
    </row>
    <row r="38109" spans="1:2" x14ac:dyDescent="0.25">
      <c r="A38109" s="2">
        <v>38104</v>
      </c>
      <c r="B38109" s="11" t="str">
        <f>"201511032550"</f>
        <v>201511032550</v>
      </c>
    </row>
    <row r="38110" spans="1:2" x14ac:dyDescent="0.25">
      <c r="A38110" s="2">
        <v>38105</v>
      </c>
      <c r="B38110" s="11" t="str">
        <f>"201511032556"</f>
        <v>201511032556</v>
      </c>
    </row>
    <row r="38111" spans="1:2" x14ac:dyDescent="0.25">
      <c r="A38111" s="2">
        <v>38106</v>
      </c>
      <c r="B38111" s="11" t="str">
        <f>"201511032580"</f>
        <v>201511032580</v>
      </c>
    </row>
    <row r="38112" spans="1:2" x14ac:dyDescent="0.25">
      <c r="A38112" s="2">
        <v>38107</v>
      </c>
      <c r="B38112" s="11" t="str">
        <f>"201511032593"</f>
        <v>201511032593</v>
      </c>
    </row>
    <row r="38113" spans="1:2" x14ac:dyDescent="0.25">
      <c r="A38113" s="2">
        <v>38108</v>
      </c>
      <c r="B38113" s="11" t="str">
        <f>"201511032616"</f>
        <v>201511032616</v>
      </c>
    </row>
    <row r="38114" spans="1:2" x14ac:dyDescent="0.25">
      <c r="A38114" s="2">
        <v>38109</v>
      </c>
      <c r="B38114" s="11" t="str">
        <f>"201511032630"</f>
        <v>201511032630</v>
      </c>
    </row>
    <row r="38115" spans="1:2" x14ac:dyDescent="0.25">
      <c r="A38115" s="2">
        <v>38110</v>
      </c>
      <c r="B38115" s="11" t="str">
        <f>"201511032664"</f>
        <v>201511032664</v>
      </c>
    </row>
    <row r="38116" spans="1:2" x14ac:dyDescent="0.25">
      <c r="A38116" s="2">
        <v>38111</v>
      </c>
      <c r="B38116" s="11" t="str">
        <f>"201511032677"</f>
        <v>201511032677</v>
      </c>
    </row>
    <row r="38117" spans="1:2" x14ac:dyDescent="0.25">
      <c r="A38117" s="2">
        <v>38112</v>
      </c>
      <c r="B38117" s="11" t="str">
        <f>"201511032692"</f>
        <v>201511032692</v>
      </c>
    </row>
    <row r="38118" spans="1:2" x14ac:dyDescent="0.25">
      <c r="A38118" s="2">
        <v>38113</v>
      </c>
      <c r="B38118" s="11" t="str">
        <f>"201511032693"</f>
        <v>201511032693</v>
      </c>
    </row>
    <row r="38119" spans="1:2" x14ac:dyDescent="0.25">
      <c r="A38119" s="2">
        <v>38114</v>
      </c>
      <c r="B38119" s="11" t="str">
        <f>"201511032712"</f>
        <v>201511032712</v>
      </c>
    </row>
    <row r="38120" spans="1:2" x14ac:dyDescent="0.25">
      <c r="A38120" s="2">
        <v>38115</v>
      </c>
      <c r="B38120" s="11" t="str">
        <f>"201511032713"</f>
        <v>201511032713</v>
      </c>
    </row>
    <row r="38121" spans="1:2" x14ac:dyDescent="0.25">
      <c r="A38121" s="2">
        <v>38116</v>
      </c>
      <c r="B38121" s="11" t="str">
        <f>"201511032728"</f>
        <v>201511032728</v>
      </c>
    </row>
    <row r="38122" spans="1:2" x14ac:dyDescent="0.25">
      <c r="A38122" s="2">
        <v>38117</v>
      </c>
      <c r="B38122" s="11" t="str">
        <f>"201511032751"</f>
        <v>201511032751</v>
      </c>
    </row>
    <row r="38123" spans="1:2" x14ac:dyDescent="0.25">
      <c r="A38123" s="2">
        <v>38118</v>
      </c>
      <c r="B38123" s="11" t="str">
        <f>"201511032799"</f>
        <v>201511032799</v>
      </c>
    </row>
    <row r="38124" spans="1:2" x14ac:dyDescent="0.25">
      <c r="A38124" s="2">
        <v>38119</v>
      </c>
      <c r="B38124" s="11" t="str">
        <f>"201511032900"</f>
        <v>201511032900</v>
      </c>
    </row>
    <row r="38125" spans="1:2" x14ac:dyDescent="0.25">
      <c r="A38125" s="2">
        <v>38120</v>
      </c>
      <c r="B38125" s="11" t="str">
        <f>"201511032921"</f>
        <v>201511032921</v>
      </c>
    </row>
    <row r="38126" spans="1:2" x14ac:dyDescent="0.25">
      <c r="A38126" s="2">
        <v>38121</v>
      </c>
      <c r="B38126" s="11" t="str">
        <f>"201511032941"</f>
        <v>201511032941</v>
      </c>
    </row>
    <row r="38127" spans="1:2" x14ac:dyDescent="0.25">
      <c r="A38127" s="2">
        <v>38122</v>
      </c>
      <c r="B38127" s="11" t="str">
        <f>"201511032954"</f>
        <v>201511032954</v>
      </c>
    </row>
    <row r="38128" spans="1:2" x14ac:dyDescent="0.25">
      <c r="A38128" s="2">
        <v>38123</v>
      </c>
      <c r="B38128" s="11" t="str">
        <f>"201511032967"</f>
        <v>201511032967</v>
      </c>
    </row>
    <row r="38129" spans="1:2" x14ac:dyDescent="0.25">
      <c r="A38129" s="2">
        <v>38124</v>
      </c>
      <c r="B38129" s="11" t="str">
        <f>"201511033115"</f>
        <v>201511033115</v>
      </c>
    </row>
    <row r="38130" spans="1:2" x14ac:dyDescent="0.25">
      <c r="A38130" s="2">
        <v>38125</v>
      </c>
      <c r="B38130" s="11" t="str">
        <f>"201511033150"</f>
        <v>201511033150</v>
      </c>
    </row>
    <row r="38131" spans="1:2" x14ac:dyDescent="0.25">
      <c r="A38131" s="2">
        <v>38126</v>
      </c>
      <c r="B38131" s="11" t="str">
        <f>"201511033244"</f>
        <v>201511033244</v>
      </c>
    </row>
    <row r="38132" spans="1:2" x14ac:dyDescent="0.25">
      <c r="A38132" s="2">
        <v>38127</v>
      </c>
      <c r="B38132" s="11" t="str">
        <f>"201511033327"</f>
        <v>201511033327</v>
      </c>
    </row>
    <row r="38133" spans="1:2" x14ac:dyDescent="0.25">
      <c r="A38133" s="2">
        <v>38128</v>
      </c>
      <c r="B38133" s="11" t="str">
        <f>"201511033402"</f>
        <v>201511033402</v>
      </c>
    </row>
    <row r="38134" spans="1:2" x14ac:dyDescent="0.25">
      <c r="A38134" s="2">
        <v>38129</v>
      </c>
      <c r="B38134" s="11" t="str">
        <f>"201511033437"</f>
        <v>201511033437</v>
      </c>
    </row>
    <row r="38135" spans="1:2" x14ac:dyDescent="0.25">
      <c r="A38135" s="2">
        <v>38130</v>
      </c>
      <c r="B38135" s="11" t="str">
        <f>"201511033450"</f>
        <v>201511033450</v>
      </c>
    </row>
    <row r="38136" spans="1:2" x14ac:dyDescent="0.25">
      <c r="A38136" s="2">
        <v>38131</v>
      </c>
      <c r="B38136" s="11" t="str">
        <f>"201511033464"</f>
        <v>201511033464</v>
      </c>
    </row>
    <row r="38137" spans="1:2" x14ac:dyDescent="0.25">
      <c r="A38137" s="2">
        <v>38132</v>
      </c>
      <c r="B38137" s="11" t="str">
        <f>"201511033514"</f>
        <v>201511033514</v>
      </c>
    </row>
    <row r="38138" spans="1:2" x14ac:dyDescent="0.25">
      <c r="A38138" s="2">
        <v>38133</v>
      </c>
      <c r="B38138" s="11" t="str">
        <f>"201511033519"</f>
        <v>201511033519</v>
      </c>
    </row>
    <row r="38139" spans="1:2" x14ac:dyDescent="0.25">
      <c r="A38139" s="2">
        <v>38134</v>
      </c>
      <c r="B38139" s="11" t="str">
        <f>"201511033594"</f>
        <v>201511033594</v>
      </c>
    </row>
    <row r="38140" spans="1:2" x14ac:dyDescent="0.25">
      <c r="A38140" s="2">
        <v>38135</v>
      </c>
      <c r="B38140" s="11" t="str">
        <f>"201511033616"</f>
        <v>201511033616</v>
      </c>
    </row>
    <row r="38141" spans="1:2" x14ac:dyDescent="0.25">
      <c r="A38141" s="2">
        <v>38136</v>
      </c>
      <c r="B38141" s="11" t="str">
        <f>"201511033651"</f>
        <v>201511033651</v>
      </c>
    </row>
    <row r="38142" spans="1:2" x14ac:dyDescent="0.25">
      <c r="A38142" s="2">
        <v>38137</v>
      </c>
      <c r="B38142" s="11" t="str">
        <f>"201511033655"</f>
        <v>201511033655</v>
      </c>
    </row>
    <row r="38143" spans="1:2" x14ac:dyDescent="0.25">
      <c r="A38143" s="2">
        <v>38138</v>
      </c>
      <c r="B38143" s="11" t="str">
        <f>"201511033704"</f>
        <v>201511033704</v>
      </c>
    </row>
    <row r="38144" spans="1:2" x14ac:dyDescent="0.25">
      <c r="A38144" s="2">
        <v>38139</v>
      </c>
      <c r="B38144" s="11" t="str">
        <f>"201511033781"</f>
        <v>201511033781</v>
      </c>
    </row>
    <row r="38145" spans="1:2" x14ac:dyDescent="0.25">
      <c r="A38145" s="2">
        <v>38140</v>
      </c>
      <c r="B38145" s="11" t="str">
        <f>"201511033792"</f>
        <v>201511033792</v>
      </c>
    </row>
    <row r="38146" spans="1:2" x14ac:dyDescent="0.25">
      <c r="A38146" s="2">
        <v>38141</v>
      </c>
      <c r="B38146" s="11" t="str">
        <f>"201511033801"</f>
        <v>201511033801</v>
      </c>
    </row>
    <row r="38147" spans="1:2" x14ac:dyDescent="0.25">
      <c r="A38147" s="2">
        <v>38142</v>
      </c>
      <c r="B38147" s="11" t="str">
        <f>"201511033838"</f>
        <v>201511033838</v>
      </c>
    </row>
    <row r="38148" spans="1:2" x14ac:dyDescent="0.25">
      <c r="A38148" s="2">
        <v>38143</v>
      </c>
      <c r="B38148" s="11" t="str">
        <f>"201511033906"</f>
        <v>201511033906</v>
      </c>
    </row>
    <row r="38149" spans="1:2" x14ac:dyDescent="0.25">
      <c r="A38149" s="2">
        <v>38144</v>
      </c>
      <c r="B38149" s="11" t="str">
        <f>"201511034013"</f>
        <v>201511034013</v>
      </c>
    </row>
    <row r="38150" spans="1:2" x14ac:dyDescent="0.25">
      <c r="A38150" s="2">
        <v>38145</v>
      </c>
      <c r="B38150" s="11" t="str">
        <f>"201511034014"</f>
        <v>201511034014</v>
      </c>
    </row>
    <row r="38151" spans="1:2" x14ac:dyDescent="0.25">
      <c r="A38151" s="2">
        <v>38146</v>
      </c>
      <c r="B38151" s="11" t="str">
        <f>"201511034021"</f>
        <v>201511034021</v>
      </c>
    </row>
    <row r="38152" spans="1:2" x14ac:dyDescent="0.25">
      <c r="A38152" s="2">
        <v>38147</v>
      </c>
      <c r="B38152" s="11" t="str">
        <f>"201511034075"</f>
        <v>201511034075</v>
      </c>
    </row>
    <row r="38153" spans="1:2" x14ac:dyDescent="0.25">
      <c r="A38153" s="2">
        <v>38148</v>
      </c>
      <c r="B38153" s="11" t="str">
        <f>"201511034204"</f>
        <v>201511034204</v>
      </c>
    </row>
    <row r="38154" spans="1:2" x14ac:dyDescent="0.25">
      <c r="A38154" s="2">
        <v>38149</v>
      </c>
      <c r="B38154" s="11" t="str">
        <f>"201511034215"</f>
        <v>201511034215</v>
      </c>
    </row>
    <row r="38155" spans="1:2" x14ac:dyDescent="0.25">
      <c r="A38155" s="2">
        <v>38150</v>
      </c>
      <c r="B38155" s="11" t="str">
        <f>"201511034289"</f>
        <v>201511034289</v>
      </c>
    </row>
    <row r="38156" spans="1:2" x14ac:dyDescent="0.25">
      <c r="A38156" s="2">
        <v>38151</v>
      </c>
      <c r="B38156" s="11" t="str">
        <f>"201511034310"</f>
        <v>201511034310</v>
      </c>
    </row>
    <row r="38157" spans="1:2" x14ac:dyDescent="0.25">
      <c r="A38157" s="2">
        <v>38152</v>
      </c>
      <c r="B38157" s="11" t="str">
        <f>"201511034329"</f>
        <v>201511034329</v>
      </c>
    </row>
    <row r="38158" spans="1:2" x14ac:dyDescent="0.25">
      <c r="A38158" s="2">
        <v>38153</v>
      </c>
      <c r="B38158" s="11" t="str">
        <f>"201511034330"</f>
        <v>201511034330</v>
      </c>
    </row>
    <row r="38159" spans="1:2" x14ac:dyDescent="0.25">
      <c r="A38159" s="2">
        <v>38154</v>
      </c>
      <c r="B38159" s="11" t="str">
        <f>"201511034334"</f>
        <v>201511034334</v>
      </c>
    </row>
    <row r="38160" spans="1:2" x14ac:dyDescent="0.25">
      <c r="A38160" s="2">
        <v>38155</v>
      </c>
      <c r="B38160" s="11" t="str">
        <f>"201511034344"</f>
        <v>201511034344</v>
      </c>
    </row>
    <row r="38161" spans="1:2" x14ac:dyDescent="0.25">
      <c r="A38161" s="2">
        <v>38156</v>
      </c>
      <c r="B38161" s="11" t="str">
        <f>"201511034349"</f>
        <v>201511034349</v>
      </c>
    </row>
    <row r="38162" spans="1:2" x14ac:dyDescent="0.25">
      <c r="A38162" s="2">
        <v>38157</v>
      </c>
      <c r="B38162" s="11" t="str">
        <f>"201511034411"</f>
        <v>201511034411</v>
      </c>
    </row>
    <row r="38163" spans="1:2" x14ac:dyDescent="0.25">
      <c r="A38163" s="2">
        <v>38158</v>
      </c>
      <c r="B38163" s="11" t="str">
        <f>"201511034475"</f>
        <v>201511034475</v>
      </c>
    </row>
    <row r="38164" spans="1:2" x14ac:dyDescent="0.25">
      <c r="A38164" s="2">
        <v>38159</v>
      </c>
      <c r="B38164" s="11" t="str">
        <f>"201511034535"</f>
        <v>201511034535</v>
      </c>
    </row>
    <row r="38165" spans="1:2" x14ac:dyDescent="0.25">
      <c r="A38165" s="2">
        <v>38160</v>
      </c>
      <c r="B38165" s="11" t="str">
        <f>"201511034548"</f>
        <v>201511034548</v>
      </c>
    </row>
    <row r="38166" spans="1:2" x14ac:dyDescent="0.25">
      <c r="A38166" s="2">
        <v>38161</v>
      </c>
      <c r="B38166" s="11" t="str">
        <f>"201511034552"</f>
        <v>201511034552</v>
      </c>
    </row>
    <row r="38167" spans="1:2" x14ac:dyDescent="0.25">
      <c r="A38167" s="2">
        <v>38162</v>
      </c>
      <c r="B38167" s="11" t="str">
        <f>"201511034572"</f>
        <v>201511034572</v>
      </c>
    </row>
    <row r="38168" spans="1:2" x14ac:dyDescent="0.25">
      <c r="A38168" s="2">
        <v>38163</v>
      </c>
      <c r="B38168" s="11" t="str">
        <f>"201511034582"</f>
        <v>201511034582</v>
      </c>
    </row>
    <row r="38169" spans="1:2" x14ac:dyDescent="0.25">
      <c r="A38169" s="2">
        <v>38164</v>
      </c>
      <c r="B38169" s="11" t="str">
        <f>"201511034680"</f>
        <v>201511034680</v>
      </c>
    </row>
    <row r="38170" spans="1:2" x14ac:dyDescent="0.25">
      <c r="A38170" s="2">
        <v>38165</v>
      </c>
      <c r="B38170" s="11" t="str">
        <f>"201511034694"</f>
        <v>201511034694</v>
      </c>
    </row>
    <row r="38171" spans="1:2" x14ac:dyDescent="0.25">
      <c r="A38171" s="2">
        <v>38166</v>
      </c>
      <c r="B38171" s="11" t="str">
        <f>"201511034736"</f>
        <v>201511034736</v>
      </c>
    </row>
    <row r="38172" spans="1:2" x14ac:dyDescent="0.25">
      <c r="A38172" s="2">
        <v>38167</v>
      </c>
      <c r="B38172" s="11" t="str">
        <f>"201511034747"</f>
        <v>201511034747</v>
      </c>
    </row>
    <row r="38173" spans="1:2" x14ac:dyDescent="0.25">
      <c r="A38173" s="2">
        <v>38168</v>
      </c>
      <c r="B38173" s="11" t="str">
        <f>"201511034837"</f>
        <v>201511034837</v>
      </c>
    </row>
    <row r="38174" spans="1:2" x14ac:dyDescent="0.25">
      <c r="A38174" s="2">
        <v>38169</v>
      </c>
      <c r="B38174" s="11" t="str">
        <f>"201511034840"</f>
        <v>201511034840</v>
      </c>
    </row>
    <row r="38175" spans="1:2" x14ac:dyDescent="0.25">
      <c r="A38175" s="2">
        <v>38170</v>
      </c>
      <c r="B38175" s="11" t="str">
        <f>"201511034854"</f>
        <v>201511034854</v>
      </c>
    </row>
    <row r="38176" spans="1:2" x14ac:dyDescent="0.25">
      <c r="A38176" s="2">
        <v>38171</v>
      </c>
      <c r="B38176" s="11" t="str">
        <f>"201511034867"</f>
        <v>201511034867</v>
      </c>
    </row>
    <row r="38177" spans="1:2" x14ac:dyDescent="0.25">
      <c r="A38177" s="2">
        <v>38172</v>
      </c>
      <c r="B38177" s="11" t="str">
        <f>"201511034929"</f>
        <v>201511034929</v>
      </c>
    </row>
    <row r="38178" spans="1:2" x14ac:dyDescent="0.25">
      <c r="A38178" s="2">
        <v>38173</v>
      </c>
      <c r="B38178" s="11" t="str">
        <f>"201511034931"</f>
        <v>201511034931</v>
      </c>
    </row>
    <row r="38179" spans="1:2" x14ac:dyDescent="0.25">
      <c r="A38179" s="2">
        <v>38174</v>
      </c>
      <c r="B38179" s="11" t="str">
        <f>"201511035018"</f>
        <v>201511035018</v>
      </c>
    </row>
    <row r="38180" spans="1:2" x14ac:dyDescent="0.25">
      <c r="A38180" s="2">
        <v>38175</v>
      </c>
      <c r="B38180" s="11" t="str">
        <f>"201511035042"</f>
        <v>201511035042</v>
      </c>
    </row>
    <row r="38181" spans="1:2" x14ac:dyDescent="0.25">
      <c r="A38181" s="2">
        <v>38176</v>
      </c>
      <c r="B38181" s="11" t="str">
        <f>"201511035046"</f>
        <v>201511035046</v>
      </c>
    </row>
    <row r="38182" spans="1:2" x14ac:dyDescent="0.25">
      <c r="A38182" s="2">
        <v>38177</v>
      </c>
      <c r="B38182" s="11" t="str">
        <f>"201511035065"</f>
        <v>201511035065</v>
      </c>
    </row>
    <row r="38183" spans="1:2" x14ac:dyDescent="0.25">
      <c r="A38183" s="2">
        <v>38178</v>
      </c>
      <c r="B38183" s="11" t="str">
        <f>"201511035089"</f>
        <v>201511035089</v>
      </c>
    </row>
    <row r="38184" spans="1:2" x14ac:dyDescent="0.25">
      <c r="A38184" s="2">
        <v>38179</v>
      </c>
      <c r="B38184" s="11" t="str">
        <f>"201511035127"</f>
        <v>201511035127</v>
      </c>
    </row>
    <row r="38185" spans="1:2" x14ac:dyDescent="0.25">
      <c r="A38185" s="2">
        <v>38180</v>
      </c>
      <c r="B38185" s="11" t="str">
        <f>"201511035226"</f>
        <v>201511035226</v>
      </c>
    </row>
    <row r="38186" spans="1:2" x14ac:dyDescent="0.25">
      <c r="A38186" s="2">
        <v>38181</v>
      </c>
      <c r="B38186" s="11" t="str">
        <f>"201511035236"</f>
        <v>201511035236</v>
      </c>
    </row>
    <row r="38187" spans="1:2" x14ac:dyDescent="0.25">
      <c r="A38187" s="2">
        <v>38182</v>
      </c>
      <c r="B38187" s="11" t="str">
        <f>"201511035243"</f>
        <v>201511035243</v>
      </c>
    </row>
    <row r="38188" spans="1:2" x14ac:dyDescent="0.25">
      <c r="A38188" s="2">
        <v>38183</v>
      </c>
      <c r="B38188" s="11" t="str">
        <f>"201511035333"</f>
        <v>201511035333</v>
      </c>
    </row>
    <row r="38189" spans="1:2" x14ac:dyDescent="0.25">
      <c r="A38189" s="2">
        <v>38184</v>
      </c>
      <c r="B38189" s="11" t="str">
        <f>"201511035342"</f>
        <v>201511035342</v>
      </c>
    </row>
    <row r="38190" spans="1:2" x14ac:dyDescent="0.25">
      <c r="A38190" s="2">
        <v>38185</v>
      </c>
      <c r="B38190" s="11" t="str">
        <f>"201511035362"</f>
        <v>201511035362</v>
      </c>
    </row>
    <row r="38191" spans="1:2" x14ac:dyDescent="0.25">
      <c r="A38191" s="2">
        <v>38186</v>
      </c>
      <c r="B38191" s="11" t="str">
        <f>"201511035378"</f>
        <v>201511035378</v>
      </c>
    </row>
    <row r="38192" spans="1:2" x14ac:dyDescent="0.25">
      <c r="A38192" s="2">
        <v>38187</v>
      </c>
      <c r="B38192" s="11" t="str">
        <f>"201511035393"</f>
        <v>201511035393</v>
      </c>
    </row>
    <row r="38193" spans="1:2" x14ac:dyDescent="0.25">
      <c r="A38193" s="2">
        <v>38188</v>
      </c>
      <c r="B38193" s="11" t="str">
        <f>"201511035414"</f>
        <v>201511035414</v>
      </c>
    </row>
    <row r="38194" spans="1:2" x14ac:dyDescent="0.25">
      <c r="A38194" s="2">
        <v>38189</v>
      </c>
      <c r="B38194" s="11" t="str">
        <f>"201511035434"</f>
        <v>201511035434</v>
      </c>
    </row>
    <row r="38195" spans="1:2" x14ac:dyDescent="0.25">
      <c r="A38195" s="2">
        <v>38190</v>
      </c>
      <c r="B38195" s="11" t="str">
        <f>"201511035545"</f>
        <v>201511035545</v>
      </c>
    </row>
    <row r="38196" spans="1:2" x14ac:dyDescent="0.25">
      <c r="A38196" s="2">
        <v>38191</v>
      </c>
      <c r="B38196" s="11" t="str">
        <f>"201511035619"</f>
        <v>201511035619</v>
      </c>
    </row>
    <row r="38197" spans="1:2" x14ac:dyDescent="0.25">
      <c r="A38197" s="2">
        <v>38192</v>
      </c>
      <c r="B38197" s="11" t="str">
        <f>"201511035640"</f>
        <v>201511035640</v>
      </c>
    </row>
    <row r="38198" spans="1:2" x14ac:dyDescent="0.25">
      <c r="A38198" s="2">
        <v>38193</v>
      </c>
      <c r="B38198" s="11" t="str">
        <f>"201511035660"</f>
        <v>201511035660</v>
      </c>
    </row>
    <row r="38199" spans="1:2" x14ac:dyDescent="0.25">
      <c r="A38199" s="2">
        <v>38194</v>
      </c>
      <c r="B38199" s="11" t="str">
        <f>"201511035677"</f>
        <v>201511035677</v>
      </c>
    </row>
    <row r="38200" spans="1:2" x14ac:dyDescent="0.25">
      <c r="A38200" s="2">
        <v>38195</v>
      </c>
      <c r="B38200" s="11" t="str">
        <f>"201511035711"</f>
        <v>201511035711</v>
      </c>
    </row>
    <row r="38201" spans="1:2" x14ac:dyDescent="0.25">
      <c r="A38201" s="2">
        <v>38196</v>
      </c>
      <c r="B38201" s="11" t="str">
        <f>"201511035724"</f>
        <v>201511035724</v>
      </c>
    </row>
    <row r="38202" spans="1:2" x14ac:dyDescent="0.25">
      <c r="A38202" s="2">
        <v>38197</v>
      </c>
      <c r="B38202" s="11" t="str">
        <f>"201511035836"</f>
        <v>201511035836</v>
      </c>
    </row>
    <row r="38203" spans="1:2" x14ac:dyDescent="0.25">
      <c r="A38203" s="2">
        <v>38198</v>
      </c>
      <c r="B38203" s="11" t="str">
        <f>"201511035887"</f>
        <v>201511035887</v>
      </c>
    </row>
    <row r="38204" spans="1:2" x14ac:dyDescent="0.25">
      <c r="A38204" s="2">
        <v>38199</v>
      </c>
      <c r="B38204" s="11" t="str">
        <f>"201511035933"</f>
        <v>201511035933</v>
      </c>
    </row>
    <row r="38205" spans="1:2" x14ac:dyDescent="0.25">
      <c r="A38205" s="2">
        <v>38200</v>
      </c>
      <c r="B38205" s="11" t="str">
        <f>"201511035938"</f>
        <v>201511035938</v>
      </c>
    </row>
    <row r="38206" spans="1:2" x14ac:dyDescent="0.25">
      <c r="A38206" s="2">
        <v>38201</v>
      </c>
      <c r="B38206" s="11" t="str">
        <f>"201511035942"</f>
        <v>201511035942</v>
      </c>
    </row>
    <row r="38207" spans="1:2" x14ac:dyDescent="0.25">
      <c r="A38207" s="2">
        <v>38202</v>
      </c>
      <c r="B38207" s="11" t="str">
        <f>"201511035955"</f>
        <v>201511035955</v>
      </c>
    </row>
    <row r="38208" spans="1:2" x14ac:dyDescent="0.25">
      <c r="A38208" s="2">
        <v>38203</v>
      </c>
      <c r="B38208" s="11" t="str">
        <f>"201511035960"</f>
        <v>201511035960</v>
      </c>
    </row>
    <row r="38209" spans="1:2" x14ac:dyDescent="0.25">
      <c r="A38209" s="2">
        <v>38204</v>
      </c>
      <c r="B38209" s="11" t="str">
        <f>"201511036015"</f>
        <v>201511036015</v>
      </c>
    </row>
    <row r="38210" spans="1:2" x14ac:dyDescent="0.25">
      <c r="A38210" s="2">
        <v>38205</v>
      </c>
      <c r="B38210" s="11" t="str">
        <f>"201511036128"</f>
        <v>201511036128</v>
      </c>
    </row>
    <row r="38211" spans="1:2" x14ac:dyDescent="0.25">
      <c r="A38211" s="2">
        <v>38206</v>
      </c>
      <c r="B38211" s="11" t="str">
        <f>"201511036164"</f>
        <v>201511036164</v>
      </c>
    </row>
    <row r="38212" spans="1:2" x14ac:dyDescent="0.25">
      <c r="A38212" s="2">
        <v>38207</v>
      </c>
      <c r="B38212" s="11" t="str">
        <f>"201511036171"</f>
        <v>201511036171</v>
      </c>
    </row>
    <row r="38213" spans="1:2" x14ac:dyDescent="0.25">
      <c r="A38213" s="2">
        <v>38208</v>
      </c>
      <c r="B38213" s="11" t="str">
        <f>"201511036191"</f>
        <v>201511036191</v>
      </c>
    </row>
    <row r="38214" spans="1:2" x14ac:dyDescent="0.25">
      <c r="A38214" s="2">
        <v>38209</v>
      </c>
      <c r="B38214" s="11" t="str">
        <f>"201511036267"</f>
        <v>201511036267</v>
      </c>
    </row>
    <row r="38215" spans="1:2" x14ac:dyDescent="0.25">
      <c r="A38215" s="2">
        <v>38210</v>
      </c>
      <c r="B38215" s="11" t="str">
        <f>"201511036276"</f>
        <v>201511036276</v>
      </c>
    </row>
    <row r="38216" spans="1:2" x14ac:dyDescent="0.25">
      <c r="A38216" s="2">
        <v>38211</v>
      </c>
      <c r="B38216" s="11" t="str">
        <f>"201511036300"</f>
        <v>201511036300</v>
      </c>
    </row>
    <row r="38217" spans="1:2" x14ac:dyDescent="0.25">
      <c r="A38217" s="2">
        <v>38212</v>
      </c>
      <c r="B38217" s="11" t="str">
        <f>"201511036348"</f>
        <v>201511036348</v>
      </c>
    </row>
    <row r="38218" spans="1:2" x14ac:dyDescent="0.25">
      <c r="A38218" s="2">
        <v>38213</v>
      </c>
      <c r="B38218" s="11" t="str">
        <f>"201511036349"</f>
        <v>201511036349</v>
      </c>
    </row>
    <row r="38219" spans="1:2" x14ac:dyDescent="0.25">
      <c r="A38219" s="2">
        <v>38214</v>
      </c>
      <c r="B38219" s="11" t="str">
        <f>"201511036372"</f>
        <v>201511036372</v>
      </c>
    </row>
    <row r="38220" spans="1:2" x14ac:dyDescent="0.25">
      <c r="A38220" s="2">
        <v>38215</v>
      </c>
      <c r="B38220" s="11" t="str">
        <f>"201511036462"</f>
        <v>201511036462</v>
      </c>
    </row>
    <row r="38221" spans="1:2" x14ac:dyDescent="0.25">
      <c r="A38221" s="2">
        <v>38216</v>
      </c>
      <c r="B38221" s="11" t="str">
        <f>"201511036522"</f>
        <v>201511036522</v>
      </c>
    </row>
    <row r="38222" spans="1:2" x14ac:dyDescent="0.25">
      <c r="A38222" s="2">
        <v>38217</v>
      </c>
      <c r="B38222" s="11" t="str">
        <f>"201511036532"</f>
        <v>201511036532</v>
      </c>
    </row>
    <row r="38223" spans="1:2" x14ac:dyDescent="0.25">
      <c r="A38223" s="2">
        <v>38218</v>
      </c>
      <c r="B38223" s="11" t="str">
        <f>"201511036560"</f>
        <v>201511036560</v>
      </c>
    </row>
    <row r="38224" spans="1:2" x14ac:dyDescent="0.25">
      <c r="A38224" s="2">
        <v>38219</v>
      </c>
      <c r="B38224" s="11" t="str">
        <f>"201511036565"</f>
        <v>201511036565</v>
      </c>
    </row>
    <row r="38225" spans="1:2" x14ac:dyDescent="0.25">
      <c r="A38225" s="2">
        <v>38220</v>
      </c>
      <c r="B38225" s="11" t="str">
        <f>"201511036570"</f>
        <v>201511036570</v>
      </c>
    </row>
    <row r="38226" spans="1:2" x14ac:dyDescent="0.25">
      <c r="A38226" s="2">
        <v>38221</v>
      </c>
      <c r="B38226" s="11" t="str">
        <f>"201511036637"</f>
        <v>201511036637</v>
      </c>
    </row>
    <row r="38227" spans="1:2" x14ac:dyDescent="0.25">
      <c r="A38227" s="2">
        <v>38222</v>
      </c>
      <c r="B38227" s="11" t="str">
        <f>"201511036642"</f>
        <v>201511036642</v>
      </c>
    </row>
    <row r="38228" spans="1:2" x14ac:dyDescent="0.25">
      <c r="A38228" s="2">
        <v>38223</v>
      </c>
      <c r="B38228" s="11" t="str">
        <f>"201511036644"</f>
        <v>201511036644</v>
      </c>
    </row>
    <row r="38229" spans="1:2" x14ac:dyDescent="0.25">
      <c r="A38229" s="2">
        <v>38224</v>
      </c>
      <c r="B38229" s="11" t="str">
        <f>"201511036666"</f>
        <v>201511036666</v>
      </c>
    </row>
    <row r="38230" spans="1:2" x14ac:dyDescent="0.25">
      <c r="A38230" s="2">
        <v>38225</v>
      </c>
      <c r="B38230" s="11" t="str">
        <f>"201511036699"</f>
        <v>201511036699</v>
      </c>
    </row>
    <row r="38231" spans="1:2" x14ac:dyDescent="0.25">
      <c r="A38231" s="2">
        <v>38226</v>
      </c>
      <c r="B38231" s="11" t="str">
        <f>"201511036730"</f>
        <v>201511036730</v>
      </c>
    </row>
    <row r="38232" spans="1:2" x14ac:dyDescent="0.25">
      <c r="A38232" s="2">
        <v>38227</v>
      </c>
      <c r="B38232" s="11" t="str">
        <f>"201511036761"</f>
        <v>201511036761</v>
      </c>
    </row>
    <row r="38233" spans="1:2" x14ac:dyDescent="0.25">
      <c r="A38233" s="2">
        <v>38228</v>
      </c>
      <c r="B38233" s="11" t="str">
        <f>"201511036795"</f>
        <v>201511036795</v>
      </c>
    </row>
    <row r="38234" spans="1:2" x14ac:dyDescent="0.25">
      <c r="A38234" s="2">
        <v>38229</v>
      </c>
      <c r="B38234" s="11" t="str">
        <f>"201511036861"</f>
        <v>201511036861</v>
      </c>
    </row>
    <row r="38235" spans="1:2" x14ac:dyDescent="0.25">
      <c r="A38235" s="2">
        <v>38230</v>
      </c>
      <c r="B38235" s="11" t="str">
        <f>"201511036865"</f>
        <v>201511036865</v>
      </c>
    </row>
    <row r="38236" spans="1:2" x14ac:dyDescent="0.25">
      <c r="A38236" s="2">
        <v>38231</v>
      </c>
      <c r="B38236" s="11" t="str">
        <f>"201511036907"</f>
        <v>201511036907</v>
      </c>
    </row>
    <row r="38237" spans="1:2" x14ac:dyDescent="0.25">
      <c r="A38237" s="2">
        <v>38232</v>
      </c>
      <c r="B38237" s="11" t="str">
        <f>"201511036916"</f>
        <v>201511036916</v>
      </c>
    </row>
    <row r="38238" spans="1:2" x14ac:dyDescent="0.25">
      <c r="A38238" s="2">
        <v>38233</v>
      </c>
      <c r="B38238" s="11" t="str">
        <f>"201511036945"</f>
        <v>201511036945</v>
      </c>
    </row>
    <row r="38239" spans="1:2" x14ac:dyDescent="0.25">
      <c r="A38239" s="2">
        <v>38234</v>
      </c>
      <c r="B38239" s="11" t="str">
        <f>"201511036968"</f>
        <v>201511036968</v>
      </c>
    </row>
    <row r="38240" spans="1:2" x14ac:dyDescent="0.25">
      <c r="A38240" s="2">
        <v>38235</v>
      </c>
      <c r="B38240" s="11" t="str">
        <f>"201511036970"</f>
        <v>201511036970</v>
      </c>
    </row>
    <row r="38241" spans="1:2" x14ac:dyDescent="0.25">
      <c r="A38241" s="2">
        <v>38236</v>
      </c>
      <c r="B38241" s="11" t="str">
        <f>"201511037004"</f>
        <v>201511037004</v>
      </c>
    </row>
    <row r="38242" spans="1:2" x14ac:dyDescent="0.25">
      <c r="A38242" s="2">
        <v>38237</v>
      </c>
      <c r="B38242" s="11" t="str">
        <f>"201511037008"</f>
        <v>201511037008</v>
      </c>
    </row>
    <row r="38243" spans="1:2" x14ac:dyDescent="0.25">
      <c r="A38243" s="2">
        <v>38238</v>
      </c>
      <c r="B38243" s="11" t="str">
        <f>"201511037080"</f>
        <v>201511037080</v>
      </c>
    </row>
    <row r="38244" spans="1:2" x14ac:dyDescent="0.25">
      <c r="A38244" s="2">
        <v>38239</v>
      </c>
      <c r="B38244" s="11" t="str">
        <f>"201511037126"</f>
        <v>201511037126</v>
      </c>
    </row>
    <row r="38245" spans="1:2" x14ac:dyDescent="0.25">
      <c r="A38245" s="2">
        <v>38240</v>
      </c>
      <c r="B38245" s="11" t="str">
        <f>"201511037147"</f>
        <v>201511037147</v>
      </c>
    </row>
    <row r="38246" spans="1:2" x14ac:dyDescent="0.25">
      <c r="A38246" s="2">
        <v>38241</v>
      </c>
      <c r="B38246" s="11" t="str">
        <f>"201511037168"</f>
        <v>201511037168</v>
      </c>
    </row>
    <row r="38247" spans="1:2" x14ac:dyDescent="0.25">
      <c r="A38247" s="2">
        <v>38242</v>
      </c>
      <c r="B38247" s="11" t="str">
        <f>"201511037219"</f>
        <v>201511037219</v>
      </c>
    </row>
    <row r="38248" spans="1:2" x14ac:dyDescent="0.25">
      <c r="A38248" s="2">
        <v>38243</v>
      </c>
      <c r="B38248" s="11" t="str">
        <f>"201511037223"</f>
        <v>201511037223</v>
      </c>
    </row>
    <row r="38249" spans="1:2" x14ac:dyDescent="0.25">
      <c r="A38249" s="2">
        <v>38244</v>
      </c>
      <c r="B38249" s="11" t="str">
        <f>"201511037252"</f>
        <v>201511037252</v>
      </c>
    </row>
    <row r="38250" spans="1:2" x14ac:dyDescent="0.25">
      <c r="A38250" s="2">
        <v>38245</v>
      </c>
      <c r="B38250" s="11" t="str">
        <f>"201511037262"</f>
        <v>201511037262</v>
      </c>
    </row>
    <row r="38251" spans="1:2" x14ac:dyDescent="0.25">
      <c r="A38251" s="2">
        <v>38246</v>
      </c>
      <c r="B38251" s="11" t="str">
        <f>"201511037281"</f>
        <v>201511037281</v>
      </c>
    </row>
    <row r="38252" spans="1:2" x14ac:dyDescent="0.25">
      <c r="A38252" s="2">
        <v>38247</v>
      </c>
      <c r="B38252" s="11" t="str">
        <f>"201511037292"</f>
        <v>201511037292</v>
      </c>
    </row>
    <row r="38253" spans="1:2" x14ac:dyDescent="0.25">
      <c r="A38253" s="2">
        <v>38248</v>
      </c>
      <c r="B38253" s="11" t="str">
        <f>"201511037304"</f>
        <v>201511037304</v>
      </c>
    </row>
    <row r="38254" spans="1:2" x14ac:dyDescent="0.25">
      <c r="A38254" s="2">
        <v>38249</v>
      </c>
      <c r="B38254" s="11" t="str">
        <f>"201511037312"</f>
        <v>201511037312</v>
      </c>
    </row>
    <row r="38255" spans="1:2" x14ac:dyDescent="0.25">
      <c r="A38255" s="2">
        <v>38250</v>
      </c>
      <c r="B38255" s="11" t="str">
        <f>"201511037324"</f>
        <v>201511037324</v>
      </c>
    </row>
    <row r="38256" spans="1:2" x14ac:dyDescent="0.25">
      <c r="A38256" s="2">
        <v>38251</v>
      </c>
      <c r="B38256" s="11" t="str">
        <f>"201511037331"</f>
        <v>201511037331</v>
      </c>
    </row>
    <row r="38257" spans="1:2" x14ac:dyDescent="0.25">
      <c r="A38257" s="2">
        <v>38252</v>
      </c>
      <c r="B38257" s="11" t="str">
        <f>"201511037351"</f>
        <v>201511037351</v>
      </c>
    </row>
    <row r="38258" spans="1:2" x14ac:dyDescent="0.25">
      <c r="A38258" s="2">
        <v>38253</v>
      </c>
      <c r="B38258" s="11" t="str">
        <f>"201511037353"</f>
        <v>201511037353</v>
      </c>
    </row>
    <row r="38259" spans="1:2" x14ac:dyDescent="0.25">
      <c r="A38259" s="2">
        <v>38254</v>
      </c>
      <c r="B38259" s="11" t="str">
        <f>"201511037364"</f>
        <v>201511037364</v>
      </c>
    </row>
    <row r="38260" spans="1:2" x14ac:dyDescent="0.25">
      <c r="A38260" s="2">
        <v>38255</v>
      </c>
      <c r="B38260" s="11" t="str">
        <f>"201511037377"</f>
        <v>201511037377</v>
      </c>
    </row>
    <row r="38261" spans="1:2" x14ac:dyDescent="0.25">
      <c r="A38261" s="2">
        <v>38256</v>
      </c>
      <c r="B38261" s="11" t="str">
        <f>"201511037378"</f>
        <v>201511037378</v>
      </c>
    </row>
    <row r="38262" spans="1:2" x14ac:dyDescent="0.25">
      <c r="A38262" s="2">
        <v>38257</v>
      </c>
      <c r="B38262" s="11" t="str">
        <f>"201511037393"</f>
        <v>201511037393</v>
      </c>
    </row>
    <row r="38263" spans="1:2" x14ac:dyDescent="0.25">
      <c r="A38263" s="2">
        <v>38258</v>
      </c>
      <c r="B38263" s="11" t="str">
        <f>"201511037417"</f>
        <v>201511037417</v>
      </c>
    </row>
    <row r="38264" spans="1:2" x14ac:dyDescent="0.25">
      <c r="A38264" s="2">
        <v>38259</v>
      </c>
      <c r="B38264" s="11" t="str">
        <f>"201511037430"</f>
        <v>201511037430</v>
      </c>
    </row>
    <row r="38265" spans="1:2" x14ac:dyDescent="0.25">
      <c r="A38265" s="2">
        <v>38260</v>
      </c>
      <c r="B38265" s="11" t="str">
        <f>"201511037468"</f>
        <v>201511037468</v>
      </c>
    </row>
    <row r="38266" spans="1:2" x14ac:dyDescent="0.25">
      <c r="A38266" s="2">
        <v>38261</v>
      </c>
      <c r="B38266" s="11" t="str">
        <f>"201511037484"</f>
        <v>201511037484</v>
      </c>
    </row>
    <row r="38267" spans="1:2" x14ac:dyDescent="0.25">
      <c r="A38267" s="2">
        <v>38262</v>
      </c>
      <c r="B38267" s="11" t="str">
        <f>"201511037487"</f>
        <v>201511037487</v>
      </c>
    </row>
    <row r="38268" spans="1:2" x14ac:dyDescent="0.25">
      <c r="A38268" s="2">
        <v>38263</v>
      </c>
      <c r="B38268" s="11" t="str">
        <f>"201511037518"</f>
        <v>201511037518</v>
      </c>
    </row>
    <row r="38269" spans="1:2" x14ac:dyDescent="0.25">
      <c r="A38269" s="2">
        <v>38264</v>
      </c>
      <c r="B38269" s="11" t="str">
        <f>"201511037520"</f>
        <v>201511037520</v>
      </c>
    </row>
    <row r="38270" spans="1:2" x14ac:dyDescent="0.25">
      <c r="A38270" s="2">
        <v>38265</v>
      </c>
      <c r="B38270" s="11" t="str">
        <f>"201511037528"</f>
        <v>201511037528</v>
      </c>
    </row>
    <row r="38271" spans="1:2" x14ac:dyDescent="0.25">
      <c r="A38271" s="2">
        <v>38266</v>
      </c>
      <c r="B38271" s="11" t="str">
        <f>"201511037596"</f>
        <v>201511037596</v>
      </c>
    </row>
    <row r="38272" spans="1:2" x14ac:dyDescent="0.25">
      <c r="A38272" s="2">
        <v>38267</v>
      </c>
      <c r="B38272" s="11" t="str">
        <f>"201511037606"</f>
        <v>201511037606</v>
      </c>
    </row>
    <row r="38273" spans="1:2" x14ac:dyDescent="0.25">
      <c r="A38273" s="2">
        <v>38268</v>
      </c>
      <c r="B38273" s="11" t="str">
        <f>"201511037625"</f>
        <v>201511037625</v>
      </c>
    </row>
    <row r="38274" spans="1:2" x14ac:dyDescent="0.25">
      <c r="A38274" s="2">
        <v>38269</v>
      </c>
      <c r="B38274" s="11" t="str">
        <f>"201511037797"</f>
        <v>201511037797</v>
      </c>
    </row>
    <row r="38275" spans="1:2" x14ac:dyDescent="0.25">
      <c r="A38275" s="2">
        <v>38270</v>
      </c>
      <c r="B38275" s="11" t="str">
        <f>"201511037799"</f>
        <v>201511037799</v>
      </c>
    </row>
    <row r="38276" spans="1:2" x14ac:dyDescent="0.25">
      <c r="A38276" s="2">
        <v>38271</v>
      </c>
      <c r="B38276" s="11" t="str">
        <f>"201511037813"</f>
        <v>201511037813</v>
      </c>
    </row>
    <row r="38277" spans="1:2" x14ac:dyDescent="0.25">
      <c r="A38277" s="2">
        <v>38272</v>
      </c>
      <c r="B38277" s="11" t="str">
        <f>"201511037878"</f>
        <v>201511037878</v>
      </c>
    </row>
    <row r="38278" spans="1:2" x14ac:dyDescent="0.25">
      <c r="A38278" s="2">
        <v>38273</v>
      </c>
      <c r="B38278" s="11" t="str">
        <f>"201511037894"</f>
        <v>201511037894</v>
      </c>
    </row>
    <row r="38279" spans="1:2" x14ac:dyDescent="0.25">
      <c r="A38279" s="2">
        <v>38274</v>
      </c>
      <c r="B38279" s="11" t="str">
        <f>"201511037901"</f>
        <v>201511037901</v>
      </c>
    </row>
    <row r="38280" spans="1:2" x14ac:dyDescent="0.25">
      <c r="A38280" s="2">
        <v>38275</v>
      </c>
      <c r="B38280" s="11" t="str">
        <f>"201511037974"</f>
        <v>201511037974</v>
      </c>
    </row>
    <row r="38281" spans="1:2" x14ac:dyDescent="0.25">
      <c r="A38281" s="2">
        <v>38276</v>
      </c>
      <c r="B38281" s="11" t="str">
        <f>"201511038039"</f>
        <v>201511038039</v>
      </c>
    </row>
    <row r="38282" spans="1:2" x14ac:dyDescent="0.25">
      <c r="A38282" s="2">
        <v>38277</v>
      </c>
      <c r="B38282" s="11" t="str">
        <f>"201511038041"</f>
        <v>201511038041</v>
      </c>
    </row>
    <row r="38283" spans="1:2" x14ac:dyDescent="0.25">
      <c r="A38283" s="2">
        <v>38278</v>
      </c>
      <c r="B38283" s="11" t="str">
        <f>"201511038057"</f>
        <v>201511038057</v>
      </c>
    </row>
    <row r="38284" spans="1:2" x14ac:dyDescent="0.25">
      <c r="A38284" s="2">
        <v>38279</v>
      </c>
      <c r="B38284" s="11" t="str">
        <f>"201511038069"</f>
        <v>201511038069</v>
      </c>
    </row>
    <row r="38285" spans="1:2" x14ac:dyDescent="0.25">
      <c r="A38285" s="2">
        <v>38280</v>
      </c>
      <c r="B38285" s="11" t="str">
        <f>"201511038096"</f>
        <v>201511038096</v>
      </c>
    </row>
    <row r="38286" spans="1:2" x14ac:dyDescent="0.25">
      <c r="A38286" s="2">
        <v>38281</v>
      </c>
      <c r="B38286" s="11" t="str">
        <f>"201511038104"</f>
        <v>201511038104</v>
      </c>
    </row>
    <row r="38287" spans="1:2" x14ac:dyDescent="0.25">
      <c r="A38287" s="2">
        <v>38282</v>
      </c>
      <c r="B38287" s="11" t="str">
        <f>"201511038185"</f>
        <v>201511038185</v>
      </c>
    </row>
    <row r="38288" spans="1:2" x14ac:dyDescent="0.25">
      <c r="A38288" s="2">
        <v>38283</v>
      </c>
      <c r="B38288" s="11" t="str">
        <f>"201511038296"</f>
        <v>201511038296</v>
      </c>
    </row>
    <row r="38289" spans="1:2" x14ac:dyDescent="0.25">
      <c r="A38289" s="2">
        <v>38284</v>
      </c>
      <c r="B38289" s="11" t="str">
        <f>"201511038297"</f>
        <v>201511038297</v>
      </c>
    </row>
    <row r="38290" spans="1:2" x14ac:dyDescent="0.25">
      <c r="A38290" s="2">
        <v>38285</v>
      </c>
      <c r="B38290" s="11" t="str">
        <f>"201511038346"</f>
        <v>201511038346</v>
      </c>
    </row>
    <row r="38291" spans="1:2" x14ac:dyDescent="0.25">
      <c r="A38291" s="2">
        <v>38286</v>
      </c>
      <c r="B38291" s="11" t="str">
        <f>"201511038355"</f>
        <v>201511038355</v>
      </c>
    </row>
    <row r="38292" spans="1:2" x14ac:dyDescent="0.25">
      <c r="A38292" s="2">
        <v>38287</v>
      </c>
      <c r="B38292" s="11" t="str">
        <f>"201511038431"</f>
        <v>201511038431</v>
      </c>
    </row>
    <row r="38293" spans="1:2" x14ac:dyDescent="0.25">
      <c r="A38293" s="2">
        <v>38288</v>
      </c>
      <c r="B38293" s="11" t="str">
        <f>"201511038453"</f>
        <v>201511038453</v>
      </c>
    </row>
    <row r="38294" spans="1:2" x14ac:dyDescent="0.25">
      <c r="A38294" s="2">
        <v>38289</v>
      </c>
      <c r="B38294" s="11" t="str">
        <f>"201511038458"</f>
        <v>201511038458</v>
      </c>
    </row>
    <row r="38295" spans="1:2" x14ac:dyDescent="0.25">
      <c r="A38295" s="2">
        <v>38290</v>
      </c>
      <c r="B38295" s="11" t="str">
        <f>"201511038460"</f>
        <v>201511038460</v>
      </c>
    </row>
    <row r="38296" spans="1:2" x14ac:dyDescent="0.25">
      <c r="A38296" s="2">
        <v>38291</v>
      </c>
      <c r="B38296" s="11" t="str">
        <f>"201511038475"</f>
        <v>201511038475</v>
      </c>
    </row>
    <row r="38297" spans="1:2" x14ac:dyDescent="0.25">
      <c r="A38297" s="2">
        <v>38292</v>
      </c>
      <c r="B38297" s="11" t="str">
        <f>"201511038542"</f>
        <v>201511038542</v>
      </c>
    </row>
    <row r="38298" spans="1:2" x14ac:dyDescent="0.25">
      <c r="A38298" s="2">
        <v>38293</v>
      </c>
      <c r="B38298" s="11" t="str">
        <f>"201511038560"</f>
        <v>201511038560</v>
      </c>
    </row>
    <row r="38299" spans="1:2" x14ac:dyDescent="0.25">
      <c r="A38299" s="2">
        <v>38294</v>
      </c>
      <c r="B38299" s="11" t="str">
        <f>"201511038565"</f>
        <v>201511038565</v>
      </c>
    </row>
    <row r="38300" spans="1:2" x14ac:dyDescent="0.25">
      <c r="A38300" s="2">
        <v>38295</v>
      </c>
      <c r="B38300" s="11" t="str">
        <f>"201511038612"</f>
        <v>201511038612</v>
      </c>
    </row>
    <row r="38301" spans="1:2" x14ac:dyDescent="0.25">
      <c r="A38301" s="2">
        <v>38296</v>
      </c>
      <c r="B38301" s="11" t="str">
        <f>"201511038627"</f>
        <v>201511038627</v>
      </c>
    </row>
    <row r="38302" spans="1:2" x14ac:dyDescent="0.25">
      <c r="A38302" s="2">
        <v>38297</v>
      </c>
      <c r="B38302" s="11" t="str">
        <f>"201511038656"</f>
        <v>201511038656</v>
      </c>
    </row>
    <row r="38303" spans="1:2" x14ac:dyDescent="0.25">
      <c r="A38303" s="2">
        <v>38298</v>
      </c>
      <c r="B38303" s="11" t="str">
        <f>"201511038734"</f>
        <v>201511038734</v>
      </c>
    </row>
    <row r="38304" spans="1:2" x14ac:dyDescent="0.25">
      <c r="A38304" s="2">
        <v>38299</v>
      </c>
      <c r="B38304" s="11" t="str">
        <f>"201511038759"</f>
        <v>201511038759</v>
      </c>
    </row>
    <row r="38305" spans="1:2" x14ac:dyDescent="0.25">
      <c r="A38305" s="2">
        <v>38300</v>
      </c>
      <c r="B38305" s="11" t="str">
        <f>"201511038763"</f>
        <v>201511038763</v>
      </c>
    </row>
    <row r="38306" spans="1:2" x14ac:dyDescent="0.25">
      <c r="A38306" s="2">
        <v>38301</v>
      </c>
      <c r="B38306" s="11" t="str">
        <f>"201511038840"</f>
        <v>201511038840</v>
      </c>
    </row>
    <row r="38307" spans="1:2" x14ac:dyDescent="0.25">
      <c r="A38307" s="2">
        <v>38302</v>
      </c>
      <c r="B38307" s="11" t="str">
        <f>"201511038859"</f>
        <v>201511038859</v>
      </c>
    </row>
    <row r="38308" spans="1:2" x14ac:dyDescent="0.25">
      <c r="A38308" s="2">
        <v>38303</v>
      </c>
      <c r="B38308" s="11" t="str">
        <f>"201511038919"</f>
        <v>201511038919</v>
      </c>
    </row>
    <row r="38309" spans="1:2" x14ac:dyDescent="0.25">
      <c r="A38309" s="2">
        <v>38304</v>
      </c>
      <c r="B38309" s="11" t="str">
        <f>"201511038951"</f>
        <v>201511038951</v>
      </c>
    </row>
    <row r="38310" spans="1:2" x14ac:dyDescent="0.25">
      <c r="A38310" s="2">
        <v>38305</v>
      </c>
      <c r="B38310" s="11" t="str">
        <f>"201511038973"</f>
        <v>201511038973</v>
      </c>
    </row>
    <row r="38311" spans="1:2" x14ac:dyDescent="0.25">
      <c r="A38311" s="2">
        <v>38306</v>
      </c>
      <c r="B38311" s="11" t="str">
        <f>"201511038980"</f>
        <v>201511038980</v>
      </c>
    </row>
    <row r="38312" spans="1:2" x14ac:dyDescent="0.25">
      <c r="A38312" s="2">
        <v>38307</v>
      </c>
      <c r="B38312" s="11" t="str">
        <f>"201511038985"</f>
        <v>201511038985</v>
      </c>
    </row>
    <row r="38313" spans="1:2" x14ac:dyDescent="0.25">
      <c r="A38313" s="2">
        <v>38308</v>
      </c>
      <c r="B38313" s="11" t="str">
        <f>"201511039004"</f>
        <v>201511039004</v>
      </c>
    </row>
    <row r="38314" spans="1:2" x14ac:dyDescent="0.25">
      <c r="A38314" s="2">
        <v>38309</v>
      </c>
      <c r="B38314" s="11" t="str">
        <f>"201511039017"</f>
        <v>201511039017</v>
      </c>
    </row>
    <row r="38315" spans="1:2" x14ac:dyDescent="0.25">
      <c r="A38315" s="2">
        <v>38310</v>
      </c>
      <c r="B38315" s="11" t="str">
        <f>"201511039051"</f>
        <v>201511039051</v>
      </c>
    </row>
    <row r="38316" spans="1:2" x14ac:dyDescent="0.25">
      <c r="A38316" s="2">
        <v>38311</v>
      </c>
      <c r="B38316" s="11" t="str">
        <f>"201511039091"</f>
        <v>201511039091</v>
      </c>
    </row>
    <row r="38317" spans="1:2" x14ac:dyDescent="0.25">
      <c r="A38317" s="2">
        <v>38312</v>
      </c>
      <c r="B38317" s="11" t="str">
        <f>"201511039156"</f>
        <v>201511039156</v>
      </c>
    </row>
    <row r="38318" spans="1:2" x14ac:dyDescent="0.25">
      <c r="A38318" s="2">
        <v>38313</v>
      </c>
      <c r="B38318" s="11" t="str">
        <f>"201511039189"</f>
        <v>201511039189</v>
      </c>
    </row>
    <row r="38319" spans="1:2" x14ac:dyDescent="0.25">
      <c r="A38319" s="2">
        <v>38314</v>
      </c>
      <c r="B38319" s="11" t="str">
        <f>"201511039208"</f>
        <v>201511039208</v>
      </c>
    </row>
    <row r="38320" spans="1:2" x14ac:dyDescent="0.25">
      <c r="A38320" s="2">
        <v>38315</v>
      </c>
      <c r="B38320" s="11" t="str">
        <f>"201511039210"</f>
        <v>201511039210</v>
      </c>
    </row>
    <row r="38321" spans="1:2" x14ac:dyDescent="0.25">
      <c r="A38321" s="2">
        <v>38316</v>
      </c>
      <c r="B38321" s="11" t="str">
        <f>"201511039306"</f>
        <v>201511039306</v>
      </c>
    </row>
    <row r="38322" spans="1:2" x14ac:dyDescent="0.25">
      <c r="A38322" s="2">
        <v>38317</v>
      </c>
      <c r="B38322" s="11" t="str">
        <f>"201511039317"</f>
        <v>201511039317</v>
      </c>
    </row>
    <row r="38323" spans="1:2" x14ac:dyDescent="0.25">
      <c r="A38323" s="2">
        <v>38318</v>
      </c>
      <c r="B38323" s="11" t="str">
        <f>"201511039411"</f>
        <v>201511039411</v>
      </c>
    </row>
    <row r="38324" spans="1:2" x14ac:dyDescent="0.25">
      <c r="A38324" s="2">
        <v>38319</v>
      </c>
      <c r="B38324" s="11" t="str">
        <f>"201511039430"</f>
        <v>201511039430</v>
      </c>
    </row>
    <row r="38325" spans="1:2" x14ac:dyDescent="0.25">
      <c r="A38325" s="2">
        <v>38320</v>
      </c>
      <c r="B38325" s="11" t="str">
        <f>"201511039445"</f>
        <v>201511039445</v>
      </c>
    </row>
    <row r="38326" spans="1:2" x14ac:dyDescent="0.25">
      <c r="A38326" s="2">
        <v>38321</v>
      </c>
      <c r="B38326" s="11" t="str">
        <f>"201511039462"</f>
        <v>201511039462</v>
      </c>
    </row>
    <row r="38327" spans="1:2" x14ac:dyDescent="0.25">
      <c r="A38327" s="2">
        <v>38322</v>
      </c>
      <c r="B38327" s="11" t="str">
        <f>"201511039463"</f>
        <v>201511039463</v>
      </c>
    </row>
    <row r="38328" spans="1:2" x14ac:dyDescent="0.25">
      <c r="A38328" s="2">
        <v>38323</v>
      </c>
      <c r="B38328" s="11" t="str">
        <f>"201511039472"</f>
        <v>201511039472</v>
      </c>
    </row>
    <row r="38329" spans="1:2" x14ac:dyDescent="0.25">
      <c r="A38329" s="2">
        <v>38324</v>
      </c>
      <c r="B38329" s="11" t="str">
        <f>"201511039610"</f>
        <v>201511039610</v>
      </c>
    </row>
    <row r="38330" spans="1:2" x14ac:dyDescent="0.25">
      <c r="A38330" s="2">
        <v>38325</v>
      </c>
      <c r="B38330" s="11" t="str">
        <f>"201511039616"</f>
        <v>201511039616</v>
      </c>
    </row>
    <row r="38331" spans="1:2" x14ac:dyDescent="0.25">
      <c r="A38331" s="2">
        <v>38326</v>
      </c>
      <c r="B38331" s="11" t="str">
        <f>"201511039679"</f>
        <v>201511039679</v>
      </c>
    </row>
    <row r="38332" spans="1:2" x14ac:dyDescent="0.25">
      <c r="A38332" s="2">
        <v>38327</v>
      </c>
      <c r="B38332" s="11" t="str">
        <f>"201511039720"</f>
        <v>201511039720</v>
      </c>
    </row>
    <row r="38333" spans="1:2" x14ac:dyDescent="0.25">
      <c r="A38333" s="2">
        <v>38328</v>
      </c>
      <c r="B38333" s="11" t="str">
        <f>"201511039739"</f>
        <v>201511039739</v>
      </c>
    </row>
    <row r="38334" spans="1:2" x14ac:dyDescent="0.25">
      <c r="A38334" s="2">
        <v>38329</v>
      </c>
      <c r="B38334" s="11" t="str">
        <f>"201511039754"</f>
        <v>201511039754</v>
      </c>
    </row>
    <row r="38335" spans="1:2" x14ac:dyDescent="0.25">
      <c r="A38335" s="2">
        <v>38330</v>
      </c>
      <c r="B38335" s="11" t="str">
        <f>"201511039763"</f>
        <v>201511039763</v>
      </c>
    </row>
    <row r="38336" spans="1:2" x14ac:dyDescent="0.25">
      <c r="A38336" s="2">
        <v>38331</v>
      </c>
      <c r="B38336" s="11" t="str">
        <f>"201511039778"</f>
        <v>201511039778</v>
      </c>
    </row>
    <row r="38337" spans="1:2" x14ac:dyDescent="0.25">
      <c r="A38337" s="2">
        <v>38332</v>
      </c>
      <c r="B38337" s="11" t="str">
        <f>"201511039785"</f>
        <v>201511039785</v>
      </c>
    </row>
    <row r="38338" spans="1:2" x14ac:dyDescent="0.25">
      <c r="A38338" s="2">
        <v>38333</v>
      </c>
      <c r="B38338" s="11" t="str">
        <f>"201511039799"</f>
        <v>201511039799</v>
      </c>
    </row>
    <row r="38339" spans="1:2" x14ac:dyDescent="0.25">
      <c r="A38339" s="2">
        <v>38334</v>
      </c>
      <c r="B38339" s="11" t="str">
        <f>"201511039810"</f>
        <v>201511039810</v>
      </c>
    </row>
    <row r="38340" spans="1:2" x14ac:dyDescent="0.25">
      <c r="A38340" s="2">
        <v>38335</v>
      </c>
      <c r="B38340" s="11" t="str">
        <f>"201511039824"</f>
        <v>201511039824</v>
      </c>
    </row>
    <row r="38341" spans="1:2" x14ac:dyDescent="0.25">
      <c r="A38341" s="2">
        <v>38336</v>
      </c>
      <c r="B38341" s="11" t="str">
        <f>"201511039860"</f>
        <v>201511039860</v>
      </c>
    </row>
    <row r="38342" spans="1:2" x14ac:dyDescent="0.25">
      <c r="A38342" s="2">
        <v>38337</v>
      </c>
      <c r="B38342" s="11" t="str">
        <f>"201511039880"</f>
        <v>201511039880</v>
      </c>
    </row>
    <row r="38343" spans="1:2" x14ac:dyDescent="0.25">
      <c r="A38343" s="2">
        <v>38338</v>
      </c>
      <c r="B38343" s="11" t="str">
        <f>"201511039945"</f>
        <v>201511039945</v>
      </c>
    </row>
    <row r="38344" spans="1:2" x14ac:dyDescent="0.25">
      <c r="A38344" s="2">
        <v>38339</v>
      </c>
      <c r="B38344" s="11" t="str">
        <f>"201511039963"</f>
        <v>201511039963</v>
      </c>
    </row>
    <row r="38345" spans="1:2" x14ac:dyDescent="0.25">
      <c r="A38345" s="2">
        <v>38340</v>
      </c>
      <c r="B38345" s="11" t="str">
        <f>"201511039977"</f>
        <v>201511039977</v>
      </c>
    </row>
    <row r="38346" spans="1:2" x14ac:dyDescent="0.25">
      <c r="A38346" s="2">
        <v>38341</v>
      </c>
      <c r="B38346" s="11" t="str">
        <f>"201511040020"</f>
        <v>201511040020</v>
      </c>
    </row>
    <row r="38347" spans="1:2" x14ac:dyDescent="0.25">
      <c r="A38347" s="2">
        <v>38342</v>
      </c>
      <c r="B38347" s="11" t="str">
        <f>"201511040028"</f>
        <v>201511040028</v>
      </c>
    </row>
    <row r="38348" spans="1:2" x14ac:dyDescent="0.25">
      <c r="A38348" s="2">
        <v>38343</v>
      </c>
      <c r="B38348" s="11" t="str">
        <f>"201511040032"</f>
        <v>201511040032</v>
      </c>
    </row>
    <row r="38349" spans="1:2" x14ac:dyDescent="0.25">
      <c r="A38349" s="2">
        <v>38344</v>
      </c>
      <c r="B38349" s="11" t="str">
        <f>"201511040065"</f>
        <v>201511040065</v>
      </c>
    </row>
    <row r="38350" spans="1:2" x14ac:dyDescent="0.25">
      <c r="A38350" s="2">
        <v>38345</v>
      </c>
      <c r="B38350" s="11" t="str">
        <f>"201511040069"</f>
        <v>201511040069</v>
      </c>
    </row>
    <row r="38351" spans="1:2" x14ac:dyDescent="0.25">
      <c r="A38351" s="2">
        <v>38346</v>
      </c>
      <c r="B38351" s="11" t="str">
        <f>"201511040104"</f>
        <v>201511040104</v>
      </c>
    </row>
    <row r="38352" spans="1:2" x14ac:dyDescent="0.25">
      <c r="A38352" s="2">
        <v>38347</v>
      </c>
      <c r="B38352" s="11" t="str">
        <f>"201511040156"</f>
        <v>201511040156</v>
      </c>
    </row>
    <row r="38353" spans="1:2" x14ac:dyDescent="0.25">
      <c r="A38353" s="2">
        <v>38348</v>
      </c>
      <c r="B38353" s="11" t="str">
        <f>"201511040180"</f>
        <v>201511040180</v>
      </c>
    </row>
    <row r="38354" spans="1:2" x14ac:dyDescent="0.25">
      <c r="A38354" s="2">
        <v>38349</v>
      </c>
      <c r="B38354" s="11" t="str">
        <f>"201511040198"</f>
        <v>201511040198</v>
      </c>
    </row>
    <row r="38355" spans="1:2" x14ac:dyDescent="0.25">
      <c r="A38355" s="2">
        <v>38350</v>
      </c>
      <c r="B38355" s="11" t="str">
        <f>"201511040200"</f>
        <v>201511040200</v>
      </c>
    </row>
    <row r="38356" spans="1:2" x14ac:dyDescent="0.25">
      <c r="A38356" s="2">
        <v>38351</v>
      </c>
      <c r="B38356" s="11" t="str">
        <f>"201511040257"</f>
        <v>201511040257</v>
      </c>
    </row>
    <row r="38357" spans="1:2" x14ac:dyDescent="0.25">
      <c r="A38357" s="2">
        <v>38352</v>
      </c>
      <c r="B38357" s="11" t="str">
        <f>"201511040335"</f>
        <v>201511040335</v>
      </c>
    </row>
    <row r="38358" spans="1:2" x14ac:dyDescent="0.25">
      <c r="A38358" s="2">
        <v>38353</v>
      </c>
      <c r="B38358" s="11" t="str">
        <f>"201511040359"</f>
        <v>201511040359</v>
      </c>
    </row>
    <row r="38359" spans="1:2" x14ac:dyDescent="0.25">
      <c r="A38359" s="2">
        <v>38354</v>
      </c>
      <c r="B38359" s="11" t="str">
        <f>"201511040372"</f>
        <v>201511040372</v>
      </c>
    </row>
    <row r="38360" spans="1:2" x14ac:dyDescent="0.25">
      <c r="A38360" s="2">
        <v>38355</v>
      </c>
      <c r="B38360" s="11" t="str">
        <f>"201511040380"</f>
        <v>201511040380</v>
      </c>
    </row>
    <row r="38361" spans="1:2" x14ac:dyDescent="0.25">
      <c r="A38361" s="2">
        <v>38356</v>
      </c>
      <c r="B38361" s="11" t="str">
        <f>"201511040402"</f>
        <v>201511040402</v>
      </c>
    </row>
    <row r="38362" spans="1:2" x14ac:dyDescent="0.25">
      <c r="A38362" s="2">
        <v>38357</v>
      </c>
      <c r="B38362" s="11" t="str">
        <f>"201511040441"</f>
        <v>201511040441</v>
      </c>
    </row>
    <row r="38363" spans="1:2" x14ac:dyDescent="0.25">
      <c r="A38363" s="2">
        <v>38358</v>
      </c>
      <c r="B38363" s="11" t="str">
        <f>"201511040524"</f>
        <v>201511040524</v>
      </c>
    </row>
    <row r="38364" spans="1:2" x14ac:dyDescent="0.25">
      <c r="A38364" s="2">
        <v>38359</v>
      </c>
      <c r="B38364" s="11" t="str">
        <f>"201511040541"</f>
        <v>201511040541</v>
      </c>
    </row>
    <row r="38365" spans="1:2" x14ac:dyDescent="0.25">
      <c r="A38365" s="2">
        <v>38360</v>
      </c>
      <c r="B38365" s="11" t="str">
        <f>"201511040549"</f>
        <v>201511040549</v>
      </c>
    </row>
    <row r="38366" spans="1:2" x14ac:dyDescent="0.25">
      <c r="A38366" s="2">
        <v>38361</v>
      </c>
      <c r="B38366" s="11" t="str">
        <f>"201511040562"</f>
        <v>201511040562</v>
      </c>
    </row>
    <row r="38367" spans="1:2" x14ac:dyDescent="0.25">
      <c r="A38367" s="2">
        <v>38362</v>
      </c>
      <c r="B38367" s="11" t="str">
        <f>"201511040596"</f>
        <v>201511040596</v>
      </c>
    </row>
    <row r="38368" spans="1:2" x14ac:dyDescent="0.25">
      <c r="A38368" s="2">
        <v>38363</v>
      </c>
      <c r="B38368" s="11" t="str">
        <f>"201511040641"</f>
        <v>201511040641</v>
      </c>
    </row>
    <row r="38369" spans="1:2" x14ac:dyDescent="0.25">
      <c r="A38369" s="2">
        <v>38364</v>
      </c>
      <c r="B38369" s="11" t="str">
        <f>"201511040740"</f>
        <v>201511040740</v>
      </c>
    </row>
    <row r="38370" spans="1:2" x14ac:dyDescent="0.25">
      <c r="A38370" s="2">
        <v>38365</v>
      </c>
      <c r="B38370" s="11" t="str">
        <f>"201511040799"</f>
        <v>201511040799</v>
      </c>
    </row>
    <row r="38371" spans="1:2" x14ac:dyDescent="0.25">
      <c r="A38371" s="2">
        <v>38366</v>
      </c>
      <c r="B38371" s="11" t="str">
        <f>"201511040846"</f>
        <v>201511040846</v>
      </c>
    </row>
    <row r="38372" spans="1:2" x14ac:dyDescent="0.25">
      <c r="A38372" s="2">
        <v>38367</v>
      </c>
      <c r="B38372" s="11" t="str">
        <f>"201511040893"</f>
        <v>201511040893</v>
      </c>
    </row>
    <row r="38373" spans="1:2" x14ac:dyDescent="0.25">
      <c r="A38373" s="2">
        <v>38368</v>
      </c>
      <c r="B38373" s="11" t="str">
        <f>"201511040897"</f>
        <v>201511040897</v>
      </c>
    </row>
    <row r="38374" spans="1:2" x14ac:dyDescent="0.25">
      <c r="A38374" s="2">
        <v>38369</v>
      </c>
      <c r="B38374" s="11" t="str">
        <f>"201511040899"</f>
        <v>201511040899</v>
      </c>
    </row>
    <row r="38375" spans="1:2" x14ac:dyDescent="0.25">
      <c r="A38375" s="2">
        <v>38370</v>
      </c>
      <c r="B38375" s="11" t="str">
        <f>"201511040928"</f>
        <v>201511040928</v>
      </c>
    </row>
    <row r="38376" spans="1:2" x14ac:dyDescent="0.25">
      <c r="A38376" s="2">
        <v>38371</v>
      </c>
      <c r="B38376" s="11" t="str">
        <f>"201511040929"</f>
        <v>201511040929</v>
      </c>
    </row>
    <row r="38377" spans="1:2" x14ac:dyDescent="0.25">
      <c r="A38377" s="2">
        <v>38372</v>
      </c>
      <c r="B38377" s="11" t="str">
        <f>"201511040943"</f>
        <v>201511040943</v>
      </c>
    </row>
    <row r="38378" spans="1:2" x14ac:dyDescent="0.25">
      <c r="A38378" s="2">
        <v>38373</v>
      </c>
      <c r="B38378" s="11" t="str">
        <f>"201511040975"</f>
        <v>201511040975</v>
      </c>
    </row>
    <row r="38379" spans="1:2" x14ac:dyDescent="0.25">
      <c r="A38379" s="2">
        <v>38374</v>
      </c>
      <c r="B38379" s="11" t="str">
        <f>"201511041002"</f>
        <v>201511041002</v>
      </c>
    </row>
    <row r="38380" spans="1:2" x14ac:dyDescent="0.25">
      <c r="A38380" s="2">
        <v>38375</v>
      </c>
      <c r="B38380" s="11" t="str">
        <f>"201511041058"</f>
        <v>201511041058</v>
      </c>
    </row>
    <row r="38381" spans="1:2" x14ac:dyDescent="0.25">
      <c r="A38381" s="2">
        <v>38376</v>
      </c>
      <c r="B38381" s="11" t="str">
        <f>"201511041154"</f>
        <v>201511041154</v>
      </c>
    </row>
    <row r="38382" spans="1:2" x14ac:dyDescent="0.25">
      <c r="A38382" s="2">
        <v>38377</v>
      </c>
      <c r="B38382" s="11" t="str">
        <f>"201511041191"</f>
        <v>201511041191</v>
      </c>
    </row>
    <row r="38383" spans="1:2" x14ac:dyDescent="0.25">
      <c r="A38383" s="2">
        <v>38378</v>
      </c>
      <c r="B38383" s="11" t="str">
        <f>"201511041218"</f>
        <v>201511041218</v>
      </c>
    </row>
    <row r="38384" spans="1:2" x14ac:dyDescent="0.25">
      <c r="A38384" s="2">
        <v>38379</v>
      </c>
      <c r="B38384" s="11" t="str">
        <f>"201511041221"</f>
        <v>201511041221</v>
      </c>
    </row>
    <row r="38385" spans="1:2" x14ac:dyDescent="0.25">
      <c r="A38385" s="2">
        <v>38380</v>
      </c>
      <c r="B38385" s="11" t="str">
        <f>"201511041255"</f>
        <v>201511041255</v>
      </c>
    </row>
    <row r="38386" spans="1:2" x14ac:dyDescent="0.25">
      <c r="A38386" s="2">
        <v>38381</v>
      </c>
      <c r="B38386" s="11" t="str">
        <f>"201511041293"</f>
        <v>201511041293</v>
      </c>
    </row>
    <row r="38387" spans="1:2" x14ac:dyDescent="0.25">
      <c r="A38387" s="2">
        <v>38382</v>
      </c>
      <c r="B38387" s="11" t="str">
        <f>"201511041302"</f>
        <v>201511041302</v>
      </c>
    </row>
    <row r="38388" spans="1:2" x14ac:dyDescent="0.25">
      <c r="A38388" s="2">
        <v>38383</v>
      </c>
      <c r="B38388" s="11" t="str">
        <f>"201511041303"</f>
        <v>201511041303</v>
      </c>
    </row>
    <row r="38389" spans="1:2" x14ac:dyDescent="0.25">
      <c r="A38389" s="2">
        <v>38384</v>
      </c>
      <c r="B38389" s="11" t="str">
        <f>"201511041354"</f>
        <v>201511041354</v>
      </c>
    </row>
    <row r="38390" spans="1:2" x14ac:dyDescent="0.25">
      <c r="A38390" s="2">
        <v>38385</v>
      </c>
      <c r="B38390" s="11" t="str">
        <f>"201511041363"</f>
        <v>201511041363</v>
      </c>
    </row>
    <row r="38391" spans="1:2" x14ac:dyDescent="0.25">
      <c r="A38391" s="2">
        <v>38386</v>
      </c>
      <c r="B38391" s="11" t="str">
        <f>"201511041403"</f>
        <v>201511041403</v>
      </c>
    </row>
    <row r="38392" spans="1:2" x14ac:dyDescent="0.25">
      <c r="A38392" s="2">
        <v>38387</v>
      </c>
      <c r="B38392" s="11" t="str">
        <f>"201511041440"</f>
        <v>201511041440</v>
      </c>
    </row>
    <row r="38393" spans="1:2" x14ac:dyDescent="0.25">
      <c r="A38393" s="2">
        <v>38388</v>
      </c>
      <c r="B38393" s="11" t="str">
        <f>"201511041444"</f>
        <v>201511041444</v>
      </c>
    </row>
    <row r="38394" spans="1:2" x14ac:dyDescent="0.25">
      <c r="A38394" s="2">
        <v>38389</v>
      </c>
      <c r="B38394" s="11" t="str">
        <f>"201511041517"</f>
        <v>201511041517</v>
      </c>
    </row>
    <row r="38395" spans="1:2" x14ac:dyDescent="0.25">
      <c r="A38395" s="2">
        <v>38390</v>
      </c>
      <c r="B38395" s="11" t="str">
        <f>"201511041676"</f>
        <v>201511041676</v>
      </c>
    </row>
    <row r="38396" spans="1:2" x14ac:dyDescent="0.25">
      <c r="A38396" s="2">
        <v>38391</v>
      </c>
      <c r="B38396" s="11" t="str">
        <f>"201511041692"</f>
        <v>201511041692</v>
      </c>
    </row>
    <row r="38397" spans="1:2" x14ac:dyDescent="0.25">
      <c r="A38397" s="2">
        <v>38392</v>
      </c>
      <c r="B38397" s="11" t="str">
        <f>"201511041706"</f>
        <v>201511041706</v>
      </c>
    </row>
    <row r="38398" spans="1:2" x14ac:dyDescent="0.25">
      <c r="A38398" s="2">
        <v>38393</v>
      </c>
      <c r="B38398" s="11" t="str">
        <f>"201511041709"</f>
        <v>201511041709</v>
      </c>
    </row>
    <row r="38399" spans="1:2" x14ac:dyDescent="0.25">
      <c r="A38399" s="2">
        <v>38394</v>
      </c>
      <c r="B38399" s="11" t="str">
        <f>"201511041827"</f>
        <v>201511041827</v>
      </c>
    </row>
    <row r="38400" spans="1:2" x14ac:dyDescent="0.25">
      <c r="A38400" s="2">
        <v>38395</v>
      </c>
      <c r="B38400" s="11" t="str">
        <f>"201511041835"</f>
        <v>201511041835</v>
      </c>
    </row>
    <row r="38401" spans="1:2" x14ac:dyDescent="0.25">
      <c r="A38401" s="2">
        <v>38396</v>
      </c>
      <c r="B38401" s="11" t="str">
        <f>"201511041856"</f>
        <v>201511041856</v>
      </c>
    </row>
    <row r="38402" spans="1:2" x14ac:dyDescent="0.25">
      <c r="A38402" s="2">
        <v>38397</v>
      </c>
      <c r="B38402" s="11" t="str">
        <f>"201511041947"</f>
        <v>201511041947</v>
      </c>
    </row>
    <row r="38403" spans="1:2" x14ac:dyDescent="0.25">
      <c r="A38403" s="2">
        <v>38398</v>
      </c>
      <c r="B38403" s="11" t="str">
        <f>"201511041980"</f>
        <v>201511041980</v>
      </c>
    </row>
    <row r="38404" spans="1:2" x14ac:dyDescent="0.25">
      <c r="A38404" s="2">
        <v>38399</v>
      </c>
      <c r="B38404" s="11" t="str">
        <f>"201511042005"</f>
        <v>201511042005</v>
      </c>
    </row>
    <row r="38405" spans="1:2" x14ac:dyDescent="0.25">
      <c r="A38405" s="2">
        <v>38400</v>
      </c>
      <c r="B38405" s="11" t="str">
        <f>"201511042029"</f>
        <v>201511042029</v>
      </c>
    </row>
    <row r="38406" spans="1:2" x14ac:dyDescent="0.25">
      <c r="A38406" s="2">
        <v>38401</v>
      </c>
      <c r="B38406" s="11" t="str">
        <f>"201511042048"</f>
        <v>201511042048</v>
      </c>
    </row>
    <row r="38407" spans="1:2" x14ac:dyDescent="0.25">
      <c r="A38407" s="2">
        <v>38402</v>
      </c>
      <c r="B38407" s="11" t="str">
        <f>"201511042088"</f>
        <v>201511042088</v>
      </c>
    </row>
    <row r="38408" spans="1:2" x14ac:dyDescent="0.25">
      <c r="A38408" s="2">
        <v>38403</v>
      </c>
      <c r="B38408" s="11" t="str">
        <f>"201511042166"</f>
        <v>201511042166</v>
      </c>
    </row>
    <row r="38409" spans="1:2" x14ac:dyDescent="0.25">
      <c r="A38409" s="2">
        <v>38404</v>
      </c>
      <c r="B38409" s="11" t="str">
        <f>"201511042210"</f>
        <v>201511042210</v>
      </c>
    </row>
    <row r="38410" spans="1:2" x14ac:dyDescent="0.25">
      <c r="A38410" s="2">
        <v>38405</v>
      </c>
      <c r="B38410" s="11" t="str">
        <f>"201511042229"</f>
        <v>201511042229</v>
      </c>
    </row>
    <row r="38411" spans="1:2" x14ac:dyDescent="0.25">
      <c r="A38411" s="2">
        <v>38406</v>
      </c>
      <c r="B38411" s="11" t="str">
        <f>"201511042234"</f>
        <v>201511042234</v>
      </c>
    </row>
    <row r="38412" spans="1:2" x14ac:dyDescent="0.25">
      <c r="A38412" s="2">
        <v>38407</v>
      </c>
      <c r="B38412" s="11" t="str">
        <f>"201511042315"</f>
        <v>201511042315</v>
      </c>
    </row>
    <row r="38413" spans="1:2" x14ac:dyDescent="0.25">
      <c r="A38413" s="2">
        <v>38408</v>
      </c>
      <c r="B38413" s="11" t="str">
        <f>"201511042335"</f>
        <v>201511042335</v>
      </c>
    </row>
    <row r="38414" spans="1:2" x14ac:dyDescent="0.25">
      <c r="A38414" s="2">
        <v>38409</v>
      </c>
      <c r="B38414" s="11" t="str">
        <f>"201511042345"</f>
        <v>201511042345</v>
      </c>
    </row>
    <row r="38415" spans="1:2" x14ac:dyDescent="0.25">
      <c r="A38415" s="2">
        <v>38410</v>
      </c>
      <c r="B38415" s="11" t="str">
        <f>"201511042350"</f>
        <v>201511042350</v>
      </c>
    </row>
    <row r="38416" spans="1:2" x14ac:dyDescent="0.25">
      <c r="A38416" s="2">
        <v>38411</v>
      </c>
      <c r="B38416" s="11" t="str">
        <f>"201511042392"</f>
        <v>201511042392</v>
      </c>
    </row>
    <row r="38417" spans="1:2" x14ac:dyDescent="0.25">
      <c r="A38417" s="2">
        <v>38412</v>
      </c>
      <c r="B38417" s="11" t="str">
        <f>"201511042409"</f>
        <v>201511042409</v>
      </c>
    </row>
    <row r="38418" spans="1:2" x14ac:dyDescent="0.25">
      <c r="A38418" s="2">
        <v>38413</v>
      </c>
      <c r="B38418" s="11" t="str">
        <f>"201511042514"</f>
        <v>201511042514</v>
      </c>
    </row>
    <row r="38419" spans="1:2" x14ac:dyDescent="0.25">
      <c r="A38419" s="2">
        <v>38414</v>
      </c>
      <c r="B38419" s="11" t="str">
        <f>"201511042519"</f>
        <v>201511042519</v>
      </c>
    </row>
    <row r="38420" spans="1:2" x14ac:dyDescent="0.25">
      <c r="A38420" s="2">
        <v>38415</v>
      </c>
      <c r="B38420" s="11" t="str">
        <f>"201511042535"</f>
        <v>201511042535</v>
      </c>
    </row>
    <row r="38421" spans="1:2" x14ac:dyDescent="0.25">
      <c r="A38421" s="2">
        <v>38416</v>
      </c>
      <c r="B38421" s="11" t="str">
        <f>"201511042601"</f>
        <v>201511042601</v>
      </c>
    </row>
    <row r="38422" spans="1:2" x14ac:dyDescent="0.25">
      <c r="A38422" s="2">
        <v>38417</v>
      </c>
      <c r="B38422" s="11" t="str">
        <f>"201511042638"</f>
        <v>201511042638</v>
      </c>
    </row>
    <row r="38423" spans="1:2" x14ac:dyDescent="0.25">
      <c r="A38423" s="2">
        <v>38418</v>
      </c>
      <c r="B38423" s="11" t="str">
        <f>"201511042669"</f>
        <v>201511042669</v>
      </c>
    </row>
    <row r="38424" spans="1:2" x14ac:dyDescent="0.25">
      <c r="A38424" s="2">
        <v>38419</v>
      </c>
      <c r="B38424" s="11" t="str">
        <f>"201511042738"</f>
        <v>201511042738</v>
      </c>
    </row>
    <row r="38425" spans="1:2" x14ac:dyDescent="0.25">
      <c r="A38425" s="2">
        <v>38420</v>
      </c>
      <c r="B38425" s="11" t="str">
        <f>"201511042748"</f>
        <v>201511042748</v>
      </c>
    </row>
    <row r="38426" spans="1:2" x14ac:dyDescent="0.25">
      <c r="A38426" s="2">
        <v>38421</v>
      </c>
      <c r="B38426" s="11" t="str">
        <f>"201511042770"</f>
        <v>201511042770</v>
      </c>
    </row>
    <row r="38427" spans="1:2" x14ac:dyDescent="0.25">
      <c r="A38427" s="2">
        <v>38422</v>
      </c>
      <c r="B38427" s="11" t="str">
        <f>"201511042825"</f>
        <v>201511042825</v>
      </c>
    </row>
    <row r="38428" spans="1:2" x14ac:dyDescent="0.25">
      <c r="A38428" s="2">
        <v>38423</v>
      </c>
      <c r="B38428" s="11" t="str">
        <f>"201511042851"</f>
        <v>201511042851</v>
      </c>
    </row>
    <row r="38429" spans="1:2" x14ac:dyDescent="0.25">
      <c r="A38429" s="2">
        <v>38424</v>
      </c>
      <c r="B38429" s="11" t="str">
        <f>"201511042863"</f>
        <v>201511042863</v>
      </c>
    </row>
    <row r="38430" spans="1:2" x14ac:dyDescent="0.25">
      <c r="A38430" s="2">
        <v>38425</v>
      </c>
      <c r="B38430" s="11" t="str">
        <f>"201511042961"</f>
        <v>201511042961</v>
      </c>
    </row>
    <row r="38431" spans="1:2" x14ac:dyDescent="0.25">
      <c r="A38431" s="2">
        <v>38426</v>
      </c>
      <c r="B38431" s="11" t="str">
        <f>"201511042996"</f>
        <v>201511042996</v>
      </c>
    </row>
    <row r="38432" spans="1:2" x14ac:dyDescent="0.25">
      <c r="A38432" s="2">
        <v>38427</v>
      </c>
      <c r="B38432" s="11" t="str">
        <f>"201511043044"</f>
        <v>201511043044</v>
      </c>
    </row>
    <row r="38433" spans="1:2" x14ac:dyDescent="0.25">
      <c r="A38433" s="2">
        <v>38428</v>
      </c>
      <c r="B38433" s="11" t="str">
        <f>"201511043091"</f>
        <v>201511043091</v>
      </c>
    </row>
    <row r="38434" spans="1:2" x14ac:dyDescent="0.25">
      <c r="A38434" s="2">
        <v>38429</v>
      </c>
      <c r="B38434" s="11" t="str">
        <f>"201511043124"</f>
        <v>201511043124</v>
      </c>
    </row>
    <row r="38435" spans="1:2" x14ac:dyDescent="0.25">
      <c r="A38435" s="2">
        <v>38430</v>
      </c>
      <c r="B38435" s="11" t="str">
        <f>"201511043133"</f>
        <v>201511043133</v>
      </c>
    </row>
    <row r="38436" spans="1:2" x14ac:dyDescent="0.25">
      <c r="A38436" s="2">
        <v>38431</v>
      </c>
      <c r="B38436" s="11" t="str">
        <f>"201511043183"</f>
        <v>201511043183</v>
      </c>
    </row>
    <row r="38437" spans="1:2" x14ac:dyDescent="0.25">
      <c r="A38437" s="2">
        <v>38432</v>
      </c>
      <c r="B38437" s="11" t="str">
        <f>"201511043197"</f>
        <v>201511043197</v>
      </c>
    </row>
    <row r="38438" spans="1:2" x14ac:dyDescent="0.25">
      <c r="A38438" s="2">
        <v>38433</v>
      </c>
      <c r="B38438" s="11" t="str">
        <f>"201511043203"</f>
        <v>201511043203</v>
      </c>
    </row>
    <row r="38439" spans="1:2" x14ac:dyDescent="0.25">
      <c r="A38439" s="2">
        <v>38434</v>
      </c>
      <c r="B38439" s="11" t="str">
        <f>"201511043215"</f>
        <v>201511043215</v>
      </c>
    </row>
    <row r="38440" spans="1:2" x14ac:dyDescent="0.25">
      <c r="A38440" s="2">
        <v>38435</v>
      </c>
      <c r="B38440" s="11" t="str">
        <f>"201511043219"</f>
        <v>201511043219</v>
      </c>
    </row>
    <row r="38441" spans="1:2" x14ac:dyDescent="0.25">
      <c r="A38441" s="2">
        <v>38436</v>
      </c>
      <c r="B38441" s="11" t="str">
        <f>"201511043222"</f>
        <v>201511043222</v>
      </c>
    </row>
    <row r="38442" spans="1:2" x14ac:dyDescent="0.25">
      <c r="A38442" s="2">
        <v>38437</v>
      </c>
      <c r="B38442" s="11" t="str">
        <f>"201511043232"</f>
        <v>201511043232</v>
      </c>
    </row>
    <row r="38443" spans="1:2" x14ac:dyDescent="0.25">
      <c r="A38443" s="2">
        <v>38438</v>
      </c>
      <c r="B38443" s="11" t="str">
        <f>"201511043235"</f>
        <v>201511043235</v>
      </c>
    </row>
    <row r="38444" spans="1:2" x14ac:dyDescent="0.25">
      <c r="A38444" s="2">
        <v>38439</v>
      </c>
      <c r="B38444" s="11" t="str">
        <f>"201511043267"</f>
        <v>201511043267</v>
      </c>
    </row>
    <row r="38445" spans="1:2" x14ac:dyDescent="0.25">
      <c r="A38445" s="2">
        <v>38440</v>
      </c>
      <c r="B38445" s="11" t="str">
        <f>"201511043270"</f>
        <v>201511043270</v>
      </c>
    </row>
    <row r="38446" spans="1:2" x14ac:dyDescent="0.25">
      <c r="A38446" s="2">
        <v>38441</v>
      </c>
      <c r="B38446" s="11" t="str">
        <f>"201511043292"</f>
        <v>201511043292</v>
      </c>
    </row>
    <row r="38447" spans="1:2" x14ac:dyDescent="0.25">
      <c r="A38447" s="2">
        <v>38442</v>
      </c>
      <c r="B38447" s="11" t="str">
        <f>"201511043358"</f>
        <v>201511043358</v>
      </c>
    </row>
    <row r="38448" spans="1:2" x14ac:dyDescent="0.25">
      <c r="A38448" s="2">
        <v>38443</v>
      </c>
      <c r="B38448" s="11" t="str">
        <f>"201511043363"</f>
        <v>201511043363</v>
      </c>
    </row>
    <row r="38449" spans="1:2" x14ac:dyDescent="0.25">
      <c r="A38449" s="2">
        <v>38444</v>
      </c>
      <c r="B38449" s="11" t="str">
        <f>"201511043381"</f>
        <v>201511043381</v>
      </c>
    </row>
    <row r="38450" spans="1:2" x14ac:dyDescent="0.25">
      <c r="A38450" s="2">
        <v>38445</v>
      </c>
      <c r="B38450" s="11" t="str">
        <f>"201511043406"</f>
        <v>201511043406</v>
      </c>
    </row>
    <row r="38451" spans="1:2" x14ac:dyDescent="0.25">
      <c r="A38451" s="2">
        <v>38446</v>
      </c>
      <c r="B38451" s="11" t="str">
        <f>"201511043418"</f>
        <v>201511043418</v>
      </c>
    </row>
    <row r="38452" spans="1:2" x14ac:dyDescent="0.25">
      <c r="A38452" s="2">
        <v>38447</v>
      </c>
      <c r="B38452" s="11" t="str">
        <f>"201511043447"</f>
        <v>201511043447</v>
      </c>
    </row>
    <row r="38453" spans="1:2" x14ac:dyDescent="0.25">
      <c r="A38453" s="2">
        <v>38448</v>
      </c>
      <c r="B38453" s="11" t="str">
        <f>"201511043458"</f>
        <v>201511043458</v>
      </c>
    </row>
    <row r="38454" spans="1:2" x14ac:dyDescent="0.25">
      <c r="A38454" s="2">
        <v>38449</v>
      </c>
      <c r="B38454" s="11" t="str">
        <f>"201511043467"</f>
        <v>201511043467</v>
      </c>
    </row>
    <row r="38455" spans="1:2" x14ac:dyDescent="0.25">
      <c r="A38455" s="2">
        <v>38450</v>
      </c>
      <c r="B38455" s="11" t="str">
        <f>"201511043527"</f>
        <v>201511043527</v>
      </c>
    </row>
    <row r="38456" spans="1:2" x14ac:dyDescent="0.25">
      <c r="A38456" s="2">
        <v>38451</v>
      </c>
      <c r="B38456" s="11" t="str">
        <f>"201511043529"</f>
        <v>201511043529</v>
      </c>
    </row>
    <row r="38457" spans="1:2" x14ac:dyDescent="0.25">
      <c r="A38457" s="2">
        <v>38452</v>
      </c>
      <c r="B38457" s="11" t="str">
        <f>"201511043543"</f>
        <v>201511043543</v>
      </c>
    </row>
    <row r="38458" spans="1:2" x14ac:dyDescent="0.25">
      <c r="A38458" s="2">
        <v>38453</v>
      </c>
      <c r="B38458" s="11" t="str">
        <f>"201511043558"</f>
        <v>201511043558</v>
      </c>
    </row>
    <row r="38459" spans="1:2" x14ac:dyDescent="0.25">
      <c r="A38459" s="2">
        <v>38454</v>
      </c>
      <c r="B38459" s="11" t="str">
        <f>"201511043626"</f>
        <v>201511043626</v>
      </c>
    </row>
    <row r="38460" spans="1:2" x14ac:dyDescent="0.25">
      <c r="A38460" s="2">
        <v>38455</v>
      </c>
      <c r="B38460" s="11" t="str">
        <f>"201511043628"</f>
        <v>201511043628</v>
      </c>
    </row>
    <row r="38461" spans="1:2" x14ac:dyDescent="0.25">
      <c r="A38461" s="2">
        <v>38456</v>
      </c>
      <c r="B38461" s="11" t="str">
        <f>"201511043645"</f>
        <v>201511043645</v>
      </c>
    </row>
    <row r="38462" spans="1:2" x14ac:dyDescent="0.25">
      <c r="A38462" s="2">
        <v>38457</v>
      </c>
      <c r="B38462" s="11" t="str">
        <f>"201512000012"</f>
        <v>201512000012</v>
      </c>
    </row>
    <row r="38463" spans="1:2" x14ac:dyDescent="0.25">
      <c r="A38463" s="2">
        <v>38458</v>
      </c>
      <c r="B38463" s="11" t="str">
        <f>"201512000019"</f>
        <v>201512000019</v>
      </c>
    </row>
    <row r="38464" spans="1:2" x14ac:dyDescent="0.25">
      <c r="A38464" s="2">
        <v>38459</v>
      </c>
      <c r="B38464" s="11" t="str">
        <f>"201512000087"</f>
        <v>201512000087</v>
      </c>
    </row>
    <row r="38465" spans="1:2" x14ac:dyDescent="0.25">
      <c r="A38465" s="2">
        <v>38460</v>
      </c>
      <c r="B38465" s="11" t="str">
        <f>"201512000105"</f>
        <v>201512000105</v>
      </c>
    </row>
    <row r="38466" spans="1:2" x14ac:dyDescent="0.25">
      <c r="A38466" s="2">
        <v>38461</v>
      </c>
      <c r="B38466" s="11" t="str">
        <f>"201512000138"</f>
        <v>201512000138</v>
      </c>
    </row>
    <row r="38467" spans="1:2" x14ac:dyDescent="0.25">
      <c r="A38467" s="2">
        <v>38462</v>
      </c>
      <c r="B38467" s="11" t="str">
        <f>"201512000144"</f>
        <v>201512000144</v>
      </c>
    </row>
    <row r="38468" spans="1:2" x14ac:dyDescent="0.25">
      <c r="A38468" s="2">
        <v>38463</v>
      </c>
      <c r="B38468" s="11" t="str">
        <f>"201512000152"</f>
        <v>201512000152</v>
      </c>
    </row>
    <row r="38469" spans="1:2" x14ac:dyDescent="0.25">
      <c r="A38469" s="2">
        <v>38464</v>
      </c>
      <c r="B38469" s="11" t="str">
        <f>"201512000169"</f>
        <v>201512000169</v>
      </c>
    </row>
    <row r="38470" spans="1:2" x14ac:dyDescent="0.25">
      <c r="A38470" s="2">
        <v>38465</v>
      </c>
      <c r="B38470" s="11" t="str">
        <f>"201512000247"</f>
        <v>201512000247</v>
      </c>
    </row>
    <row r="38471" spans="1:2" x14ac:dyDescent="0.25">
      <c r="A38471" s="2">
        <v>38466</v>
      </c>
      <c r="B38471" s="11" t="str">
        <f>"201512000253"</f>
        <v>201512000253</v>
      </c>
    </row>
    <row r="38472" spans="1:2" x14ac:dyDescent="0.25">
      <c r="A38472" s="2">
        <v>38467</v>
      </c>
      <c r="B38472" s="11" t="str">
        <f>"201512000254"</f>
        <v>201512000254</v>
      </c>
    </row>
    <row r="38473" spans="1:2" x14ac:dyDescent="0.25">
      <c r="A38473" s="2">
        <v>38468</v>
      </c>
      <c r="B38473" s="11" t="str">
        <f>"201512000266"</f>
        <v>201512000266</v>
      </c>
    </row>
    <row r="38474" spans="1:2" x14ac:dyDescent="0.25">
      <c r="A38474" s="2">
        <v>38469</v>
      </c>
      <c r="B38474" s="11" t="str">
        <f>"201512000314"</f>
        <v>201512000314</v>
      </c>
    </row>
    <row r="38475" spans="1:2" x14ac:dyDescent="0.25">
      <c r="A38475" s="2">
        <v>38470</v>
      </c>
      <c r="B38475" s="11" t="str">
        <f>"201512000332"</f>
        <v>201512000332</v>
      </c>
    </row>
    <row r="38476" spans="1:2" x14ac:dyDescent="0.25">
      <c r="A38476" s="2">
        <v>38471</v>
      </c>
      <c r="B38476" s="11" t="str">
        <f>"201512000356"</f>
        <v>201512000356</v>
      </c>
    </row>
    <row r="38477" spans="1:2" x14ac:dyDescent="0.25">
      <c r="A38477" s="2">
        <v>38472</v>
      </c>
      <c r="B38477" s="11" t="str">
        <f>"201512000438"</f>
        <v>201512000438</v>
      </c>
    </row>
    <row r="38478" spans="1:2" x14ac:dyDescent="0.25">
      <c r="A38478" s="2">
        <v>38473</v>
      </c>
      <c r="B38478" s="11" t="str">
        <f>"201512000457"</f>
        <v>201512000457</v>
      </c>
    </row>
    <row r="38479" spans="1:2" x14ac:dyDescent="0.25">
      <c r="A38479" s="2">
        <v>38474</v>
      </c>
      <c r="B38479" s="11" t="str">
        <f>"201512000463"</f>
        <v>201512000463</v>
      </c>
    </row>
    <row r="38480" spans="1:2" x14ac:dyDescent="0.25">
      <c r="A38480" s="2">
        <v>38475</v>
      </c>
      <c r="B38480" s="11" t="str">
        <f>"201512000571"</f>
        <v>201512000571</v>
      </c>
    </row>
    <row r="38481" spans="1:2" x14ac:dyDescent="0.25">
      <c r="A38481" s="2">
        <v>38476</v>
      </c>
      <c r="B38481" s="11" t="str">
        <f>"201512000585"</f>
        <v>201512000585</v>
      </c>
    </row>
    <row r="38482" spans="1:2" x14ac:dyDescent="0.25">
      <c r="A38482" s="2">
        <v>38477</v>
      </c>
      <c r="B38482" s="11" t="str">
        <f>"201512000604"</f>
        <v>201512000604</v>
      </c>
    </row>
    <row r="38483" spans="1:2" x14ac:dyDescent="0.25">
      <c r="A38483" s="2">
        <v>38478</v>
      </c>
      <c r="B38483" s="11" t="str">
        <f>"201512000623"</f>
        <v>201512000623</v>
      </c>
    </row>
    <row r="38484" spans="1:2" x14ac:dyDescent="0.25">
      <c r="A38484" s="2">
        <v>38479</v>
      </c>
      <c r="B38484" s="11" t="str">
        <f>"201512000720"</f>
        <v>201512000720</v>
      </c>
    </row>
    <row r="38485" spans="1:2" x14ac:dyDescent="0.25">
      <c r="A38485" s="2">
        <v>38480</v>
      </c>
      <c r="B38485" s="11" t="str">
        <f>"201512000761"</f>
        <v>201512000761</v>
      </c>
    </row>
    <row r="38486" spans="1:2" x14ac:dyDescent="0.25">
      <c r="A38486" s="2">
        <v>38481</v>
      </c>
      <c r="B38486" s="11" t="str">
        <f>"201512000765"</f>
        <v>201512000765</v>
      </c>
    </row>
    <row r="38487" spans="1:2" x14ac:dyDescent="0.25">
      <c r="A38487" s="2">
        <v>38482</v>
      </c>
      <c r="B38487" s="11" t="str">
        <f>"201512000771"</f>
        <v>201512000771</v>
      </c>
    </row>
    <row r="38488" spans="1:2" x14ac:dyDescent="0.25">
      <c r="A38488" s="2">
        <v>38483</v>
      </c>
      <c r="B38488" s="11" t="str">
        <f>"201512000792"</f>
        <v>201512000792</v>
      </c>
    </row>
    <row r="38489" spans="1:2" x14ac:dyDescent="0.25">
      <c r="A38489" s="2">
        <v>38484</v>
      </c>
      <c r="B38489" s="11" t="str">
        <f>"201512000805"</f>
        <v>201512000805</v>
      </c>
    </row>
    <row r="38490" spans="1:2" x14ac:dyDescent="0.25">
      <c r="A38490" s="2">
        <v>38485</v>
      </c>
      <c r="B38490" s="11" t="str">
        <f>"201512000945"</f>
        <v>201512000945</v>
      </c>
    </row>
    <row r="38491" spans="1:2" x14ac:dyDescent="0.25">
      <c r="A38491" s="2">
        <v>38486</v>
      </c>
      <c r="B38491" s="11" t="str">
        <f>"201512000951"</f>
        <v>201512000951</v>
      </c>
    </row>
    <row r="38492" spans="1:2" x14ac:dyDescent="0.25">
      <c r="A38492" s="2">
        <v>38487</v>
      </c>
      <c r="B38492" s="11" t="str">
        <f>"201512001006"</f>
        <v>201512001006</v>
      </c>
    </row>
    <row r="38493" spans="1:2" x14ac:dyDescent="0.25">
      <c r="A38493" s="2">
        <v>38488</v>
      </c>
      <c r="B38493" s="11" t="str">
        <f>"201512001016"</f>
        <v>201512001016</v>
      </c>
    </row>
    <row r="38494" spans="1:2" x14ac:dyDescent="0.25">
      <c r="A38494" s="2">
        <v>38489</v>
      </c>
      <c r="B38494" s="11" t="str">
        <f>"201512001120"</f>
        <v>201512001120</v>
      </c>
    </row>
    <row r="38495" spans="1:2" x14ac:dyDescent="0.25">
      <c r="A38495" s="2">
        <v>38490</v>
      </c>
      <c r="B38495" s="11" t="str">
        <f>"201512001131"</f>
        <v>201512001131</v>
      </c>
    </row>
    <row r="38496" spans="1:2" x14ac:dyDescent="0.25">
      <c r="A38496" s="2">
        <v>38491</v>
      </c>
      <c r="B38496" s="11" t="str">
        <f>"201512001217"</f>
        <v>201512001217</v>
      </c>
    </row>
    <row r="38497" spans="1:2" x14ac:dyDescent="0.25">
      <c r="A38497" s="2">
        <v>38492</v>
      </c>
      <c r="B38497" s="11" t="str">
        <f>"201512001280"</f>
        <v>201512001280</v>
      </c>
    </row>
    <row r="38498" spans="1:2" x14ac:dyDescent="0.25">
      <c r="A38498" s="2">
        <v>38493</v>
      </c>
      <c r="B38498" s="11" t="str">
        <f>"201512001294"</f>
        <v>201512001294</v>
      </c>
    </row>
    <row r="38499" spans="1:2" x14ac:dyDescent="0.25">
      <c r="A38499" s="2">
        <v>38494</v>
      </c>
      <c r="B38499" s="11" t="str">
        <f>"201512001300"</f>
        <v>201512001300</v>
      </c>
    </row>
    <row r="38500" spans="1:2" x14ac:dyDescent="0.25">
      <c r="A38500" s="2">
        <v>38495</v>
      </c>
      <c r="B38500" s="11" t="str">
        <f>"201512001324"</f>
        <v>201512001324</v>
      </c>
    </row>
    <row r="38501" spans="1:2" x14ac:dyDescent="0.25">
      <c r="A38501" s="2">
        <v>38496</v>
      </c>
      <c r="B38501" s="11" t="str">
        <f>"201512001349"</f>
        <v>201512001349</v>
      </c>
    </row>
    <row r="38502" spans="1:2" x14ac:dyDescent="0.25">
      <c r="A38502" s="2">
        <v>38497</v>
      </c>
      <c r="B38502" s="11" t="str">
        <f>"201512001382"</f>
        <v>201512001382</v>
      </c>
    </row>
    <row r="38503" spans="1:2" x14ac:dyDescent="0.25">
      <c r="A38503" s="2">
        <v>38498</v>
      </c>
      <c r="B38503" s="11" t="str">
        <f>"201512001388"</f>
        <v>201512001388</v>
      </c>
    </row>
    <row r="38504" spans="1:2" x14ac:dyDescent="0.25">
      <c r="A38504" s="2">
        <v>38499</v>
      </c>
      <c r="B38504" s="11" t="str">
        <f>"201512001394"</f>
        <v>201512001394</v>
      </c>
    </row>
    <row r="38505" spans="1:2" x14ac:dyDescent="0.25">
      <c r="A38505" s="2">
        <v>38500</v>
      </c>
      <c r="B38505" s="11" t="str">
        <f>"201512001415"</f>
        <v>201512001415</v>
      </c>
    </row>
    <row r="38506" spans="1:2" x14ac:dyDescent="0.25">
      <c r="A38506" s="2">
        <v>38501</v>
      </c>
      <c r="B38506" s="11" t="str">
        <f>"201512001483"</f>
        <v>201512001483</v>
      </c>
    </row>
    <row r="38507" spans="1:2" x14ac:dyDescent="0.25">
      <c r="A38507" s="2">
        <v>38502</v>
      </c>
      <c r="B38507" s="11" t="str">
        <f>"201512001490"</f>
        <v>201512001490</v>
      </c>
    </row>
    <row r="38508" spans="1:2" x14ac:dyDescent="0.25">
      <c r="A38508" s="2">
        <v>38503</v>
      </c>
      <c r="B38508" s="11" t="str">
        <f>"201512001510"</f>
        <v>201512001510</v>
      </c>
    </row>
    <row r="38509" spans="1:2" x14ac:dyDescent="0.25">
      <c r="A38509" s="2">
        <v>38504</v>
      </c>
      <c r="B38509" s="11" t="str">
        <f>"201512001542"</f>
        <v>201512001542</v>
      </c>
    </row>
    <row r="38510" spans="1:2" x14ac:dyDescent="0.25">
      <c r="A38510" s="2">
        <v>38505</v>
      </c>
      <c r="B38510" s="11" t="str">
        <f>"201512001549"</f>
        <v>201512001549</v>
      </c>
    </row>
    <row r="38511" spans="1:2" x14ac:dyDescent="0.25">
      <c r="A38511" s="2">
        <v>38506</v>
      </c>
      <c r="B38511" s="11" t="str">
        <f>"201512001550"</f>
        <v>201512001550</v>
      </c>
    </row>
    <row r="38512" spans="1:2" x14ac:dyDescent="0.25">
      <c r="A38512" s="2">
        <v>38507</v>
      </c>
      <c r="B38512" s="11" t="str">
        <f>"201512001553"</f>
        <v>201512001553</v>
      </c>
    </row>
    <row r="38513" spans="1:2" x14ac:dyDescent="0.25">
      <c r="A38513" s="2">
        <v>38508</v>
      </c>
      <c r="B38513" s="11" t="str">
        <f>"201512001567"</f>
        <v>201512001567</v>
      </c>
    </row>
    <row r="38514" spans="1:2" x14ac:dyDescent="0.25">
      <c r="A38514" s="2">
        <v>38509</v>
      </c>
      <c r="B38514" s="11" t="str">
        <f>"201512001586"</f>
        <v>201512001586</v>
      </c>
    </row>
    <row r="38515" spans="1:2" x14ac:dyDescent="0.25">
      <c r="A38515" s="2">
        <v>38510</v>
      </c>
      <c r="B38515" s="11" t="str">
        <f>"201512001615"</f>
        <v>201512001615</v>
      </c>
    </row>
    <row r="38516" spans="1:2" x14ac:dyDescent="0.25">
      <c r="A38516" s="2">
        <v>38511</v>
      </c>
      <c r="B38516" s="11" t="str">
        <f>"201512001650"</f>
        <v>201512001650</v>
      </c>
    </row>
    <row r="38517" spans="1:2" x14ac:dyDescent="0.25">
      <c r="A38517" s="2">
        <v>38512</v>
      </c>
      <c r="B38517" s="11" t="str">
        <f>"201512001658"</f>
        <v>201512001658</v>
      </c>
    </row>
    <row r="38518" spans="1:2" x14ac:dyDescent="0.25">
      <c r="A38518" s="2">
        <v>38513</v>
      </c>
      <c r="B38518" s="11" t="str">
        <f>"201512001661"</f>
        <v>201512001661</v>
      </c>
    </row>
    <row r="38519" spans="1:2" x14ac:dyDescent="0.25">
      <c r="A38519" s="2">
        <v>38514</v>
      </c>
      <c r="B38519" s="11" t="str">
        <f>"201512001691"</f>
        <v>201512001691</v>
      </c>
    </row>
    <row r="38520" spans="1:2" x14ac:dyDescent="0.25">
      <c r="A38520" s="2">
        <v>38515</v>
      </c>
      <c r="B38520" s="11" t="str">
        <f>"201512001706"</f>
        <v>201512001706</v>
      </c>
    </row>
    <row r="38521" spans="1:2" x14ac:dyDescent="0.25">
      <c r="A38521" s="2">
        <v>38516</v>
      </c>
      <c r="B38521" s="11" t="str">
        <f>"201512001709"</f>
        <v>201512001709</v>
      </c>
    </row>
    <row r="38522" spans="1:2" x14ac:dyDescent="0.25">
      <c r="A38522" s="2">
        <v>38517</v>
      </c>
      <c r="B38522" s="11" t="str">
        <f>"201512001733"</f>
        <v>201512001733</v>
      </c>
    </row>
    <row r="38523" spans="1:2" x14ac:dyDescent="0.25">
      <c r="A38523" s="2">
        <v>38518</v>
      </c>
      <c r="B38523" s="11" t="str">
        <f>"201512001740"</f>
        <v>201512001740</v>
      </c>
    </row>
    <row r="38524" spans="1:2" x14ac:dyDescent="0.25">
      <c r="A38524" s="2">
        <v>38519</v>
      </c>
      <c r="B38524" s="11" t="str">
        <f>"201512001752"</f>
        <v>201512001752</v>
      </c>
    </row>
    <row r="38525" spans="1:2" x14ac:dyDescent="0.25">
      <c r="A38525" s="2">
        <v>38520</v>
      </c>
      <c r="B38525" s="11" t="str">
        <f>"201512001784"</f>
        <v>201512001784</v>
      </c>
    </row>
    <row r="38526" spans="1:2" x14ac:dyDescent="0.25">
      <c r="A38526" s="2">
        <v>38521</v>
      </c>
      <c r="B38526" s="11" t="str">
        <f>"201512001801"</f>
        <v>201512001801</v>
      </c>
    </row>
    <row r="38527" spans="1:2" x14ac:dyDescent="0.25">
      <c r="A38527" s="2">
        <v>38522</v>
      </c>
      <c r="B38527" s="11" t="str">
        <f>"201512001839"</f>
        <v>201512001839</v>
      </c>
    </row>
    <row r="38528" spans="1:2" x14ac:dyDescent="0.25">
      <c r="A38528" s="2">
        <v>38523</v>
      </c>
      <c r="B38528" s="11" t="str">
        <f>"201512001856"</f>
        <v>201512001856</v>
      </c>
    </row>
    <row r="38529" spans="1:2" x14ac:dyDescent="0.25">
      <c r="A38529" s="2">
        <v>38524</v>
      </c>
      <c r="B38529" s="11" t="str">
        <f>"201512001956"</f>
        <v>201512001956</v>
      </c>
    </row>
    <row r="38530" spans="1:2" x14ac:dyDescent="0.25">
      <c r="A38530" s="2">
        <v>38525</v>
      </c>
      <c r="B38530" s="11" t="str">
        <f>"201512001982"</f>
        <v>201512001982</v>
      </c>
    </row>
    <row r="38531" spans="1:2" x14ac:dyDescent="0.25">
      <c r="A38531" s="2">
        <v>38526</v>
      </c>
      <c r="B38531" s="11" t="str">
        <f>"201512001994"</f>
        <v>201512001994</v>
      </c>
    </row>
    <row r="38532" spans="1:2" x14ac:dyDescent="0.25">
      <c r="A38532" s="2">
        <v>38527</v>
      </c>
      <c r="B38532" s="11" t="str">
        <f>"201512002018"</f>
        <v>201512002018</v>
      </c>
    </row>
    <row r="38533" spans="1:2" x14ac:dyDescent="0.25">
      <c r="A38533" s="2">
        <v>38528</v>
      </c>
      <c r="B38533" s="11" t="str">
        <f>"201512002042"</f>
        <v>201512002042</v>
      </c>
    </row>
    <row r="38534" spans="1:2" x14ac:dyDescent="0.25">
      <c r="A38534" s="2">
        <v>38529</v>
      </c>
      <c r="B38534" s="11" t="str">
        <f>"201512002166"</f>
        <v>201512002166</v>
      </c>
    </row>
    <row r="38535" spans="1:2" x14ac:dyDescent="0.25">
      <c r="A38535" s="2">
        <v>38530</v>
      </c>
      <c r="B38535" s="11" t="str">
        <f>"201512002203"</f>
        <v>201512002203</v>
      </c>
    </row>
    <row r="38536" spans="1:2" x14ac:dyDescent="0.25">
      <c r="A38536" s="2">
        <v>38531</v>
      </c>
      <c r="B38536" s="11" t="str">
        <f>"201512002224"</f>
        <v>201512002224</v>
      </c>
    </row>
    <row r="38537" spans="1:2" x14ac:dyDescent="0.25">
      <c r="A38537" s="2">
        <v>38532</v>
      </c>
      <c r="B38537" s="11" t="str">
        <f>"201512002251"</f>
        <v>201512002251</v>
      </c>
    </row>
    <row r="38538" spans="1:2" x14ac:dyDescent="0.25">
      <c r="A38538" s="2">
        <v>38533</v>
      </c>
      <c r="B38538" s="11" t="str">
        <f>"201512002267"</f>
        <v>201512002267</v>
      </c>
    </row>
    <row r="38539" spans="1:2" x14ac:dyDescent="0.25">
      <c r="A38539" s="2">
        <v>38534</v>
      </c>
      <c r="B38539" s="11" t="str">
        <f>"201512002289"</f>
        <v>201512002289</v>
      </c>
    </row>
    <row r="38540" spans="1:2" x14ac:dyDescent="0.25">
      <c r="A38540" s="2">
        <v>38535</v>
      </c>
      <c r="B38540" s="11" t="str">
        <f>"201512002397"</f>
        <v>201512002397</v>
      </c>
    </row>
    <row r="38541" spans="1:2" x14ac:dyDescent="0.25">
      <c r="A38541" s="2">
        <v>38536</v>
      </c>
      <c r="B38541" s="11" t="str">
        <f>"201512002527"</f>
        <v>201512002527</v>
      </c>
    </row>
    <row r="38542" spans="1:2" x14ac:dyDescent="0.25">
      <c r="A38542" s="2">
        <v>38537</v>
      </c>
      <c r="B38542" s="11" t="str">
        <f>"201512002715"</f>
        <v>201512002715</v>
      </c>
    </row>
    <row r="38543" spans="1:2" x14ac:dyDescent="0.25">
      <c r="A38543" s="2">
        <v>38538</v>
      </c>
      <c r="B38543" s="11" t="str">
        <f>"201512002760"</f>
        <v>201512002760</v>
      </c>
    </row>
    <row r="38544" spans="1:2" x14ac:dyDescent="0.25">
      <c r="A38544" s="2">
        <v>38539</v>
      </c>
      <c r="B38544" s="11" t="str">
        <f>"201512002763"</f>
        <v>201512002763</v>
      </c>
    </row>
    <row r="38545" spans="1:2" x14ac:dyDescent="0.25">
      <c r="A38545" s="2">
        <v>38540</v>
      </c>
      <c r="B38545" s="11" t="str">
        <f>"201512002795"</f>
        <v>201512002795</v>
      </c>
    </row>
    <row r="38546" spans="1:2" x14ac:dyDescent="0.25">
      <c r="A38546" s="2">
        <v>38541</v>
      </c>
      <c r="B38546" s="11" t="str">
        <f>"201512002850"</f>
        <v>201512002850</v>
      </c>
    </row>
    <row r="38547" spans="1:2" x14ac:dyDescent="0.25">
      <c r="A38547" s="2">
        <v>38542</v>
      </c>
      <c r="B38547" s="11" t="str">
        <f>"201512002915"</f>
        <v>201512002915</v>
      </c>
    </row>
    <row r="38548" spans="1:2" x14ac:dyDescent="0.25">
      <c r="A38548" s="2">
        <v>38543</v>
      </c>
      <c r="B38548" s="11" t="str">
        <f>"201512002937"</f>
        <v>201512002937</v>
      </c>
    </row>
    <row r="38549" spans="1:2" x14ac:dyDescent="0.25">
      <c r="A38549" s="2">
        <v>38544</v>
      </c>
      <c r="B38549" s="11" t="str">
        <f>"201512002938"</f>
        <v>201512002938</v>
      </c>
    </row>
    <row r="38550" spans="1:2" x14ac:dyDescent="0.25">
      <c r="A38550" s="2">
        <v>38545</v>
      </c>
      <c r="B38550" s="11" t="str">
        <f>"201512002967"</f>
        <v>201512002967</v>
      </c>
    </row>
    <row r="38551" spans="1:2" x14ac:dyDescent="0.25">
      <c r="A38551" s="2">
        <v>38546</v>
      </c>
      <c r="B38551" s="11" t="str">
        <f>"201512002972"</f>
        <v>201512002972</v>
      </c>
    </row>
    <row r="38552" spans="1:2" x14ac:dyDescent="0.25">
      <c r="A38552" s="2">
        <v>38547</v>
      </c>
      <c r="B38552" s="11" t="str">
        <f>"201512003001"</f>
        <v>201512003001</v>
      </c>
    </row>
    <row r="38553" spans="1:2" x14ac:dyDescent="0.25">
      <c r="A38553" s="2">
        <v>38548</v>
      </c>
      <c r="B38553" s="11" t="str">
        <f>"201512003059"</f>
        <v>201512003059</v>
      </c>
    </row>
    <row r="38554" spans="1:2" x14ac:dyDescent="0.25">
      <c r="A38554" s="2">
        <v>38549</v>
      </c>
      <c r="B38554" s="11" t="str">
        <f>"201512003060"</f>
        <v>201512003060</v>
      </c>
    </row>
    <row r="38555" spans="1:2" x14ac:dyDescent="0.25">
      <c r="A38555" s="2">
        <v>38550</v>
      </c>
      <c r="B38555" s="11" t="str">
        <f>"201512003153"</f>
        <v>201512003153</v>
      </c>
    </row>
    <row r="38556" spans="1:2" x14ac:dyDescent="0.25">
      <c r="A38556" s="2">
        <v>38551</v>
      </c>
      <c r="B38556" s="11" t="str">
        <f>"201512003261"</f>
        <v>201512003261</v>
      </c>
    </row>
    <row r="38557" spans="1:2" x14ac:dyDescent="0.25">
      <c r="A38557" s="2">
        <v>38552</v>
      </c>
      <c r="B38557" s="11" t="str">
        <f>"201512003386"</f>
        <v>201512003386</v>
      </c>
    </row>
    <row r="38558" spans="1:2" x14ac:dyDescent="0.25">
      <c r="A38558" s="2">
        <v>38553</v>
      </c>
      <c r="B38558" s="11" t="str">
        <f>"201512003462"</f>
        <v>201512003462</v>
      </c>
    </row>
    <row r="38559" spans="1:2" x14ac:dyDescent="0.25">
      <c r="A38559" s="2">
        <v>38554</v>
      </c>
      <c r="B38559" s="11" t="str">
        <f>"201512003488"</f>
        <v>201512003488</v>
      </c>
    </row>
    <row r="38560" spans="1:2" x14ac:dyDescent="0.25">
      <c r="A38560" s="2">
        <v>38555</v>
      </c>
      <c r="B38560" s="11" t="str">
        <f>"201512003495"</f>
        <v>201512003495</v>
      </c>
    </row>
    <row r="38561" spans="1:2" x14ac:dyDescent="0.25">
      <c r="A38561" s="2">
        <v>38556</v>
      </c>
      <c r="B38561" s="11" t="str">
        <f>"201512003575"</f>
        <v>201512003575</v>
      </c>
    </row>
    <row r="38562" spans="1:2" x14ac:dyDescent="0.25">
      <c r="A38562" s="2">
        <v>38557</v>
      </c>
      <c r="B38562" s="11" t="str">
        <f>"201512003755"</f>
        <v>201512003755</v>
      </c>
    </row>
    <row r="38563" spans="1:2" x14ac:dyDescent="0.25">
      <c r="A38563" s="2">
        <v>38558</v>
      </c>
      <c r="B38563" s="11" t="str">
        <f>"201512003851"</f>
        <v>201512003851</v>
      </c>
    </row>
    <row r="38564" spans="1:2" x14ac:dyDescent="0.25">
      <c r="A38564" s="2">
        <v>38559</v>
      </c>
      <c r="B38564" s="11" t="str">
        <f>"201512003929"</f>
        <v>201512003929</v>
      </c>
    </row>
    <row r="38565" spans="1:2" x14ac:dyDescent="0.25">
      <c r="A38565" s="2">
        <v>38560</v>
      </c>
      <c r="B38565" s="11" t="str">
        <f>"201512003966"</f>
        <v>201512003966</v>
      </c>
    </row>
    <row r="38566" spans="1:2" x14ac:dyDescent="0.25">
      <c r="A38566" s="2">
        <v>38561</v>
      </c>
      <c r="B38566" s="11" t="str">
        <f>"201512004078"</f>
        <v>201512004078</v>
      </c>
    </row>
    <row r="38567" spans="1:2" x14ac:dyDescent="0.25">
      <c r="A38567" s="2">
        <v>38562</v>
      </c>
      <c r="B38567" s="11" t="str">
        <f>"201512004144"</f>
        <v>201512004144</v>
      </c>
    </row>
    <row r="38568" spans="1:2" x14ac:dyDescent="0.25">
      <c r="A38568" s="2">
        <v>38563</v>
      </c>
      <c r="B38568" s="11" t="str">
        <f>"201512004195"</f>
        <v>201512004195</v>
      </c>
    </row>
    <row r="38569" spans="1:2" x14ac:dyDescent="0.25">
      <c r="A38569" s="2">
        <v>38564</v>
      </c>
      <c r="B38569" s="11" t="str">
        <f>"201512004235"</f>
        <v>201512004235</v>
      </c>
    </row>
    <row r="38570" spans="1:2" x14ac:dyDescent="0.25">
      <c r="A38570" s="2">
        <v>38565</v>
      </c>
      <c r="B38570" s="11" t="str">
        <f>"201512004254"</f>
        <v>201512004254</v>
      </c>
    </row>
    <row r="38571" spans="1:2" x14ac:dyDescent="0.25">
      <c r="A38571" s="2">
        <v>38566</v>
      </c>
      <c r="B38571" s="11" t="str">
        <f>"201512004294"</f>
        <v>201512004294</v>
      </c>
    </row>
    <row r="38572" spans="1:2" x14ac:dyDescent="0.25">
      <c r="A38572" s="2">
        <v>38567</v>
      </c>
      <c r="B38572" s="11" t="str">
        <f>"201512004319"</f>
        <v>201512004319</v>
      </c>
    </row>
    <row r="38573" spans="1:2" x14ac:dyDescent="0.25">
      <c r="A38573" s="2">
        <v>38568</v>
      </c>
      <c r="B38573" s="11" t="str">
        <f>"201512004400"</f>
        <v>201512004400</v>
      </c>
    </row>
    <row r="38574" spans="1:2" x14ac:dyDescent="0.25">
      <c r="A38574" s="2">
        <v>38569</v>
      </c>
      <c r="B38574" s="11" t="str">
        <f>"201512004436"</f>
        <v>201512004436</v>
      </c>
    </row>
    <row r="38575" spans="1:2" x14ac:dyDescent="0.25">
      <c r="A38575" s="2">
        <v>38570</v>
      </c>
      <c r="B38575" s="11" t="str">
        <f>"201512004467"</f>
        <v>201512004467</v>
      </c>
    </row>
    <row r="38576" spans="1:2" x14ac:dyDescent="0.25">
      <c r="A38576" s="2">
        <v>38571</v>
      </c>
      <c r="B38576" s="11" t="str">
        <f>"201512004485"</f>
        <v>201512004485</v>
      </c>
    </row>
    <row r="38577" spans="1:2" x14ac:dyDescent="0.25">
      <c r="A38577" s="2">
        <v>38572</v>
      </c>
      <c r="B38577" s="11" t="str">
        <f>"201512004512"</f>
        <v>201512004512</v>
      </c>
    </row>
    <row r="38578" spans="1:2" x14ac:dyDescent="0.25">
      <c r="A38578" s="2">
        <v>38573</v>
      </c>
      <c r="B38578" s="11" t="str">
        <f>"201512004585"</f>
        <v>201512004585</v>
      </c>
    </row>
    <row r="38579" spans="1:2" x14ac:dyDescent="0.25">
      <c r="A38579" s="2">
        <v>38574</v>
      </c>
      <c r="B38579" s="11" t="str">
        <f>"201512004649"</f>
        <v>201512004649</v>
      </c>
    </row>
    <row r="38580" spans="1:2" x14ac:dyDescent="0.25">
      <c r="A38580" s="2">
        <v>38575</v>
      </c>
      <c r="B38580" s="11" t="str">
        <f>"201512004715"</f>
        <v>201512004715</v>
      </c>
    </row>
    <row r="38581" spans="1:2" x14ac:dyDescent="0.25">
      <c r="A38581" s="2">
        <v>38576</v>
      </c>
      <c r="B38581" s="11" t="str">
        <f>"201512005031"</f>
        <v>201512005031</v>
      </c>
    </row>
    <row r="38582" spans="1:2" x14ac:dyDescent="0.25">
      <c r="A38582" s="2">
        <v>38577</v>
      </c>
      <c r="B38582" s="11" t="str">
        <f>"201512005321"</f>
        <v>201512005321</v>
      </c>
    </row>
    <row r="38583" spans="1:2" x14ac:dyDescent="0.25">
      <c r="A38583" s="2">
        <v>38578</v>
      </c>
      <c r="B38583" s="11" t="str">
        <f>"201512005331"</f>
        <v>201512005331</v>
      </c>
    </row>
    <row r="38584" spans="1:2" x14ac:dyDescent="0.25">
      <c r="A38584" s="2">
        <v>38579</v>
      </c>
      <c r="B38584" s="11" t="str">
        <f>"201512005344"</f>
        <v>201512005344</v>
      </c>
    </row>
    <row r="38585" spans="1:2" x14ac:dyDescent="0.25">
      <c r="A38585" s="2">
        <v>38580</v>
      </c>
      <c r="B38585" s="11" t="str">
        <f>"201512005376"</f>
        <v>201512005376</v>
      </c>
    </row>
    <row r="38586" spans="1:2" x14ac:dyDescent="0.25">
      <c r="A38586" s="2">
        <v>38581</v>
      </c>
      <c r="B38586" s="11" t="str">
        <f>"201512005378"</f>
        <v>201512005378</v>
      </c>
    </row>
    <row r="38587" spans="1:2" x14ac:dyDescent="0.25">
      <c r="A38587" s="2">
        <v>38582</v>
      </c>
      <c r="B38587" s="11" t="str">
        <f>"201512005407"</f>
        <v>201512005407</v>
      </c>
    </row>
    <row r="38588" spans="1:2" x14ac:dyDescent="0.25">
      <c r="A38588" s="2">
        <v>38583</v>
      </c>
      <c r="B38588" s="11" t="str">
        <f>"201512005431"</f>
        <v>201512005431</v>
      </c>
    </row>
    <row r="38589" spans="1:2" x14ac:dyDescent="0.25">
      <c r="A38589" s="2">
        <v>38584</v>
      </c>
      <c r="B38589" s="11" t="str">
        <f>"201512005447"</f>
        <v>201512005447</v>
      </c>
    </row>
    <row r="38590" spans="1:2" x14ac:dyDescent="0.25">
      <c r="A38590" s="2">
        <v>38585</v>
      </c>
      <c r="B38590" s="11" t="str">
        <f>"201512005473"</f>
        <v>201512005473</v>
      </c>
    </row>
    <row r="38591" spans="1:2" x14ac:dyDescent="0.25">
      <c r="A38591" s="2">
        <v>38586</v>
      </c>
      <c r="B38591" s="11" t="str">
        <f>"201512005490"</f>
        <v>201512005490</v>
      </c>
    </row>
    <row r="38592" spans="1:2" x14ac:dyDescent="0.25">
      <c r="A38592" s="2">
        <v>38587</v>
      </c>
      <c r="B38592" s="11" t="str">
        <f>"201512005511"</f>
        <v>201512005511</v>
      </c>
    </row>
    <row r="38593" spans="1:2" x14ac:dyDescent="0.25">
      <c r="A38593" s="2">
        <v>38588</v>
      </c>
      <c r="B38593" s="11" t="str">
        <f>"201512005515"</f>
        <v>201512005515</v>
      </c>
    </row>
    <row r="38594" spans="1:2" x14ac:dyDescent="0.25">
      <c r="A38594" s="2">
        <v>38589</v>
      </c>
      <c r="B38594" s="11" t="str">
        <f>"201512005517"</f>
        <v>201512005517</v>
      </c>
    </row>
    <row r="38595" spans="1:2" x14ac:dyDescent="0.25">
      <c r="A38595" s="2">
        <v>38590</v>
      </c>
      <c r="B38595" s="11" t="str">
        <f>"201512005532"</f>
        <v>201512005532</v>
      </c>
    </row>
    <row r="38596" spans="1:2" x14ac:dyDescent="0.25">
      <c r="A38596" s="2">
        <v>38591</v>
      </c>
      <c r="B38596" s="11" t="str">
        <f>"201601000049"</f>
        <v>201601000049</v>
      </c>
    </row>
    <row r="38597" spans="1:2" x14ac:dyDescent="0.25">
      <c r="A38597" s="2">
        <v>38592</v>
      </c>
      <c r="B38597" s="11" t="str">
        <f>"201601000050"</f>
        <v>201601000050</v>
      </c>
    </row>
    <row r="38598" spans="1:2" x14ac:dyDescent="0.25">
      <c r="A38598" s="2">
        <v>38593</v>
      </c>
      <c r="B38598" s="11" t="str">
        <f>"201601000098"</f>
        <v>201601000098</v>
      </c>
    </row>
    <row r="38599" spans="1:2" x14ac:dyDescent="0.25">
      <c r="A38599" s="2">
        <v>38594</v>
      </c>
      <c r="B38599" s="11" t="str">
        <f>"201601000119"</f>
        <v>201601000119</v>
      </c>
    </row>
    <row r="38600" spans="1:2" x14ac:dyDescent="0.25">
      <c r="A38600" s="2">
        <v>38595</v>
      </c>
      <c r="B38600" s="11" t="str">
        <f>"201601000151"</f>
        <v>201601000151</v>
      </c>
    </row>
    <row r="38601" spans="1:2" x14ac:dyDescent="0.25">
      <c r="A38601" s="2">
        <v>38596</v>
      </c>
      <c r="B38601" s="11" t="str">
        <f>"201601000159"</f>
        <v>201601000159</v>
      </c>
    </row>
    <row r="38602" spans="1:2" x14ac:dyDescent="0.25">
      <c r="A38602" s="2">
        <v>38597</v>
      </c>
      <c r="B38602" s="11" t="str">
        <f>"201601000212"</f>
        <v>201601000212</v>
      </c>
    </row>
    <row r="38603" spans="1:2" x14ac:dyDescent="0.25">
      <c r="A38603" s="2">
        <v>38598</v>
      </c>
      <c r="B38603" s="11" t="str">
        <f>"201601000220"</f>
        <v>201601000220</v>
      </c>
    </row>
    <row r="38604" spans="1:2" x14ac:dyDescent="0.25">
      <c r="A38604" s="2">
        <v>38599</v>
      </c>
      <c r="B38604" s="11" t="str">
        <f>"201601000245"</f>
        <v>201601000245</v>
      </c>
    </row>
    <row r="38605" spans="1:2" x14ac:dyDescent="0.25">
      <c r="A38605" s="2">
        <v>38600</v>
      </c>
      <c r="B38605" s="11" t="str">
        <f>"201601000250"</f>
        <v>201601000250</v>
      </c>
    </row>
    <row r="38606" spans="1:2" x14ac:dyDescent="0.25">
      <c r="A38606" s="2">
        <v>38601</v>
      </c>
      <c r="B38606" s="11" t="str">
        <f>"201601000258"</f>
        <v>201601000258</v>
      </c>
    </row>
    <row r="38607" spans="1:2" x14ac:dyDescent="0.25">
      <c r="A38607" s="2">
        <v>38602</v>
      </c>
      <c r="B38607" s="11" t="str">
        <f>"201601000265"</f>
        <v>201601000265</v>
      </c>
    </row>
    <row r="38608" spans="1:2" x14ac:dyDescent="0.25">
      <c r="A38608" s="2">
        <v>38603</v>
      </c>
      <c r="B38608" s="11" t="str">
        <f>"201601000274"</f>
        <v>201601000274</v>
      </c>
    </row>
    <row r="38609" spans="1:2" x14ac:dyDescent="0.25">
      <c r="A38609" s="2">
        <v>38604</v>
      </c>
      <c r="B38609" s="11" t="str">
        <f>"201601000296"</f>
        <v>201601000296</v>
      </c>
    </row>
    <row r="38610" spans="1:2" x14ac:dyDescent="0.25">
      <c r="A38610" s="2">
        <v>38605</v>
      </c>
      <c r="B38610" s="11" t="str">
        <f>"201601000325"</f>
        <v>201601000325</v>
      </c>
    </row>
    <row r="38611" spans="1:2" x14ac:dyDescent="0.25">
      <c r="A38611" s="2">
        <v>38606</v>
      </c>
      <c r="B38611" s="11" t="str">
        <f>"201601000332"</f>
        <v>201601000332</v>
      </c>
    </row>
    <row r="38612" spans="1:2" x14ac:dyDescent="0.25">
      <c r="A38612" s="2">
        <v>38607</v>
      </c>
      <c r="B38612" s="11" t="str">
        <f>"201601000369"</f>
        <v>201601000369</v>
      </c>
    </row>
    <row r="38613" spans="1:2" x14ac:dyDescent="0.25">
      <c r="A38613" s="2">
        <v>38608</v>
      </c>
      <c r="B38613" s="11" t="str">
        <f>"201601000382"</f>
        <v>201601000382</v>
      </c>
    </row>
    <row r="38614" spans="1:2" x14ac:dyDescent="0.25">
      <c r="A38614" s="2">
        <v>38609</v>
      </c>
      <c r="B38614" s="11" t="str">
        <f>"201601000441"</f>
        <v>201601000441</v>
      </c>
    </row>
    <row r="38615" spans="1:2" x14ac:dyDescent="0.25">
      <c r="A38615" s="2">
        <v>38610</v>
      </c>
      <c r="B38615" s="11" t="str">
        <f>"201601000463"</f>
        <v>201601000463</v>
      </c>
    </row>
    <row r="38616" spans="1:2" x14ac:dyDescent="0.25">
      <c r="A38616" s="2">
        <v>38611</v>
      </c>
      <c r="B38616" s="11" t="str">
        <f>"201601000479"</f>
        <v>201601000479</v>
      </c>
    </row>
    <row r="38617" spans="1:2" x14ac:dyDescent="0.25">
      <c r="A38617" s="2">
        <v>38612</v>
      </c>
      <c r="B38617" s="11" t="str">
        <f>"201601000507"</f>
        <v>201601000507</v>
      </c>
    </row>
    <row r="38618" spans="1:2" x14ac:dyDescent="0.25">
      <c r="A38618" s="2">
        <v>38613</v>
      </c>
      <c r="B38618" s="11" t="str">
        <f>"201601000524"</f>
        <v>201601000524</v>
      </c>
    </row>
    <row r="38619" spans="1:2" x14ac:dyDescent="0.25">
      <c r="A38619" s="2">
        <v>38614</v>
      </c>
      <c r="B38619" s="11" t="str">
        <f>"201601000553"</f>
        <v>201601000553</v>
      </c>
    </row>
    <row r="38620" spans="1:2" x14ac:dyDescent="0.25">
      <c r="A38620" s="2">
        <v>38615</v>
      </c>
      <c r="B38620" s="11" t="str">
        <f>"201601000558"</f>
        <v>201601000558</v>
      </c>
    </row>
    <row r="38621" spans="1:2" x14ac:dyDescent="0.25">
      <c r="A38621" s="2">
        <v>38616</v>
      </c>
      <c r="B38621" s="11" t="str">
        <f>"201601000628"</f>
        <v>201601000628</v>
      </c>
    </row>
    <row r="38622" spans="1:2" x14ac:dyDescent="0.25">
      <c r="A38622" s="2">
        <v>38617</v>
      </c>
      <c r="B38622" s="11" t="str">
        <f>"201601000655"</f>
        <v>201601000655</v>
      </c>
    </row>
    <row r="38623" spans="1:2" x14ac:dyDescent="0.25">
      <c r="A38623" s="2">
        <v>38618</v>
      </c>
      <c r="B38623" s="11" t="str">
        <f>"201601000689"</f>
        <v>201601000689</v>
      </c>
    </row>
    <row r="38624" spans="1:2" x14ac:dyDescent="0.25">
      <c r="A38624" s="2">
        <v>38619</v>
      </c>
      <c r="B38624" s="11" t="str">
        <f>"201601000695"</f>
        <v>201601000695</v>
      </c>
    </row>
    <row r="38625" spans="1:2" x14ac:dyDescent="0.25">
      <c r="A38625" s="2">
        <v>38620</v>
      </c>
      <c r="B38625" s="11" t="str">
        <f>"201601000709"</f>
        <v>201601000709</v>
      </c>
    </row>
    <row r="38626" spans="1:2" x14ac:dyDescent="0.25">
      <c r="A38626" s="2">
        <v>38621</v>
      </c>
      <c r="B38626" s="11" t="str">
        <f>"201601000710"</f>
        <v>201601000710</v>
      </c>
    </row>
    <row r="38627" spans="1:2" x14ac:dyDescent="0.25">
      <c r="A38627" s="2">
        <v>38622</v>
      </c>
      <c r="B38627" s="11" t="str">
        <f>"201601000770"</f>
        <v>201601000770</v>
      </c>
    </row>
    <row r="38628" spans="1:2" x14ac:dyDescent="0.25">
      <c r="A38628" s="2">
        <v>38623</v>
      </c>
      <c r="B38628" s="11" t="str">
        <f>"201601000806"</f>
        <v>201601000806</v>
      </c>
    </row>
    <row r="38629" spans="1:2" x14ac:dyDescent="0.25">
      <c r="A38629" s="2">
        <v>38624</v>
      </c>
      <c r="B38629" s="11" t="str">
        <f>"201601000859"</f>
        <v>201601000859</v>
      </c>
    </row>
    <row r="38630" spans="1:2" x14ac:dyDescent="0.25">
      <c r="A38630" s="2">
        <v>38625</v>
      </c>
      <c r="B38630" s="11" t="str">
        <f>"201601000864"</f>
        <v>201601000864</v>
      </c>
    </row>
    <row r="38631" spans="1:2" x14ac:dyDescent="0.25">
      <c r="A38631" s="2">
        <v>38626</v>
      </c>
      <c r="B38631" s="11" t="str">
        <f>"201601000870"</f>
        <v>201601000870</v>
      </c>
    </row>
    <row r="38632" spans="1:2" x14ac:dyDescent="0.25">
      <c r="A38632" s="2">
        <v>38627</v>
      </c>
      <c r="B38632" s="11" t="str">
        <f>"201601000894"</f>
        <v>201601000894</v>
      </c>
    </row>
    <row r="38633" spans="1:2" x14ac:dyDescent="0.25">
      <c r="A38633" s="2">
        <v>38628</v>
      </c>
      <c r="B38633" s="11" t="str">
        <f>"201601000902"</f>
        <v>201601000902</v>
      </c>
    </row>
    <row r="38634" spans="1:2" x14ac:dyDescent="0.25">
      <c r="A38634" s="2">
        <v>38629</v>
      </c>
      <c r="B38634" s="11" t="str">
        <f>"201601000916"</f>
        <v>201601000916</v>
      </c>
    </row>
    <row r="38635" spans="1:2" x14ac:dyDescent="0.25">
      <c r="A38635" s="2">
        <v>38630</v>
      </c>
      <c r="B38635" s="11" t="str">
        <f>"201601000935"</f>
        <v>201601000935</v>
      </c>
    </row>
    <row r="38636" spans="1:2" x14ac:dyDescent="0.25">
      <c r="A38636" s="2">
        <v>38631</v>
      </c>
      <c r="B38636" s="11" t="str">
        <f>"201601000946"</f>
        <v>201601000946</v>
      </c>
    </row>
    <row r="38637" spans="1:2" x14ac:dyDescent="0.25">
      <c r="A38637" s="2">
        <v>38632</v>
      </c>
      <c r="B38637" s="11" t="str">
        <f>"201601001015"</f>
        <v>201601001015</v>
      </c>
    </row>
    <row r="38638" spans="1:2" x14ac:dyDescent="0.25">
      <c r="A38638" s="2">
        <v>38633</v>
      </c>
      <c r="B38638" s="11" t="str">
        <f>"201601001067"</f>
        <v>201601001067</v>
      </c>
    </row>
    <row r="38639" spans="1:2" x14ac:dyDescent="0.25">
      <c r="A38639" s="2">
        <v>38634</v>
      </c>
      <c r="B38639" s="11" t="str">
        <f>"201601001148"</f>
        <v>201601001148</v>
      </c>
    </row>
    <row r="38640" spans="1:2" x14ac:dyDescent="0.25">
      <c r="A38640" s="2">
        <v>38635</v>
      </c>
      <c r="B38640" s="11" t="str">
        <f>"201601001167"</f>
        <v>201601001167</v>
      </c>
    </row>
    <row r="38641" spans="1:2" x14ac:dyDescent="0.25">
      <c r="A38641" s="2">
        <v>38636</v>
      </c>
      <c r="B38641" s="11" t="str">
        <f>"201601001193"</f>
        <v>201601001193</v>
      </c>
    </row>
    <row r="38642" spans="1:2" x14ac:dyDescent="0.25">
      <c r="A38642" s="2">
        <v>38637</v>
      </c>
      <c r="B38642" s="11" t="str">
        <f>"201601001199"</f>
        <v>201601001199</v>
      </c>
    </row>
    <row r="38643" spans="1:2" x14ac:dyDescent="0.25">
      <c r="A38643" s="2">
        <v>38638</v>
      </c>
      <c r="B38643" s="11" t="str">
        <f>"201601001215"</f>
        <v>201601001215</v>
      </c>
    </row>
    <row r="38644" spans="1:2" x14ac:dyDescent="0.25">
      <c r="A38644" s="2">
        <v>38639</v>
      </c>
      <c r="B38644" s="11" t="str">
        <f>"201601001247"</f>
        <v>201601001247</v>
      </c>
    </row>
    <row r="38645" spans="1:2" x14ac:dyDescent="0.25">
      <c r="A38645" s="2">
        <v>38640</v>
      </c>
      <c r="B38645" s="11" t="str">
        <f>"201601001296"</f>
        <v>201601001296</v>
      </c>
    </row>
    <row r="38646" spans="1:2" x14ac:dyDescent="0.25">
      <c r="A38646" s="2">
        <v>38641</v>
      </c>
      <c r="B38646" s="11" t="str">
        <f>"201601001307"</f>
        <v>201601001307</v>
      </c>
    </row>
    <row r="38647" spans="1:2" x14ac:dyDescent="0.25">
      <c r="A38647" s="2">
        <v>38642</v>
      </c>
      <c r="B38647" s="11" t="str">
        <f>"201601001350"</f>
        <v>201601001350</v>
      </c>
    </row>
    <row r="38648" spans="1:2" x14ac:dyDescent="0.25">
      <c r="A38648" s="2">
        <v>38643</v>
      </c>
      <c r="B38648" s="11" t="str">
        <f>"201601001368"</f>
        <v>201601001368</v>
      </c>
    </row>
    <row r="38649" spans="1:2" x14ac:dyDescent="0.25">
      <c r="A38649" s="2">
        <v>38644</v>
      </c>
      <c r="B38649" s="11" t="str">
        <f>"201601001403"</f>
        <v>201601001403</v>
      </c>
    </row>
    <row r="38650" spans="1:2" x14ac:dyDescent="0.25">
      <c r="A38650" s="2">
        <v>38645</v>
      </c>
      <c r="B38650" s="11" t="str">
        <f>"201601001438"</f>
        <v>201601001438</v>
      </c>
    </row>
    <row r="38651" spans="1:2" x14ac:dyDescent="0.25">
      <c r="A38651" s="2">
        <v>38646</v>
      </c>
      <c r="B38651" s="11" t="str">
        <f>"201602000003"</f>
        <v>201602000003</v>
      </c>
    </row>
    <row r="38652" spans="1:2" x14ac:dyDescent="0.25">
      <c r="A38652" s="2">
        <v>38647</v>
      </c>
      <c r="B38652" s="11" t="str">
        <f>"201602000026"</f>
        <v>201602000026</v>
      </c>
    </row>
    <row r="38653" spans="1:2" x14ac:dyDescent="0.25">
      <c r="A38653" s="2">
        <v>38648</v>
      </c>
      <c r="B38653" s="11" t="str">
        <f>"201602000030"</f>
        <v>201602000030</v>
      </c>
    </row>
    <row r="38654" spans="1:2" x14ac:dyDescent="0.25">
      <c r="A38654" s="2">
        <v>38649</v>
      </c>
      <c r="B38654" s="11" t="str">
        <f>"201602000046"</f>
        <v>201602000046</v>
      </c>
    </row>
    <row r="38655" spans="1:2" x14ac:dyDescent="0.25">
      <c r="A38655" s="2">
        <v>38650</v>
      </c>
      <c r="B38655" s="11" t="str">
        <f>"201602000082"</f>
        <v>201602000082</v>
      </c>
    </row>
    <row r="38656" spans="1:2" x14ac:dyDescent="0.25">
      <c r="A38656" s="2">
        <v>38651</v>
      </c>
      <c r="B38656" s="11" t="str">
        <f>"201602000179"</f>
        <v>201602000179</v>
      </c>
    </row>
    <row r="38657" spans="1:2" x14ac:dyDescent="0.25">
      <c r="A38657" s="2">
        <v>38652</v>
      </c>
      <c r="B38657" s="11" t="str">
        <f>"201602000225"</f>
        <v>201602000225</v>
      </c>
    </row>
    <row r="38658" spans="1:2" x14ac:dyDescent="0.25">
      <c r="A38658" s="2">
        <v>38653</v>
      </c>
      <c r="B38658" s="11" t="str">
        <f>"201602000230"</f>
        <v>201602000230</v>
      </c>
    </row>
    <row r="38659" spans="1:2" x14ac:dyDescent="0.25">
      <c r="A38659" s="2">
        <v>38654</v>
      </c>
      <c r="B38659" s="11" t="str">
        <f>"201602000253"</f>
        <v>201602000253</v>
      </c>
    </row>
    <row r="38660" spans="1:2" x14ac:dyDescent="0.25">
      <c r="A38660" s="2">
        <v>38655</v>
      </c>
      <c r="B38660" s="11" t="str">
        <f>"201602000282"</f>
        <v>201602000282</v>
      </c>
    </row>
    <row r="38661" spans="1:2" x14ac:dyDescent="0.25">
      <c r="A38661" s="2">
        <v>38656</v>
      </c>
      <c r="B38661" s="11" t="str">
        <f>"201602000326"</f>
        <v>201602000326</v>
      </c>
    </row>
    <row r="38662" spans="1:2" x14ac:dyDescent="0.25">
      <c r="A38662" s="2">
        <v>38657</v>
      </c>
      <c r="B38662" s="11" t="str">
        <f>"201602000378"</f>
        <v>201602000378</v>
      </c>
    </row>
    <row r="38663" spans="1:2" x14ac:dyDescent="0.25">
      <c r="A38663" s="2">
        <v>38658</v>
      </c>
      <c r="B38663" s="11" t="str">
        <f>"201602000407"</f>
        <v>201602000407</v>
      </c>
    </row>
    <row r="38664" spans="1:2" x14ac:dyDescent="0.25">
      <c r="A38664" s="2">
        <v>38659</v>
      </c>
      <c r="B38664" s="11" t="str">
        <f>"201602000457"</f>
        <v>201602000457</v>
      </c>
    </row>
    <row r="38665" spans="1:2" x14ac:dyDescent="0.25">
      <c r="A38665" s="2">
        <v>38660</v>
      </c>
      <c r="B38665" s="11" t="str">
        <f>"201603000033"</f>
        <v>201603000033</v>
      </c>
    </row>
    <row r="38666" spans="1:2" x14ac:dyDescent="0.25">
      <c r="A38666" s="2">
        <v>38661</v>
      </c>
      <c r="B38666" s="11" t="str">
        <f>"201603000036"</f>
        <v>201603000036</v>
      </c>
    </row>
    <row r="38667" spans="1:2" x14ac:dyDescent="0.25">
      <c r="A38667" s="2">
        <v>38662</v>
      </c>
      <c r="B38667" s="11" t="str">
        <f>"201603000113"</f>
        <v>201603000113</v>
      </c>
    </row>
    <row r="38668" spans="1:2" x14ac:dyDescent="0.25">
      <c r="A38668" s="2">
        <v>38663</v>
      </c>
      <c r="B38668" s="11" t="str">
        <f>"201603000228"</f>
        <v>201603000228</v>
      </c>
    </row>
    <row r="38669" spans="1:2" x14ac:dyDescent="0.25">
      <c r="A38669" s="2">
        <v>38664</v>
      </c>
      <c r="B38669" s="11" t="str">
        <f>"201603000255"</f>
        <v>201603000255</v>
      </c>
    </row>
    <row r="38670" spans="1:2" x14ac:dyDescent="0.25">
      <c r="A38670" s="2">
        <v>38665</v>
      </c>
      <c r="B38670" s="11" t="str">
        <f>"201603000285"</f>
        <v>201603000285</v>
      </c>
    </row>
    <row r="38671" spans="1:2" x14ac:dyDescent="0.25">
      <c r="A38671" s="2">
        <v>38666</v>
      </c>
      <c r="B38671" s="11" t="str">
        <f>"201603000293"</f>
        <v>201603000293</v>
      </c>
    </row>
    <row r="38672" spans="1:2" x14ac:dyDescent="0.25">
      <c r="A38672" s="2">
        <v>38667</v>
      </c>
      <c r="B38672" s="11" t="str">
        <f>"201603000321"</f>
        <v>201603000321</v>
      </c>
    </row>
    <row r="38673" spans="1:2" x14ac:dyDescent="0.25">
      <c r="A38673" s="2">
        <v>38668</v>
      </c>
      <c r="B38673" s="11" t="str">
        <f>"201603000337"</f>
        <v>201603000337</v>
      </c>
    </row>
    <row r="38674" spans="1:2" x14ac:dyDescent="0.25">
      <c r="A38674" s="2">
        <v>38669</v>
      </c>
      <c r="B38674" s="11" t="str">
        <f>"201603000338"</f>
        <v>201603000338</v>
      </c>
    </row>
    <row r="38675" spans="1:2" x14ac:dyDescent="0.25">
      <c r="A38675" s="2">
        <v>38670</v>
      </c>
      <c r="B38675" s="11" t="str">
        <f>"201603000343"</f>
        <v>201603000343</v>
      </c>
    </row>
    <row r="38676" spans="1:2" x14ac:dyDescent="0.25">
      <c r="A38676" s="2">
        <v>38671</v>
      </c>
      <c r="B38676" s="11" t="str">
        <f>"201603000345"</f>
        <v>201603000345</v>
      </c>
    </row>
    <row r="38677" spans="1:2" x14ac:dyDescent="0.25">
      <c r="A38677" s="2">
        <v>38672</v>
      </c>
      <c r="B38677" s="11" t="str">
        <f>"201603000356"</f>
        <v>201603000356</v>
      </c>
    </row>
    <row r="38678" spans="1:2" x14ac:dyDescent="0.25">
      <c r="A38678" s="2">
        <v>38673</v>
      </c>
      <c r="B38678" s="11" t="str">
        <f>"201603000368"</f>
        <v>201603000368</v>
      </c>
    </row>
    <row r="38679" spans="1:2" x14ac:dyDescent="0.25">
      <c r="A38679" s="2">
        <v>38674</v>
      </c>
      <c r="B38679" s="11" t="str">
        <f>"201603000371"</f>
        <v>201603000371</v>
      </c>
    </row>
    <row r="38680" spans="1:2" x14ac:dyDescent="0.25">
      <c r="A38680" s="2">
        <v>38675</v>
      </c>
      <c r="B38680" s="11" t="str">
        <f>"201603000386"</f>
        <v>201603000386</v>
      </c>
    </row>
    <row r="38681" spans="1:2" x14ac:dyDescent="0.25">
      <c r="A38681" s="2">
        <v>38676</v>
      </c>
      <c r="B38681" s="11" t="str">
        <f>"201603000388"</f>
        <v>201603000388</v>
      </c>
    </row>
    <row r="38682" spans="1:2" x14ac:dyDescent="0.25">
      <c r="A38682" s="2">
        <v>38677</v>
      </c>
      <c r="B38682" s="11" t="str">
        <f>"201603000455"</f>
        <v>201603000455</v>
      </c>
    </row>
    <row r="38683" spans="1:2" x14ac:dyDescent="0.25">
      <c r="A38683" s="2">
        <v>38678</v>
      </c>
      <c r="B38683" s="11" t="str">
        <f>"201603000491"</f>
        <v>201603000491</v>
      </c>
    </row>
    <row r="38684" spans="1:2" x14ac:dyDescent="0.25">
      <c r="A38684" s="2">
        <v>38679</v>
      </c>
      <c r="B38684" s="11" t="str">
        <f>"201603000501"</f>
        <v>201603000501</v>
      </c>
    </row>
    <row r="38685" spans="1:2" x14ac:dyDescent="0.25">
      <c r="A38685" s="2">
        <v>38680</v>
      </c>
      <c r="B38685" s="11" t="str">
        <f>"201603000515"</f>
        <v>201603000515</v>
      </c>
    </row>
    <row r="38686" spans="1:2" x14ac:dyDescent="0.25">
      <c r="A38686" s="2">
        <v>38681</v>
      </c>
      <c r="B38686" s="11" t="str">
        <f>"201603000549"</f>
        <v>201603000549</v>
      </c>
    </row>
    <row r="38687" spans="1:2" x14ac:dyDescent="0.25">
      <c r="A38687" s="2">
        <v>38682</v>
      </c>
      <c r="B38687" s="11" t="str">
        <f>"201603000552"</f>
        <v>201603000552</v>
      </c>
    </row>
    <row r="38688" spans="1:2" x14ac:dyDescent="0.25">
      <c r="A38688" s="2">
        <v>38683</v>
      </c>
      <c r="B38688" s="11" t="str">
        <f>"201604000008"</f>
        <v>201604000008</v>
      </c>
    </row>
    <row r="38689" spans="1:2" x14ac:dyDescent="0.25">
      <c r="A38689" s="2">
        <v>38684</v>
      </c>
      <c r="B38689" s="11" t="str">
        <f>"201604000015"</f>
        <v>201604000015</v>
      </c>
    </row>
    <row r="38690" spans="1:2" x14ac:dyDescent="0.25">
      <c r="A38690" s="2">
        <v>38685</v>
      </c>
      <c r="B38690" s="11" t="str">
        <f>"201604000063"</f>
        <v>201604000063</v>
      </c>
    </row>
    <row r="38691" spans="1:2" x14ac:dyDescent="0.25">
      <c r="A38691" s="2">
        <v>38686</v>
      </c>
      <c r="B38691" s="11" t="str">
        <f>"201604000152"</f>
        <v>201604000152</v>
      </c>
    </row>
    <row r="38692" spans="1:2" x14ac:dyDescent="0.25">
      <c r="A38692" s="2">
        <v>38687</v>
      </c>
      <c r="B38692" s="11" t="str">
        <f>"201604000193"</f>
        <v>201604000193</v>
      </c>
    </row>
    <row r="38693" spans="1:2" x14ac:dyDescent="0.25">
      <c r="A38693" s="2">
        <v>38688</v>
      </c>
      <c r="B38693" s="11" t="str">
        <f>"201604000223"</f>
        <v>201604000223</v>
      </c>
    </row>
    <row r="38694" spans="1:2" x14ac:dyDescent="0.25">
      <c r="A38694" s="2">
        <v>38689</v>
      </c>
      <c r="B38694" s="11" t="str">
        <f>"201604000260"</f>
        <v>201604000260</v>
      </c>
    </row>
    <row r="38695" spans="1:2" x14ac:dyDescent="0.25">
      <c r="A38695" s="2">
        <v>38690</v>
      </c>
      <c r="B38695" s="11" t="str">
        <f>"201604000262"</f>
        <v>201604000262</v>
      </c>
    </row>
    <row r="38696" spans="1:2" x14ac:dyDescent="0.25">
      <c r="A38696" s="2">
        <v>38691</v>
      </c>
      <c r="B38696" s="11" t="str">
        <f>"201604000267"</f>
        <v>201604000267</v>
      </c>
    </row>
    <row r="38697" spans="1:2" x14ac:dyDescent="0.25">
      <c r="A38697" s="2">
        <v>38692</v>
      </c>
      <c r="B38697" s="11" t="str">
        <f>"201604000289"</f>
        <v>201604000289</v>
      </c>
    </row>
    <row r="38698" spans="1:2" x14ac:dyDescent="0.25">
      <c r="A38698" s="2">
        <v>38693</v>
      </c>
      <c r="B38698" s="11" t="str">
        <f>"201604000318"</f>
        <v>201604000318</v>
      </c>
    </row>
    <row r="38699" spans="1:2" x14ac:dyDescent="0.25">
      <c r="A38699" s="2">
        <v>38694</v>
      </c>
      <c r="B38699" s="11" t="str">
        <f>"201604000352"</f>
        <v>201604000352</v>
      </c>
    </row>
    <row r="38700" spans="1:2" x14ac:dyDescent="0.25">
      <c r="A38700" s="2">
        <v>38695</v>
      </c>
      <c r="B38700" s="11" t="str">
        <f>"201604000361"</f>
        <v>201604000361</v>
      </c>
    </row>
    <row r="38701" spans="1:2" x14ac:dyDescent="0.25">
      <c r="A38701" s="2">
        <v>38696</v>
      </c>
      <c r="B38701" s="11" t="str">
        <f>"201604000410"</f>
        <v>201604000410</v>
      </c>
    </row>
    <row r="38702" spans="1:2" x14ac:dyDescent="0.25">
      <c r="A38702" s="2">
        <v>38697</v>
      </c>
      <c r="B38702" s="11" t="str">
        <f>"201604000448"</f>
        <v>201604000448</v>
      </c>
    </row>
    <row r="38703" spans="1:2" x14ac:dyDescent="0.25">
      <c r="A38703" s="2">
        <v>38698</v>
      </c>
      <c r="B38703" s="11" t="str">
        <f>"201604000474"</f>
        <v>201604000474</v>
      </c>
    </row>
    <row r="38704" spans="1:2" x14ac:dyDescent="0.25">
      <c r="A38704" s="2">
        <v>38699</v>
      </c>
      <c r="B38704" s="11" t="str">
        <f>"201604000510"</f>
        <v>201604000510</v>
      </c>
    </row>
    <row r="38705" spans="1:2" x14ac:dyDescent="0.25">
      <c r="A38705" s="2">
        <v>38700</v>
      </c>
      <c r="B38705" s="11" t="str">
        <f>"201604000513"</f>
        <v>201604000513</v>
      </c>
    </row>
    <row r="38706" spans="1:2" x14ac:dyDescent="0.25">
      <c r="A38706" s="2">
        <v>38701</v>
      </c>
      <c r="B38706" s="11" t="str">
        <f>"201604000519"</f>
        <v>201604000519</v>
      </c>
    </row>
    <row r="38707" spans="1:2" x14ac:dyDescent="0.25">
      <c r="A38707" s="2">
        <v>38702</v>
      </c>
      <c r="B38707" s="11" t="str">
        <f>"201604000563"</f>
        <v>201604000563</v>
      </c>
    </row>
    <row r="38708" spans="1:2" x14ac:dyDescent="0.25">
      <c r="A38708" s="2">
        <v>38703</v>
      </c>
      <c r="B38708" s="11" t="str">
        <f>"201604000599"</f>
        <v>201604000599</v>
      </c>
    </row>
    <row r="38709" spans="1:2" x14ac:dyDescent="0.25">
      <c r="A38709" s="2">
        <v>38704</v>
      </c>
      <c r="B38709" s="11" t="str">
        <f>"201604000643"</f>
        <v>201604000643</v>
      </c>
    </row>
    <row r="38710" spans="1:2" x14ac:dyDescent="0.25">
      <c r="A38710" s="2">
        <v>38705</v>
      </c>
      <c r="B38710" s="11" t="str">
        <f>"201604000665"</f>
        <v>201604000665</v>
      </c>
    </row>
    <row r="38711" spans="1:2" x14ac:dyDescent="0.25">
      <c r="A38711" s="2">
        <v>38706</v>
      </c>
      <c r="B38711" s="11" t="str">
        <f>"201604000683"</f>
        <v>201604000683</v>
      </c>
    </row>
    <row r="38712" spans="1:2" x14ac:dyDescent="0.25">
      <c r="A38712" s="2">
        <v>38707</v>
      </c>
      <c r="B38712" s="11" t="str">
        <f>"201604000720"</f>
        <v>201604000720</v>
      </c>
    </row>
    <row r="38713" spans="1:2" x14ac:dyDescent="0.25">
      <c r="A38713" s="2">
        <v>38708</v>
      </c>
      <c r="B38713" s="11" t="str">
        <f>"201604000728"</f>
        <v>201604000728</v>
      </c>
    </row>
    <row r="38714" spans="1:2" x14ac:dyDescent="0.25">
      <c r="A38714" s="2">
        <v>38709</v>
      </c>
      <c r="B38714" s="11" t="str">
        <f>"201604000763"</f>
        <v>201604000763</v>
      </c>
    </row>
    <row r="38715" spans="1:2" x14ac:dyDescent="0.25">
      <c r="A38715" s="2">
        <v>38710</v>
      </c>
      <c r="B38715" s="11" t="str">
        <f>"201604000794"</f>
        <v>201604000794</v>
      </c>
    </row>
    <row r="38716" spans="1:2" x14ac:dyDescent="0.25">
      <c r="A38716" s="2">
        <v>38711</v>
      </c>
      <c r="B38716" s="11" t="str">
        <f>"201604000883"</f>
        <v>201604000883</v>
      </c>
    </row>
    <row r="38717" spans="1:2" x14ac:dyDescent="0.25">
      <c r="A38717" s="2">
        <v>38712</v>
      </c>
      <c r="B38717" s="11" t="str">
        <f>"201604000922"</f>
        <v>201604000922</v>
      </c>
    </row>
    <row r="38718" spans="1:2" x14ac:dyDescent="0.25">
      <c r="A38718" s="2">
        <v>38713</v>
      </c>
      <c r="B38718" s="11" t="str">
        <f>"201604000941"</f>
        <v>201604000941</v>
      </c>
    </row>
    <row r="38719" spans="1:2" x14ac:dyDescent="0.25">
      <c r="A38719" s="2">
        <v>38714</v>
      </c>
      <c r="B38719" s="11" t="str">
        <f>"201604000945"</f>
        <v>201604000945</v>
      </c>
    </row>
    <row r="38720" spans="1:2" x14ac:dyDescent="0.25">
      <c r="A38720" s="2">
        <v>38715</v>
      </c>
      <c r="B38720" s="11" t="str">
        <f>"201604001037"</f>
        <v>201604001037</v>
      </c>
    </row>
    <row r="38721" spans="1:2" x14ac:dyDescent="0.25">
      <c r="A38721" s="2">
        <v>38716</v>
      </c>
      <c r="B38721" s="11" t="str">
        <f>"201604001066"</f>
        <v>201604001066</v>
      </c>
    </row>
    <row r="38722" spans="1:2" x14ac:dyDescent="0.25">
      <c r="A38722" s="2">
        <v>38717</v>
      </c>
      <c r="B38722" s="11" t="str">
        <f>"201604001101"</f>
        <v>201604001101</v>
      </c>
    </row>
    <row r="38723" spans="1:2" x14ac:dyDescent="0.25">
      <c r="A38723" s="2">
        <v>38718</v>
      </c>
      <c r="B38723" s="11" t="str">
        <f>"201604001183"</f>
        <v>201604001183</v>
      </c>
    </row>
    <row r="38724" spans="1:2" x14ac:dyDescent="0.25">
      <c r="A38724" s="2">
        <v>38719</v>
      </c>
      <c r="B38724" s="11" t="str">
        <f>"201604001194"</f>
        <v>201604001194</v>
      </c>
    </row>
    <row r="38725" spans="1:2" x14ac:dyDescent="0.25">
      <c r="A38725" s="2">
        <v>38720</v>
      </c>
      <c r="B38725" s="11" t="str">
        <f>"201604001199"</f>
        <v>201604001199</v>
      </c>
    </row>
    <row r="38726" spans="1:2" x14ac:dyDescent="0.25">
      <c r="A38726" s="2">
        <v>38721</v>
      </c>
      <c r="B38726" s="11" t="str">
        <f>"201604001208"</f>
        <v>201604001208</v>
      </c>
    </row>
    <row r="38727" spans="1:2" x14ac:dyDescent="0.25">
      <c r="A38727" s="2">
        <v>38722</v>
      </c>
      <c r="B38727" s="11" t="str">
        <f>"201604001295"</f>
        <v>201604001295</v>
      </c>
    </row>
    <row r="38728" spans="1:2" x14ac:dyDescent="0.25">
      <c r="A38728" s="2">
        <v>38723</v>
      </c>
      <c r="B38728" s="11" t="str">
        <f>"201604001366"</f>
        <v>201604001366</v>
      </c>
    </row>
    <row r="38729" spans="1:2" x14ac:dyDescent="0.25">
      <c r="A38729" s="2">
        <v>38724</v>
      </c>
      <c r="B38729" s="11" t="str">
        <f>"201604001380"</f>
        <v>201604001380</v>
      </c>
    </row>
    <row r="38730" spans="1:2" x14ac:dyDescent="0.25">
      <c r="A38730" s="2">
        <v>38725</v>
      </c>
      <c r="B38730" s="11" t="str">
        <f>"201604001448"</f>
        <v>201604001448</v>
      </c>
    </row>
    <row r="38731" spans="1:2" x14ac:dyDescent="0.25">
      <c r="A38731" s="2">
        <v>38726</v>
      </c>
      <c r="B38731" s="11" t="str">
        <f>"201604001460"</f>
        <v>201604001460</v>
      </c>
    </row>
    <row r="38732" spans="1:2" x14ac:dyDescent="0.25">
      <c r="A38732" s="2">
        <v>38727</v>
      </c>
      <c r="B38732" s="11" t="str">
        <f>"201604001477"</f>
        <v>201604001477</v>
      </c>
    </row>
    <row r="38733" spans="1:2" x14ac:dyDescent="0.25">
      <c r="A38733" s="2">
        <v>38728</v>
      </c>
      <c r="B38733" s="11" t="str">
        <f>"201604001486"</f>
        <v>201604001486</v>
      </c>
    </row>
    <row r="38734" spans="1:2" x14ac:dyDescent="0.25">
      <c r="A38734" s="2">
        <v>38729</v>
      </c>
      <c r="B38734" s="11" t="str">
        <f>"201604001514"</f>
        <v>201604001514</v>
      </c>
    </row>
    <row r="38735" spans="1:2" x14ac:dyDescent="0.25">
      <c r="A38735" s="2">
        <v>38730</v>
      </c>
      <c r="B38735" s="11" t="str">
        <f>"201604001525"</f>
        <v>201604001525</v>
      </c>
    </row>
    <row r="38736" spans="1:2" x14ac:dyDescent="0.25">
      <c r="A38736" s="2">
        <v>38731</v>
      </c>
      <c r="B38736" s="11" t="str">
        <f>"201604001559"</f>
        <v>201604001559</v>
      </c>
    </row>
    <row r="38737" spans="1:2" x14ac:dyDescent="0.25">
      <c r="A38737" s="2">
        <v>38732</v>
      </c>
      <c r="B38737" s="11" t="str">
        <f>"201604001584"</f>
        <v>201604001584</v>
      </c>
    </row>
    <row r="38738" spans="1:2" x14ac:dyDescent="0.25">
      <c r="A38738" s="2">
        <v>38733</v>
      </c>
      <c r="B38738" s="11" t="str">
        <f>"201604001631"</f>
        <v>201604001631</v>
      </c>
    </row>
    <row r="38739" spans="1:2" x14ac:dyDescent="0.25">
      <c r="A38739" s="2">
        <v>38734</v>
      </c>
      <c r="B38739" s="11" t="str">
        <f>"201604001637"</f>
        <v>201604001637</v>
      </c>
    </row>
    <row r="38740" spans="1:2" x14ac:dyDescent="0.25">
      <c r="A38740" s="2">
        <v>38735</v>
      </c>
      <c r="B38740" s="11" t="str">
        <f>"201604001666"</f>
        <v>201604001666</v>
      </c>
    </row>
    <row r="38741" spans="1:2" x14ac:dyDescent="0.25">
      <c r="A38741" s="2">
        <v>38736</v>
      </c>
      <c r="B38741" s="11" t="str">
        <f>"201604001673"</f>
        <v>201604001673</v>
      </c>
    </row>
    <row r="38742" spans="1:2" x14ac:dyDescent="0.25">
      <c r="A38742" s="2">
        <v>38737</v>
      </c>
      <c r="B38742" s="11" t="str">
        <f>"201604001697"</f>
        <v>201604001697</v>
      </c>
    </row>
    <row r="38743" spans="1:2" x14ac:dyDescent="0.25">
      <c r="A38743" s="2">
        <v>38738</v>
      </c>
      <c r="B38743" s="11" t="str">
        <f>"201604001699"</f>
        <v>201604001699</v>
      </c>
    </row>
    <row r="38744" spans="1:2" x14ac:dyDescent="0.25">
      <c r="A38744" s="2">
        <v>38739</v>
      </c>
      <c r="B38744" s="11" t="str">
        <f>"201604001723"</f>
        <v>201604001723</v>
      </c>
    </row>
    <row r="38745" spans="1:2" x14ac:dyDescent="0.25">
      <c r="A38745" s="2">
        <v>38740</v>
      </c>
      <c r="B38745" s="11" t="str">
        <f>"201604001727"</f>
        <v>201604001727</v>
      </c>
    </row>
    <row r="38746" spans="1:2" x14ac:dyDescent="0.25">
      <c r="A38746" s="2">
        <v>38741</v>
      </c>
      <c r="B38746" s="11" t="str">
        <f>"201604001786"</f>
        <v>201604001786</v>
      </c>
    </row>
    <row r="38747" spans="1:2" x14ac:dyDescent="0.25">
      <c r="A38747" s="2">
        <v>38742</v>
      </c>
      <c r="B38747" s="11" t="str">
        <f>"201604001788"</f>
        <v>201604001788</v>
      </c>
    </row>
    <row r="38748" spans="1:2" x14ac:dyDescent="0.25">
      <c r="A38748" s="2">
        <v>38743</v>
      </c>
      <c r="B38748" s="11" t="str">
        <f>"201604001789"</f>
        <v>201604001789</v>
      </c>
    </row>
    <row r="38749" spans="1:2" x14ac:dyDescent="0.25">
      <c r="A38749" s="2">
        <v>38744</v>
      </c>
      <c r="B38749" s="11" t="str">
        <f>"201604001793"</f>
        <v>201604001793</v>
      </c>
    </row>
    <row r="38750" spans="1:2" x14ac:dyDescent="0.25">
      <c r="A38750" s="2">
        <v>38745</v>
      </c>
      <c r="B38750" s="11" t="str">
        <f>"201604001831"</f>
        <v>201604001831</v>
      </c>
    </row>
    <row r="38751" spans="1:2" x14ac:dyDescent="0.25">
      <c r="A38751" s="2">
        <v>38746</v>
      </c>
      <c r="B38751" s="11" t="str">
        <f>"201604001837"</f>
        <v>201604001837</v>
      </c>
    </row>
    <row r="38752" spans="1:2" x14ac:dyDescent="0.25">
      <c r="A38752" s="2">
        <v>38747</v>
      </c>
      <c r="B38752" s="11" t="str">
        <f>"201604001881"</f>
        <v>201604001881</v>
      </c>
    </row>
    <row r="38753" spans="1:2" x14ac:dyDescent="0.25">
      <c r="A38753" s="2">
        <v>38748</v>
      </c>
      <c r="B38753" s="11" t="str">
        <f>"201604001892"</f>
        <v>201604001892</v>
      </c>
    </row>
    <row r="38754" spans="1:2" x14ac:dyDescent="0.25">
      <c r="A38754" s="2">
        <v>38749</v>
      </c>
      <c r="B38754" s="11" t="str">
        <f>"201604001912"</f>
        <v>201604001912</v>
      </c>
    </row>
    <row r="38755" spans="1:2" x14ac:dyDescent="0.25">
      <c r="A38755" s="2">
        <v>38750</v>
      </c>
      <c r="B38755" s="11" t="str">
        <f>"201604001916"</f>
        <v>201604001916</v>
      </c>
    </row>
    <row r="38756" spans="1:2" x14ac:dyDescent="0.25">
      <c r="A38756" s="2">
        <v>38751</v>
      </c>
      <c r="B38756" s="11" t="str">
        <f>"201604001938"</f>
        <v>201604001938</v>
      </c>
    </row>
    <row r="38757" spans="1:2" x14ac:dyDescent="0.25">
      <c r="A38757" s="2">
        <v>38752</v>
      </c>
      <c r="B38757" s="11" t="str">
        <f>"201604001941"</f>
        <v>201604001941</v>
      </c>
    </row>
    <row r="38758" spans="1:2" x14ac:dyDescent="0.25">
      <c r="A38758" s="2">
        <v>38753</v>
      </c>
      <c r="B38758" s="11" t="str">
        <f>"201604001956"</f>
        <v>201604001956</v>
      </c>
    </row>
    <row r="38759" spans="1:2" x14ac:dyDescent="0.25">
      <c r="A38759" s="2">
        <v>38754</v>
      </c>
      <c r="B38759" s="11" t="str">
        <f>"201604001976"</f>
        <v>201604001976</v>
      </c>
    </row>
    <row r="38760" spans="1:2" x14ac:dyDescent="0.25">
      <c r="A38760" s="2">
        <v>38755</v>
      </c>
      <c r="B38760" s="11" t="str">
        <f>"201604001987"</f>
        <v>201604001987</v>
      </c>
    </row>
    <row r="38761" spans="1:2" x14ac:dyDescent="0.25">
      <c r="A38761" s="2">
        <v>38756</v>
      </c>
      <c r="B38761" s="11" t="str">
        <f>"201604002010"</f>
        <v>201604002010</v>
      </c>
    </row>
    <row r="38762" spans="1:2" x14ac:dyDescent="0.25">
      <c r="A38762" s="2">
        <v>38757</v>
      </c>
      <c r="B38762" s="11" t="str">
        <f>"201604002045"</f>
        <v>201604002045</v>
      </c>
    </row>
    <row r="38763" spans="1:2" x14ac:dyDescent="0.25">
      <c r="A38763" s="2">
        <v>38758</v>
      </c>
      <c r="B38763" s="11" t="str">
        <f>"201604002069"</f>
        <v>201604002069</v>
      </c>
    </row>
    <row r="38764" spans="1:2" x14ac:dyDescent="0.25">
      <c r="A38764" s="2">
        <v>38759</v>
      </c>
      <c r="B38764" s="11" t="str">
        <f>"201604002161"</f>
        <v>201604002161</v>
      </c>
    </row>
    <row r="38765" spans="1:2" x14ac:dyDescent="0.25">
      <c r="A38765" s="2">
        <v>38760</v>
      </c>
      <c r="B38765" s="11" t="str">
        <f>"201604002183"</f>
        <v>201604002183</v>
      </c>
    </row>
    <row r="38766" spans="1:2" x14ac:dyDescent="0.25">
      <c r="A38766" s="2">
        <v>38761</v>
      </c>
      <c r="B38766" s="11" t="str">
        <f>"201604002185"</f>
        <v>201604002185</v>
      </c>
    </row>
    <row r="38767" spans="1:2" x14ac:dyDescent="0.25">
      <c r="A38767" s="2">
        <v>38762</v>
      </c>
      <c r="B38767" s="11" t="str">
        <f>"201604002249"</f>
        <v>201604002249</v>
      </c>
    </row>
    <row r="38768" spans="1:2" x14ac:dyDescent="0.25">
      <c r="A38768" s="2">
        <v>38763</v>
      </c>
      <c r="B38768" s="11" t="str">
        <f>"201604002250"</f>
        <v>201604002250</v>
      </c>
    </row>
    <row r="38769" spans="1:2" x14ac:dyDescent="0.25">
      <c r="A38769" s="2">
        <v>38764</v>
      </c>
      <c r="B38769" s="11" t="str">
        <f>"201604002251"</f>
        <v>201604002251</v>
      </c>
    </row>
    <row r="38770" spans="1:2" x14ac:dyDescent="0.25">
      <c r="A38770" s="2">
        <v>38765</v>
      </c>
      <c r="B38770" s="11" t="str">
        <f>"201604002265"</f>
        <v>201604002265</v>
      </c>
    </row>
    <row r="38771" spans="1:2" x14ac:dyDescent="0.25">
      <c r="A38771" s="2">
        <v>38766</v>
      </c>
      <c r="B38771" s="11" t="str">
        <f>"201604002283"</f>
        <v>201604002283</v>
      </c>
    </row>
    <row r="38772" spans="1:2" x14ac:dyDescent="0.25">
      <c r="A38772" s="2">
        <v>38767</v>
      </c>
      <c r="B38772" s="11" t="str">
        <f>"201604002343"</f>
        <v>201604002343</v>
      </c>
    </row>
    <row r="38773" spans="1:2" x14ac:dyDescent="0.25">
      <c r="A38773" s="2">
        <v>38768</v>
      </c>
      <c r="B38773" s="11" t="str">
        <f>"201604002351"</f>
        <v>201604002351</v>
      </c>
    </row>
    <row r="38774" spans="1:2" x14ac:dyDescent="0.25">
      <c r="A38774" s="2">
        <v>38769</v>
      </c>
      <c r="B38774" s="11" t="str">
        <f>"201604002353"</f>
        <v>201604002353</v>
      </c>
    </row>
    <row r="38775" spans="1:2" x14ac:dyDescent="0.25">
      <c r="A38775" s="2">
        <v>38770</v>
      </c>
      <c r="B38775" s="11" t="str">
        <f>"201604002377"</f>
        <v>201604002377</v>
      </c>
    </row>
    <row r="38776" spans="1:2" x14ac:dyDescent="0.25">
      <c r="A38776" s="2">
        <v>38771</v>
      </c>
      <c r="B38776" s="11" t="str">
        <f>"201604002400"</f>
        <v>201604002400</v>
      </c>
    </row>
    <row r="38777" spans="1:2" x14ac:dyDescent="0.25">
      <c r="A38777" s="2">
        <v>38772</v>
      </c>
      <c r="B38777" s="11" t="str">
        <f>"201604002443"</f>
        <v>201604002443</v>
      </c>
    </row>
    <row r="38778" spans="1:2" x14ac:dyDescent="0.25">
      <c r="A38778" s="2">
        <v>38773</v>
      </c>
      <c r="B38778" s="11" t="str">
        <f>"201604002454"</f>
        <v>201604002454</v>
      </c>
    </row>
    <row r="38779" spans="1:2" x14ac:dyDescent="0.25">
      <c r="A38779" s="2">
        <v>38774</v>
      </c>
      <c r="B38779" s="11" t="str">
        <f>"201604002488"</f>
        <v>201604002488</v>
      </c>
    </row>
    <row r="38780" spans="1:2" x14ac:dyDescent="0.25">
      <c r="A38780" s="2">
        <v>38775</v>
      </c>
      <c r="B38780" s="11" t="str">
        <f>"201604002507"</f>
        <v>201604002507</v>
      </c>
    </row>
    <row r="38781" spans="1:2" x14ac:dyDescent="0.25">
      <c r="A38781" s="2">
        <v>38776</v>
      </c>
      <c r="B38781" s="11" t="str">
        <f>"201604002512"</f>
        <v>201604002512</v>
      </c>
    </row>
    <row r="38782" spans="1:2" x14ac:dyDescent="0.25">
      <c r="A38782" s="2">
        <v>38777</v>
      </c>
      <c r="B38782" s="11" t="str">
        <f>"201604002557"</f>
        <v>201604002557</v>
      </c>
    </row>
    <row r="38783" spans="1:2" x14ac:dyDescent="0.25">
      <c r="A38783" s="2">
        <v>38778</v>
      </c>
      <c r="B38783" s="11" t="str">
        <f>"201604002561"</f>
        <v>201604002561</v>
      </c>
    </row>
    <row r="38784" spans="1:2" x14ac:dyDescent="0.25">
      <c r="A38784" s="2">
        <v>38779</v>
      </c>
      <c r="B38784" s="11" t="str">
        <f>"201604002586"</f>
        <v>201604002586</v>
      </c>
    </row>
    <row r="38785" spans="1:2" x14ac:dyDescent="0.25">
      <c r="A38785" s="2">
        <v>38780</v>
      </c>
      <c r="B38785" s="11" t="str">
        <f>"201604002599"</f>
        <v>201604002599</v>
      </c>
    </row>
    <row r="38786" spans="1:2" x14ac:dyDescent="0.25">
      <c r="A38786" s="2">
        <v>38781</v>
      </c>
      <c r="B38786" s="11" t="str">
        <f>"201604002613"</f>
        <v>201604002613</v>
      </c>
    </row>
    <row r="38787" spans="1:2" x14ac:dyDescent="0.25">
      <c r="A38787" s="2">
        <v>38782</v>
      </c>
      <c r="B38787" s="11" t="str">
        <f>"201604002635"</f>
        <v>201604002635</v>
      </c>
    </row>
    <row r="38788" spans="1:2" x14ac:dyDescent="0.25">
      <c r="A38788" s="2">
        <v>38783</v>
      </c>
      <c r="B38788" s="11" t="str">
        <f>"201604002660"</f>
        <v>201604002660</v>
      </c>
    </row>
    <row r="38789" spans="1:2" x14ac:dyDescent="0.25">
      <c r="A38789" s="2">
        <v>38784</v>
      </c>
      <c r="B38789" s="11" t="str">
        <f>"201604002684"</f>
        <v>201604002684</v>
      </c>
    </row>
    <row r="38790" spans="1:2" x14ac:dyDescent="0.25">
      <c r="A38790" s="2">
        <v>38785</v>
      </c>
      <c r="B38790" s="11" t="str">
        <f>"201604002687"</f>
        <v>201604002687</v>
      </c>
    </row>
    <row r="38791" spans="1:2" x14ac:dyDescent="0.25">
      <c r="A38791" s="2">
        <v>38786</v>
      </c>
      <c r="B38791" s="11" t="str">
        <f>"201604002731"</f>
        <v>201604002731</v>
      </c>
    </row>
    <row r="38792" spans="1:2" x14ac:dyDescent="0.25">
      <c r="A38792" s="2">
        <v>38787</v>
      </c>
      <c r="B38792" s="11" t="str">
        <f>"201604002734"</f>
        <v>201604002734</v>
      </c>
    </row>
    <row r="38793" spans="1:2" x14ac:dyDescent="0.25">
      <c r="A38793" s="2">
        <v>38788</v>
      </c>
      <c r="B38793" s="11" t="str">
        <f>"201604002755"</f>
        <v>201604002755</v>
      </c>
    </row>
    <row r="38794" spans="1:2" x14ac:dyDescent="0.25">
      <c r="A38794" s="2">
        <v>38789</v>
      </c>
      <c r="B38794" s="11" t="str">
        <f>"201604002845"</f>
        <v>201604002845</v>
      </c>
    </row>
    <row r="38795" spans="1:2" x14ac:dyDescent="0.25">
      <c r="A38795" s="2">
        <v>38790</v>
      </c>
      <c r="B38795" s="11" t="str">
        <f>"201604002902"</f>
        <v>201604002902</v>
      </c>
    </row>
    <row r="38796" spans="1:2" x14ac:dyDescent="0.25">
      <c r="A38796" s="2">
        <v>38791</v>
      </c>
      <c r="B38796" s="11" t="str">
        <f>"201604002946"</f>
        <v>201604002946</v>
      </c>
    </row>
    <row r="38797" spans="1:2" x14ac:dyDescent="0.25">
      <c r="A38797" s="2">
        <v>38792</v>
      </c>
      <c r="B38797" s="11" t="str">
        <f>"201604002960"</f>
        <v>201604002960</v>
      </c>
    </row>
    <row r="38798" spans="1:2" x14ac:dyDescent="0.25">
      <c r="A38798" s="2">
        <v>38793</v>
      </c>
      <c r="B38798" s="11" t="str">
        <f>"201604002986"</f>
        <v>201604002986</v>
      </c>
    </row>
    <row r="38799" spans="1:2" x14ac:dyDescent="0.25">
      <c r="A38799" s="2">
        <v>38794</v>
      </c>
      <c r="B38799" s="11" t="str">
        <f>"201604002989"</f>
        <v>201604002989</v>
      </c>
    </row>
    <row r="38800" spans="1:2" x14ac:dyDescent="0.25">
      <c r="A38800" s="2">
        <v>38795</v>
      </c>
      <c r="B38800" s="11" t="str">
        <f>"201604002998"</f>
        <v>201604002998</v>
      </c>
    </row>
    <row r="38801" spans="1:2" x14ac:dyDescent="0.25">
      <c r="A38801" s="2">
        <v>38796</v>
      </c>
      <c r="B38801" s="11" t="str">
        <f>"201604003020"</f>
        <v>201604003020</v>
      </c>
    </row>
    <row r="38802" spans="1:2" x14ac:dyDescent="0.25">
      <c r="A38802" s="2">
        <v>38797</v>
      </c>
      <c r="B38802" s="11" t="str">
        <f>"201604003074"</f>
        <v>201604003074</v>
      </c>
    </row>
    <row r="38803" spans="1:2" x14ac:dyDescent="0.25">
      <c r="A38803" s="2">
        <v>38798</v>
      </c>
      <c r="B38803" s="11" t="str">
        <f>"201604003079"</f>
        <v>201604003079</v>
      </c>
    </row>
    <row r="38804" spans="1:2" x14ac:dyDescent="0.25">
      <c r="A38804" s="2">
        <v>38799</v>
      </c>
      <c r="B38804" s="11" t="str">
        <f>"201604003173"</f>
        <v>201604003173</v>
      </c>
    </row>
    <row r="38805" spans="1:2" x14ac:dyDescent="0.25">
      <c r="A38805" s="2">
        <v>38800</v>
      </c>
      <c r="B38805" s="11" t="str">
        <f>"201604003183"</f>
        <v>201604003183</v>
      </c>
    </row>
    <row r="38806" spans="1:2" x14ac:dyDescent="0.25">
      <c r="A38806" s="2">
        <v>38801</v>
      </c>
      <c r="B38806" s="11" t="str">
        <f>"201604003225"</f>
        <v>201604003225</v>
      </c>
    </row>
    <row r="38807" spans="1:2" x14ac:dyDescent="0.25">
      <c r="A38807" s="2">
        <v>38802</v>
      </c>
      <c r="B38807" s="11" t="str">
        <f>"201604003258"</f>
        <v>201604003258</v>
      </c>
    </row>
    <row r="38808" spans="1:2" x14ac:dyDescent="0.25">
      <c r="A38808" s="2">
        <v>38803</v>
      </c>
      <c r="B38808" s="11" t="str">
        <f>"201604003265"</f>
        <v>201604003265</v>
      </c>
    </row>
    <row r="38809" spans="1:2" x14ac:dyDescent="0.25">
      <c r="A38809" s="2">
        <v>38804</v>
      </c>
      <c r="B38809" s="11" t="str">
        <f>"201604003275"</f>
        <v>201604003275</v>
      </c>
    </row>
    <row r="38810" spans="1:2" x14ac:dyDescent="0.25">
      <c r="A38810" s="2">
        <v>38805</v>
      </c>
      <c r="B38810" s="11" t="str">
        <f>"201604003293"</f>
        <v>201604003293</v>
      </c>
    </row>
    <row r="38811" spans="1:2" x14ac:dyDescent="0.25">
      <c r="A38811" s="2">
        <v>38806</v>
      </c>
      <c r="B38811" s="11" t="str">
        <f>"201604003343"</f>
        <v>201604003343</v>
      </c>
    </row>
    <row r="38812" spans="1:2" x14ac:dyDescent="0.25">
      <c r="A38812" s="2">
        <v>38807</v>
      </c>
      <c r="B38812" s="11" t="str">
        <f>"201604003405"</f>
        <v>201604003405</v>
      </c>
    </row>
    <row r="38813" spans="1:2" x14ac:dyDescent="0.25">
      <c r="A38813" s="2">
        <v>38808</v>
      </c>
      <c r="B38813" s="11" t="str">
        <f>"201604003410"</f>
        <v>201604003410</v>
      </c>
    </row>
    <row r="38814" spans="1:2" x14ac:dyDescent="0.25">
      <c r="A38814" s="2">
        <v>38809</v>
      </c>
      <c r="B38814" s="11" t="str">
        <f>"201604003452"</f>
        <v>201604003452</v>
      </c>
    </row>
    <row r="38815" spans="1:2" x14ac:dyDescent="0.25">
      <c r="A38815" s="2">
        <v>38810</v>
      </c>
      <c r="B38815" s="11" t="str">
        <f>"201604003490"</f>
        <v>201604003490</v>
      </c>
    </row>
    <row r="38816" spans="1:2" x14ac:dyDescent="0.25">
      <c r="A38816" s="2">
        <v>38811</v>
      </c>
      <c r="B38816" s="11" t="str">
        <f>"201604003496"</f>
        <v>201604003496</v>
      </c>
    </row>
    <row r="38817" spans="1:2" x14ac:dyDescent="0.25">
      <c r="A38817" s="2">
        <v>38812</v>
      </c>
      <c r="B38817" s="11" t="str">
        <f>"201604003510"</f>
        <v>201604003510</v>
      </c>
    </row>
    <row r="38818" spans="1:2" x14ac:dyDescent="0.25">
      <c r="A38818" s="2">
        <v>38813</v>
      </c>
      <c r="B38818" s="11" t="str">
        <f>"201604003511"</f>
        <v>201604003511</v>
      </c>
    </row>
    <row r="38819" spans="1:2" x14ac:dyDescent="0.25">
      <c r="A38819" s="2">
        <v>38814</v>
      </c>
      <c r="B38819" s="11" t="str">
        <f>"201604003537"</f>
        <v>201604003537</v>
      </c>
    </row>
    <row r="38820" spans="1:2" x14ac:dyDescent="0.25">
      <c r="A38820" s="2">
        <v>38815</v>
      </c>
      <c r="B38820" s="11" t="str">
        <f>"201604003543"</f>
        <v>201604003543</v>
      </c>
    </row>
    <row r="38821" spans="1:2" x14ac:dyDescent="0.25">
      <c r="A38821" s="2">
        <v>38816</v>
      </c>
      <c r="B38821" s="11" t="str">
        <f>"201604003544"</f>
        <v>201604003544</v>
      </c>
    </row>
    <row r="38822" spans="1:2" x14ac:dyDescent="0.25">
      <c r="A38822" s="2">
        <v>38817</v>
      </c>
      <c r="B38822" s="11" t="str">
        <f>"201604003555"</f>
        <v>201604003555</v>
      </c>
    </row>
    <row r="38823" spans="1:2" x14ac:dyDescent="0.25">
      <c r="A38823" s="2">
        <v>38818</v>
      </c>
      <c r="B38823" s="11" t="str">
        <f>"201604003556"</f>
        <v>201604003556</v>
      </c>
    </row>
    <row r="38824" spans="1:2" x14ac:dyDescent="0.25">
      <c r="A38824" s="2">
        <v>38819</v>
      </c>
      <c r="B38824" s="11" t="str">
        <f>"201604003564"</f>
        <v>201604003564</v>
      </c>
    </row>
    <row r="38825" spans="1:2" x14ac:dyDescent="0.25">
      <c r="A38825" s="2">
        <v>38820</v>
      </c>
      <c r="B38825" s="11" t="str">
        <f>"201604003648"</f>
        <v>201604003648</v>
      </c>
    </row>
    <row r="38826" spans="1:2" x14ac:dyDescent="0.25">
      <c r="A38826" s="2">
        <v>38821</v>
      </c>
      <c r="B38826" s="11" t="str">
        <f>"201604003663"</f>
        <v>201604003663</v>
      </c>
    </row>
    <row r="38827" spans="1:2" x14ac:dyDescent="0.25">
      <c r="A38827" s="2">
        <v>38822</v>
      </c>
      <c r="B38827" s="11" t="str">
        <f>"201604003668"</f>
        <v>201604003668</v>
      </c>
    </row>
    <row r="38828" spans="1:2" x14ac:dyDescent="0.25">
      <c r="A38828" s="2">
        <v>38823</v>
      </c>
      <c r="B38828" s="11" t="str">
        <f>"201604003712"</f>
        <v>201604003712</v>
      </c>
    </row>
    <row r="38829" spans="1:2" x14ac:dyDescent="0.25">
      <c r="A38829" s="2">
        <v>38824</v>
      </c>
      <c r="B38829" s="11" t="str">
        <f>"201604003729"</f>
        <v>201604003729</v>
      </c>
    </row>
    <row r="38830" spans="1:2" x14ac:dyDescent="0.25">
      <c r="A38830" s="2">
        <v>38825</v>
      </c>
      <c r="B38830" s="11" t="str">
        <f>"201604003736"</f>
        <v>201604003736</v>
      </c>
    </row>
    <row r="38831" spans="1:2" x14ac:dyDescent="0.25">
      <c r="A38831" s="2">
        <v>38826</v>
      </c>
      <c r="B38831" s="11" t="str">
        <f>"201604003758"</f>
        <v>201604003758</v>
      </c>
    </row>
    <row r="38832" spans="1:2" x14ac:dyDescent="0.25">
      <c r="A38832" s="2">
        <v>38827</v>
      </c>
      <c r="B38832" s="11" t="str">
        <f>"201604003759"</f>
        <v>201604003759</v>
      </c>
    </row>
    <row r="38833" spans="1:2" x14ac:dyDescent="0.25">
      <c r="A38833" s="2">
        <v>38828</v>
      </c>
      <c r="B38833" s="11" t="str">
        <f>"201604003784"</f>
        <v>201604003784</v>
      </c>
    </row>
    <row r="38834" spans="1:2" x14ac:dyDescent="0.25">
      <c r="A38834" s="2">
        <v>38829</v>
      </c>
      <c r="B38834" s="11" t="str">
        <f>"201604003788"</f>
        <v>201604003788</v>
      </c>
    </row>
    <row r="38835" spans="1:2" x14ac:dyDescent="0.25">
      <c r="A38835" s="2">
        <v>38830</v>
      </c>
      <c r="B38835" s="11" t="str">
        <f>"201604003861"</f>
        <v>201604003861</v>
      </c>
    </row>
    <row r="38836" spans="1:2" x14ac:dyDescent="0.25">
      <c r="A38836" s="2">
        <v>38831</v>
      </c>
      <c r="B38836" s="11" t="str">
        <f>"201604003873"</f>
        <v>201604003873</v>
      </c>
    </row>
    <row r="38837" spans="1:2" x14ac:dyDescent="0.25">
      <c r="A38837" s="2">
        <v>38832</v>
      </c>
      <c r="B38837" s="11" t="str">
        <f>"201604003898"</f>
        <v>201604003898</v>
      </c>
    </row>
    <row r="38838" spans="1:2" x14ac:dyDescent="0.25">
      <c r="A38838" s="2">
        <v>38833</v>
      </c>
      <c r="B38838" s="11" t="str">
        <f>"201604003906"</f>
        <v>201604003906</v>
      </c>
    </row>
    <row r="38839" spans="1:2" x14ac:dyDescent="0.25">
      <c r="A38839" s="2">
        <v>38834</v>
      </c>
      <c r="B38839" s="11" t="str">
        <f>"201604003933"</f>
        <v>201604003933</v>
      </c>
    </row>
    <row r="38840" spans="1:2" x14ac:dyDescent="0.25">
      <c r="A38840" s="2">
        <v>38835</v>
      </c>
      <c r="B38840" s="11" t="str">
        <f>"201604003979"</f>
        <v>201604003979</v>
      </c>
    </row>
    <row r="38841" spans="1:2" x14ac:dyDescent="0.25">
      <c r="A38841" s="2">
        <v>38836</v>
      </c>
      <c r="B38841" s="11" t="str">
        <f>"201604003982"</f>
        <v>201604003982</v>
      </c>
    </row>
    <row r="38842" spans="1:2" x14ac:dyDescent="0.25">
      <c r="A38842" s="2">
        <v>38837</v>
      </c>
      <c r="B38842" s="11" t="str">
        <f>"201604003990"</f>
        <v>201604003990</v>
      </c>
    </row>
    <row r="38843" spans="1:2" x14ac:dyDescent="0.25">
      <c r="A38843" s="2">
        <v>38838</v>
      </c>
      <c r="B38843" s="11" t="str">
        <f>"201604003991"</f>
        <v>201604003991</v>
      </c>
    </row>
    <row r="38844" spans="1:2" x14ac:dyDescent="0.25">
      <c r="A38844" s="2">
        <v>38839</v>
      </c>
      <c r="B38844" s="11" t="str">
        <f>"201604003993"</f>
        <v>201604003993</v>
      </c>
    </row>
    <row r="38845" spans="1:2" x14ac:dyDescent="0.25">
      <c r="A38845" s="2">
        <v>38840</v>
      </c>
      <c r="B38845" s="11" t="str">
        <f>"201604004029"</f>
        <v>201604004029</v>
      </c>
    </row>
    <row r="38846" spans="1:2" x14ac:dyDescent="0.25">
      <c r="A38846" s="2">
        <v>38841</v>
      </c>
      <c r="B38846" s="11" t="str">
        <f>"201604004089"</f>
        <v>201604004089</v>
      </c>
    </row>
    <row r="38847" spans="1:2" x14ac:dyDescent="0.25">
      <c r="A38847" s="2">
        <v>38842</v>
      </c>
      <c r="B38847" s="11" t="str">
        <f>"201604004101"</f>
        <v>201604004101</v>
      </c>
    </row>
    <row r="38848" spans="1:2" x14ac:dyDescent="0.25">
      <c r="A38848" s="2">
        <v>38843</v>
      </c>
      <c r="B38848" s="11" t="str">
        <f>"201604004114"</f>
        <v>201604004114</v>
      </c>
    </row>
    <row r="38849" spans="1:2" x14ac:dyDescent="0.25">
      <c r="A38849" s="2">
        <v>38844</v>
      </c>
      <c r="B38849" s="11" t="str">
        <f>"201604004131"</f>
        <v>201604004131</v>
      </c>
    </row>
    <row r="38850" spans="1:2" x14ac:dyDescent="0.25">
      <c r="A38850" s="2">
        <v>38845</v>
      </c>
      <c r="B38850" s="11" t="str">
        <f>"201604004152"</f>
        <v>201604004152</v>
      </c>
    </row>
    <row r="38851" spans="1:2" x14ac:dyDescent="0.25">
      <c r="A38851" s="2">
        <v>38846</v>
      </c>
      <c r="B38851" s="11" t="str">
        <f>"201604004153"</f>
        <v>201604004153</v>
      </c>
    </row>
    <row r="38852" spans="1:2" x14ac:dyDescent="0.25">
      <c r="A38852" s="2">
        <v>38847</v>
      </c>
      <c r="B38852" s="11" t="str">
        <f>"201604004203"</f>
        <v>201604004203</v>
      </c>
    </row>
    <row r="38853" spans="1:2" x14ac:dyDescent="0.25">
      <c r="A38853" s="2">
        <v>38848</v>
      </c>
      <c r="B38853" s="11" t="str">
        <f>"201604004215"</f>
        <v>201604004215</v>
      </c>
    </row>
    <row r="38854" spans="1:2" x14ac:dyDescent="0.25">
      <c r="A38854" s="2">
        <v>38849</v>
      </c>
      <c r="B38854" s="11" t="str">
        <f>"201604004225"</f>
        <v>201604004225</v>
      </c>
    </row>
    <row r="38855" spans="1:2" x14ac:dyDescent="0.25">
      <c r="A38855" s="2">
        <v>38850</v>
      </c>
      <c r="B38855" s="11" t="str">
        <f>"201604004271"</f>
        <v>201604004271</v>
      </c>
    </row>
    <row r="38856" spans="1:2" x14ac:dyDescent="0.25">
      <c r="A38856" s="2">
        <v>38851</v>
      </c>
      <c r="B38856" s="11" t="str">
        <f>"201604004281"</f>
        <v>201604004281</v>
      </c>
    </row>
    <row r="38857" spans="1:2" x14ac:dyDescent="0.25">
      <c r="A38857" s="2">
        <v>38852</v>
      </c>
      <c r="B38857" s="11" t="str">
        <f>"201604004284"</f>
        <v>201604004284</v>
      </c>
    </row>
    <row r="38858" spans="1:2" x14ac:dyDescent="0.25">
      <c r="A38858" s="2">
        <v>38853</v>
      </c>
      <c r="B38858" s="11" t="str">
        <f>"201604004303"</f>
        <v>201604004303</v>
      </c>
    </row>
    <row r="38859" spans="1:2" x14ac:dyDescent="0.25">
      <c r="A38859" s="2">
        <v>38854</v>
      </c>
      <c r="B38859" s="11" t="str">
        <f>"201604004310"</f>
        <v>201604004310</v>
      </c>
    </row>
    <row r="38860" spans="1:2" x14ac:dyDescent="0.25">
      <c r="A38860" s="2">
        <v>38855</v>
      </c>
      <c r="B38860" s="11" t="str">
        <f>"201604004331"</f>
        <v>201604004331</v>
      </c>
    </row>
    <row r="38861" spans="1:2" x14ac:dyDescent="0.25">
      <c r="A38861" s="2">
        <v>38856</v>
      </c>
      <c r="B38861" s="11" t="str">
        <f>"201604004339"</f>
        <v>201604004339</v>
      </c>
    </row>
    <row r="38862" spans="1:2" x14ac:dyDescent="0.25">
      <c r="A38862" s="2">
        <v>38857</v>
      </c>
      <c r="B38862" s="11" t="str">
        <f>"201604004373"</f>
        <v>201604004373</v>
      </c>
    </row>
    <row r="38863" spans="1:2" x14ac:dyDescent="0.25">
      <c r="A38863" s="2">
        <v>38858</v>
      </c>
      <c r="B38863" s="11" t="str">
        <f>"201604004469"</f>
        <v>201604004469</v>
      </c>
    </row>
    <row r="38864" spans="1:2" x14ac:dyDescent="0.25">
      <c r="A38864" s="2">
        <v>38859</v>
      </c>
      <c r="B38864" s="11" t="str">
        <f>"201604004492"</f>
        <v>201604004492</v>
      </c>
    </row>
    <row r="38865" spans="1:2" x14ac:dyDescent="0.25">
      <c r="A38865" s="2">
        <v>38860</v>
      </c>
      <c r="B38865" s="11" t="str">
        <f>"201604004541"</f>
        <v>201604004541</v>
      </c>
    </row>
    <row r="38866" spans="1:2" x14ac:dyDescent="0.25">
      <c r="A38866" s="2">
        <v>38861</v>
      </c>
      <c r="B38866" s="11" t="str">
        <f>"201604004549"</f>
        <v>201604004549</v>
      </c>
    </row>
    <row r="38867" spans="1:2" x14ac:dyDescent="0.25">
      <c r="A38867" s="2">
        <v>38862</v>
      </c>
      <c r="B38867" s="11" t="str">
        <f>"201604004567"</f>
        <v>201604004567</v>
      </c>
    </row>
    <row r="38868" spans="1:2" x14ac:dyDescent="0.25">
      <c r="A38868" s="2">
        <v>38863</v>
      </c>
      <c r="B38868" s="11" t="str">
        <f>"201604004616"</f>
        <v>201604004616</v>
      </c>
    </row>
    <row r="38869" spans="1:2" x14ac:dyDescent="0.25">
      <c r="A38869" s="2">
        <v>38864</v>
      </c>
      <c r="B38869" s="11" t="str">
        <f>"201604004621"</f>
        <v>201604004621</v>
      </c>
    </row>
    <row r="38870" spans="1:2" x14ac:dyDescent="0.25">
      <c r="A38870" s="2">
        <v>38865</v>
      </c>
      <c r="B38870" s="11" t="str">
        <f>"201604004675"</f>
        <v>201604004675</v>
      </c>
    </row>
    <row r="38871" spans="1:2" x14ac:dyDescent="0.25">
      <c r="A38871" s="2">
        <v>38866</v>
      </c>
      <c r="B38871" s="11" t="str">
        <f>"201604004699"</f>
        <v>201604004699</v>
      </c>
    </row>
    <row r="38872" spans="1:2" x14ac:dyDescent="0.25">
      <c r="A38872" s="2">
        <v>38867</v>
      </c>
      <c r="B38872" s="11" t="str">
        <f>"201604004714"</f>
        <v>201604004714</v>
      </c>
    </row>
    <row r="38873" spans="1:2" x14ac:dyDescent="0.25">
      <c r="A38873" s="2">
        <v>38868</v>
      </c>
      <c r="B38873" s="11" t="str">
        <f>"201604004725"</f>
        <v>201604004725</v>
      </c>
    </row>
    <row r="38874" spans="1:2" x14ac:dyDescent="0.25">
      <c r="A38874" s="2">
        <v>38869</v>
      </c>
      <c r="B38874" s="11" t="str">
        <f>"201604004747"</f>
        <v>201604004747</v>
      </c>
    </row>
    <row r="38875" spans="1:2" x14ac:dyDescent="0.25">
      <c r="A38875" s="2">
        <v>38870</v>
      </c>
      <c r="B38875" s="11" t="str">
        <f>"201604004778"</f>
        <v>201604004778</v>
      </c>
    </row>
    <row r="38876" spans="1:2" x14ac:dyDescent="0.25">
      <c r="A38876" s="2">
        <v>38871</v>
      </c>
      <c r="B38876" s="11" t="str">
        <f>"201604004801"</f>
        <v>201604004801</v>
      </c>
    </row>
    <row r="38877" spans="1:2" x14ac:dyDescent="0.25">
      <c r="A38877" s="2">
        <v>38872</v>
      </c>
      <c r="B38877" s="11" t="str">
        <f>"201604004813"</f>
        <v>201604004813</v>
      </c>
    </row>
    <row r="38878" spans="1:2" x14ac:dyDescent="0.25">
      <c r="A38878" s="2">
        <v>38873</v>
      </c>
      <c r="B38878" s="11" t="str">
        <f>"201604004838"</f>
        <v>201604004838</v>
      </c>
    </row>
    <row r="38879" spans="1:2" x14ac:dyDescent="0.25">
      <c r="A38879" s="2">
        <v>38874</v>
      </c>
      <c r="B38879" s="11" t="str">
        <f>"201604004876"</f>
        <v>201604004876</v>
      </c>
    </row>
    <row r="38880" spans="1:2" x14ac:dyDescent="0.25">
      <c r="A38880" s="2">
        <v>38875</v>
      </c>
      <c r="B38880" s="11" t="str">
        <f>"201604004883"</f>
        <v>201604004883</v>
      </c>
    </row>
    <row r="38881" spans="1:2" x14ac:dyDescent="0.25">
      <c r="A38881" s="2">
        <v>38876</v>
      </c>
      <c r="B38881" s="11" t="str">
        <f>"201604004919"</f>
        <v>201604004919</v>
      </c>
    </row>
    <row r="38882" spans="1:2" x14ac:dyDescent="0.25">
      <c r="A38882" s="2">
        <v>38877</v>
      </c>
      <c r="B38882" s="11" t="str">
        <f>"201604004951"</f>
        <v>201604004951</v>
      </c>
    </row>
    <row r="38883" spans="1:2" x14ac:dyDescent="0.25">
      <c r="A38883" s="2">
        <v>38878</v>
      </c>
      <c r="B38883" s="11" t="str">
        <f>"201604004966"</f>
        <v>201604004966</v>
      </c>
    </row>
    <row r="38884" spans="1:2" x14ac:dyDescent="0.25">
      <c r="A38884" s="2">
        <v>38879</v>
      </c>
      <c r="B38884" s="11" t="str">
        <f>"201604004972"</f>
        <v>201604004972</v>
      </c>
    </row>
    <row r="38885" spans="1:2" x14ac:dyDescent="0.25">
      <c r="A38885" s="2">
        <v>38880</v>
      </c>
      <c r="B38885" s="11" t="str">
        <f>"201604005031"</f>
        <v>201604005031</v>
      </c>
    </row>
    <row r="38886" spans="1:2" x14ac:dyDescent="0.25">
      <c r="A38886" s="2">
        <v>38881</v>
      </c>
      <c r="B38886" s="11" t="str">
        <f>"201604005040"</f>
        <v>201604005040</v>
      </c>
    </row>
    <row r="38887" spans="1:2" x14ac:dyDescent="0.25">
      <c r="A38887" s="2">
        <v>38882</v>
      </c>
      <c r="B38887" s="11" t="str">
        <f>"201604005123"</f>
        <v>201604005123</v>
      </c>
    </row>
    <row r="38888" spans="1:2" x14ac:dyDescent="0.25">
      <c r="A38888" s="2">
        <v>38883</v>
      </c>
      <c r="B38888" s="11" t="str">
        <f>"201604005141"</f>
        <v>201604005141</v>
      </c>
    </row>
    <row r="38889" spans="1:2" x14ac:dyDescent="0.25">
      <c r="A38889" s="2">
        <v>38884</v>
      </c>
      <c r="B38889" s="11" t="str">
        <f>"201604005164"</f>
        <v>201604005164</v>
      </c>
    </row>
    <row r="38890" spans="1:2" x14ac:dyDescent="0.25">
      <c r="A38890" s="2">
        <v>38885</v>
      </c>
      <c r="B38890" s="11" t="str">
        <f>"201604005209"</f>
        <v>201604005209</v>
      </c>
    </row>
    <row r="38891" spans="1:2" x14ac:dyDescent="0.25">
      <c r="A38891" s="2">
        <v>38886</v>
      </c>
      <c r="B38891" s="11" t="str">
        <f>"201604005232"</f>
        <v>201604005232</v>
      </c>
    </row>
    <row r="38892" spans="1:2" x14ac:dyDescent="0.25">
      <c r="A38892" s="2">
        <v>38887</v>
      </c>
      <c r="B38892" s="11" t="str">
        <f>"201604005256"</f>
        <v>201604005256</v>
      </c>
    </row>
    <row r="38893" spans="1:2" x14ac:dyDescent="0.25">
      <c r="A38893" s="2">
        <v>38888</v>
      </c>
      <c r="B38893" s="11" t="str">
        <f>"201604005257"</f>
        <v>201604005257</v>
      </c>
    </row>
    <row r="38894" spans="1:2" x14ac:dyDescent="0.25">
      <c r="A38894" s="2">
        <v>38889</v>
      </c>
      <c r="B38894" s="11" t="str">
        <f>"201604005269"</f>
        <v>201604005269</v>
      </c>
    </row>
    <row r="38895" spans="1:2" x14ac:dyDescent="0.25">
      <c r="A38895" s="2">
        <v>38890</v>
      </c>
      <c r="B38895" s="11" t="str">
        <f>"201604005309"</f>
        <v>201604005309</v>
      </c>
    </row>
    <row r="38896" spans="1:2" x14ac:dyDescent="0.25">
      <c r="A38896" s="2">
        <v>38891</v>
      </c>
      <c r="B38896" s="11" t="str">
        <f>"201604005327"</f>
        <v>201604005327</v>
      </c>
    </row>
    <row r="38897" spans="1:2" x14ac:dyDescent="0.25">
      <c r="A38897" s="2">
        <v>38892</v>
      </c>
      <c r="B38897" s="11" t="str">
        <f>"201604005361"</f>
        <v>201604005361</v>
      </c>
    </row>
    <row r="38898" spans="1:2" x14ac:dyDescent="0.25">
      <c r="A38898" s="2">
        <v>38893</v>
      </c>
      <c r="B38898" s="11" t="str">
        <f>"201604005363"</f>
        <v>201604005363</v>
      </c>
    </row>
    <row r="38899" spans="1:2" x14ac:dyDescent="0.25">
      <c r="A38899" s="2">
        <v>38894</v>
      </c>
      <c r="B38899" s="11" t="str">
        <f>"201604005452"</f>
        <v>201604005452</v>
      </c>
    </row>
    <row r="38900" spans="1:2" x14ac:dyDescent="0.25">
      <c r="A38900" s="2">
        <v>38895</v>
      </c>
      <c r="B38900" s="11" t="str">
        <f>"201604005519"</f>
        <v>201604005519</v>
      </c>
    </row>
    <row r="38901" spans="1:2" x14ac:dyDescent="0.25">
      <c r="A38901" s="2">
        <v>38896</v>
      </c>
      <c r="B38901" s="11" t="str">
        <f>"201604005544"</f>
        <v>201604005544</v>
      </c>
    </row>
    <row r="38902" spans="1:2" x14ac:dyDescent="0.25">
      <c r="A38902" s="2">
        <v>38897</v>
      </c>
      <c r="B38902" s="11" t="str">
        <f>"201604005552"</f>
        <v>201604005552</v>
      </c>
    </row>
    <row r="38903" spans="1:2" x14ac:dyDescent="0.25">
      <c r="A38903" s="2">
        <v>38898</v>
      </c>
      <c r="B38903" s="11" t="str">
        <f>"201604005589"</f>
        <v>201604005589</v>
      </c>
    </row>
    <row r="38904" spans="1:2" x14ac:dyDescent="0.25">
      <c r="A38904" s="2">
        <v>38899</v>
      </c>
      <c r="B38904" s="11" t="str">
        <f>"201604005597"</f>
        <v>201604005597</v>
      </c>
    </row>
    <row r="38905" spans="1:2" x14ac:dyDescent="0.25">
      <c r="A38905" s="2">
        <v>38900</v>
      </c>
      <c r="B38905" s="11" t="str">
        <f>"201604005600"</f>
        <v>201604005600</v>
      </c>
    </row>
    <row r="38906" spans="1:2" x14ac:dyDescent="0.25">
      <c r="A38906" s="2">
        <v>38901</v>
      </c>
      <c r="B38906" s="11" t="str">
        <f>"201604005610"</f>
        <v>201604005610</v>
      </c>
    </row>
    <row r="38907" spans="1:2" x14ac:dyDescent="0.25">
      <c r="A38907" s="2">
        <v>38902</v>
      </c>
      <c r="B38907" s="11" t="str">
        <f>"201604005659"</f>
        <v>201604005659</v>
      </c>
    </row>
    <row r="38908" spans="1:2" x14ac:dyDescent="0.25">
      <c r="A38908" s="2">
        <v>38903</v>
      </c>
      <c r="B38908" s="11" t="str">
        <f>"201604005679"</f>
        <v>201604005679</v>
      </c>
    </row>
    <row r="38909" spans="1:2" x14ac:dyDescent="0.25">
      <c r="A38909" s="2">
        <v>38904</v>
      </c>
      <c r="B38909" s="11" t="str">
        <f>"201604005762"</f>
        <v>201604005762</v>
      </c>
    </row>
    <row r="38910" spans="1:2" x14ac:dyDescent="0.25">
      <c r="A38910" s="2">
        <v>38905</v>
      </c>
      <c r="B38910" s="11" t="str">
        <f>"201604005790"</f>
        <v>201604005790</v>
      </c>
    </row>
    <row r="38911" spans="1:2" x14ac:dyDescent="0.25">
      <c r="A38911" s="2">
        <v>38906</v>
      </c>
      <c r="B38911" s="11" t="str">
        <f>"201604005833"</f>
        <v>201604005833</v>
      </c>
    </row>
    <row r="38912" spans="1:2" x14ac:dyDescent="0.25">
      <c r="A38912" s="2">
        <v>38907</v>
      </c>
      <c r="B38912" s="11" t="str">
        <f>"201604005836"</f>
        <v>201604005836</v>
      </c>
    </row>
    <row r="38913" spans="1:2" x14ac:dyDescent="0.25">
      <c r="A38913" s="2">
        <v>38908</v>
      </c>
      <c r="B38913" s="11" t="str">
        <f>"201604005838"</f>
        <v>201604005838</v>
      </c>
    </row>
    <row r="38914" spans="1:2" x14ac:dyDescent="0.25">
      <c r="A38914" s="2">
        <v>38909</v>
      </c>
      <c r="B38914" s="11" t="str">
        <f>"201604005889"</f>
        <v>201604005889</v>
      </c>
    </row>
    <row r="38915" spans="1:2" x14ac:dyDescent="0.25">
      <c r="A38915" s="2">
        <v>38910</v>
      </c>
      <c r="B38915" s="11" t="str">
        <f>"201604005934"</f>
        <v>201604005934</v>
      </c>
    </row>
    <row r="38916" spans="1:2" x14ac:dyDescent="0.25">
      <c r="A38916" s="2">
        <v>38911</v>
      </c>
      <c r="B38916" s="11" t="str">
        <f>"201604005968"</f>
        <v>201604005968</v>
      </c>
    </row>
    <row r="38917" spans="1:2" x14ac:dyDescent="0.25">
      <c r="A38917" s="2">
        <v>38912</v>
      </c>
      <c r="B38917" s="11" t="str">
        <f>"201604006000"</f>
        <v>201604006000</v>
      </c>
    </row>
    <row r="38918" spans="1:2" x14ac:dyDescent="0.25">
      <c r="A38918" s="2">
        <v>38913</v>
      </c>
      <c r="B38918" s="11" t="str">
        <f>"201604006011"</f>
        <v>201604006011</v>
      </c>
    </row>
    <row r="38919" spans="1:2" x14ac:dyDescent="0.25">
      <c r="A38919" s="2">
        <v>38914</v>
      </c>
      <c r="B38919" s="11" t="str">
        <f>"201604006038"</f>
        <v>201604006038</v>
      </c>
    </row>
    <row r="38920" spans="1:2" x14ac:dyDescent="0.25">
      <c r="A38920" s="2">
        <v>38915</v>
      </c>
      <c r="B38920" s="11" t="str">
        <f>"201604006042"</f>
        <v>201604006042</v>
      </c>
    </row>
    <row r="38921" spans="1:2" x14ac:dyDescent="0.25">
      <c r="A38921" s="2">
        <v>38916</v>
      </c>
      <c r="B38921" s="11" t="str">
        <f>"201604006056"</f>
        <v>201604006056</v>
      </c>
    </row>
    <row r="38922" spans="1:2" x14ac:dyDescent="0.25">
      <c r="A38922" s="2">
        <v>38917</v>
      </c>
      <c r="B38922" s="11" t="str">
        <f>"201604006073"</f>
        <v>201604006073</v>
      </c>
    </row>
    <row r="38923" spans="1:2" x14ac:dyDescent="0.25">
      <c r="A38923" s="2">
        <v>38918</v>
      </c>
      <c r="B38923" s="11" t="str">
        <f>"201604006079"</f>
        <v>201604006079</v>
      </c>
    </row>
    <row r="38924" spans="1:2" x14ac:dyDescent="0.25">
      <c r="A38924" s="2">
        <v>38919</v>
      </c>
      <c r="B38924" s="11" t="str">
        <f>"201604006088"</f>
        <v>201604006088</v>
      </c>
    </row>
    <row r="38925" spans="1:2" x14ac:dyDescent="0.25">
      <c r="A38925" s="2">
        <v>38920</v>
      </c>
      <c r="B38925" s="11" t="str">
        <f>"201604006117"</f>
        <v>201604006117</v>
      </c>
    </row>
    <row r="38926" spans="1:2" x14ac:dyDescent="0.25">
      <c r="A38926" s="2">
        <v>38921</v>
      </c>
      <c r="B38926" s="11" t="str">
        <f>"201604006185"</f>
        <v>201604006185</v>
      </c>
    </row>
    <row r="38927" spans="1:2" x14ac:dyDescent="0.25">
      <c r="A38927" s="2">
        <v>38922</v>
      </c>
      <c r="B38927" s="11" t="str">
        <f>"201604006194"</f>
        <v>201604006194</v>
      </c>
    </row>
    <row r="38928" spans="1:2" x14ac:dyDescent="0.25">
      <c r="A38928" s="2">
        <v>38923</v>
      </c>
      <c r="B38928" s="11" t="str">
        <f>"201604006204"</f>
        <v>201604006204</v>
      </c>
    </row>
    <row r="38929" spans="1:2" x14ac:dyDescent="0.25">
      <c r="A38929" s="2">
        <v>38924</v>
      </c>
      <c r="B38929" s="11" t="str">
        <f>"201604006263"</f>
        <v>201604006263</v>
      </c>
    </row>
    <row r="38930" spans="1:2" x14ac:dyDescent="0.25">
      <c r="A38930" s="2">
        <v>38925</v>
      </c>
      <c r="B38930" s="11" t="str">
        <f>"201604006268"</f>
        <v>201604006268</v>
      </c>
    </row>
    <row r="38931" spans="1:2" x14ac:dyDescent="0.25">
      <c r="A38931" s="2">
        <v>38926</v>
      </c>
      <c r="B38931" s="11" t="str">
        <f>"201604006296"</f>
        <v>201604006296</v>
      </c>
    </row>
    <row r="38932" spans="1:2" x14ac:dyDescent="0.25">
      <c r="A38932" s="2">
        <v>38927</v>
      </c>
      <c r="B38932" s="11" t="str">
        <f>"201604006330"</f>
        <v>201604006330</v>
      </c>
    </row>
    <row r="38933" spans="1:2" x14ac:dyDescent="0.25">
      <c r="A38933" s="2">
        <v>38928</v>
      </c>
      <c r="B38933" s="11" t="str">
        <f>"201604006392"</f>
        <v>201604006392</v>
      </c>
    </row>
    <row r="38934" spans="1:2" x14ac:dyDescent="0.25">
      <c r="A38934" s="2">
        <v>38929</v>
      </c>
      <c r="B38934" s="11" t="str">
        <f>"201605000017"</f>
        <v>201605000017</v>
      </c>
    </row>
    <row r="38935" spans="1:2" x14ac:dyDescent="0.25">
      <c r="A38935" s="2">
        <v>38930</v>
      </c>
      <c r="B38935" s="11" t="str">
        <f>"201605000042"</f>
        <v>201605000042</v>
      </c>
    </row>
    <row r="38936" spans="1:2" x14ac:dyDescent="0.25">
      <c r="A38936" s="2">
        <v>38931</v>
      </c>
      <c r="B38936" s="11" t="str">
        <f>"201605000165"</f>
        <v>201605000165</v>
      </c>
    </row>
    <row r="38937" spans="1:2" x14ac:dyDescent="0.25">
      <c r="A38937" s="2">
        <v>38932</v>
      </c>
      <c r="B38937" s="11" t="str">
        <f>"201605000166"</f>
        <v>201605000166</v>
      </c>
    </row>
    <row r="38938" spans="1:2" x14ac:dyDescent="0.25">
      <c r="A38938" s="2">
        <v>38933</v>
      </c>
      <c r="B38938" s="11" t="str">
        <f>"201605000175"</f>
        <v>201605000175</v>
      </c>
    </row>
    <row r="38939" spans="1:2" x14ac:dyDescent="0.25">
      <c r="A38939" s="2">
        <v>38934</v>
      </c>
      <c r="B38939" s="11" t="str">
        <f>"201606000004"</f>
        <v>201606000004</v>
      </c>
    </row>
    <row r="38940" spans="1:2" x14ac:dyDescent="0.25">
      <c r="A38940" s="2">
        <v>38935</v>
      </c>
      <c r="B38940" s="11" t="str">
        <f>"201606000016"</f>
        <v>201606000016</v>
      </c>
    </row>
    <row r="38941" spans="1:2" x14ac:dyDescent="0.25">
      <c r="A38941" s="2">
        <v>38936</v>
      </c>
      <c r="B38941" s="11" t="str">
        <f>"201606000049"</f>
        <v>201606000049</v>
      </c>
    </row>
    <row r="38942" spans="1:2" x14ac:dyDescent="0.25">
      <c r="A38942" s="2">
        <v>38937</v>
      </c>
      <c r="B38942" s="11" t="str">
        <f>"201606000055"</f>
        <v>201606000055</v>
      </c>
    </row>
    <row r="38943" spans="1:2" x14ac:dyDescent="0.25">
      <c r="A38943" s="2">
        <v>38938</v>
      </c>
      <c r="B38943" s="11" t="str">
        <f>"201606000066"</f>
        <v>201606000066</v>
      </c>
    </row>
    <row r="38944" spans="1:2" x14ac:dyDescent="0.25">
      <c r="A38944" s="2">
        <v>38939</v>
      </c>
      <c r="B38944" s="11" t="str">
        <f>"201606000093"</f>
        <v>201606000093</v>
      </c>
    </row>
    <row r="38945" spans="1:2" x14ac:dyDescent="0.25">
      <c r="A38945" s="2">
        <v>38940</v>
      </c>
      <c r="B38945" s="11" t="str">
        <f>"201606000132"</f>
        <v>201606000132</v>
      </c>
    </row>
    <row r="38946" spans="1:2" x14ac:dyDescent="0.25">
      <c r="A38946" s="2">
        <v>38941</v>
      </c>
      <c r="B38946" s="11" t="str">
        <f>"201607121148"</f>
        <v>201607121148</v>
      </c>
    </row>
  </sheetData>
  <sortState ref="A6:B36375">
    <sortCondition ref="B6:B36375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Hadjianagnostou Markella</dc:creator>
  <cp:lastModifiedBy>Parsakis Aggelos</cp:lastModifiedBy>
  <dcterms:created xsi:type="dcterms:W3CDTF">2025-05-14T07:21:30Z</dcterms:created>
  <dcterms:modified xsi:type="dcterms:W3CDTF">2025-10-15T07:48:59Z</dcterms:modified>
</cp:coreProperties>
</file>